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Override PartName="/xl/externalLinks/externalLink6.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20" yWindow="-120" windowWidth="20730" windowHeight="11760" tabRatio="927" firstSheet="31" activeTab="39"/>
  </bookViews>
  <sheets>
    <sheet name="Index" sheetId="23" r:id="rId1"/>
    <sheet name="Notes" sheetId="47" r:id="rId2"/>
    <sheet name="1|ARR" sheetId="1" r:id="rId3"/>
    <sheet name="1.1|Trans Cost" sheetId="43" r:id="rId4"/>
    <sheet name="1.2|SLDC" sheetId="44" r:id="rId5"/>
    <sheet name="1.3|Dist Cost" sheetId="45" r:id="rId6"/>
    <sheet name="1.4| PP Cost-Reg" sheetId="3" r:id="rId7"/>
    <sheet name="1.4a|PP Cost- NonReg" sheetId="34" r:id="rId8"/>
    <sheet name="1.4(i)|NCE-B Year " sheetId="59" r:id="rId9"/>
    <sheet name="1.4(ii)|NCE- Year 1" sheetId="54" r:id="rId10"/>
    <sheet name="1.4(iii)|NCE- Year 2" sheetId="60" state="hidden" r:id="rId11"/>
    <sheet name="1.4(iii)|NCE- Year 2 " sheetId="65" state="hidden" r:id="rId12"/>
    <sheet name="1.4(iv)|NCE- Year 3" sheetId="58" state="hidden" r:id="rId13"/>
    <sheet name="1.4(v)|NCE -Year 4" sheetId="53" state="hidden" r:id="rId14"/>
    <sheet name="1.4 (vi)|NCE-Year 5" sheetId="52" state="hidden" r:id="rId15"/>
    <sheet name="1.4 b|Sales to Licensees" sheetId="33" r:id="rId16"/>
    <sheet name="1.4c|D-D Purchases" sheetId="32" r:id="rId17"/>
    <sheet name="1.5|Int CSD" sheetId="4" r:id="rId18"/>
    <sheet name="1.6|Supply Margin" sheetId="5" r:id="rId19"/>
    <sheet name="1.7|Other Costs" sheetId="22" r:id="rId20"/>
    <sheet name="2|CoS " sheetId="66" r:id="rId21"/>
    <sheet name="3|Sales Forecast" sheetId="39" r:id="rId22"/>
    <sheet name="A|New Cons Categ " sheetId="63" r:id="rId23"/>
    <sheet name="4|PP Requirement" sheetId="6" r:id="rId24"/>
    <sheet name="4a| Energy Losses" sheetId="24" r:id="rId25"/>
    <sheet name="4b|Transmission Losses" sheetId="56" r:id="rId26"/>
    <sheet name="4.1|Energy Availability" sheetId="7" r:id="rId27"/>
    <sheet name="4.2|Energy Dispatch" sheetId="41" r:id="rId28"/>
    <sheet name="5|Revenue Current Tariff" sheetId="29" r:id="rId29"/>
    <sheet name="5a|Incentives Current" sheetId="37" r:id="rId30"/>
    <sheet name="5b|Cons switching to comp" sheetId="35" state="hidden" r:id="rId31"/>
    <sheet name="5c|Cons served under open acces" sheetId="46" r:id="rId32"/>
    <sheet name="6|NTI current" sheetId="12" r:id="rId33"/>
    <sheet name="7|Total Rev Current" sheetId="13" r:id="rId34"/>
    <sheet name="8|Rev Gap" sheetId="14" r:id="rId35"/>
    <sheet name="9|Revenue Gap Adj" sheetId="15" r:id="rId36"/>
    <sheet name="10|Revenue Proposed Tariff" sheetId="30" r:id="rId37"/>
    <sheet name="10a|Incentives Proposed" sheetId="40" r:id="rId38"/>
    <sheet name="11|NTI proposed" sheetId="17" r:id="rId39"/>
    <sheet name="12|Total Rev Proposed Tarif " sheetId="67" r:id="rId40"/>
    <sheet name="12|Total Rev Proposed Tarif (2)" sheetId="68" state="hidden" r:id="rId41"/>
    <sheet name="13|Cost and Revenue" sheetId="31" r:id="rId42"/>
  </sheets>
  <externalReferences>
    <externalReference r:id="rId43"/>
    <externalReference r:id="rId44"/>
    <externalReference r:id="rId45"/>
    <externalReference r:id="rId46"/>
    <externalReference r:id="rId47"/>
    <externalReference r:id="rId48"/>
  </externalReferences>
  <definedNames>
    <definedName name="_xlnm._FilterDatabase" localSheetId="39" hidden="1">'12|Total Rev Proposed Tarif '!$A$6:$AA$6</definedName>
    <definedName name="_xlnm._FilterDatabase" localSheetId="40" hidden="1">'12|Total Rev Proposed Tarif (2)'!$A$6:$Y$6</definedName>
    <definedName name="_xlnm._FilterDatabase" localSheetId="22" hidden="1">'A|New Cons Categ '!#REF!</definedName>
    <definedName name="_xlnm._FilterDatabase" localSheetId="0" hidden="1">Index!$E$71:$E$80</definedName>
    <definedName name="arr">'1|ARR'!$L$24</definedName>
    <definedName name="distcost">'1.3|Dist Cost'!$C$4</definedName>
    <definedName name="index">Index!$F$17</definedName>
    <definedName name="notes">Notes!$D$52</definedName>
    <definedName name="OLE_LINK3" localSheetId="3">'1.1|Trans Cost'!$C$2</definedName>
    <definedName name="_xlnm.Print_Area" localSheetId="3">'1.1|Trans Cost'!$C$3:$O$84</definedName>
    <definedName name="_xlnm.Print_Area" localSheetId="4" xml:space="preserve">                                                           '1.2|SLDC'!$C$3:$K$36</definedName>
    <definedName name="_xlnm.Print_Area" localSheetId="5" xml:space="preserve">                                                                              '1.3|Dist Cost'!$C$3:$P$99</definedName>
    <definedName name="_xlnm.Print_Area" localSheetId="14">'1.4 (vi)|NCE-Year 5'!$B$3:$V$45</definedName>
    <definedName name="_xlnm.Print_Area" localSheetId="15" xml:space="preserve">                                                                            '1.4 b|Sales to Licensees'!$C$3:$J$45</definedName>
    <definedName name="_xlnm.Print_Area" localSheetId="8">'1.4(i)|NCE-B Year '!$B$3:$V$41</definedName>
    <definedName name="_xlnm.Print_Area" localSheetId="9">'1.4(ii)|NCE- Year 1'!$B$3:$V$41</definedName>
    <definedName name="_xlnm.Print_Area" localSheetId="10">'1.4(iii)|NCE- Year 2'!$B$3:$U$1114</definedName>
    <definedName name="_xlnm.Print_Area" localSheetId="11">'1.4(iii)|NCE- Year 2 '!$B$3:$V$58</definedName>
    <definedName name="_xlnm.Print_Area" localSheetId="12">'1.4(iv)|NCE- Year 3'!$B$3:$V$57</definedName>
    <definedName name="_xlnm.Print_Area" localSheetId="13" xml:space="preserve">                                                                                                                             '1.4(v)|NCE -Year 4'!$B$1:$V$46</definedName>
    <definedName name="_xlnm.Print_Area" localSheetId="6">'1.4| PP Cost-Reg'!$C$232:$V$295,'1.4| PP Cost-Reg'!$C$297:$V$360</definedName>
    <definedName name="_xlnm.Print_Area" localSheetId="7">'1.4a|PP Cost- NonReg'!$C$3:$V$68,'1.4a|PP Cost- NonReg'!$C$70:$V$130</definedName>
    <definedName name="_xlnm.Print_Area" localSheetId="16" xml:space="preserve">                      '1.4c|D-D Purchases'!$C$3:$I$29</definedName>
    <definedName name="_xlnm.Print_Area" localSheetId="17" xml:space="preserve">                                                                            '1.5|Int CSD'!$C$3:$L$21</definedName>
    <definedName name="_xlnm.Print_Area" localSheetId="18">'1.6|Supply Margin'!$C$3:$L$8</definedName>
    <definedName name="_xlnm.Print_Area" localSheetId="19">'1.7|Other Costs'!$C$3:$L$17</definedName>
    <definedName name="_xlnm.Print_Area" localSheetId="2">'1|ARR'!$C$3:$L$31</definedName>
    <definedName name="_xlnm.Print_Area" localSheetId="36">'10|Revenue Proposed Tariff'!$C$3:$K$180</definedName>
    <definedName name="_xlnm.Print_Area" localSheetId="37" xml:space="preserve">                                                                                                                                                                                                                                          '10a|Incentives Proposed'!$B$6:$E$163</definedName>
    <definedName name="_xlnm.Print_Area" localSheetId="38" xml:space="preserve">                                                                                                                                                   '11|NTI proposed'!$C$3:$G$19</definedName>
    <definedName name="_xlnm.Print_Area" localSheetId="39">'12|Total Rev Proposed Tarif '!$B$3:$AC$178</definedName>
    <definedName name="_xlnm.Print_Area" localSheetId="40" xml:space="preserve">                                                                                                                                                '12|Total Rev Proposed Tarif (2)'!$B$3:$AA$210</definedName>
    <definedName name="_xlnm.Print_Area" localSheetId="41">'13|Cost and Revenue'!$C$3:$P$13</definedName>
    <definedName name="_xlnm.Print_Area" localSheetId="20">'2|CoS '!$C$2:$J$14</definedName>
    <definedName name="_xlnm.Print_Area" localSheetId="21">'3|Sales Forecast'!$C$120:$Q$234,'3|Sales Forecast'!$C$237:$Q$351</definedName>
    <definedName name="_xlnm.Print_Area" localSheetId="26">'4.1|Energy Availability'!$C$60:$U$120,'4.1|Energy Availability'!$C$123:$U$183</definedName>
    <definedName name="_xlnm.Print_Area" localSheetId="27">'4.2|Energy Dispatch'!$B$170:$R$226,'4.2|Energy Dispatch'!$B$229:$R$282</definedName>
    <definedName name="_xlnm.Print_Area" localSheetId="23">'4|PP Requirement'!$C$3:$G$29</definedName>
    <definedName name="_xlnm.Print_Area" localSheetId="24" xml:space="preserve">      '4a| Energy Losses'!$D$3:$J$64</definedName>
    <definedName name="_xlnm.Print_Area" localSheetId="25" xml:space="preserve">                                                                                '4b|Transmission Losses'!$C$3:$G$17</definedName>
    <definedName name="_xlnm.Print_Area" localSheetId="28">'5|Revenue Current Tariff'!$C$3:$Y$122</definedName>
    <definedName name="_xlnm.Print_Area" localSheetId="29">'5a|Incentives Current'!$B$3:$F$117</definedName>
    <definedName name="_xlnm.Print_Area" localSheetId="30">'5b|Cons switching to comp'!$D$10:$AZ$107</definedName>
    <definedName name="_xlnm.Print_Area" localSheetId="31">'5c|Cons served under open acces'!$C$1:$P$118</definedName>
    <definedName name="_xlnm.Print_Area" localSheetId="32">'6|NTI current'!$C$3:$G$17</definedName>
    <definedName name="_xlnm.Print_Area" localSheetId="33">'7|Total Rev Current'!$B$3:$AA$354,'7|Total Rev Current'!$B$356:$AA$532</definedName>
    <definedName name="_xlnm.Print_Area" localSheetId="34" xml:space="preserve"> '8|Rev Gap'!$C$3:$G$20</definedName>
    <definedName name="_xlnm.Print_Area" localSheetId="35" xml:space="preserve">                                        '9|Revenue Gap Adj'!$C$3:$H$23</definedName>
    <definedName name="_xlnm.Print_Area" localSheetId="22">'A|New Cons Categ '!$A$3:$L$89</definedName>
    <definedName name="_xlnm.Print_Area" localSheetId="0">Index!$B$1:$D$49</definedName>
    <definedName name="_xlnm.Print_Area" localSheetId="1">Notes!$B$2:$L$48</definedName>
    <definedName name="_xlnm.Print_Titles" localSheetId="4">'1.2|SLDC'!$3:$6</definedName>
    <definedName name="_xlnm.Print_Titles" localSheetId="14">'1.4 (vi)|NCE-Year 5'!$3:$9</definedName>
    <definedName name="_xlnm.Print_Titles" localSheetId="8">'1.4(i)|NCE-B Year '!$8:$9</definedName>
    <definedName name="_xlnm.Print_Titles" localSheetId="6">'1.4| PP Cost-Reg'!$9:$10</definedName>
    <definedName name="_xlnm.Print_Titles" localSheetId="36">'10|Revenue Proposed Tariff'!$6:$8</definedName>
    <definedName name="_xlnm.Print_Titles" localSheetId="37">'10a|Incentives Proposed'!$9:$10</definedName>
    <definedName name="_xlnm.Print_Titles" localSheetId="39">'12|Total Rev Proposed Tarif '!$B:$B,'12|Total Rev Proposed Tarif '!$5:$6</definedName>
    <definedName name="_xlnm.Print_Titles" localSheetId="40">'12|Total Rev Proposed Tarif (2)'!$B:$B,'12|Total Rev Proposed Tarif (2)'!$5:$6</definedName>
    <definedName name="_xlnm.Print_Titles" localSheetId="41">'13|Cost and Revenue'!$C:$C,'13|Cost and Revenue'!$6:$6</definedName>
    <definedName name="_xlnm.Print_Titles" localSheetId="20">'2|CoS '!$C:$C,'2|CoS '!$3:$7</definedName>
    <definedName name="_xlnm.Print_Titles" localSheetId="21">'3|Sales Forecast'!$122:$122</definedName>
    <definedName name="_xlnm.Print_Titles" localSheetId="26">'4.1|Energy Availability'!$124:$125</definedName>
    <definedName name="_xlnm.Print_Titles" localSheetId="27">'4.2|Energy Dispatch'!$5:$6</definedName>
    <definedName name="_xlnm.Print_Titles" localSheetId="24">'4a| Energy Losses'!$6:$6</definedName>
    <definedName name="_xlnm.Print_Titles" localSheetId="28">'5|Revenue Current Tariff'!$6:$8</definedName>
    <definedName name="_xlnm.Print_Titles" localSheetId="29">'5a|Incentives Current'!$6:$7</definedName>
    <definedName name="_xlnm.Print_Titles" localSheetId="30">'5b|Cons switching to comp'!$C:$C,'5b|Cons switching to comp'!$3:$9</definedName>
    <definedName name="_xlnm.Print_Titles" localSheetId="31">'5c|Cons served under open acces'!$7:$9</definedName>
    <definedName name="_xlnm.Print_Titles" localSheetId="33">'7|Total Rev Current'!$B:$B,'7|Total Rev Current'!$359:$360</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Q319" i="39"/>
  <c r="Q320"/>
  <c r="Q321"/>
  <c r="Q229"/>
  <c r="Q153"/>
  <c r="Q154"/>
  <c r="H19" i="32"/>
  <c r="G19"/>
  <c r="F19"/>
  <c r="L84" i="46" l="1"/>
  <c r="H84"/>
  <c r="P79"/>
  <c r="L60"/>
  <c r="H48"/>
  <c r="L29"/>
  <c r="H29"/>
  <c r="F22"/>
  <c r="F29"/>
  <c r="F21" l="1"/>
  <c r="G21"/>
  <c r="P114"/>
  <c r="O114"/>
  <c r="N114"/>
  <c r="M114"/>
  <c r="L114"/>
  <c r="K114"/>
  <c r="J114"/>
  <c r="I114"/>
  <c r="H114"/>
  <c r="G114"/>
  <c r="F114"/>
  <c r="E114"/>
  <c r="P109"/>
  <c r="O109"/>
  <c r="N109"/>
  <c r="M109"/>
  <c r="L109"/>
  <c r="K109"/>
  <c r="J109"/>
  <c r="I109"/>
  <c r="H109"/>
  <c r="G109"/>
  <c r="F109"/>
  <c r="E109"/>
  <c r="P102"/>
  <c r="O102"/>
  <c r="N102"/>
  <c r="M102"/>
  <c r="L102"/>
  <c r="K102"/>
  <c r="J102"/>
  <c r="J93" s="1"/>
  <c r="I102"/>
  <c r="I93" s="1"/>
  <c r="H102"/>
  <c r="H93" s="1"/>
  <c r="G102"/>
  <c r="F102"/>
  <c r="E102"/>
  <c r="P95"/>
  <c r="O95"/>
  <c r="O93" s="1"/>
  <c r="N95"/>
  <c r="N93" s="1"/>
  <c r="M95"/>
  <c r="M93" s="1"/>
  <c r="L95"/>
  <c r="K95"/>
  <c r="J95"/>
  <c r="I95"/>
  <c r="H95"/>
  <c r="G95"/>
  <c r="G93" s="1"/>
  <c r="F95"/>
  <c r="F93" s="1"/>
  <c r="E95"/>
  <c r="E93" s="1"/>
  <c r="P94"/>
  <c r="P93" s="1"/>
  <c r="L94"/>
  <c r="L93"/>
  <c r="K93"/>
  <c r="P90"/>
  <c r="O90"/>
  <c r="N90"/>
  <c r="M90"/>
  <c r="L90"/>
  <c r="K90"/>
  <c r="J90"/>
  <c r="I90"/>
  <c r="H90"/>
  <c r="G90"/>
  <c r="F90"/>
  <c r="E90"/>
  <c r="P85"/>
  <c r="O85"/>
  <c r="N85"/>
  <c r="M85"/>
  <c r="L85"/>
  <c r="K85"/>
  <c r="J85"/>
  <c r="I85"/>
  <c r="H85"/>
  <c r="G85"/>
  <c r="F85"/>
  <c r="E85"/>
  <c r="J84"/>
  <c r="F84"/>
  <c r="F78" s="1"/>
  <c r="F69" s="1"/>
  <c r="J79"/>
  <c r="L79" s="1"/>
  <c r="L78" s="1"/>
  <c r="P78"/>
  <c r="O78"/>
  <c r="N78"/>
  <c r="M78"/>
  <c r="K78"/>
  <c r="I78"/>
  <c r="H78"/>
  <c r="H69" s="1"/>
  <c r="G78"/>
  <c r="G69" s="1"/>
  <c r="E78"/>
  <c r="P72"/>
  <c r="P71" s="1"/>
  <c r="L72"/>
  <c r="L71" s="1"/>
  <c r="J72"/>
  <c r="O71"/>
  <c r="N71"/>
  <c r="M71"/>
  <c r="K71"/>
  <c r="J71"/>
  <c r="I71"/>
  <c r="H71"/>
  <c r="G71"/>
  <c r="F71"/>
  <c r="E71"/>
  <c r="P70"/>
  <c r="L70"/>
  <c r="O69"/>
  <c r="N69"/>
  <c r="M69"/>
  <c r="I69"/>
  <c r="E69"/>
  <c r="P66"/>
  <c r="O66"/>
  <c r="N66"/>
  <c r="M66"/>
  <c r="L66"/>
  <c r="K66"/>
  <c r="J66"/>
  <c r="I66"/>
  <c r="H66"/>
  <c r="G66"/>
  <c r="F66"/>
  <c r="E66"/>
  <c r="P61"/>
  <c r="O61"/>
  <c r="N61"/>
  <c r="M61"/>
  <c r="L61"/>
  <c r="K61"/>
  <c r="J61"/>
  <c r="I61"/>
  <c r="H61"/>
  <c r="G61"/>
  <c r="F61"/>
  <c r="E61"/>
  <c r="J60"/>
  <c r="J54" s="1"/>
  <c r="J55"/>
  <c r="L55" s="1"/>
  <c r="L54" s="1"/>
  <c r="L45" s="1"/>
  <c r="H55"/>
  <c r="H54" s="1"/>
  <c r="F55"/>
  <c r="F54" s="1"/>
  <c r="F45" s="1"/>
  <c r="P54"/>
  <c r="O54"/>
  <c r="N54"/>
  <c r="M54"/>
  <c r="K54"/>
  <c r="K45" s="1"/>
  <c r="I54"/>
  <c r="G54"/>
  <c r="E54"/>
  <c r="F48"/>
  <c r="P47"/>
  <c r="P45" s="1"/>
  <c r="O47"/>
  <c r="O45" s="1"/>
  <c r="N47"/>
  <c r="M47"/>
  <c r="L47"/>
  <c r="K47"/>
  <c r="J47"/>
  <c r="J45" s="1"/>
  <c r="I47"/>
  <c r="I45" s="1"/>
  <c r="H47"/>
  <c r="G47"/>
  <c r="F47"/>
  <c r="E47"/>
  <c r="P46"/>
  <c r="L46"/>
  <c r="N45"/>
  <c r="M45"/>
  <c r="E45"/>
  <c r="P43"/>
  <c r="L43"/>
  <c r="P40"/>
  <c r="O40"/>
  <c r="N40"/>
  <c r="M40"/>
  <c r="L40"/>
  <c r="K40"/>
  <c r="J40"/>
  <c r="I40"/>
  <c r="H40"/>
  <c r="G40"/>
  <c r="F40"/>
  <c r="E40"/>
  <c r="P35"/>
  <c r="O35"/>
  <c r="O19" s="1"/>
  <c r="N35"/>
  <c r="M35"/>
  <c r="L35"/>
  <c r="K35"/>
  <c r="J35"/>
  <c r="I35"/>
  <c r="H35"/>
  <c r="G35"/>
  <c r="F35"/>
  <c r="E35"/>
  <c r="J29"/>
  <c r="P28"/>
  <c r="O28"/>
  <c r="N28"/>
  <c r="M28"/>
  <c r="L28"/>
  <c r="K28"/>
  <c r="J28"/>
  <c r="I28"/>
  <c r="H28"/>
  <c r="G28"/>
  <c r="F28"/>
  <c r="E28"/>
  <c r="P21"/>
  <c r="O21"/>
  <c r="N21"/>
  <c r="N19" s="1"/>
  <c r="N117" s="1"/>
  <c r="N118" s="1"/>
  <c r="M21"/>
  <c r="M19" s="1"/>
  <c r="M117" s="1"/>
  <c r="M118" s="1"/>
  <c r="L21"/>
  <c r="K21"/>
  <c r="J21"/>
  <c r="I21"/>
  <c r="E21"/>
  <c r="E19" s="1"/>
  <c r="E117" s="1"/>
  <c r="E118" s="1"/>
  <c r="P20"/>
  <c r="P19" s="1"/>
  <c r="L20"/>
  <c r="J19"/>
  <c r="I19"/>
  <c r="K69" l="1"/>
  <c r="P69"/>
  <c r="P117" s="1"/>
  <c r="P118" s="1"/>
  <c r="G45"/>
  <c r="L19"/>
  <c r="K19"/>
  <c r="F19"/>
  <c r="F117" s="1"/>
  <c r="F118" s="1"/>
  <c r="G19"/>
  <c r="H22"/>
  <c r="H21" s="1"/>
  <c r="H19" s="1"/>
  <c r="H45"/>
  <c r="I117"/>
  <c r="I118" s="1"/>
  <c r="L69"/>
  <c r="J78"/>
  <c r="J69" s="1"/>
  <c r="J117" s="1"/>
  <c r="J118" s="1"/>
  <c r="L117" l="1"/>
  <c r="L118" s="1"/>
  <c r="H117"/>
  <c r="H118" s="1"/>
  <c r="X294" i="3" l="1"/>
  <c r="W294"/>
  <c r="V294"/>
  <c r="T294"/>
  <c r="S294"/>
  <c r="Q294"/>
  <c r="R99" i="45"/>
  <c r="K5" i="31"/>
  <c r="E5"/>
  <c r="M358" i="3" l="1"/>
  <c r="M356"/>
  <c r="G356"/>
  <c r="F356"/>
  <c r="O358"/>
  <c r="N358"/>
  <c r="L358"/>
  <c r="K358"/>
  <c r="J358"/>
  <c r="I358"/>
  <c r="O356"/>
  <c r="N356"/>
  <c r="L356"/>
  <c r="K356"/>
  <c r="J356"/>
  <c r="I356"/>
  <c r="H356"/>
  <c r="R294"/>
  <c r="M285"/>
  <c r="T358" l="1"/>
  <c r="S358"/>
  <c r="U358"/>
  <c r="R225" i="41"/>
  <c r="P358" i="3"/>
  <c r="V358" s="1"/>
  <c r="R358"/>
  <c r="Q358"/>
  <c r="U294"/>
  <c r="L173" i="67" l="1"/>
  <c r="T39" i="59"/>
  <c r="S39"/>
  <c r="R39"/>
  <c r="N39"/>
  <c r="M39"/>
  <c r="L39"/>
  <c r="K39"/>
  <c r="J39"/>
  <c r="I39"/>
  <c r="U39" s="1"/>
  <c r="H39"/>
  <c r="G39"/>
  <c r="G41" s="1"/>
  <c r="U38"/>
  <c r="T38"/>
  <c r="S38"/>
  <c r="R38"/>
  <c r="Q38"/>
  <c r="P38"/>
  <c r="O38"/>
  <c r="N37"/>
  <c r="N41" s="1"/>
  <c r="M37"/>
  <c r="M41" s="1"/>
  <c r="L37"/>
  <c r="K37"/>
  <c r="J37"/>
  <c r="I37"/>
  <c r="S37" s="1"/>
  <c r="H37"/>
  <c r="H41" s="1"/>
  <c r="G37"/>
  <c r="U36"/>
  <c r="T36"/>
  <c r="S36"/>
  <c r="R36"/>
  <c r="Q36"/>
  <c r="P36"/>
  <c r="O36"/>
  <c r="X35"/>
  <c r="X36" s="1"/>
  <c r="U35"/>
  <c r="T35"/>
  <c r="S35"/>
  <c r="R35"/>
  <c r="Q35"/>
  <c r="P35"/>
  <c r="O35"/>
  <c r="U34"/>
  <c r="T34"/>
  <c r="S34"/>
  <c r="R34"/>
  <c r="Q34"/>
  <c r="P34"/>
  <c r="O34"/>
  <c r="U33"/>
  <c r="T33"/>
  <c r="S33"/>
  <c r="R33"/>
  <c r="Q33"/>
  <c r="P33"/>
  <c r="O33"/>
  <c r="N32"/>
  <c r="M32"/>
  <c r="L32"/>
  <c r="K32"/>
  <c r="J32"/>
  <c r="O32" s="1"/>
  <c r="I32"/>
  <c r="P32" s="1"/>
  <c r="H32"/>
  <c r="G32"/>
  <c r="U31"/>
  <c r="T31"/>
  <c r="S31"/>
  <c r="R31"/>
  <c r="Q31"/>
  <c r="P31"/>
  <c r="O31"/>
  <c r="U30"/>
  <c r="N30"/>
  <c r="M30"/>
  <c r="L30"/>
  <c r="K30"/>
  <c r="J30"/>
  <c r="I30"/>
  <c r="P30" s="1"/>
  <c r="H30"/>
  <c r="G30"/>
  <c r="U29"/>
  <c r="T29"/>
  <c r="S29"/>
  <c r="R29"/>
  <c r="Q29"/>
  <c r="P29"/>
  <c r="O29"/>
  <c r="S28"/>
  <c r="N28"/>
  <c r="M28"/>
  <c r="L28"/>
  <c r="K28"/>
  <c r="J28"/>
  <c r="I28"/>
  <c r="T28" s="1"/>
  <c r="H28"/>
  <c r="G28"/>
  <c r="U27"/>
  <c r="T27"/>
  <c r="S27"/>
  <c r="R27"/>
  <c r="Q27"/>
  <c r="P27"/>
  <c r="O27"/>
  <c r="N26"/>
  <c r="M26"/>
  <c r="L26"/>
  <c r="K26"/>
  <c r="J26"/>
  <c r="I26"/>
  <c r="R26" s="1"/>
  <c r="H26"/>
  <c r="G26"/>
  <c r="U25"/>
  <c r="T25"/>
  <c r="S25"/>
  <c r="R25"/>
  <c r="Q25"/>
  <c r="P25"/>
  <c r="O25"/>
  <c r="N24"/>
  <c r="M24"/>
  <c r="L24"/>
  <c r="O24" s="1"/>
  <c r="K24"/>
  <c r="J24"/>
  <c r="I24"/>
  <c r="P24" s="1"/>
  <c r="H24"/>
  <c r="G24"/>
  <c r="U23"/>
  <c r="T23"/>
  <c r="S23"/>
  <c r="R23"/>
  <c r="Q23"/>
  <c r="P23"/>
  <c r="O23"/>
  <c r="U22"/>
  <c r="T22"/>
  <c r="S22"/>
  <c r="R22"/>
  <c r="Q22"/>
  <c r="P22"/>
  <c r="O22"/>
  <c r="U21"/>
  <c r="T21"/>
  <c r="S21"/>
  <c r="R21"/>
  <c r="Q21"/>
  <c r="P21"/>
  <c r="O21"/>
  <c r="S20"/>
  <c r="N20"/>
  <c r="M20"/>
  <c r="L20"/>
  <c r="K20"/>
  <c r="O20" s="1"/>
  <c r="J20"/>
  <c r="I20"/>
  <c r="T20" s="1"/>
  <c r="H20"/>
  <c r="G20"/>
  <c r="U19"/>
  <c r="T19"/>
  <c r="S19"/>
  <c r="R19"/>
  <c r="Q19"/>
  <c r="P19"/>
  <c r="O19"/>
  <c r="U18"/>
  <c r="T18"/>
  <c r="S18"/>
  <c r="R18"/>
  <c r="Q18"/>
  <c r="P18"/>
  <c r="O18"/>
  <c r="S17"/>
  <c r="N17"/>
  <c r="M17"/>
  <c r="L17"/>
  <c r="K17"/>
  <c r="J17"/>
  <c r="I17"/>
  <c r="Q17" s="1"/>
  <c r="H17"/>
  <c r="G17"/>
  <c r="U16"/>
  <c r="T16"/>
  <c r="S16"/>
  <c r="R16"/>
  <c r="Q16"/>
  <c r="P16"/>
  <c r="O16"/>
  <c r="U15"/>
  <c r="T15"/>
  <c r="S15"/>
  <c r="R15"/>
  <c r="Q15"/>
  <c r="P15"/>
  <c r="O15"/>
  <c r="U14"/>
  <c r="T14"/>
  <c r="S14"/>
  <c r="R14"/>
  <c r="Q14"/>
  <c r="P14"/>
  <c r="O14"/>
  <c r="U13"/>
  <c r="T13"/>
  <c r="S13"/>
  <c r="R13"/>
  <c r="Q13"/>
  <c r="P13"/>
  <c r="O13"/>
  <c r="U12"/>
  <c r="T12"/>
  <c r="S12"/>
  <c r="R12"/>
  <c r="Q12"/>
  <c r="P12"/>
  <c r="O12"/>
  <c r="U11"/>
  <c r="T11"/>
  <c r="S11"/>
  <c r="R11"/>
  <c r="Q11"/>
  <c r="P11"/>
  <c r="O11"/>
  <c r="U10"/>
  <c r="T10"/>
  <c r="S10"/>
  <c r="R10"/>
  <c r="Q10"/>
  <c r="P10"/>
  <c r="O10"/>
  <c r="U9"/>
  <c r="T9"/>
  <c r="S9"/>
  <c r="R9"/>
  <c r="Q9"/>
  <c r="P9"/>
  <c r="O9"/>
  <c r="L41" l="1"/>
  <c r="P17"/>
  <c r="S24"/>
  <c r="O26"/>
  <c r="I41"/>
  <c r="U20"/>
  <c r="O30"/>
  <c r="O17"/>
  <c r="R17"/>
  <c r="R28"/>
  <c r="Q30"/>
  <c r="P39"/>
  <c r="Q20"/>
  <c r="R37"/>
  <c r="O39"/>
  <c r="T17"/>
  <c r="R20"/>
  <c r="O28"/>
  <c r="U28"/>
  <c r="J41"/>
  <c r="O41" s="1"/>
  <c r="T37"/>
  <c r="K41"/>
  <c r="P26"/>
  <c r="T30"/>
  <c r="Q37"/>
  <c r="U24"/>
  <c r="Q28"/>
  <c r="S30"/>
  <c r="U32"/>
  <c r="P37"/>
  <c r="Q26"/>
  <c r="U17"/>
  <c r="P20"/>
  <c r="T24"/>
  <c r="P28"/>
  <c r="R30"/>
  <c r="T32"/>
  <c r="O37"/>
  <c r="Q39"/>
  <c r="U26"/>
  <c r="S32"/>
  <c r="R24"/>
  <c r="T26"/>
  <c r="R32"/>
  <c r="U37"/>
  <c r="Q32"/>
  <c r="Q24"/>
  <c r="S26"/>
  <c r="P41" l="1"/>
  <c r="U41"/>
  <c r="Q41"/>
  <c r="S41"/>
  <c r="T41"/>
  <c r="R41"/>
  <c r="H41" i="54"/>
  <c r="N39"/>
  <c r="M39"/>
  <c r="L39"/>
  <c r="K39"/>
  <c r="J39"/>
  <c r="I39"/>
  <c r="U39" s="1"/>
  <c r="H39"/>
  <c r="G39"/>
  <c r="U38"/>
  <c r="T38"/>
  <c r="S38"/>
  <c r="R38"/>
  <c r="Q38"/>
  <c r="P38"/>
  <c r="O38"/>
  <c r="N37"/>
  <c r="N41" s="1"/>
  <c r="M37"/>
  <c r="M41" s="1"/>
  <c r="L37"/>
  <c r="L41" s="1"/>
  <c r="K37"/>
  <c r="K41" s="1"/>
  <c r="J37"/>
  <c r="J41" s="1"/>
  <c r="I37"/>
  <c r="S37" s="1"/>
  <c r="H37"/>
  <c r="G37"/>
  <c r="G41" s="1"/>
  <c r="U36"/>
  <c r="T36"/>
  <c r="S36"/>
  <c r="R36"/>
  <c r="Q36"/>
  <c r="P36"/>
  <c r="O36"/>
  <c r="X35"/>
  <c r="X36" s="1"/>
  <c r="U35"/>
  <c r="T35"/>
  <c r="S35"/>
  <c r="R35"/>
  <c r="Q35"/>
  <c r="P35"/>
  <c r="O35"/>
  <c r="U34"/>
  <c r="T34"/>
  <c r="S34"/>
  <c r="R34"/>
  <c r="Q34"/>
  <c r="P34"/>
  <c r="O34"/>
  <c r="U33"/>
  <c r="T33"/>
  <c r="S33"/>
  <c r="R33"/>
  <c r="Q33"/>
  <c r="P33"/>
  <c r="O33"/>
  <c r="N32"/>
  <c r="M32"/>
  <c r="L32"/>
  <c r="K32"/>
  <c r="J32"/>
  <c r="O32" s="1"/>
  <c r="I32"/>
  <c r="P32" s="1"/>
  <c r="H32"/>
  <c r="G32"/>
  <c r="U31"/>
  <c r="T31"/>
  <c r="S31"/>
  <c r="R31"/>
  <c r="Q31"/>
  <c r="P31"/>
  <c r="O31"/>
  <c r="N30"/>
  <c r="M30"/>
  <c r="L30"/>
  <c r="K30"/>
  <c r="J30"/>
  <c r="I30"/>
  <c r="Q30" s="1"/>
  <c r="H30"/>
  <c r="G30"/>
  <c r="U29"/>
  <c r="T29"/>
  <c r="S29"/>
  <c r="R29"/>
  <c r="Q29"/>
  <c r="P29"/>
  <c r="O29"/>
  <c r="N28"/>
  <c r="M28"/>
  <c r="L28"/>
  <c r="K28"/>
  <c r="J28"/>
  <c r="I28"/>
  <c r="T28" s="1"/>
  <c r="H28"/>
  <c r="G28"/>
  <c r="U27"/>
  <c r="T27"/>
  <c r="S27"/>
  <c r="R27"/>
  <c r="Q27"/>
  <c r="P27"/>
  <c r="O27"/>
  <c r="N26"/>
  <c r="M26"/>
  <c r="L26"/>
  <c r="K26"/>
  <c r="J26"/>
  <c r="I26"/>
  <c r="R26" s="1"/>
  <c r="H26"/>
  <c r="G26"/>
  <c r="U25"/>
  <c r="T25"/>
  <c r="S25"/>
  <c r="R25"/>
  <c r="Q25"/>
  <c r="P25"/>
  <c r="O25"/>
  <c r="N24"/>
  <c r="M24"/>
  <c r="L24"/>
  <c r="K24"/>
  <c r="J24"/>
  <c r="I24"/>
  <c r="P24" s="1"/>
  <c r="H24"/>
  <c r="G24"/>
  <c r="U23"/>
  <c r="T23"/>
  <c r="S23"/>
  <c r="R23"/>
  <c r="Q23"/>
  <c r="P23"/>
  <c r="O23"/>
  <c r="U22"/>
  <c r="T22"/>
  <c r="S22"/>
  <c r="R22"/>
  <c r="Q22"/>
  <c r="P22"/>
  <c r="O22"/>
  <c r="U21"/>
  <c r="T21"/>
  <c r="S21"/>
  <c r="R21"/>
  <c r="Q21"/>
  <c r="P21"/>
  <c r="O21"/>
  <c r="N20"/>
  <c r="M20"/>
  <c r="L20"/>
  <c r="K20"/>
  <c r="J20"/>
  <c r="I20"/>
  <c r="T20" s="1"/>
  <c r="H20"/>
  <c r="G20"/>
  <c r="U19"/>
  <c r="T19"/>
  <c r="S19"/>
  <c r="R19"/>
  <c r="Q19"/>
  <c r="P19"/>
  <c r="O19"/>
  <c r="U18"/>
  <c r="T18"/>
  <c r="S18"/>
  <c r="R18"/>
  <c r="Q18"/>
  <c r="P18"/>
  <c r="O18"/>
  <c r="N17"/>
  <c r="M17"/>
  <c r="L17"/>
  <c r="K17"/>
  <c r="J17"/>
  <c r="I17"/>
  <c r="Q17" s="1"/>
  <c r="H17"/>
  <c r="G17"/>
  <c r="U16"/>
  <c r="T16"/>
  <c r="S16"/>
  <c r="R16"/>
  <c r="Q16"/>
  <c r="P16"/>
  <c r="O16"/>
  <c r="U15"/>
  <c r="T15"/>
  <c r="S15"/>
  <c r="R15"/>
  <c r="Q15"/>
  <c r="P15"/>
  <c r="O15"/>
  <c r="U14"/>
  <c r="T14"/>
  <c r="S14"/>
  <c r="R14"/>
  <c r="Q14"/>
  <c r="P14"/>
  <c r="O14"/>
  <c r="U13"/>
  <c r="T13"/>
  <c r="S13"/>
  <c r="R13"/>
  <c r="Q13"/>
  <c r="P13"/>
  <c r="O13"/>
  <c r="U12"/>
  <c r="T12"/>
  <c r="S12"/>
  <c r="R12"/>
  <c r="Q12"/>
  <c r="P12"/>
  <c r="O12"/>
  <c r="U11"/>
  <c r="T11"/>
  <c r="S11"/>
  <c r="R11"/>
  <c r="Q11"/>
  <c r="P11"/>
  <c r="O11"/>
  <c r="U10"/>
  <c r="T10"/>
  <c r="S10"/>
  <c r="R10"/>
  <c r="Q10"/>
  <c r="P10"/>
  <c r="O10"/>
  <c r="U9"/>
  <c r="T9"/>
  <c r="S9"/>
  <c r="R9"/>
  <c r="Q9"/>
  <c r="P9"/>
  <c r="O9"/>
  <c r="L89" i="67"/>
  <c r="E142"/>
  <c r="R20" i="54" l="1"/>
  <c r="R24"/>
  <c r="P39"/>
  <c r="O20"/>
  <c r="O30"/>
  <c r="T30"/>
  <c r="O39"/>
  <c r="S39"/>
  <c r="R32"/>
  <c r="O24"/>
  <c r="P30"/>
  <c r="S32"/>
  <c r="R39"/>
  <c r="O17"/>
  <c r="R28"/>
  <c r="T39"/>
  <c r="P26"/>
  <c r="O28"/>
  <c r="O41"/>
  <c r="O26"/>
  <c r="T26"/>
  <c r="P17"/>
  <c r="S20"/>
  <c r="Q26"/>
  <c r="S28"/>
  <c r="U30"/>
  <c r="R37"/>
  <c r="Q37"/>
  <c r="Q20"/>
  <c r="U24"/>
  <c r="Q28"/>
  <c r="S30"/>
  <c r="U32"/>
  <c r="P37"/>
  <c r="U17"/>
  <c r="P20"/>
  <c r="T24"/>
  <c r="P28"/>
  <c r="R30"/>
  <c r="T32"/>
  <c r="O37"/>
  <c r="Q39"/>
  <c r="T17"/>
  <c r="S24"/>
  <c r="U26"/>
  <c r="I41"/>
  <c r="S17"/>
  <c r="U37"/>
  <c r="R17"/>
  <c r="U20"/>
  <c r="Q24"/>
  <c r="S26"/>
  <c r="U28"/>
  <c r="Q32"/>
  <c r="T37"/>
  <c r="P41" l="1"/>
  <c r="Q41"/>
  <c r="R41"/>
  <c r="S41"/>
  <c r="T41"/>
  <c r="U41"/>
  <c r="R57" i="7"/>
  <c r="Q57"/>
  <c r="P57"/>
  <c r="O57"/>
  <c r="N57"/>
  <c r="M57"/>
  <c r="L57"/>
  <c r="K57"/>
  <c r="J57"/>
  <c r="I57"/>
  <c r="H57"/>
  <c r="G57"/>
  <c r="R56"/>
  <c r="Q56"/>
  <c r="P56"/>
  <c r="O56"/>
  <c r="N56"/>
  <c r="M56"/>
  <c r="L56"/>
  <c r="K56"/>
  <c r="J56"/>
  <c r="I56"/>
  <c r="H56"/>
  <c r="G56"/>
  <c r="R55"/>
  <c r="Q55"/>
  <c r="P55"/>
  <c r="O55"/>
  <c r="N55"/>
  <c r="M55"/>
  <c r="L55"/>
  <c r="K55"/>
  <c r="J55"/>
  <c r="I55"/>
  <c r="H55"/>
  <c r="G55"/>
  <c r="R54"/>
  <c r="Q54"/>
  <c r="P54"/>
  <c r="O54"/>
  <c r="N54"/>
  <c r="M54"/>
  <c r="L54"/>
  <c r="K54"/>
  <c r="J54"/>
  <c r="I54"/>
  <c r="H54"/>
  <c r="G54"/>
  <c r="R53"/>
  <c r="Q53"/>
  <c r="P53"/>
  <c r="O53"/>
  <c r="N53"/>
  <c r="M53"/>
  <c r="L53"/>
  <c r="K53"/>
  <c r="J53"/>
  <c r="I53"/>
  <c r="H53"/>
  <c r="G53"/>
  <c r="R51"/>
  <c r="Q51"/>
  <c r="P51"/>
  <c r="O51"/>
  <c r="N51"/>
  <c r="M51"/>
  <c r="L51"/>
  <c r="K51"/>
  <c r="J51"/>
  <c r="I51"/>
  <c r="H51"/>
  <c r="G51"/>
  <c r="R50"/>
  <c r="Q50"/>
  <c r="P50"/>
  <c r="O50"/>
  <c r="N50"/>
  <c r="M50"/>
  <c r="L50"/>
  <c r="K50"/>
  <c r="J50"/>
  <c r="I50"/>
  <c r="H50"/>
  <c r="G50"/>
  <c r="R49"/>
  <c r="Q49"/>
  <c r="P49"/>
  <c r="O49"/>
  <c r="N49"/>
  <c r="M49"/>
  <c r="L49"/>
  <c r="K49"/>
  <c r="J49"/>
  <c r="I49"/>
  <c r="H49"/>
  <c r="G49"/>
  <c r="R47"/>
  <c r="Q47"/>
  <c r="P47"/>
  <c r="O47"/>
  <c r="N47"/>
  <c r="M47"/>
  <c r="L47"/>
  <c r="K47"/>
  <c r="J47"/>
  <c r="I47"/>
  <c r="H47"/>
  <c r="G47"/>
  <c r="R46"/>
  <c r="Q46"/>
  <c r="P46"/>
  <c r="O46"/>
  <c r="N46"/>
  <c r="M46"/>
  <c r="L46"/>
  <c r="K46"/>
  <c r="J46"/>
  <c r="I46"/>
  <c r="H46"/>
  <c r="G46"/>
  <c r="R45"/>
  <c r="Q45"/>
  <c r="P45"/>
  <c r="O45"/>
  <c r="N45"/>
  <c r="M45"/>
  <c r="L45"/>
  <c r="K45"/>
  <c r="J45"/>
  <c r="I45"/>
  <c r="H45"/>
  <c r="G45"/>
  <c r="R44"/>
  <c r="Q44"/>
  <c r="P44"/>
  <c r="O44"/>
  <c r="N44"/>
  <c r="M44"/>
  <c r="L44"/>
  <c r="K44"/>
  <c r="J44"/>
  <c r="I44"/>
  <c r="H44"/>
  <c r="G44"/>
  <c r="R43"/>
  <c r="Q43"/>
  <c r="P43"/>
  <c r="O43"/>
  <c r="N43"/>
  <c r="M43"/>
  <c r="L43"/>
  <c r="K43"/>
  <c r="J43"/>
  <c r="I43"/>
  <c r="H43"/>
  <c r="G43"/>
  <c r="R42"/>
  <c r="Q42"/>
  <c r="P42"/>
  <c r="O42"/>
  <c r="N42"/>
  <c r="M42"/>
  <c r="L42"/>
  <c r="K42"/>
  <c r="J42"/>
  <c r="I42"/>
  <c r="H42"/>
  <c r="G42"/>
  <c r="R41"/>
  <c r="Q41"/>
  <c r="P41"/>
  <c r="O41"/>
  <c r="N41"/>
  <c r="M41"/>
  <c r="L41"/>
  <c r="K41"/>
  <c r="J41"/>
  <c r="I41"/>
  <c r="H41"/>
  <c r="G41"/>
  <c r="R40"/>
  <c r="Q40"/>
  <c r="P40"/>
  <c r="O40"/>
  <c r="N40"/>
  <c r="M40"/>
  <c r="L40"/>
  <c r="K40"/>
  <c r="J40"/>
  <c r="I40"/>
  <c r="H40"/>
  <c r="G40"/>
  <c r="R39"/>
  <c r="Q39"/>
  <c r="P39"/>
  <c r="O39"/>
  <c r="N39"/>
  <c r="M39"/>
  <c r="L39"/>
  <c r="K39"/>
  <c r="J39"/>
  <c r="I39"/>
  <c r="H39"/>
  <c r="G39"/>
  <c r="R38"/>
  <c r="Q38"/>
  <c r="P38"/>
  <c r="O38"/>
  <c r="N38"/>
  <c r="M38"/>
  <c r="L38"/>
  <c r="K38"/>
  <c r="J38"/>
  <c r="I38"/>
  <c r="H38"/>
  <c r="G38"/>
  <c r="R37"/>
  <c r="Q37"/>
  <c r="P37"/>
  <c r="O37"/>
  <c r="N37"/>
  <c r="M37"/>
  <c r="L37"/>
  <c r="K37"/>
  <c r="J37"/>
  <c r="I37"/>
  <c r="H37"/>
  <c r="G37"/>
  <c r="R36"/>
  <c r="Q36"/>
  <c r="P36"/>
  <c r="O36"/>
  <c r="N36"/>
  <c r="M36"/>
  <c r="L36"/>
  <c r="K36"/>
  <c r="J36"/>
  <c r="I36"/>
  <c r="H36"/>
  <c r="G36"/>
  <c r="R35"/>
  <c r="Q35"/>
  <c r="P35"/>
  <c r="O35"/>
  <c r="N35"/>
  <c r="M35"/>
  <c r="L35"/>
  <c r="K35"/>
  <c r="J35"/>
  <c r="I35"/>
  <c r="H35"/>
  <c r="G35"/>
  <c r="R34"/>
  <c r="Q34"/>
  <c r="P34"/>
  <c r="O34"/>
  <c r="N34"/>
  <c r="M34"/>
  <c r="L34"/>
  <c r="K34"/>
  <c r="J34"/>
  <c r="I34"/>
  <c r="H34"/>
  <c r="G34"/>
  <c r="R33"/>
  <c r="Q33"/>
  <c r="P33"/>
  <c r="O33"/>
  <c r="N33"/>
  <c r="M33"/>
  <c r="L33"/>
  <c r="K33"/>
  <c r="J33"/>
  <c r="I33"/>
  <c r="H33"/>
  <c r="G33"/>
  <c r="R32"/>
  <c r="Q32"/>
  <c r="P32"/>
  <c r="O32"/>
  <c r="N32"/>
  <c r="M32"/>
  <c r="L32"/>
  <c r="K32"/>
  <c r="J32"/>
  <c r="I32"/>
  <c r="H32"/>
  <c r="G32"/>
  <c r="R31"/>
  <c r="Q31"/>
  <c r="P31"/>
  <c r="O31"/>
  <c r="N31"/>
  <c r="M31"/>
  <c r="L31"/>
  <c r="K31"/>
  <c r="J31"/>
  <c r="I31"/>
  <c r="H31"/>
  <c r="G31"/>
  <c r="R29"/>
  <c r="Q29"/>
  <c r="P29"/>
  <c r="O29"/>
  <c r="N29"/>
  <c r="M29"/>
  <c r="L29"/>
  <c r="K29"/>
  <c r="J29"/>
  <c r="I29"/>
  <c r="H29"/>
  <c r="G29"/>
  <c r="R28"/>
  <c r="Q28"/>
  <c r="P28"/>
  <c r="O28"/>
  <c r="N28"/>
  <c r="M28"/>
  <c r="L28"/>
  <c r="K28"/>
  <c r="J28"/>
  <c r="I28"/>
  <c r="H28"/>
  <c r="G28"/>
  <c r="R27"/>
  <c r="Q27"/>
  <c r="P27"/>
  <c r="O27"/>
  <c r="N27"/>
  <c r="M27"/>
  <c r="L27"/>
  <c r="K27"/>
  <c r="J27"/>
  <c r="I27"/>
  <c r="H27"/>
  <c r="G27"/>
  <c r="R24"/>
  <c r="Q24"/>
  <c r="P24"/>
  <c r="O24"/>
  <c r="N24"/>
  <c r="M24"/>
  <c r="L24"/>
  <c r="K24"/>
  <c r="J24"/>
  <c r="I24"/>
  <c r="H24"/>
  <c r="G24"/>
  <c r="R23"/>
  <c r="Q23"/>
  <c r="P23"/>
  <c r="O23"/>
  <c r="N23"/>
  <c r="M23"/>
  <c r="L23"/>
  <c r="K23"/>
  <c r="J23"/>
  <c r="I23"/>
  <c r="H23"/>
  <c r="G23"/>
  <c r="R22"/>
  <c r="Q22"/>
  <c r="P22"/>
  <c r="O22"/>
  <c r="N22"/>
  <c r="M22"/>
  <c r="L22"/>
  <c r="K22"/>
  <c r="J22"/>
  <c r="I22"/>
  <c r="H22"/>
  <c r="G22"/>
  <c r="R21"/>
  <c r="Q21"/>
  <c r="P21"/>
  <c r="O21"/>
  <c r="N21"/>
  <c r="M21"/>
  <c r="L21"/>
  <c r="K21"/>
  <c r="J21"/>
  <c r="I21"/>
  <c r="H21"/>
  <c r="G21"/>
  <c r="R20"/>
  <c r="Q20"/>
  <c r="P20"/>
  <c r="O20"/>
  <c r="N20"/>
  <c r="M20"/>
  <c r="L20"/>
  <c r="K20"/>
  <c r="J20"/>
  <c r="I20"/>
  <c r="H20"/>
  <c r="G20"/>
  <c r="R19"/>
  <c r="Q19"/>
  <c r="P19"/>
  <c r="O19"/>
  <c r="N19"/>
  <c r="M19"/>
  <c r="L19"/>
  <c r="K19"/>
  <c r="J19"/>
  <c r="I19"/>
  <c r="H19"/>
  <c r="G19"/>
  <c r="R18"/>
  <c r="Q18"/>
  <c r="P18"/>
  <c r="O18"/>
  <c r="N18"/>
  <c r="M18"/>
  <c r="L18"/>
  <c r="K18"/>
  <c r="J18"/>
  <c r="I18"/>
  <c r="H18"/>
  <c r="G18"/>
  <c r="R17"/>
  <c r="Q17"/>
  <c r="P17"/>
  <c r="O17"/>
  <c r="N17"/>
  <c r="M17"/>
  <c r="L17"/>
  <c r="K17"/>
  <c r="J17"/>
  <c r="I17"/>
  <c r="H17"/>
  <c r="G17"/>
  <c r="R16"/>
  <c r="Q16"/>
  <c r="P16"/>
  <c r="O16"/>
  <c r="N16"/>
  <c r="M16"/>
  <c r="L16"/>
  <c r="K16"/>
  <c r="J16"/>
  <c r="I16"/>
  <c r="H16"/>
  <c r="G16"/>
  <c r="R15"/>
  <c r="Q15"/>
  <c r="P15"/>
  <c r="O15"/>
  <c r="N15"/>
  <c r="M15"/>
  <c r="L15"/>
  <c r="K15"/>
  <c r="J15"/>
  <c r="I15"/>
  <c r="H15"/>
  <c r="G15"/>
  <c r="G9"/>
  <c r="H9"/>
  <c r="I9"/>
  <c r="J9"/>
  <c r="K9"/>
  <c r="L9"/>
  <c r="M9"/>
  <c r="N9"/>
  <c r="O9"/>
  <c r="P9"/>
  <c r="Q9"/>
  <c r="R9"/>
  <c r="G10"/>
  <c r="H10"/>
  <c r="I10"/>
  <c r="J10"/>
  <c r="K10"/>
  <c r="L10"/>
  <c r="M10"/>
  <c r="N10"/>
  <c r="O10"/>
  <c r="P10"/>
  <c r="Q10"/>
  <c r="R10"/>
  <c r="G11"/>
  <c r="H11"/>
  <c r="I11"/>
  <c r="J11"/>
  <c r="K11"/>
  <c r="L11"/>
  <c r="M11"/>
  <c r="N11"/>
  <c r="O11"/>
  <c r="P11"/>
  <c r="Q11"/>
  <c r="R11"/>
  <c r="G12"/>
  <c r="H12"/>
  <c r="I12"/>
  <c r="J12"/>
  <c r="K12"/>
  <c r="L12"/>
  <c r="M12"/>
  <c r="N12"/>
  <c r="O12"/>
  <c r="P12"/>
  <c r="Q12"/>
  <c r="R12"/>
  <c r="G13"/>
  <c r="H13"/>
  <c r="I13"/>
  <c r="J13"/>
  <c r="K13"/>
  <c r="L13"/>
  <c r="M13"/>
  <c r="N13"/>
  <c r="O13"/>
  <c r="P13"/>
  <c r="Q13"/>
  <c r="R13"/>
  <c r="H8"/>
  <c r="I8"/>
  <c r="J8"/>
  <c r="K8"/>
  <c r="L8"/>
  <c r="M8"/>
  <c r="N8"/>
  <c r="O8"/>
  <c r="P8"/>
  <c r="Q8"/>
  <c r="R8"/>
  <c r="G8"/>
  <c r="V149" i="67" l="1"/>
  <c r="W149"/>
  <c r="X149"/>
  <c r="Y149"/>
  <c r="H32" i="44" l="1"/>
  <c r="E32"/>
  <c r="E63" i="43"/>
  <c r="E7" i="17"/>
  <c r="F7"/>
  <c r="G7"/>
  <c r="C7"/>
  <c r="G13" i="12"/>
  <c r="G11"/>
  <c r="G10"/>
  <c r="G9"/>
  <c r="S282" i="41" l="1"/>
  <c r="Q282"/>
  <c r="P282"/>
  <c r="N282"/>
  <c r="M282"/>
  <c r="J282"/>
  <c r="H282"/>
  <c r="G282"/>
  <c r="F282"/>
  <c r="Q226"/>
  <c r="P226"/>
  <c r="K226"/>
  <c r="J226"/>
  <c r="H359" i="3"/>
  <c r="F359"/>
  <c r="O355"/>
  <c r="N355"/>
  <c r="M355"/>
  <c r="K355"/>
  <c r="I355"/>
  <c r="H355"/>
  <c r="G355"/>
  <c r="F355"/>
  <c r="O354"/>
  <c r="N354"/>
  <c r="M354"/>
  <c r="K354"/>
  <c r="I354"/>
  <c r="H354"/>
  <c r="G354"/>
  <c r="F354"/>
  <c r="O353"/>
  <c r="N353"/>
  <c r="M353"/>
  <c r="K353"/>
  <c r="I353"/>
  <c r="H353"/>
  <c r="G353"/>
  <c r="F353"/>
  <c r="O352"/>
  <c r="N352"/>
  <c r="M352"/>
  <c r="K352"/>
  <c r="I352"/>
  <c r="H352"/>
  <c r="G352"/>
  <c r="F352"/>
  <c r="O351"/>
  <c r="N351"/>
  <c r="M351"/>
  <c r="K351"/>
  <c r="I351"/>
  <c r="I357" s="1"/>
  <c r="H351"/>
  <c r="G351"/>
  <c r="F351"/>
  <c r="O349"/>
  <c r="N349"/>
  <c r="M349"/>
  <c r="K349"/>
  <c r="I349"/>
  <c r="H349"/>
  <c r="G349"/>
  <c r="F349"/>
  <c r="O348"/>
  <c r="N348"/>
  <c r="M348"/>
  <c r="K348"/>
  <c r="I348"/>
  <c r="H348"/>
  <c r="G348"/>
  <c r="F348"/>
  <c r="O347"/>
  <c r="N347"/>
  <c r="M347"/>
  <c r="K347"/>
  <c r="I347"/>
  <c r="H347"/>
  <c r="G347"/>
  <c r="F347"/>
  <c r="O346"/>
  <c r="N346"/>
  <c r="M346"/>
  <c r="K346"/>
  <c r="I346"/>
  <c r="H346"/>
  <c r="G346"/>
  <c r="F346"/>
  <c r="O345"/>
  <c r="N345"/>
  <c r="M345"/>
  <c r="K345"/>
  <c r="I345"/>
  <c r="H345"/>
  <c r="G345"/>
  <c r="G350" s="1"/>
  <c r="F345"/>
  <c r="F350" s="1"/>
  <c r="O343"/>
  <c r="N343"/>
  <c r="M343"/>
  <c r="K343"/>
  <c r="I343"/>
  <c r="H343"/>
  <c r="G343"/>
  <c r="F343"/>
  <c r="O342"/>
  <c r="N342"/>
  <c r="M342"/>
  <c r="K342"/>
  <c r="I342"/>
  <c r="H342"/>
  <c r="G342"/>
  <c r="F342"/>
  <c r="O341"/>
  <c r="N341"/>
  <c r="M341"/>
  <c r="K341"/>
  <c r="I341"/>
  <c r="H341"/>
  <c r="G341"/>
  <c r="F341"/>
  <c r="O340"/>
  <c r="N340"/>
  <c r="M340"/>
  <c r="K340"/>
  <c r="I340"/>
  <c r="H340"/>
  <c r="G340"/>
  <c r="F340"/>
  <c r="O339"/>
  <c r="N339"/>
  <c r="M339"/>
  <c r="K339"/>
  <c r="I339"/>
  <c r="H339"/>
  <c r="G339"/>
  <c r="F339"/>
  <c r="O338"/>
  <c r="N338"/>
  <c r="M338"/>
  <c r="K338"/>
  <c r="I338"/>
  <c r="H338"/>
  <c r="G338"/>
  <c r="F338"/>
  <c r="O337"/>
  <c r="N337"/>
  <c r="M337"/>
  <c r="K337"/>
  <c r="I337"/>
  <c r="H337"/>
  <c r="G337"/>
  <c r="F337"/>
  <c r="O336"/>
  <c r="N336"/>
  <c r="M336"/>
  <c r="K336"/>
  <c r="I336"/>
  <c r="H336"/>
  <c r="G336"/>
  <c r="F336"/>
  <c r="O335"/>
  <c r="N335"/>
  <c r="M335"/>
  <c r="K335"/>
  <c r="I335"/>
  <c r="H335"/>
  <c r="G335"/>
  <c r="F335"/>
  <c r="O334"/>
  <c r="N334"/>
  <c r="M334"/>
  <c r="K334"/>
  <c r="I334"/>
  <c r="H334"/>
  <c r="G334"/>
  <c r="F334"/>
  <c r="O333"/>
  <c r="N333"/>
  <c r="M333"/>
  <c r="K333"/>
  <c r="I333"/>
  <c r="H333"/>
  <c r="G333"/>
  <c r="F333"/>
  <c r="O332"/>
  <c r="N332"/>
  <c r="M332"/>
  <c r="K332"/>
  <c r="I332"/>
  <c r="H332"/>
  <c r="G332"/>
  <c r="F332"/>
  <c r="O331"/>
  <c r="N331"/>
  <c r="M331"/>
  <c r="K331"/>
  <c r="I331"/>
  <c r="H331"/>
  <c r="G331"/>
  <c r="F331"/>
  <c r="O330"/>
  <c r="N330"/>
  <c r="M330"/>
  <c r="K330"/>
  <c r="I330"/>
  <c r="H330"/>
  <c r="G330"/>
  <c r="F330"/>
  <c r="O329"/>
  <c r="N329"/>
  <c r="M329"/>
  <c r="K329"/>
  <c r="I329"/>
  <c r="H329"/>
  <c r="G329"/>
  <c r="F329"/>
  <c r="O328"/>
  <c r="N328"/>
  <c r="M328"/>
  <c r="K328"/>
  <c r="I328"/>
  <c r="H328"/>
  <c r="G328"/>
  <c r="F328"/>
  <c r="O327"/>
  <c r="N327"/>
  <c r="M327"/>
  <c r="K327"/>
  <c r="I327"/>
  <c r="H327"/>
  <c r="G327"/>
  <c r="F327"/>
  <c r="O326"/>
  <c r="N326"/>
  <c r="M326"/>
  <c r="K326"/>
  <c r="I326"/>
  <c r="H326"/>
  <c r="G326"/>
  <c r="G344" s="1"/>
  <c r="F326"/>
  <c r="F344" s="1"/>
  <c r="O324"/>
  <c r="M324"/>
  <c r="K324"/>
  <c r="I324"/>
  <c r="H324"/>
  <c r="G324"/>
  <c r="F324"/>
  <c r="O323"/>
  <c r="M323"/>
  <c r="K323"/>
  <c r="I323"/>
  <c r="H323"/>
  <c r="G323"/>
  <c r="F323"/>
  <c r="O322"/>
  <c r="M322"/>
  <c r="K322"/>
  <c r="I322"/>
  <c r="H322"/>
  <c r="G322"/>
  <c r="F322"/>
  <c r="O319"/>
  <c r="N319"/>
  <c r="M319"/>
  <c r="L319"/>
  <c r="K319"/>
  <c r="I319"/>
  <c r="H319"/>
  <c r="G319"/>
  <c r="F319"/>
  <c r="O318"/>
  <c r="N318"/>
  <c r="M318"/>
  <c r="L318"/>
  <c r="K318"/>
  <c r="I318"/>
  <c r="H318"/>
  <c r="G318"/>
  <c r="F318"/>
  <c r="O317"/>
  <c r="N317"/>
  <c r="M317"/>
  <c r="L317"/>
  <c r="K317"/>
  <c r="I317"/>
  <c r="H317"/>
  <c r="G317"/>
  <c r="F317"/>
  <c r="O316"/>
  <c r="N316"/>
  <c r="M316"/>
  <c r="L316"/>
  <c r="K316"/>
  <c r="I316"/>
  <c r="H316"/>
  <c r="G316"/>
  <c r="F316"/>
  <c r="O315"/>
  <c r="N315"/>
  <c r="M315"/>
  <c r="L315"/>
  <c r="K315"/>
  <c r="I315"/>
  <c r="H315"/>
  <c r="G315"/>
  <c r="F315"/>
  <c r="O314"/>
  <c r="N314"/>
  <c r="M314"/>
  <c r="L314"/>
  <c r="K314"/>
  <c r="I314"/>
  <c r="H314"/>
  <c r="G314"/>
  <c r="F314"/>
  <c r="O313"/>
  <c r="N313"/>
  <c r="M313"/>
  <c r="L313"/>
  <c r="K313"/>
  <c r="I313"/>
  <c r="H313"/>
  <c r="G313"/>
  <c r="F313"/>
  <c r="O312"/>
  <c r="N312"/>
  <c r="M312"/>
  <c r="L312"/>
  <c r="K312"/>
  <c r="I312"/>
  <c r="H312"/>
  <c r="G312"/>
  <c r="F312"/>
  <c r="O311"/>
  <c r="N311"/>
  <c r="M311"/>
  <c r="L311"/>
  <c r="K311"/>
  <c r="I311"/>
  <c r="H311"/>
  <c r="G311"/>
  <c r="F311"/>
  <c r="O310"/>
  <c r="N310"/>
  <c r="M310"/>
  <c r="L310"/>
  <c r="K310"/>
  <c r="I310"/>
  <c r="H310"/>
  <c r="G310"/>
  <c r="F310"/>
  <c r="F303"/>
  <c r="G303"/>
  <c r="H303"/>
  <c r="I303"/>
  <c r="K303"/>
  <c r="F304"/>
  <c r="G304"/>
  <c r="H304"/>
  <c r="I304"/>
  <c r="K304"/>
  <c r="F305"/>
  <c r="G305"/>
  <c r="H305"/>
  <c r="I305"/>
  <c r="K305"/>
  <c r="F306"/>
  <c r="G306"/>
  <c r="H306"/>
  <c r="I306"/>
  <c r="K306"/>
  <c r="F307"/>
  <c r="G307"/>
  <c r="H307"/>
  <c r="I307"/>
  <c r="K307"/>
  <c r="F308"/>
  <c r="G308"/>
  <c r="H308"/>
  <c r="I308"/>
  <c r="K308"/>
  <c r="O309"/>
  <c r="N309"/>
  <c r="M309"/>
  <c r="K302"/>
  <c r="I302"/>
  <c r="H302"/>
  <c r="G302"/>
  <c r="F302"/>
  <c r="O292"/>
  <c r="N292"/>
  <c r="M292"/>
  <c r="L292"/>
  <c r="K292"/>
  <c r="O291"/>
  <c r="N291"/>
  <c r="M291"/>
  <c r="K291"/>
  <c r="O289"/>
  <c r="N289"/>
  <c r="M289"/>
  <c r="K289"/>
  <c r="O288"/>
  <c r="N288"/>
  <c r="M288"/>
  <c r="K288"/>
  <c r="O287"/>
  <c r="N287"/>
  <c r="M287"/>
  <c r="K287"/>
  <c r="O286"/>
  <c r="N286"/>
  <c r="M286"/>
  <c r="K286"/>
  <c r="O285"/>
  <c r="N285"/>
  <c r="K285"/>
  <c r="O283"/>
  <c r="N283"/>
  <c r="M283"/>
  <c r="K283"/>
  <c r="O282"/>
  <c r="N282"/>
  <c r="M282"/>
  <c r="K282"/>
  <c r="O281"/>
  <c r="N281"/>
  <c r="M281"/>
  <c r="K281"/>
  <c r="O280"/>
  <c r="N280"/>
  <c r="M280"/>
  <c r="K280"/>
  <c r="O278"/>
  <c r="N278"/>
  <c r="M278"/>
  <c r="L278"/>
  <c r="K278"/>
  <c r="O277"/>
  <c r="N277"/>
  <c r="M277"/>
  <c r="K277"/>
  <c r="O276"/>
  <c r="N276"/>
  <c r="M276"/>
  <c r="K276"/>
  <c r="O275"/>
  <c r="N275"/>
  <c r="M275"/>
  <c r="K275"/>
  <c r="O274"/>
  <c r="N274"/>
  <c r="M274"/>
  <c r="K274"/>
  <c r="O273"/>
  <c r="N273"/>
  <c r="M273"/>
  <c r="K273"/>
  <c r="O272"/>
  <c r="N272"/>
  <c r="M272"/>
  <c r="K272"/>
  <c r="O271"/>
  <c r="N271"/>
  <c r="M271"/>
  <c r="K271"/>
  <c r="O270"/>
  <c r="N270"/>
  <c r="M270"/>
  <c r="K270"/>
  <c r="O269"/>
  <c r="N269"/>
  <c r="M269"/>
  <c r="K269"/>
  <c r="O268"/>
  <c r="N268"/>
  <c r="M268"/>
  <c r="K268"/>
  <c r="O267"/>
  <c r="N267"/>
  <c r="M267"/>
  <c r="K267"/>
  <c r="O266"/>
  <c r="N266"/>
  <c r="M266"/>
  <c r="K266"/>
  <c r="O265"/>
  <c r="N265"/>
  <c r="M265"/>
  <c r="K265"/>
  <c r="O264"/>
  <c r="N264"/>
  <c r="M264"/>
  <c r="K264"/>
  <c r="O263"/>
  <c r="N263"/>
  <c r="M263"/>
  <c r="K263"/>
  <c r="O262"/>
  <c r="N262"/>
  <c r="M262"/>
  <c r="K262"/>
  <c r="O261"/>
  <c r="N261"/>
  <c r="M261"/>
  <c r="K261"/>
  <c r="O260"/>
  <c r="N260"/>
  <c r="M260"/>
  <c r="K260"/>
  <c r="O258"/>
  <c r="N258"/>
  <c r="M258"/>
  <c r="K258"/>
  <c r="O257"/>
  <c r="N257"/>
  <c r="M257"/>
  <c r="K257"/>
  <c r="O256"/>
  <c r="N256"/>
  <c r="M256"/>
  <c r="K256"/>
  <c r="O253"/>
  <c r="N253"/>
  <c r="M253"/>
  <c r="K253"/>
  <c r="O252"/>
  <c r="N252"/>
  <c r="M252"/>
  <c r="K252"/>
  <c r="O251"/>
  <c r="N251"/>
  <c r="M251"/>
  <c r="K251"/>
  <c r="O250"/>
  <c r="N250"/>
  <c r="M250"/>
  <c r="K250"/>
  <c r="O249"/>
  <c r="N249"/>
  <c r="M249"/>
  <c r="K249"/>
  <c r="O248"/>
  <c r="N248"/>
  <c r="M248"/>
  <c r="K248"/>
  <c r="O247"/>
  <c r="N247"/>
  <c r="M247"/>
  <c r="K247"/>
  <c r="O246"/>
  <c r="N246"/>
  <c r="M246"/>
  <c r="K246"/>
  <c r="O245"/>
  <c r="N245"/>
  <c r="M245"/>
  <c r="K245"/>
  <c r="O244"/>
  <c r="N244"/>
  <c r="M244"/>
  <c r="K244"/>
  <c r="K237"/>
  <c r="M237"/>
  <c r="N237"/>
  <c r="O237"/>
  <c r="K238"/>
  <c r="M238"/>
  <c r="N238"/>
  <c r="O238"/>
  <c r="K239"/>
  <c r="M239"/>
  <c r="N239"/>
  <c r="O239"/>
  <c r="K240"/>
  <c r="M240"/>
  <c r="N240"/>
  <c r="O240"/>
  <c r="K241"/>
  <c r="M241"/>
  <c r="N241"/>
  <c r="O241"/>
  <c r="K242"/>
  <c r="M242"/>
  <c r="N242"/>
  <c r="O242"/>
  <c r="O236"/>
  <c r="N236"/>
  <c r="M236"/>
  <c r="K236"/>
  <c r="J292"/>
  <c r="I292"/>
  <c r="I289"/>
  <c r="I288"/>
  <c r="I287"/>
  <c r="I286"/>
  <c r="I285"/>
  <c r="I283"/>
  <c r="I282"/>
  <c r="I281"/>
  <c r="I280"/>
  <c r="J278"/>
  <c r="I278"/>
  <c r="I277"/>
  <c r="I276"/>
  <c r="I275"/>
  <c r="I274"/>
  <c r="I273"/>
  <c r="I272"/>
  <c r="I271"/>
  <c r="I270"/>
  <c r="I269"/>
  <c r="I268"/>
  <c r="I267"/>
  <c r="I266"/>
  <c r="I265"/>
  <c r="I264"/>
  <c r="I263"/>
  <c r="I262"/>
  <c r="I261"/>
  <c r="I260"/>
  <c r="I258"/>
  <c r="I257"/>
  <c r="I256"/>
  <c r="I253"/>
  <c r="I252"/>
  <c r="I251"/>
  <c r="I250"/>
  <c r="I249"/>
  <c r="I248"/>
  <c r="I247"/>
  <c r="I246"/>
  <c r="I245"/>
  <c r="I244"/>
  <c r="I237"/>
  <c r="I238"/>
  <c r="I239"/>
  <c r="I240"/>
  <c r="I241"/>
  <c r="I242"/>
  <c r="I236"/>
  <c r="H292"/>
  <c r="H291"/>
  <c r="H289"/>
  <c r="H288"/>
  <c r="H287"/>
  <c r="H286"/>
  <c r="H285"/>
  <c r="H283"/>
  <c r="H282"/>
  <c r="H281"/>
  <c r="H280"/>
  <c r="H278"/>
  <c r="H277"/>
  <c r="H276"/>
  <c r="H275"/>
  <c r="H274"/>
  <c r="H273"/>
  <c r="H272"/>
  <c r="H271"/>
  <c r="H270"/>
  <c r="H269"/>
  <c r="H268"/>
  <c r="H267"/>
  <c r="H266"/>
  <c r="H265"/>
  <c r="H264"/>
  <c r="H263"/>
  <c r="H262"/>
  <c r="H261"/>
  <c r="H260"/>
  <c r="H258"/>
  <c r="H257"/>
  <c r="H256"/>
  <c r="H253"/>
  <c r="H252"/>
  <c r="H251"/>
  <c r="H250"/>
  <c r="H249"/>
  <c r="H248"/>
  <c r="H247"/>
  <c r="H246"/>
  <c r="H245"/>
  <c r="H244"/>
  <c r="H237"/>
  <c r="H238"/>
  <c r="H239"/>
  <c r="H240"/>
  <c r="H241"/>
  <c r="H242"/>
  <c r="H236"/>
  <c r="G237"/>
  <c r="G238"/>
  <c r="G239"/>
  <c r="G240"/>
  <c r="G241"/>
  <c r="G242"/>
  <c r="G244"/>
  <c r="G245"/>
  <c r="G246"/>
  <c r="G247"/>
  <c r="G248"/>
  <c r="G249"/>
  <c r="G250"/>
  <c r="G251"/>
  <c r="G252"/>
  <c r="G253"/>
  <c r="G256"/>
  <c r="G257"/>
  <c r="G258"/>
  <c r="G260"/>
  <c r="G261"/>
  <c r="G262"/>
  <c r="G263"/>
  <c r="G264"/>
  <c r="G265"/>
  <c r="G266"/>
  <c r="G267"/>
  <c r="G268"/>
  <c r="G269"/>
  <c r="G270"/>
  <c r="G271"/>
  <c r="G272"/>
  <c r="G273"/>
  <c r="G274"/>
  <c r="G275"/>
  <c r="G276"/>
  <c r="G277"/>
  <c r="G278"/>
  <c r="G280"/>
  <c r="G281"/>
  <c r="G282"/>
  <c r="G283"/>
  <c r="G285"/>
  <c r="G286"/>
  <c r="G287"/>
  <c r="G288"/>
  <c r="G289"/>
  <c r="G291"/>
  <c r="G292"/>
  <c r="G236"/>
  <c r="F292"/>
  <c r="F291"/>
  <c r="F289"/>
  <c r="F288"/>
  <c r="F287"/>
  <c r="F286"/>
  <c r="F285"/>
  <c r="F283"/>
  <c r="F282"/>
  <c r="F281"/>
  <c r="F280"/>
  <c r="F278"/>
  <c r="F277"/>
  <c r="F276"/>
  <c r="F275"/>
  <c r="F274"/>
  <c r="F273"/>
  <c r="F272"/>
  <c r="F271"/>
  <c r="F270"/>
  <c r="F269"/>
  <c r="F268"/>
  <c r="F267"/>
  <c r="F266"/>
  <c r="F265"/>
  <c r="F264"/>
  <c r="F263"/>
  <c r="F262"/>
  <c r="F261"/>
  <c r="F260"/>
  <c r="F258"/>
  <c r="F257"/>
  <c r="F256"/>
  <c r="F253"/>
  <c r="F252"/>
  <c r="F251"/>
  <c r="F250"/>
  <c r="F249"/>
  <c r="F248"/>
  <c r="F247"/>
  <c r="F246"/>
  <c r="F245"/>
  <c r="F244"/>
  <c r="F237"/>
  <c r="F238"/>
  <c r="F239"/>
  <c r="F240"/>
  <c r="F241"/>
  <c r="F242"/>
  <c r="F236"/>
  <c r="R118" i="7"/>
  <c r="Q118"/>
  <c r="P118"/>
  <c r="O118"/>
  <c r="N118"/>
  <c r="M118"/>
  <c r="L118"/>
  <c r="K118"/>
  <c r="J118"/>
  <c r="I118"/>
  <c r="H118"/>
  <c r="G118"/>
  <c r="R117"/>
  <c r="Q117"/>
  <c r="P117"/>
  <c r="O117"/>
  <c r="N117"/>
  <c r="M117"/>
  <c r="L117"/>
  <c r="K117"/>
  <c r="J117"/>
  <c r="I117"/>
  <c r="H117"/>
  <c r="G117"/>
  <c r="R116"/>
  <c r="Q116"/>
  <c r="P116"/>
  <c r="O116"/>
  <c r="N116"/>
  <c r="M116"/>
  <c r="L116"/>
  <c r="K116"/>
  <c r="J116"/>
  <c r="I116"/>
  <c r="H116"/>
  <c r="G116"/>
  <c r="R115"/>
  <c r="Q115"/>
  <c r="P115"/>
  <c r="O115"/>
  <c r="N115"/>
  <c r="M115"/>
  <c r="L115"/>
  <c r="K115"/>
  <c r="J115"/>
  <c r="I115"/>
  <c r="H115"/>
  <c r="G115"/>
  <c r="R114"/>
  <c r="Q114"/>
  <c r="P114"/>
  <c r="O114"/>
  <c r="N114"/>
  <c r="M114"/>
  <c r="L114"/>
  <c r="K114"/>
  <c r="J114"/>
  <c r="I114"/>
  <c r="H114"/>
  <c r="G114"/>
  <c r="R112"/>
  <c r="Q112"/>
  <c r="P112"/>
  <c r="O112"/>
  <c r="N112"/>
  <c r="M112"/>
  <c r="L112"/>
  <c r="K112"/>
  <c r="J112"/>
  <c r="I112"/>
  <c r="H112"/>
  <c r="G112"/>
  <c r="R111"/>
  <c r="Q111"/>
  <c r="P111"/>
  <c r="O111"/>
  <c r="N111"/>
  <c r="M111"/>
  <c r="L111"/>
  <c r="K111"/>
  <c r="J111"/>
  <c r="I111"/>
  <c r="H111"/>
  <c r="G111"/>
  <c r="R110"/>
  <c r="Q110"/>
  <c r="P110"/>
  <c r="O110"/>
  <c r="N110"/>
  <c r="M110"/>
  <c r="L110"/>
  <c r="K110"/>
  <c r="J110"/>
  <c r="I110"/>
  <c r="H110"/>
  <c r="G110"/>
  <c r="R109"/>
  <c r="Q109"/>
  <c r="P109"/>
  <c r="O109"/>
  <c r="N109"/>
  <c r="M109"/>
  <c r="L109"/>
  <c r="K109"/>
  <c r="J109"/>
  <c r="I109"/>
  <c r="H109"/>
  <c r="G109"/>
  <c r="R107"/>
  <c r="Q107"/>
  <c r="P107"/>
  <c r="O107"/>
  <c r="N107"/>
  <c r="M107"/>
  <c r="L107"/>
  <c r="K107"/>
  <c r="J107"/>
  <c r="I107"/>
  <c r="H107"/>
  <c r="G107"/>
  <c r="R106"/>
  <c r="Q106"/>
  <c r="P106"/>
  <c r="O106"/>
  <c r="N106"/>
  <c r="M106"/>
  <c r="L106"/>
  <c r="K106"/>
  <c r="J106"/>
  <c r="I106"/>
  <c r="H106"/>
  <c r="G106"/>
  <c r="R105"/>
  <c r="Q105"/>
  <c r="P105"/>
  <c r="O105"/>
  <c r="N105"/>
  <c r="M105"/>
  <c r="L105"/>
  <c r="K105"/>
  <c r="J105"/>
  <c r="I105"/>
  <c r="H105"/>
  <c r="G105"/>
  <c r="R104"/>
  <c r="Q104"/>
  <c r="P104"/>
  <c r="O104"/>
  <c r="N104"/>
  <c r="M104"/>
  <c r="L104"/>
  <c r="K104"/>
  <c r="J104"/>
  <c r="I104"/>
  <c r="H104"/>
  <c r="G104"/>
  <c r="R103"/>
  <c r="Q103"/>
  <c r="P103"/>
  <c r="O103"/>
  <c r="N103"/>
  <c r="M103"/>
  <c r="L103"/>
  <c r="K103"/>
  <c r="J103"/>
  <c r="I103"/>
  <c r="H103"/>
  <c r="G103"/>
  <c r="R102"/>
  <c r="Q102"/>
  <c r="P102"/>
  <c r="O102"/>
  <c r="N102"/>
  <c r="M102"/>
  <c r="L102"/>
  <c r="K102"/>
  <c r="J102"/>
  <c r="I102"/>
  <c r="H102"/>
  <c r="G102"/>
  <c r="R101"/>
  <c r="Q101"/>
  <c r="P101"/>
  <c r="O101"/>
  <c r="N101"/>
  <c r="M101"/>
  <c r="L101"/>
  <c r="K101"/>
  <c r="J101"/>
  <c r="I101"/>
  <c r="H101"/>
  <c r="G101"/>
  <c r="R100"/>
  <c r="Q100"/>
  <c r="P100"/>
  <c r="O100"/>
  <c r="N100"/>
  <c r="M100"/>
  <c r="L100"/>
  <c r="K100"/>
  <c r="J100"/>
  <c r="I100"/>
  <c r="H100"/>
  <c r="G100"/>
  <c r="R99"/>
  <c r="Q99"/>
  <c r="P99"/>
  <c r="O99"/>
  <c r="N99"/>
  <c r="M99"/>
  <c r="L99"/>
  <c r="K99"/>
  <c r="J99"/>
  <c r="I99"/>
  <c r="H99"/>
  <c r="G99"/>
  <c r="R98"/>
  <c r="Q98"/>
  <c r="P98"/>
  <c r="O98"/>
  <c r="N98"/>
  <c r="M98"/>
  <c r="L98"/>
  <c r="K98"/>
  <c r="J98"/>
  <c r="I98"/>
  <c r="H98"/>
  <c r="G98"/>
  <c r="R97"/>
  <c r="Q97"/>
  <c r="P97"/>
  <c r="O97"/>
  <c r="N97"/>
  <c r="M97"/>
  <c r="L97"/>
  <c r="K97"/>
  <c r="J97"/>
  <c r="I97"/>
  <c r="H97"/>
  <c r="G97"/>
  <c r="R96"/>
  <c r="Q96"/>
  <c r="P96"/>
  <c r="O96"/>
  <c r="N96"/>
  <c r="M96"/>
  <c r="L96"/>
  <c r="K96"/>
  <c r="J96"/>
  <c r="I96"/>
  <c r="H96"/>
  <c r="G96"/>
  <c r="R95"/>
  <c r="Q95"/>
  <c r="P95"/>
  <c r="O95"/>
  <c r="N95"/>
  <c r="M95"/>
  <c r="L95"/>
  <c r="K95"/>
  <c r="J95"/>
  <c r="I95"/>
  <c r="H95"/>
  <c r="G95"/>
  <c r="R94"/>
  <c r="Q94"/>
  <c r="P94"/>
  <c r="O94"/>
  <c r="N94"/>
  <c r="M94"/>
  <c r="L94"/>
  <c r="K94"/>
  <c r="J94"/>
  <c r="I94"/>
  <c r="H94"/>
  <c r="G94"/>
  <c r="R93"/>
  <c r="Q93"/>
  <c r="P93"/>
  <c r="O93"/>
  <c r="N93"/>
  <c r="M93"/>
  <c r="L93"/>
  <c r="K93"/>
  <c r="J93"/>
  <c r="I93"/>
  <c r="H93"/>
  <c r="G93"/>
  <c r="R92"/>
  <c r="Q92"/>
  <c r="P92"/>
  <c r="O92"/>
  <c r="N92"/>
  <c r="M92"/>
  <c r="L92"/>
  <c r="K92"/>
  <c r="J92"/>
  <c r="I92"/>
  <c r="H92"/>
  <c r="G92"/>
  <c r="R91"/>
  <c r="Q91"/>
  <c r="P91"/>
  <c r="O91"/>
  <c r="N91"/>
  <c r="M91"/>
  <c r="L91"/>
  <c r="K91"/>
  <c r="J91"/>
  <c r="I91"/>
  <c r="H91"/>
  <c r="G91"/>
  <c r="R90"/>
  <c r="Q90"/>
  <c r="P90"/>
  <c r="O90"/>
  <c r="N90"/>
  <c r="M90"/>
  <c r="L90"/>
  <c r="K90"/>
  <c r="J90"/>
  <c r="I90"/>
  <c r="H90"/>
  <c r="G90"/>
  <c r="R88"/>
  <c r="Q88"/>
  <c r="P88"/>
  <c r="O88"/>
  <c r="N88"/>
  <c r="M88"/>
  <c r="L88"/>
  <c r="K88"/>
  <c r="J88"/>
  <c r="I88"/>
  <c r="H88"/>
  <c r="G88"/>
  <c r="R87"/>
  <c r="Q87"/>
  <c r="P87"/>
  <c r="O87"/>
  <c r="N87"/>
  <c r="M87"/>
  <c r="L87"/>
  <c r="K87"/>
  <c r="J87"/>
  <c r="I87"/>
  <c r="H87"/>
  <c r="G87"/>
  <c r="R86"/>
  <c r="Q86"/>
  <c r="P86"/>
  <c r="O86"/>
  <c r="N86"/>
  <c r="M86"/>
  <c r="L86"/>
  <c r="K86"/>
  <c r="J86"/>
  <c r="I86"/>
  <c r="H86"/>
  <c r="G86"/>
  <c r="R83"/>
  <c r="Q83"/>
  <c r="P83"/>
  <c r="O83"/>
  <c r="N83"/>
  <c r="M83"/>
  <c r="L83"/>
  <c r="K83"/>
  <c r="J83"/>
  <c r="I83"/>
  <c r="H83"/>
  <c r="G83"/>
  <c r="R82"/>
  <c r="Q82"/>
  <c r="P82"/>
  <c r="O82"/>
  <c r="N82"/>
  <c r="M82"/>
  <c r="L82"/>
  <c r="K82"/>
  <c r="J82"/>
  <c r="I82"/>
  <c r="H82"/>
  <c r="G82"/>
  <c r="R81"/>
  <c r="Q81"/>
  <c r="P81"/>
  <c r="O81"/>
  <c r="N81"/>
  <c r="M81"/>
  <c r="L81"/>
  <c r="K81"/>
  <c r="J81"/>
  <c r="I81"/>
  <c r="H81"/>
  <c r="G81"/>
  <c r="R80"/>
  <c r="Q80"/>
  <c r="P80"/>
  <c r="O80"/>
  <c r="N80"/>
  <c r="M80"/>
  <c r="L80"/>
  <c r="K80"/>
  <c r="J80"/>
  <c r="I80"/>
  <c r="H80"/>
  <c r="G80"/>
  <c r="R79"/>
  <c r="Q79"/>
  <c r="P79"/>
  <c r="O79"/>
  <c r="N79"/>
  <c r="M79"/>
  <c r="L79"/>
  <c r="K79"/>
  <c r="J79"/>
  <c r="I79"/>
  <c r="H79"/>
  <c r="G79"/>
  <c r="R78"/>
  <c r="Q78"/>
  <c r="P78"/>
  <c r="O78"/>
  <c r="N78"/>
  <c r="M78"/>
  <c r="L78"/>
  <c r="K78"/>
  <c r="J78"/>
  <c r="I78"/>
  <c r="H78"/>
  <c r="G78"/>
  <c r="R77"/>
  <c r="Q77"/>
  <c r="P77"/>
  <c r="O77"/>
  <c r="N77"/>
  <c r="M77"/>
  <c r="L77"/>
  <c r="K77"/>
  <c r="J77"/>
  <c r="I77"/>
  <c r="H77"/>
  <c r="G77"/>
  <c r="R76"/>
  <c r="Q76"/>
  <c r="P76"/>
  <c r="O76"/>
  <c r="N76"/>
  <c r="M76"/>
  <c r="L76"/>
  <c r="K76"/>
  <c r="J76"/>
  <c r="I76"/>
  <c r="H76"/>
  <c r="G76"/>
  <c r="R75"/>
  <c r="Q75"/>
  <c r="P75"/>
  <c r="O75"/>
  <c r="N75"/>
  <c r="M75"/>
  <c r="L75"/>
  <c r="K75"/>
  <c r="J75"/>
  <c r="I75"/>
  <c r="H75"/>
  <c r="G75"/>
  <c r="R74"/>
  <c r="Q74"/>
  <c r="P74"/>
  <c r="O74"/>
  <c r="N74"/>
  <c r="M74"/>
  <c r="L74"/>
  <c r="K74"/>
  <c r="J74"/>
  <c r="I74"/>
  <c r="H74"/>
  <c r="G74"/>
  <c r="R72"/>
  <c r="Q72"/>
  <c r="P72"/>
  <c r="O72"/>
  <c r="N72"/>
  <c r="M72"/>
  <c r="L72"/>
  <c r="K72"/>
  <c r="J72"/>
  <c r="I72"/>
  <c r="H72"/>
  <c r="G72"/>
  <c r="R71"/>
  <c r="Q71"/>
  <c r="P71"/>
  <c r="O71"/>
  <c r="N71"/>
  <c r="M71"/>
  <c r="L71"/>
  <c r="K71"/>
  <c r="J71"/>
  <c r="I71"/>
  <c r="H71"/>
  <c r="G71"/>
  <c r="R70"/>
  <c r="Q70"/>
  <c r="P70"/>
  <c r="O70"/>
  <c r="N70"/>
  <c r="M70"/>
  <c r="L70"/>
  <c r="K70"/>
  <c r="J70"/>
  <c r="I70"/>
  <c r="H70"/>
  <c r="G70"/>
  <c r="R69"/>
  <c r="Q69"/>
  <c r="P69"/>
  <c r="O69"/>
  <c r="N69"/>
  <c r="M69"/>
  <c r="L69"/>
  <c r="K69"/>
  <c r="J69"/>
  <c r="I69"/>
  <c r="H69"/>
  <c r="G69"/>
  <c r="R68"/>
  <c r="Q68"/>
  <c r="P68"/>
  <c r="O68"/>
  <c r="N68"/>
  <c r="M68"/>
  <c r="L68"/>
  <c r="K68"/>
  <c r="J68"/>
  <c r="I68"/>
  <c r="H68"/>
  <c r="G68"/>
  <c r="R67"/>
  <c r="Q67"/>
  <c r="P67"/>
  <c r="O67"/>
  <c r="N67"/>
  <c r="M67"/>
  <c r="L67"/>
  <c r="K67"/>
  <c r="J67"/>
  <c r="I67"/>
  <c r="H67"/>
  <c r="G67"/>
  <c r="R66"/>
  <c r="Q66"/>
  <c r="P66"/>
  <c r="O66"/>
  <c r="N66"/>
  <c r="M66"/>
  <c r="L66"/>
  <c r="K66"/>
  <c r="J66"/>
  <c r="I66"/>
  <c r="H66"/>
  <c r="G66"/>
  <c r="C183"/>
  <c r="C182"/>
  <c r="C177"/>
  <c r="C178"/>
  <c r="C179"/>
  <c r="C180"/>
  <c r="C181"/>
  <c r="C176"/>
  <c r="T175"/>
  <c r="C175"/>
  <c r="C174"/>
  <c r="C173"/>
  <c r="C172"/>
  <c r="C171"/>
  <c r="C170"/>
  <c r="C169"/>
  <c r="C168"/>
  <c r="C167"/>
  <c r="C166"/>
  <c r="C165"/>
  <c r="C164"/>
  <c r="C163"/>
  <c r="C162"/>
  <c r="C161"/>
  <c r="C160"/>
  <c r="C159"/>
  <c r="C158"/>
  <c r="C157"/>
  <c r="C156"/>
  <c r="C155"/>
  <c r="C154"/>
  <c r="C153"/>
  <c r="C152"/>
  <c r="C151"/>
  <c r="C150"/>
  <c r="C149"/>
  <c r="C148"/>
  <c r="C147"/>
  <c r="C146"/>
  <c r="C145"/>
  <c r="C144"/>
  <c r="C143"/>
  <c r="C142"/>
  <c r="C141"/>
  <c r="C140"/>
  <c r="C139"/>
  <c r="C138"/>
  <c r="C137"/>
  <c r="C136"/>
  <c r="C135"/>
  <c r="C134"/>
  <c r="C128"/>
  <c r="C129"/>
  <c r="C130"/>
  <c r="C131"/>
  <c r="C132"/>
  <c r="C133"/>
  <c r="C127"/>
  <c r="I282" i="41" l="1"/>
  <c r="R282" s="1"/>
  <c r="O282"/>
  <c r="H344" i="3"/>
  <c r="H350"/>
  <c r="L226" i="41"/>
  <c r="I344" i="3"/>
  <c r="I350"/>
  <c r="M226" i="41"/>
  <c r="F226"/>
  <c r="N226"/>
  <c r="I226"/>
  <c r="O226"/>
  <c r="R278" i="3"/>
  <c r="H309"/>
  <c r="H325"/>
  <c r="G325"/>
  <c r="F357"/>
  <c r="N243"/>
  <c r="O254"/>
  <c r="N279"/>
  <c r="O284"/>
  <c r="O290"/>
  <c r="N320"/>
  <c r="N321" s="1"/>
  <c r="K350"/>
  <c r="M359"/>
  <c r="F259"/>
  <c r="H259"/>
  <c r="U278"/>
  <c r="R292"/>
  <c r="M243"/>
  <c r="M279"/>
  <c r="K309"/>
  <c r="O350"/>
  <c r="O357"/>
  <c r="I259"/>
  <c r="Q278"/>
  <c r="T278"/>
  <c r="U292"/>
  <c r="F309"/>
  <c r="H320"/>
  <c r="O259"/>
  <c r="P292"/>
  <c r="V292" s="1"/>
  <c r="Q292"/>
  <c r="L320"/>
  <c r="N344"/>
  <c r="N350"/>
  <c r="N357"/>
  <c r="O359"/>
  <c r="S278"/>
  <c r="T292"/>
  <c r="I309"/>
  <c r="I325"/>
  <c r="M344"/>
  <c r="M350"/>
  <c r="M357"/>
  <c r="N359"/>
  <c r="W359" s="1"/>
  <c r="S292"/>
  <c r="P317"/>
  <c r="I254"/>
  <c r="I284"/>
  <c r="I290"/>
  <c r="N284"/>
  <c r="N290"/>
  <c r="F320"/>
  <c r="O320"/>
  <c r="O321" s="1"/>
  <c r="K243"/>
  <c r="M254"/>
  <c r="M255" s="1"/>
  <c r="K279"/>
  <c r="M284"/>
  <c r="M290"/>
  <c r="M320"/>
  <c r="M321" s="1"/>
  <c r="F325"/>
  <c r="O344"/>
  <c r="H357"/>
  <c r="L282" i="41"/>
  <c r="N259" i="3"/>
  <c r="O325"/>
  <c r="M259"/>
  <c r="O279"/>
  <c r="I320"/>
  <c r="M325"/>
  <c r="K344"/>
  <c r="F279"/>
  <c r="H243"/>
  <c r="H254"/>
  <c r="H284"/>
  <c r="N254"/>
  <c r="F254"/>
  <c r="G290"/>
  <c r="G293" s="1"/>
  <c r="H279"/>
  <c r="H290"/>
  <c r="I243"/>
  <c r="I279"/>
  <c r="O243"/>
  <c r="P278"/>
  <c r="V278" s="1"/>
  <c r="P311"/>
  <c r="F290"/>
  <c r="R234" i="41"/>
  <c r="R236"/>
  <c r="R238"/>
  <c r="R240"/>
  <c r="R242"/>
  <c r="R244"/>
  <c r="R246"/>
  <c r="R248"/>
  <c r="R250"/>
  <c r="R252"/>
  <c r="R254"/>
  <c r="R256"/>
  <c r="R258"/>
  <c r="R260"/>
  <c r="R262"/>
  <c r="R264"/>
  <c r="R266"/>
  <c r="R268"/>
  <c r="R270"/>
  <c r="R272"/>
  <c r="R274"/>
  <c r="R276"/>
  <c r="R278"/>
  <c r="R280"/>
  <c r="K254" i="3"/>
  <c r="R281" i="41"/>
  <c r="K284" i="3"/>
  <c r="K290"/>
  <c r="P316"/>
  <c r="K282" i="41"/>
  <c r="K259" i="3"/>
  <c r="R233" i="41"/>
  <c r="R235"/>
  <c r="R237"/>
  <c r="R239"/>
  <c r="R241"/>
  <c r="R243"/>
  <c r="R245"/>
  <c r="R247"/>
  <c r="R249"/>
  <c r="R251"/>
  <c r="R253"/>
  <c r="R255"/>
  <c r="R257"/>
  <c r="R259"/>
  <c r="R261"/>
  <c r="R263"/>
  <c r="R265"/>
  <c r="R267"/>
  <c r="R269"/>
  <c r="R271"/>
  <c r="R273"/>
  <c r="R275"/>
  <c r="R277"/>
  <c r="R279"/>
  <c r="F284" i="3"/>
  <c r="I321"/>
  <c r="F321"/>
  <c r="H321"/>
  <c r="H360" s="1"/>
  <c r="P318"/>
  <c r="K325"/>
  <c r="P310"/>
  <c r="P312"/>
  <c r="P319"/>
  <c r="P313"/>
  <c r="P314"/>
  <c r="K359"/>
  <c r="P315"/>
  <c r="K320"/>
  <c r="K357"/>
  <c r="F243"/>
  <c r="F255" s="1"/>
  <c r="F360" l="1"/>
  <c r="N182" i="7"/>
  <c r="I255" i="3"/>
  <c r="J175" i="7"/>
  <c r="N255" i="3"/>
  <c r="K255"/>
  <c r="K293" s="1"/>
  <c r="K295" s="1"/>
  <c r="R175" i="7"/>
  <c r="O360" i="3"/>
  <c r="K321"/>
  <c r="O255"/>
  <c r="M360"/>
  <c r="M293"/>
  <c r="K182" i="7"/>
  <c r="O175"/>
  <c r="F293" i="3"/>
  <c r="H255"/>
  <c r="H293" s="1"/>
  <c r="Q175" i="7"/>
  <c r="S174"/>
  <c r="U174" s="1"/>
  <c r="J182"/>
  <c r="R182"/>
  <c r="G175"/>
  <c r="N175"/>
  <c r="I182"/>
  <c r="L182"/>
  <c r="H175"/>
  <c r="S172"/>
  <c r="U172" s="1"/>
  <c r="Q182"/>
  <c r="M175"/>
  <c r="P175"/>
  <c r="O182"/>
  <c r="K175"/>
  <c r="H182"/>
  <c r="M182"/>
  <c r="I175"/>
  <c r="S173"/>
  <c r="U173" s="1"/>
  <c r="S171"/>
  <c r="U171" s="1"/>
  <c r="P182"/>
  <c r="L175"/>
  <c r="P320" i="3"/>
  <c r="L88" i="67"/>
  <c r="D142"/>
  <c r="M295" i="3" l="1"/>
  <c r="O293"/>
  <c r="N293"/>
  <c r="K360"/>
  <c r="E57" i="7"/>
  <c r="E56"/>
  <c r="E55"/>
  <c r="E54"/>
  <c r="E53"/>
  <c r="E51"/>
  <c r="E50"/>
  <c r="E49"/>
  <c r="E47"/>
  <c r="E46"/>
  <c r="E45"/>
  <c r="E44"/>
  <c r="E43"/>
  <c r="E42"/>
  <c r="E41"/>
  <c r="E40"/>
  <c r="E39"/>
  <c r="E38"/>
  <c r="E37"/>
  <c r="E36"/>
  <c r="E35"/>
  <c r="E34"/>
  <c r="E33"/>
  <c r="E32"/>
  <c r="E31"/>
  <c r="E29"/>
  <c r="E28"/>
  <c r="E27"/>
  <c r="E24"/>
  <c r="E23"/>
  <c r="E22"/>
  <c r="E21"/>
  <c r="E20"/>
  <c r="E19"/>
  <c r="E18"/>
  <c r="E17"/>
  <c r="E16"/>
  <c r="E15"/>
  <c r="E9"/>
  <c r="E10"/>
  <c r="E11"/>
  <c r="E12"/>
  <c r="E13"/>
  <c r="E8"/>
  <c r="N295" i="3" l="1"/>
  <c r="O295"/>
  <c r="T52" i="7"/>
  <c r="T48"/>
  <c r="T30"/>
  <c r="T25"/>
  <c r="T14"/>
  <c r="S57"/>
  <c r="U57" s="1"/>
  <c r="S56"/>
  <c r="U56" s="1"/>
  <c r="S55"/>
  <c r="U55" s="1"/>
  <c r="S54"/>
  <c r="S53"/>
  <c r="U53" s="1"/>
  <c r="S51"/>
  <c r="U51" s="1"/>
  <c r="S50"/>
  <c r="U50" s="1"/>
  <c r="S49"/>
  <c r="U49" s="1"/>
  <c r="S47"/>
  <c r="U47" s="1"/>
  <c r="S46"/>
  <c r="U46" s="1"/>
  <c r="S45"/>
  <c r="U45" s="1"/>
  <c r="S44"/>
  <c r="U44" s="1"/>
  <c r="S43"/>
  <c r="U43" s="1"/>
  <c r="S42"/>
  <c r="U42" s="1"/>
  <c r="S41"/>
  <c r="U41" s="1"/>
  <c r="S40"/>
  <c r="U40" s="1"/>
  <c r="S39"/>
  <c r="U39" s="1"/>
  <c r="S38"/>
  <c r="U38" s="1"/>
  <c r="S37"/>
  <c r="U37" s="1"/>
  <c r="S36"/>
  <c r="U36" s="1"/>
  <c r="S35"/>
  <c r="U35" s="1"/>
  <c r="S34"/>
  <c r="U34" s="1"/>
  <c r="S33"/>
  <c r="U33" s="1"/>
  <c r="S32"/>
  <c r="U32" s="1"/>
  <c r="S31"/>
  <c r="U31" s="1"/>
  <c r="S28"/>
  <c r="U28" s="1"/>
  <c r="S29"/>
  <c r="U29" s="1"/>
  <c r="S16"/>
  <c r="U16" s="1"/>
  <c r="S17"/>
  <c r="U17" s="1"/>
  <c r="S18"/>
  <c r="U18" s="1"/>
  <c r="S19"/>
  <c r="U19" s="1"/>
  <c r="S20"/>
  <c r="U20" s="1"/>
  <c r="S21"/>
  <c r="U21" s="1"/>
  <c r="S22"/>
  <c r="U22" s="1"/>
  <c r="S23"/>
  <c r="U23" s="1"/>
  <c r="S24"/>
  <c r="U24" s="1"/>
  <c r="S9"/>
  <c r="U9" s="1"/>
  <c r="S10"/>
  <c r="U10" s="1"/>
  <c r="S11"/>
  <c r="U11" s="1"/>
  <c r="S12"/>
  <c r="U12" s="1"/>
  <c r="S13"/>
  <c r="U13" s="1"/>
  <c r="H58"/>
  <c r="I58"/>
  <c r="J58"/>
  <c r="K58"/>
  <c r="L58"/>
  <c r="M58"/>
  <c r="N58"/>
  <c r="O58"/>
  <c r="P58"/>
  <c r="Q58"/>
  <c r="R58"/>
  <c r="T58"/>
  <c r="H52"/>
  <c r="I52"/>
  <c r="J52"/>
  <c r="K52"/>
  <c r="L52"/>
  <c r="M52"/>
  <c r="N52"/>
  <c r="O52"/>
  <c r="P52"/>
  <c r="Q52"/>
  <c r="R52"/>
  <c r="V52"/>
  <c r="H48"/>
  <c r="I48"/>
  <c r="J48"/>
  <c r="K48"/>
  <c r="L48"/>
  <c r="M48"/>
  <c r="N48"/>
  <c r="O48"/>
  <c r="P48"/>
  <c r="Q48"/>
  <c r="R48"/>
  <c r="H30"/>
  <c r="I30"/>
  <c r="J30"/>
  <c r="K30"/>
  <c r="L30"/>
  <c r="M30"/>
  <c r="N30"/>
  <c r="O30"/>
  <c r="P30"/>
  <c r="Q30"/>
  <c r="R30"/>
  <c r="H25"/>
  <c r="I25"/>
  <c r="J25"/>
  <c r="K25"/>
  <c r="L25"/>
  <c r="M25"/>
  <c r="N25"/>
  <c r="O25"/>
  <c r="P25"/>
  <c r="Q25"/>
  <c r="R25"/>
  <c r="H14"/>
  <c r="I14"/>
  <c r="J14"/>
  <c r="K14"/>
  <c r="L14"/>
  <c r="M14"/>
  <c r="N14"/>
  <c r="O14"/>
  <c r="P14"/>
  <c r="Q14"/>
  <c r="R14"/>
  <c r="G58"/>
  <c r="G52"/>
  <c r="G48"/>
  <c r="G30"/>
  <c r="G25"/>
  <c r="G14"/>
  <c r="T182"/>
  <c r="V175"/>
  <c r="T169"/>
  <c r="T150"/>
  <c r="T145"/>
  <c r="V182"/>
  <c r="T134"/>
  <c r="T146" s="1"/>
  <c r="T119"/>
  <c r="S99"/>
  <c r="U99" s="1"/>
  <c r="S100"/>
  <c r="U100" s="1"/>
  <c r="S101"/>
  <c r="U101" s="1"/>
  <c r="S102"/>
  <c r="U102" s="1"/>
  <c r="S103"/>
  <c r="U103" s="1"/>
  <c r="S104"/>
  <c r="U104" s="1"/>
  <c r="S105"/>
  <c r="U105" s="1"/>
  <c r="S106"/>
  <c r="U106" s="1"/>
  <c r="S107"/>
  <c r="U107" s="1"/>
  <c r="S88"/>
  <c r="U88" s="1"/>
  <c r="T84"/>
  <c r="T85" s="1"/>
  <c r="T73"/>
  <c r="V119"/>
  <c r="V120" s="1"/>
  <c r="T108"/>
  <c r="T89"/>
  <c r="S111"/>
  <c r="U111" s="1"/>
  <c r="S110"/>
  <c r="U110" s="1"/>
  <c r="S118"/>
  <c r="U118" s="1"/>
  <c r="S117"/>
  <c r="U117" s="1"/>
  <c r="S116"/>
  <c r="U116" s="1"/>
  <c r="S115"/>
  <c r="U115" s="1"/>
  <c r="S114"/>
  <c r="M119"/>
  <c r="S112"/>
  <c r="S109"/>
  <c r="U109" s="1"/>
  <c r="M113"/>
  <c r="S98"/>
  <c r="U98" s="1"/>
  <c r="S97"/>
  <c r="U97" s="1"/>
  <c r="S96"/>
  <c r="U96" s="1"/>
  <c r="S95"/>
  <c r="U95" s="1"/>
  <c r="S94"/>
  <c r="U94" s="1"/>
  <c r="S93"/>
  <c r="U93" s="1"/>
  <c r="S92"/>
  <c r="U92" s="1"/>
  <c r="S91"/>
  <c r="U91" s="1"/>
  <c r="S90"/>
  <c r="U90" s="1"/>
  <c r="S87"/>
  <c r="U87" s="1"/>
  <c r="S86"/>
  <c r="U86" s="1"/>
  <c r="S83"/>
  <c r="U83" s="1"/>
  <c r="S82"/>
  <c r="U82" s="1"/>
  <c r="S81"/>
  <c r="U81" s="1"/>
  <c r="S80"/>
  <c r="U80" s="1"/>
  <c r="S79"/>
  <c r="U79" s="1"/>
  <c r="S78"/>
  <c r="U78" s="1"/>
  <c r="S77"/>
  <c r="U77" s="1"/>
  <c r="S76"/>
  <c r="U76" s="1"/>
  <c r="S75"/>
  <c r="U75" s="1"/>
  <c r="S74"/>
  <c r="U74" s="1"/>
  <c r="Q84"/>
  <c r="I84"/>
  <c r="S67"/>
  <c r="U67" s="1"/>
  <c r="S68"/>
  <c r="U68" s="1"/>
  <c r="S69"/>
  <c r="U69" s="1"/>
  <c r="S70"/>
  <c r="U70" s="1"/>
  <c r="S71"/>
  <c r="U71" s="1"/>
  <c r="S72"/>
  <c r="U72" s="1"/>
  <c r="N73"/>
  <c r="S66"/>
  <c r="U66" s="1"/>
  <c r="O84" l="1"/>
  <c r="J113"/>
  <c r="R113"/>
  <c r="J119"/>
  <c r="R119"/>
  <c r="G89"/>
  <c r="Q73"/>
  <c r="Q85" s="1"/>
  <c r="N84"/>
  <c r="N85" s="1"/>
  <c r="I73"/>
  <c r="I85" s="1"/>
  <c r="K73"/>
  <c r="L84"/>
  <c r="H119"/>
  <c r="P119"/>
  <c r="I89"/>
  <c r="Q89"/>
  <c r="H89"/>
  <c r="P89"/>
  <c r="P113"/>
  <c r="H113"/>
  <c r="L26"/>
  <c r="L59" s="1"/>
  <c r="L119"/>
  <c r="H84"/>
  <c r="N89"/>
  <c r="R26"/>
  <c r="R59" s="1"/>
  <c r="P84"/>
  <c r="R73"/>
  <c r="J73"/>
  <c r="M84"/>
  <c r="M89"/>
  <c r="I113"/>
  <c r="Q113"/>
  <c r="I119"/>
  <c r="Q119"/>
  <c r="M26"/>
  <c r="M59" s="1"/>
  <c r="S58"/>
  <c r="U54"/>
  <c r="U58" s="1"/>
  <c r="O26"/>
  <c r="O59" s="1"/>
  <c r="Q26"/>
  <c r="Q59" s="1"/>
  <c r="I26"/>
  <c r="I59" s="1"/>
  <c r="T26"/>
  <c r="T59" s="1"/>
  <c r="N26"/>
  <c r="N59" s="1"/>
  <c r="G26"/>
  <c r="G59" s="1"/>
  <c r="P26"/>
  <c r="P59" s="1"/>
  <c r="H26"/>
  <c r="H59" s="1"/>
  <c r="J26"/>
  <c r="J59" s="1"/>
  <c r="K26"/>
  <c r="K59" s="1"/>
  <c r="T183"/>
  <c r="J84"/>
  <c r="R84"/>
  <c r="O73"/>
  <c r="S156"/>
  <c r="U156" s="1"/>
  <c r="S164"/>
  <c r="U164" s="1"/>
  <c r="L113"/>
  <c r="O113"/>
  <c r="O119"/>
  <c r="K84"/>
  <c r="R89"/>
  <c r="N113"/>
  <c r="N119"/>
  <c r="G108"/>
  <c r="H108"/>
  <c r="P108"/>
  <c r="P73"/>
  <c r="H73"/>
  <c r="O89"/>
  <c r="K113"/>
  <c r="K119"/>
  <c r="S119"/>
  <c r="M73"/>
  <c r="J89"/>
  <c r="S133"/>
  <c r="U133" s="1"/>
  <c r="S132"/>
  <c r="U132" s="1"/>
  <c r="S129"/>
  <c r="U129" s="1"/>
  <c r="S135"/>
  <c r="U135" s="1"/>
  <c r="S138"/>
  <c r="U138" s="1"/>
  <c r="S142"/>
  <c r="U142" s="1"/>
  <c r="S147"/>
  <c r="S151"/>
  <c r="U151" s="1"/>
  <c r="S152"/>
  <c r="U152" s="1"/>
  <c r="S153"/>
  <c r="U153" s="1"/>
  <c r="S154"/>
  <c r="U154" s="1"/>
  <c r="S155"/>
  <c r="U155" s="1"/>
  <c r="S157"/>
  <c r="U157" s="1"/>
  <c r="S158"/>
  <c r="U158" s="1"/>
  <c r="S159"/>
  <c r="U159" s="1"/>
  <c r="S160"/>
  <c r="U160" s="1"/>
  <c r="S161"/>
  <c r="U161" s="1"/>
  <c r="S162"/>
  <c r="U162" s="1"/>
  <c r="S163"/>
  <c r="U163" s="1"/>
  <c r="S165"/>
  <c r="U165" s="1"/>
  <c r="S166"/>
  <c r="U166" s="1"/>
  <c r="S167"/>
  <c r="U167" s="1"/>
  <c r="S168"/>
  <c r="U168" s="1"/>
  <c r="S170"/>
  <c r="S180"/>
  <c r="U180" s="1"/>
  <c r="L73"/>
  <c r="L85" s="1"/>
  <c r="L89"/>
  <c r="L108"/>
  <c r="G113"/>
  <c r="S130"/>
  <c r="U130" s="1"/>
  <c r="R108"/>
  <c r="J108"/>
  <c r="S136"/>
  <c r="U136" s="1"/>
  <c r="S140"/>
  <c r="U140" s="1"/>
  <c r="S144"/>
  <c r="U144" s="1"/>
  <c r="S113"/>
  <c r="G73"/>
  <c r="K89"/>
  <c r="S148"/>
  <c r="U148" s="1"/>
  <c r="S149"/>
  <c r="U149" s="1"/>
  <c r="S176"/>
  <c r="U176" s="1"/>
  <c r="S177"/>
  <c r="U177" s="1"/>
  <c r="S178"/>
  <c r="U178" s="1"/>
  <c r="S179"/>
  <c r="U179" s="1"/>
  <c r="S181"/>
  <c r="U181" s="1"/>
  <c r="G119"/>
  <c r="O108"/>
  <c r="Q108"/>
  <c r="I108"/>
  <c r="N108"/>
  <c r="K108"/>
  <c r="M108"/>
  <c r="U114"/>
  <c r="U119" s="1"/>
  <c r="S128"/>
  <c r="U128" s="1"/>
  <c r="S73"/>
  <c r="G84"/>
  <c r="S131"/>
  <c r="U131" s="1"/>
  <c r="S137"/>
  <c r="U137" s="1"/>
  <c r="S139"/>
  <c r="U139" s="1"/>
  <c r="S141"/>
  <c r="U141" s="1"/>
  <c r="S143"/>
  <c r="U143" s="1"/>
  <c r="S84"/>
  <c r="U89"/>
  <c r="S89"/>
  <c r="Q169"/>
  <c r="I169"/>
  <c r="Q150"/>
  <c r="I150"/>
  <c r="R150"/>
  <c r="J150"/>
  <c r="Q145"/>
  <c r="I145"/>
  <c r="R145"/>
  <c r="M145"/>
  <c r="J145"/>
  <c r="J169"/>
  <c r="K169"/>
  <c r="M169"/>
  <c r="N169"/>
  <c r="O169"/>
  <c r="R169"/>
  <c r="K150"/>
  <c r="M150"/>
  <c r="O150"/>
  <c r="V150"/>
  <c r="K145"/>
  <c r="O145"/>
  <c r="G182"/>
  <c r="G169"/>
  <c r="G150"/>
  <c r="G145"/>
  <c r="M85" l="1"/>
  <c r="M120" s="1"/>
  <c r="J85"/>
  <c r="J120" s="1"/>
  <c r="O85"/>
  <c r="O120" s="1"/>
  <c r="P85"/>
  <c r="K85"/>
  <c r="K120" s="1"/>
  <c r="R208" i="41"/>
  <c r="R221"/>
  <c r="U170" i="7"/>
  <c r="U175" s="1"/>
  <c r="S175"/>
  <c r="H85"/>
  <c r="H120" s="1"/>
  <c r="R224" i="41"/>
  <c r="R85" i="7"/>
  <c r="R120" s="1"/>
  <c r="G85"/>
  <c r="G120" s="1"/>
  <c r="L120"/>
  <c r="S150"/>
  <c r="N120"/>
  <c r="U147"/>
  <c r="U150" s="1"/>
  <c r="S85"/>
  <c r="U182"/>
  <c r="U169"/>
  <c r="S169"/>
  <c r="Q120"/>
  <c r="I120"/>
  <c r="S182"/>
  <c r="P120"/>
  <c r="U145"/>
  <c r="S145"/>
  <c r="P169"/>
  <c r="H169"/>
  <c r="L134"/>
  <c r="H145"/>
  <c r="L145"/>
  <c r="H150"/>
  <c r="P150"/>
  <c r="L150"/>
  <c r="L169"/>
  <c r="Q134"/>
  <c r="Q146" s="1"/>
  <c r="Q183" s="1"/>
  <c r="S127"/>
  <c r="I134"/>
  <c r="I146" s="1"/>
  <c r="I183" s="1"/>
  <c r="H134"/>
  <c r="N134"/>
  <c r="M134"/>
  <c r="M146" s="1"/>
  <c r="M183" s="1"/>
  <c r="P134"/>
  <c r="R134"/>
  <c r="R146" s="1"/>
  <c r="R183" s="1"/>
  <c r="O134"/>
  <c r="O146" s="1"/>
  <c r="O183" s="1"/>
  <c r="J134"/>
  <c r="J146" s="1"/>
  <c r="J183" s="1"/>
  <c r="K134"/>
  <c r="K146" s="1"/>
  <c r="K183" s="1"/>
  <c r="N145"/>
  <c r="N150"/>
  <c r="P145"/>
  <c r="G134"/>
  <c r="G146" s="1"/>
  <c r="L146" l="1"/>
  <c r="L183" s="1"/>
  <c r="H146"/>
  <c r="H183" s="1"/>
  <c r="N146"/>
  <c r="N183" s="1"/>
  <c r="S134"/>
  <c r="S146" s="1"/>
  <c r="S183" s="1"/>
  <c r="P146"/>
  <c r="P183" s="1"/>
  <c r="G183"/>
  <c r="F56" i="30" l="1"/>
  <c r="F58"/>
  <c r="F59"/>
  <c r="F60"/>
  <c r="F61"/>
  <c r="F62"/>
  <c r="F63"/>
  <c r="F66"/>
  <c r="F67"/>
  <c r="F68"/>
  <c r="F69"/>
  <c r="F70"/>
  <c r="F71"/>
  <c r="F72"/>
  <c r="F73"/>
  <c r="F74"/>
  <c r="F75"/>
  <c r="F76"/>
  <c r="F78"/>
  <c r="F79"/>
  <c r="F80"/>
  <c r="F81"/>
  <c r="F83"/>
  <c r="F84"/>
  <c r="F88"/>
  <c r="F90"/>
  <c r="F91"/>
  <c r="F92"/>
  <c r="F93"/>
  <c r="F94"/>
  <c r="F95"/>
  <c r="F98"/>
  <c r="F99"/>
  <c r="F100"/>
  <c r="F101"/>
  <c r="F102"/>
  <c r="F103"/>
  <c r="F104"/>
  <c r="F105"/>
  <c r="F106"/>
  <c r="F107"/>
  <c r="F108"/>
  <c r="F110"/>
  <c r="F111"/>
  <c r="F112"/>
  <c r="F113"/>
  <c r="F115"/>
  <c r="F116"/>
  <c r="F119"/>
  <c r="F121"/>
  <c r="F122"/>
  <c r="F123"/>
  <c r="F124"/>
  <c r="F125"/>
  <c r="F126"/>
  <c r="F129"/>
  <c r="F130"/>
  <c r="F131"/>
  <c r="F132"/>
  <c r="F133"/>
  <c r="F134"/>
  <c r="F135"/>
  <c r="F136"/>
  <c r="F137"/>
  <c r="F138"/>
  <c r="F139"/>
  <c r="F141"/>
  <c r="F142"/>
  <c r="F143"/>
  <c r="F144"/>
  <c r="F146"/>
  <c r="F145" s="1"/>
  <c r="F147"/>
  <c r="F150"/>
  <c r="F152"/>
  <c r="F153"/>
  <c r="F154"/>
  <c r="F155"/>
  <c r="F156"/>
  <c r="F157"/>
  <c r="F160"/>
  <c r="F161"/>
  <c r="F162"/>
  <c r="F163"/>
  <c r="F164"/>
  <c r="F165"/>
  <c r="F166"/>
  <c r="F167"/>
  <c r="F168"/>
  <c r="F169"/>
  <c r="F170"/>
  <c r="F172"/>
  <c r="F173"/>
  <c r="F174"/>
  <c r="F175"/>
  <c r="F177"/>
  <c r="F178"/>
  <c r="F114" l="1"/>
  <c r="F127"/>
  <c r="F171"/>
  <c r="F96"/>
  <c r="F77"/>
  <c r="F64"/>
  <c r="F140"/>
  <c r="F109"/>
  <c r="F176"/>
  <c r="F158"/>
  <c r="F151"/>
  <c r="F120"/>
  <c r="F57"/>
  <c r="F55" s="1"/>
  <c r="F89"/>
  <c r="F87" s="1"/>
  <c r="F82"/>
  <c r="K117"/>
  <c r="H57"/>
  <c r="I57"/>
  <c r="J57"/>
  <c r="H64"/>
  <c r="H55" s="1"/>
  <c r="I64"/>
  <c r="J64"/>
  <c r="H77"/>
  <c r="I77"/>
  <c r="J77"/>
  <c r="H82"/>
  <c r="I82"/>
  <c r="J82"/>
  <c r="H89"/>
  <c r="I89"/>
  <c r="J89"/>
  <c r="H96"/>
  <c r="I96"/>
  <c r="J96"/>
  <c r="H109"/>
  <c r="I109"/>
  <c r="J109"/>
  <c r="H114"/>
  <c r="I114"/>
  <c r="J114"/>
  <c r="H120"/>
  <c r="I120"/>
  <c r="J120"/>
  <c r="H127"/>
  <c r="I127"/>
  <c r="J127"/>
  <c r="H140"/>
  <c r="I140"/>
  <c r="J140"/>
  <c r="H145"/>
  <c r="I145"/>
  <c r="J145"/>
  <c r="H151"/>
  <c r="I151"/>
  <c r="J151"/>
  <c r="H158"/>
  <c r="I158"/>
  <c r="J158"/>
  <c r="H171"/>
  <c r="I171"/>
  <c r="J171"/>
  <c r="H176"/>
  <c r="I176"/>
  <c r="J176"/>
  <c r="F12"/>
  <c r="F13"/>
  <c r="F14"/>
  <c r="F15"/>
  <c r="F16"/>
  <c r="F17"/>
  <c r="F18"/>
  <c r="F21"/>
  <c r="F22"/>
  <c r="F23"/>
  <c r="F24"/>
  <c r="F25"/>
  <c r="F26"/>
  <c r="F27"/>
  <c r="F28"/>
  <c r="F29"/>
  <c r="F30"/>
  <c r="F32"/>
  <c r="F33"/>
  <c r="F34"/>
  <c r="F36"/>
  <c r="F37"/>
  <c r="F39"/>
  <c r="F40"/>
  <c r="F43"/>
  <c r="F44"/>
  <c r="F45"/>
  <c r="F46"/>
  <c r="F47"/>
  <c r="F48"/>
  <c r="F50"/>
  <c r="F51"/>
  <c r="F49" s="1"/>
  <c r="M439" i="13"/>
  <c r="M531" s="1"/>
  <c r="M532" s="1"/>
  <c r="M441"/>
  <c r="M118" i="67"/>
  <c r="M116" s="1"/>
  <c r="M112" s="1"/>
  <c r="M107" s="1"/>
  <c r="M94"/>
  <c r="M89"/>
  <c r="M87" s="1"/>
  <c r="M85" s="1"/>
  <c r="M177" s="1"/>
  <c r="M178" s="1"/>
  <c r="M88"/>
  <c r="L176"/>
  <c r="L175"/>
  <c r="L172"/>
  <c r="L171"/>
  <c r="L170"/>
  <c r="L168"/>
  <c r="L167"/>
  <c r="L166"/>
  <c r="L165"/>
  <c r="L164"/>
  <c r="L163"/>
  <c r="L162"/>
  <c r="L161"/>
  <c r="L160"/>
  <c r="L159"/>
  <c r="L158"/>
  <c r="L155"/>
  <c r="L154"/>
  <c r="L153"/>
  <c r="L152"/>
  <c r="L151"/>
  <c r="L150"/>
  <c r="L148"/>
  <c r="L145"/>
  <c r="L144"/>
  <c r="L142"/>
  <c r="L141"/>
  <c r="L140"/>
  <c r="L139"/>
  <c r="L137"/>
  <c r="L136"/>
  <c r="L135"/>
  <c r="L134"/>
  <c r="L133"/>
  <c r="L132"/>
  <c r="L131"/>
  <c r="L130"/>
  <c r="L129"/>
  <c r="L128"/>
  <c r="L127"/>
  <c r="L124"/>
  <c r="L123"/>
  <c r="L122"/>
  <c r="L121"/>
  <c r="L120"/>
  <c r="L119"/>
  <c r="L117"/>
  <c r="L114"/>
  <c r="L113"/>
  <c r="L111"/>
  <c r="L110"/>
  <c r="L109"/>
  <c r="L108"/>
  <c r="L106"/>
  <c r="L105"/>
  <c r="L104"/>
  <c r="L103"/>
  <c r="L102"/>
  <c r="L101"/>
  <c r="L100"/>
  <c r="L99"/>
  <c r="L98"/>
  <c r="L97"/>
  <c r="L96"/>
  <c r="L93"/>
  <c r="L92"/>
  <c r="L91"/>
  <c r="L90"/>
  <c r="L86"/>
  <c r="L82"/>
  <c r="L81"/>
  <c r="L79"/>
  <c r="L78"/>
  <c r="L77"/>
  <c r="L76"/>
  <c r="L74"/>
  <c r="L73"/>
  <c r="L72"/>
  <c r="L71"/>
  <c r="L70"/>
  <c r="L69"/>
  <c r="L68"/>
  <c r="L67"/>
  <c r="L66"/>
  <c r="L65"/>
  <c r="L64"/>
  <c r="L61"/>
  <c r="L60"/>
  <c r="L59"/>
  <c r="L58"/>
  <c r="L57"/>
  <c r="L56"/>
  <c r="L54"/>
  <c r="L49"/>
  <c r="L48"/>
  <c r="L46"/>
  <c r="L45"/>
  <c r="L44"/>
  <c r="L43"/>
  <c r="L42"/>
  <c r="L41"/>
  <c r="L38"/>
  <c r="L37"/>
  <c r="L36"/>
  <c r="L35"/>
  <c r="L34"/>
  <c r="L32"/>
  <c r="L31"/>
  <c r="L30"/>
  <c r="L26"/>
  <c r="L27"/>
  <c r="L28"/>
  <c r="L25"/>
  <c r="L24"/>
  <c r="L23"/>
  <c r="L22"/>
  <c r="L21"/>
  <c r="L20"/>
  <c r="L19"/>
  <c r="L11"/>
  <c r="L12"/>
  <c r="L13"/>
  <c r="L14"/>
  <c r="L15"/>
  <c r="L16"/>
  <c r="L10"/>
  <c r="N516" i="13"/>
  <c r="N512"/>
  <c r="N485"/>
  <c r="N481"/>
  <c r="N454"/>
  <c r="N450"/>
  <c r="N422"/>
  <c r="N418"/>
  <c r="N370"/>
  <c r="F31" i="30" l="1"/>
  <c r="F118"/>
  <c r="F179" s="1"/>
  <c r="F42"/>
  <c r="F41" s="1"/>
  <c r="J118"/>
  <c r="J87"/>
  <c r="J55"/>
  <c r="J179" s="1"/>
  <c r="F11"/>
  <c r="F10" s="1"/>
  <c r="I149"/>
  <c r="I87"/>
  <c r="F149"/>
  <c r="H118"/>
  <c r="F20"/>
  <c r="F19" s="1"/>
  <c r="J149"/>
  <c r="F38"/>
  <c r="F35" s="1"/>
  <c r="H149"/>
  <c r="H87"/>
  <c r="H179" s="1"/>
  <c r="I118"/>
  <c r="I55"/>
  <c r="L530" i="13"/>
  <c r="L529"/>
  <c r="L527"/>
  <c r="L526"/>
  <c r="L525"/>
  <c r="L524"/>
  <c r="L522"/>
  <c r="L521"/>
  <c r="L520"/>
  <c r="L519"/>
  <c r="L518"/>
  <c r="L517"/>
  <c r="L516"/>
  <c r="L515"/>
  <c r="L514"/>
  <c r="L513"/>
  <c r="L512"/>
  <c r="L509"/>
  <c r="L508"/>
  <c r="L507"/>
  <c r="L506"/>
  <c r="L505"/>
  <c r="L504"/>
  <c r="L502"/>
  <c r="L499"/>
  <c r="L498"/>
  <c r="L496"/>
  <c r="L495"/>
  <c r="L494"/>
  <c r="L493"/>
  <c r="L491"/>
  <c r="L490"/>
  <c r="L489"/>
  <c r="L488"/>
  <c r="L487"/>
  <c r="L486"/>
  <c r="L485"/>
  <c r="L484"/>
  <c r="L483"/>
  <c r="L482"/>
  <c r="L481"/>
  <c r="L478"/>
  <c r="L477"/>
  <c r="L476"/>
  <c r="L475"/>
  <c r="L474"/>
  <c r="L473"/>
  <c r="L471"/>
  <c r="L468"/>
  <c r="L467"/>
  <c r="L465"/>
  <c r="L464"/>
  <c r="L463"/>
  <c r="L462"/>
  <c r="L460"/>
  <c r="L459"/>
  <c r="L458"/>
  <c r="L457"/>
  <c r="L456"/>
  <c r="L455"/>
  <c r="L454"/>
  <c r="L453"/>
  <c r="L452"/>
  <c r="L451"/>
  <c r="L450"/>
  <c r="L447"/>
  <c r="L446"/>
  <c r="L445"/>
  <c r="L444"/>
  <c r="L443"/>
  <c r="N443" s="1"/>
  <c r="L442"/>
  <c r="N442" s="1"/>
  <c r="L440"/>
  <c r="L436"/>
  <c r="L435"/>
  <c r="L433"/>
  <c r="L432"/>
  <c r="L431"/>
  <c r="L430"/>
  <c r="L428"/>
  <c r="L427"/>
  <c r="L426"/>
  <c r="L425"/>
  <c r="L424"/>
  <c r="L423"/>
  <c r="L422"/>
  <c r="L421"/>
  <c r="L420"/>
  <c r="L419"/>
  <c r="L418"/>
  <c r="L415"/>
  <c r="L414"/>
  <c r="L413"/>
  <c r="L412"/>
  <c r="L411"/>
  <c r="L410"/>
  <c r="L408"/>
  <c r="L403"/>
  <c r="L402"/>
  <c r="L400"/>
  <c r="L399"/>
  <c r="L398"/>
  <c r="L397"/>
  <c r="L396"/>
  <c r="L395"/>
  <c r="L392"/>
  <c r="L391"/>
  <c r="L389"/>
  <c r="L388"/>
  <c r="L386"/>
  <c r="L385"/>
  <c r="L384"/>
  <c r="L382"/>
  <c r="L381"/>
  <c r="L380"/>
  <c r="L379"/>
  <c r="L378"/>
  <c r="L377"/>
  <c r="L376"/>
  <c r="L375"/>
  <c r="L374"/>
  <c r="L373"/>
  <c r="L370"/>
  <c r="L369"/>
  <c r="L368"/>
  <c r="L367"/>
  <c r="L366"/>
  <c r="L365"/>
  <c r="L364"/>
  <c r="N338"/>
  <c r="N334"/>
  <c r="N276"/>
  <c r="N272"/>
  <c r="N244"/>
  <c r="N240"/>
  <c r="N192"/>
  <c r="F52" i="30" l="1"/>
  <c r="F180" s="1"/>
  <c r="I179"/>
  <c r="H15" i="15"/>
  <c r="G15"/>
  <c r="F15"/>
  <c r="E67" i="43" l="1"/>
  <c r="E84"/>
  <c r="E38"/>
  <c r="E55" s="1"/>
  <c r="F11" i="1" l="1"/>
  <c r="J25" i="44" l="1"/>
  <c r="E17" i="12" l="1"/>
  <c r="Z179" i="13" s="1"/>
  <c r="Q37" i="39" l="1"/>
  <c r="H63" i="43" l="1"/>
  <c r="H34"/>
  <c r="H38" l="1"/>
  <c r="H55"/>
  <c r="H67"/>
  <c r="H84"/>
  <c r="E17" i="6"/>
  <c r="H50" i="45" l="1"/>
  <c r="H49"/>
  <c r="F51"/>
  <c r="L51" s="1"/>
  <c r="G50"/>
  <c r="G49"/>
  <c r="D49" s="1"/>
  <c r="F49" s="1"/>
  <c r="F16"/>
  <c r="L16" s="1"/>
  <c r="D15"/>
  <c r="F15" s="1"/>
  <c r="D14"/>
  <c r="F14" s="1"/>
  <c r="H34" i="44"/>
  <c r="E34"/>
  <c r="D13"/>
  <c r="D11" s="1"/>
  <c r="D13" i="43"/>
  <c r="F13" s="1"/>
  <c r="G34"/>
  <c r="D34" s="1"/>
  <c r="I13"/>
  <c r="D50" i="45" l="1"/>
  <c r="F50" s="1"/>
  <c r="O13" i="43"/>
  <c r="D22" i="44"/>
  <c r="D20" s="1"/>
  <c r="D24" i="45"/>
  <c r="G17" i="6"/>
  <c r="F17"/>
  <c r="H8" i="22"/>
  <c r="G8"/>
  <c r="F8"/>
  <c r="F13" i="39"/>
  <c r="G13"/>
  <c r="H13"/>
  <c r="I13"/>
  <c r="J13"/>
  <c r="K13"/>
  <c r="L13"/>
  <c r="M13"/>
  <c r="N13"/>
  <c r="O13"/>
  <c r="P13"/>
  <c r="E13"/>
  <c r="F14"/>
  <c r="G14"/>
  <c r="H14"/>
  <c r="I14"/>
  <c r="J14"/>
  <c r="K14"/>
  <c r="L14"/>
  <c r="M14"/>
  <c r="N14"/>
  <c r="O14"/>
  <c r="P14"/>
  <c r="E14"/>
  <c r="G63" i="43" l="1"/>
  <c r="D86" i="45"/>
  <c r="D63" i="43" l="1"/>
  <c r="G67"/>
  <c r="D34" i="44"/>
  <c r="J224" i="3"/>
  <c r="K224"/>
  <c r="L224"/>
  <c r="M224"/>
  <c r="N224"/>
  <c r="O224"/>
  <c r="I224"/>
  <c r="L194"/>
  <c r="M194"/>
  <c r="N194"/>
  <c r="O194"/>
  <c r="K194"/>
  <c r="J194"/>
  <c r="I194"/>
  <c r="K180"/>
  <c r="L180"/>
  <c r="M180"/>
  <c r="N180"/>
  <c r="O180"/>
  <c r="J180"/>
  <c r="I180"/>
  <c r="J113"/>
  <c r="U113" s="1"/>
  <c r="K113"/>
  <c r="L113"/>
  <c r="M113"/>
  <c r="N113"/>
  <c r="O113"/>
  <c r="I113"/>
  <c r="J107"/>
  <c r="T107" s="1"/>
  <c r="K107"/>
  <c r="L107"/>
  <c r="M107"/>
  <c r="N107"/>
  <c r="O107"/>
  <c r="I107"/>
  <c r="L89"/>
  <c r="M89"/>
  <c r="N89"/>
  <c r="O89"/>
  <c r="K89"/>
  <c r="J89"/>
  <c r="I89"/>
  <c r="J83"/>
  <c r="K83"/>
  <c r="L83"/>
  <c r="M83"/>
  <c r="R83" s="1"/>
  <c r="N83"/>
  <c r="O83"/>
  <c r="I83"/>
  <c r="L76"/>
  <c r="M76"/>
  <c r="N76"/>
  <c r="O76"/>
  <c r="K76"/>
  <c r="Q76" s="1"/>
  <c r="J76"/>
  <c r="I76"/>
  <c r="J62"/>
  <c r="T62" s="1"/>
  <c r="K62"/>
  <c r="L62"/>
  <c r="M62"/>
  <c r="N62"/>
  <c r="O62"/>
  <c r="I62"/>
  <c r="J59"/>
  <c r="K59"/>
  <c r="L59"/>
  <c r="M59"/>
  <c r="N59"/>
  <c r="O59"/>
  <c r="I59"/>
  <c r="J49"/>
  <c r="K49"/>
  <c r="Q49" s="1"/>
  <c r="L49"/>
  <c r="M49"/>
  <c r="N49"/>
  <c r="O49"/>
  <c r="I49"/>
  <c r="P225"/>
  <c r="V225" s="1"/>
  <c r="P223"/>
  <c r="P222"/>
  <c r="V222" s="1"/>
  <c r="P221"/>
  <c r="V221" s="1"/>
  <c r="P220"/>
  <c r="P219"/>
  <c r="P218"/>
  <c r="V218" s="1"/>
  <c r="P217"/>
  <c r="P216"/>
  <c r="P215"/>
  <c r="P214"/>
  <c r="P213"/>
  <c r="V213" s="1"/>
  <c r="P212"/>
  <c r="P211"/>
  <c r="P210"/>
  <c r="P209"/>
  <c r="P208"/>
  <c r="V208" s="1"/>
  <c r="P207"/>
  <c r="P206"/>
  <c r="P205"/>
  <c r="P204"/>
  <c r="P203"/>
  <c r="P202"/>
  <c r="P201"/>
  <c r="V201" s="1"/>
  <c r="P200"/>
  <c r="P199"/>
  <c r="V199" s="1"/>
  <c r="P198"/>
  <c r="P197"/>
  <c r="V197" s="1"/>
  <c r="P196"/>
  <c r="P195"/>
  <c r="P191"/>
  <c r="P190"/>
  <c r="V190" s="1"/>
  <c r="P189"/>
  <c r="V189" s="1"/>
  <c r="P186"/>
  <c r="P185"/>
  <c r="V185" s="1"/>
  <c r="P184"/>
  <c r="V184" s="1"/>
  <c r="P183"/>
  <c r="P179"/>
  <c r="P178"/>
  <c r="P177"/>
  <c r="P176"/>
  <c r="P175"/>
  <c r="P174"/>
  <c r="P173"/>
  <c r="P172"/>
  <c r="P171"/>
  <c r="P170"/>
  <c r="P169"/>
  <c r="P168"/>
  <c r="P167"/>
  <c r="P166"/>
  <c r="P165"/>
  <c r="P164"/>
  <c r="P163"/>
  <c r="P162"/>
  <c r="P161"/>
  <c r="P160"/>
  <c r="P159"/>
  <c r="P158"/>
  <c r="P157"/>
  <c r="P156"/>
  <c r="P155"/>
  <c r="P154"/>
  <c r="P153"/>
  <c r="P152"/>
  <c r="P151"/>
  <c r="P150"/>
  <c r="P149"/>
  <c r="P148"/>
  <c r="P147"/>
  <c r="P146"/>
  <c r="P145"/>
  <c r="P144"/>
  <c r="P143"/>
  <c r="P142"/>
  <c r="P141"/>
  <c r="P140"/>
  <c r="P139"/>
  <c r="P138"/>
  <c r="P137"/>
  <c r="P136"/>
  <c r="P135"/>
  <c r="P134"/>
  <c r="P133"/>
  <c r="P132"/>
  <c r="P131"/>
  <c r="P130"/>
  <c r="P129"/>
  <c r="P128"/>
  <c r="P127"/>
  <c r="P126"/>
  <c r="P125"/>
  <c r="V125" s="1"/>
  <c r="P124"/>
  <c r="P123"/>
  <c r="V123" s="1"/>
  <c r="P122"/>
  <c r="V122" s="1"/>
  <c r="P121"/>
  <c r="V121" s="1"/>
  <c r="P120"/>
  <c r="V120" s="1"/>
  <c r="P119"/>
  <c r="V119" s="1"/>
  <c r="P118"/>
  <c r="V118" s="1"/>
  <c r="P117"/>
  <c r="V117" s="1"/>
  <c r="P116"/>
  <c r="P112"/>
  <c r="P111"/>
  <c r="P110"/>
  <c r="P109"/>
  <c r="P108"/>
  <c r="P106"/>
  <c r="P105"/>
  <c r="P104"/>
  <c r="P103"/>
  <c r="P101"/>
  <c r="V101" s="1"/>
  <c r="P100"/>
  <c r="P99"/>
  <c r="P98"/>
  <c r="P97"/>
  <c r="V97" s="1"/>
  <c r="P96"/>
  <c r="P95"/>
  <c r="V95" s="1"/>
  <c r="P94"/>
  <c r="V94" s="1"/>
  <c r="P93"/>
  <c r="P92"/>
  <c r="V92" s="1"/>
  <c r="P91"/>
  <c r="P90"/>
  <c r="P88"/>
  <c r="P87"/>
  <c r="V87" s="1"/>
  <c r="P86"/>
  <c r="P85"/>
  <c r="P84"/>
  <c r="P82"/>
  <c r="V82" s="1"/>
  <c r="P81"/>
  <c r="P80"/>
  <c r="V80" s="1"/>
  <c r="P79"/>
  <c r="V79" s="1"/>
  <c r="P78"/>
  <c r="P77"/>
  <c r="P75"/>
  <c r="P74"/>
  <c r="P73"/>
  <c r="P72"/>
  <c r="V72" s="1"/>
  <c r="P71"/>
  <c r="P70"/>
  <c r="V70" s="1"/>
  <c r="P69"/>
  <c r="V69" s="1"/>
  <c r="P68"/>
  <c r="P67"/>
  <c r="P65"/>
  <c r="P64"/>
  <c r="P63"/>
  <c r="P61"/>
  <c r="P62" s="1"/>
  <c r="P58"/>
  <c r="P57"/>
  <c r="P56"/>
  <c r="P55"/>
  <c r="V55" s="1"/>
  <c r="P54"/>
  <c r="P53"/>
  <c r="P48"/>
  <c r="V48" s="1"/>
  <c r="P47"/>
  <c r="P46"/>
  <c r="P39"/>
  <c r="V39" s="1"/>
  <c r="P38"/>
  <c r="V38" s="1"/>
  <c r="P37"/>
  <c r="V37" s="1"/>
  <c r="P36"/>
  <c r="V36" s="1"/>
  <c r="P35"/>
  <c r="V35" s="1"/>
  <c r="P34"/>
  <c r="V34" s="1"/>
  <c r="P33"/>
  <c r="V33" s="1"/>
  <c r="P32"/>
  <c r="V32" s="1"/>
  <c r="P31"/>
  <c r="V31" s="1"/>
  <c r="P30"/>
  <c r="V30" s="1"/>
  <c r="J40"/>
  <c r="S40" s="1"/>
  <c r="K40"/>
  <c r="L40"/>
  <c r="M40"/>
  <c r="N40"/>
  <c r="O40"/>
  <c r="I40"/>
  <c r="P14"/>
  <c r="V14" s="1"/>
  <c r="P15"/>
  <c r="P16"/>
  <c r="V16" s="1"/>
  <c r="P17"/>
  <c r="P18"/>
  <c r="V18" s="1"/>
  <c r="P19"/>
  <c r="V19" s="1"/>
  <c r="P20"/>
  <c r="V20" s="1"/>
  <c r="P21"/>
  <c r="V21" s="1"/>
  <c r="P22"/>
  <c r="V22" s="1"/>
  <c r="P23"/>
  <c r="V23" s="1"/>
  <c r="P24"/>
  <c r="P25"/>
  <c r="V25" s="1"/>
  <c r="P26"/>
  <c r="P27"/>
  <c r="P13"/>
  <c r="K28"/>
  <c r="L28"/>
  <c r="M28"/>
  <c r="N28"/>
  <c r="O28"/>
  <c r="J28"/>
  <c r="T28" s="1"/>
  <c r="I28"/>
  <c r="V17"/>
  <c r="V24"/>
  <c r="V26"/>
  <c r="V27"/>
  <c r="V29"/>
  <c r="V42"/>
  <c r="V43"/>
  <c r="V44"/>
  <c r="V45"/>
  <c r="V47"/>
  <c r="V50"/>
  <c r="V51"/>
  <c r="V52"/>
  <c r="V53"/>
  <c r="V54"/>
  <c r="V56"/>
  <c r="V57"/>
  <c r="V58"/>
  <c r="V60"/>
  <c r="V61"/>
  <c r="V63"/>
  <c r="V64"/>
  <c r="V65"/>
  <c r="V67"/>
  <c r="V68"/>
  <c r="V71"/>
  <c r="V73"/>
  <c r="V74"/>
  <c r="V75"/>
  <c r="V77"/>
  <c r="V78"/>
  <c r="V81"/>
  <c r="V84"/>
  <c r="V85"/>
  <c r="V88"/>
  <c r="V90"/>
  <c r="V91"/>
  <c r="V93"/>
  <c r="V96"/>
  <c r="V98"/>
  <c r="V99"/>
  <c r="V100"/>
  <c r="V103"/>
  <c r="V104"/>
  <c r="V105"/>
  <c r="V106"/>
  <c r="V108"/>
  <c r="V109"/>
  <c r="V110"/>
  <c r="V111"/>
  <c r="V112"/>
  <c r="V114"/>
  <c r="V115"/>
  <c r="V124"/>
  <c r="V126"/>
  <c r="V127"/>
  <c r="V128"/>
  <c r="V129"/>
  <c r="V130"/>
  <c r="V131"/>
  <c r="V132"/>
  <c r="V133"/>
  <c r="V134"/>
  <c r="V135"/>
  <c r="V136"/>
  <c r="V137"/>
  <c r="V138"/>
  <c r="V139"/>
  <c r="V140"/>
  <c r="V141"/>
  <c r="V142"/>
  <c r="V143"/>
  <c r="V144"/>
  <c r="V145"/>
  <c r="V146"/>
  <c r="V147"/>
  <c r="V148"/>
  <c r="V149"/>
  <c r="V150"/>
  <c r="V151"/>
  <c r="V152"/>
  <c r="V153"/>
  <c r="V154"/>
  <c r="V155"/>
  <c r="V156"/>
  <c r="V157"/>
  <c r="V158"/>
  <c r="V159"/>
  <c r="V160"/>
  <c r="V161"/>
  <c r="V162"/>
  <c r="V163"/>
  <c r="V164"/>
  <c r="V165"/>
  <c r="V166"/>
  <c r="V167"/>
  <c r="V168"/>
  <c r="V169"/>
  <c r="V170"/>
  <c r="V171"/>
  <c r="V172"/>
  <c r="V173"/>
  <c r="V174"/>
  <c r="V175"/>
  <c r="V176"/>
  <c r="V177"/>
  <c r="V178"/>
  <c r="V179"/>
  <c r="V181"/>
  <c r="V182"/>
  <c r="V183"/>
  <c r="V186"/>
  <c r="V187"/>
  <c r="V188"/>
  <c r="V191"/>
  <c r="V192"/>
  <c r="V193"/>
  <c r="V195"/>
  <c r="V196"/>
  <c r="V198"/>
  <c r="V200"/>
  <c r="V202"/>
  <c r="V203"/>
  <c r="V204"/>
  <c r="V205"/>
  <c r="V206"/>
  <c r="V207"/>
  <c r="V209"/>
  <c r="V210"/>
  <c r="V211"/>
  <c r="V212"/>
  <c r="V214"/>
  <c r="V215"/>
  <c r="V216"/>
  <c r="V217"/>
  <c r="V219"/>
  <c r="V220"/>
  <c r="V223"/>
  <c r="U14"/>
  <c r="U15"/>
  <c r="U16"/>
  <c r="U17"/>
  <c r="U18"/>
  <c r="U19"/>
  <c r="U20"/>
  <c r="U21"/>
  <c r="U22"/>
  <c r="U23"/>
  <c r="U24"/>
  <c r="U25"/>
  <c r="U26"/>
  <c r="U27"/>
  <c r="U29"/>
  <c r="U30"/>
  <c r="U31"/>
  <c r="U32"/>
  <c r="U33"/>
  <c r="U34"/>
  <c r="U35"/>
  <c r="U36"/>
  <c r="U37"/>
  <c r="U38"/>
  <c r="U39"/>
  <c r="U42"/>
  <c r="U43"/>
  <c r="U44"/>
  <c r="U45"/>
  <c r="U46"/>
  <c r="U47"/>
  <c r="U48"/>
  <c r="U50"/>
  <c r="U51"/>
  <c r="U52"/>
  <c r="U53"/>
  <c r="U54"/>
  <c r="U55"/>
  <c r="U56"/>
  <c r="U57"/>
  <c r="U58"/>
  <c r="U60"/>
  <c r="U61"/>
  <c r="U63"/>
  <c r="U64"/>
  <c r="U65"/>
  <c r="U67"/>
  <c r="U68"/>
  <c r="U69"/>
  <c r="U70"/>
  <c r="U71"/>
  <c r="U72"/>
  <c r="U73"/>
  <c r="U74"/>
  <c r="U75"/>
  <c r="U77"/>
  <c r="U78"/>
  <c r="U79"/>
  <c r="U80"/>
  <c r="U81"/>
  <c r="U82"/>
  <c r="U84"/>
  <c r="U85"/>
  <c r="U86"/>
  <c r="U87"/>
  <c r="U88"/>
  <c r="U90"/>
  <c r="U91"/>
  <c r="U92"/>
  <c r="U93"/>
  <c r="U94"/>
  <c r="U95"/>
  <c r="U96"/>
  <c r="U97"/>
  <c r="U98"/>
  <c r="U99"/>
  <c r="U100"/>
  <c r="U101"/>
  <c r="U103"/>
  <c r="U104"/>
  <c r="U105"/>
  <c r="U106"/>
  <c r="U108"/>
  <c r="U109"/>
  <c r="U110"/>
  <c r="U111"/>
  <c r="U112"/>
  <c r="U114"/>
  <c r="U115"/>
  <c r="U116"/>
  <c r="U117"/>
  <c r="U118"/>
  <c r="U119"/>
  <c r="U120"/>
  <c r="U121"/>
  <c r="U122"/>
  <c r="U123"/>
  <c r="U124"/>
  <c r="U125"/>
  <c r="U126"/>
  <c r="U127"/>
  <c r="U128"/>
  <c r="U129"/>
  <c r="U130"/>
  <c r="U131"/>
  <c r="U132"/>
  <c r="U133"/>
  <c r="U134"/>
  <c r="U135"/>
  <c r="U136"/>
  <c r="U137"/>
  <c r="U138"/>
  <c r="U139"/>
  <c r="U140"/>
  <c r="U141"/>
  <c r="U142"/>
  <c r="U143"/>
  <c r="U144"/>
  <c r="U145"/>
  <c r="U146"/>
  <c r="U147"/>
  <c r="U148"/>
  <c r="U149"/>
  <c r="U150"/>
  <c r="U151"/>
  <c r="U152"/>
  <c r="U153"/>
  <c r="U154"/>
  <c r="U155"/>
  <c r="U156"/>
  <c r="U157"/>
  <c r="U158"/>
  <c r="U159"/>
  <c r="U160"/>
  <c r="U161"/>
  <c r="U162"/>
  <c r="U163"/>
  <c r="U164"/>
  <c r="U165"/>
  <c r="U166"/>
  <c r="U167"/>
  <c r="U168"/>
  <c r="U169"/>
  <c r="U170"/>
  <c r="U171"/>
  <c r="U172"/>
  <c r="U173"/>
  <c r="U174"/>
  <c r="U175"/>
  <c r="U176"/>
  <c r="U177"/>
  <c r="U178"/>
  <c r="U179"/>
  <c r="U181"/>
  <c r="U182"/>
  <c r="U183"/>
  <c r="U184"/>
  <c r="U185"/>
  <c r="U186"/>
  <c r="U187"/>
  <c r="U188"/>
  <c r="U189"/>
  <c r="U190"/>
  <c r="U191"/>
  <c r="U192"/>
  <c r="U193"/>
  <c r="U195"/>
  <c r="U196"/>
  <c r="U197"/>
  <c r="U198"/>
  <c r="U199"/>
  <c r="U200"/>
  <c r="U201"/>
  <c r="U202"/>
  <c r="U203"/>
  <c r="U204"/>
  <c r="U205"/>
  <c r="U206"/>
  <c r="U207"/>
  <c r="U208"/>
  <c r="U209"/>
  <c r="U210"/>
  <c r="U211"/>
  <c r="U212"/>
  <c r="U213"/>
  <c r="U214"/>
  <c r="U215"/>
  <c r="U216"/>
  <c r="U217"/>
  <c r="U218"/>
  <c r="U219"/>
  <c r="U220"/>
  <c r="U221"/>
  <c r="U222"/>
  <c r="U223"/>
  <c r="U225"/>
  <c r="T14"/>
  <c r="T15"/>
  <c r="T16"/>
  <c r="T17"/>
  <c r="T18"/>
  <c r="T19"/>
  <c r="T20"/>
  <c r="T21"/>
  <c r="T22"/>
  <c r="T23"/>
  <c r="T24"/>
  <c r="T25"/>
  <c r="T26"/>
  <c r="T27"/>
  <c r="T29"/>
  <c r="T30"/>
  <c r="T31"/>
  <c r="T32"/>
  <c r="T33"/>
  <c r="T34"/>
  <c r="T35"/>
  <c r="T36"/>
  <c r="T37"/>
  <c r="T38"/>
  <c r="T39"/>
  <c r="T42"/>
  <c r="T43"/>
  <c r="T44"/>
  <c r="T45"/>
  <c r="T46"/>
  <c r="T47"/>
  <c r="T48"/>
  <c r="T49"/>
  <c r="T50"/>
  <c r="T51"/>
  <c r="T52"/>
  <c r="T53"/>
  <c r="T54"/>
  <c r="T55"/>
  <c r="T56"/>
  <c r="T57"/>
  <c r="T58"/>
  <c r="T60"/>
  <c r="T61"/>
  <c r="T63"/>
  <c r="T64"/>
  <c r="T65"/>
  <c r="T67"/>
  <c r="T68"/>
  <c r="T69"/>
  <c r="T70"/>
  <c r="T71"/>
  <c r="T72"/>
  <c r="T73"/>
  <c r="T74"/>
  <c r="T75"/>
  <c r="T77"/>
  <c r="T78"/>
  <c r="T79"/>
  <c r="T80"/>
  <c r="T81"/>
  <c r="T82"/>
  <c r="T83"/>
  <c r="T84"/>
  <c r="T85"/>
  <c r="T86"/>
  <c r="T87"/>
  <c r="T88"/>
  <c r="T90"/>
  <c r="T91"/>
  <c r="T92"/>
  <c r="T93"/>
  <c r="T94"/>
  <c r="T95"/>
  <c r="T96"/>
  <c r="T97"/>
  <c r="T98"/>
  <c r="T99"/>
  <c r="T100"/>
  <c r="T101"/>
  <c r="T103"/>
  <c r="T104"/>
  <c r="T105"/>
  <c r="T106"/>
  <c r="T108"/>
  <c r="T109"/>
  <c r="T110"/>
  <c r="T111"/>
  <c r="T112"/>
  <c r="T114"/>
  <c r="T115"/>
  <c r="T116"/>
  <c r="T117"/>
  <c r="T118"/>
  <c r="T119"/>
  <c r="T120"/>
  <c r="T121"/>
  <c r="T122"/>
  <c r="T123"/>
  <c r="T124"/>
  <c r="T125"/>
  <c r="T126"/>
  <c r="T127"/>
  <c r="T128"/>
  <c r="T129"/>
  <c r="T130"/>
  <c r="T131"/>
  <c r="T132"/>
  <c r="T133"/>
  <c r="T134"/>
  <c r="T135"/>
  <c r="T136"/>
  <c r="T137"/>
  <c r="T138"/>
  <c r="T139"/>
  <c r="T140"/>
  <c r="T141"/>
  <c r="T142"/>
  <c r="T143"/>
  <c r="T144"/>
  <c r="T145"/>
  <c r="T146"/>
  <c r="T147"/>
  <c r="T148"/>
  <c r="T149"/>
  <c r="T150"/>
  <c r="T151"/>
  <c r="T152"/>
  <c r="T153"/>
  <c r="T154"/>
  <c r="T155"/>
  <c r="T156"/>
  <c r="T157"/>
  <c r="T158"/>
  <c r="T159"/>
  <c r="T160"/>
  <c r="T161"/>
  <c r="T162"/>
  <c r="T163"/>
  <c r="T164"/>
  <c r="T165"/>
  <c r="T166"/>
  <c r="T167"/>
  <c r="T168"/>
  <c r="T169"/>
  <c r="T170"/>
  <c r="T171"/>
  <c r="T172"/>
  <c r="T173"/>
  <c r="T174"/>
  <c r="T175"/>
  <c r="T176"/>
  <c r="T177"/>
  <c r="T178"/>
  <c r="T179"/>
  <c r="T181"/>
  <c r="T182"/>
  <c r="T183"/>
  <c r="T184"/>
  <c r="T185"/>
  <c r="T186"/>
  <c r="T187"/>
  <c r="T188"/>
  <c r="T189"/>
  <c r="T190"/>
  <c r="T191"/>
  <c r="T192"/>
  <c r="T193"/>
  <c r="T195"/>
  <c r="T196"/>
  <c r="T197"/>
  <c r="T198"/>
  <c r="T199"/>
  <c r="T200"/>
  <c r="T201"/>
  <c r="T202"/>
  <c r="T203"/>
  <c r="T204"/>
  <c r="T205"/>
  <c r="T206"/>
  <c r="T207"/>
  <c r="T208"/>
  <c r="T209"/>
  <c r="T210"/>
  <c r="T211"/>
  <c r="T212"/>
  <c r="T213"/>
  <c r="T214"/>
  <c r="T215"/>
  <c r="T216"/>
  <c r="T217"/>
  <c r="T218"/>
  <c r="T219"/>
  <c r="T220"/>
  <c r="T221"/>
  <c r="T222"/>
  <c r="T223"/>
  <c r="T225"/>
  <c r="S77"/>
  <c r="S78"/>
  <c r="S79"/>
  <c r="S80"/>
  <c r="S81"/>
  <c r="S82"/>
  <c r="S84"/>
  <c r="S85"/>
  <c r="S86"/>
  <c r="S87"/>
  <c r="S88"/>
  <c r="S90"/>
  <c r="S91"/>
  <c r="S92"/>
  <c r="S93"/>
  <c r="S94"/>
  <c r="S95"/>
  <c r="S96"/>
  <c r="S97"/>
  <c r="S98"/>
  <c r="S99"/>
  <c r="S100"/>
  <c r="S101"/>
  <c r="S103"/>
  <c r="S104"/>
  <c r="S105"/>
  <c r="S106"/>
  <c r="S108"/>
  <c r="S109"/>
  <c r="S110"/>
  <c r="S111"/>
  <c r="S112"/>
  <c r="S114"/>
  <c r="S115"/>
  <c r="S116"/>
  <c r="S117"/>
  <c r="S118"/>
  <c r="S119"/>
  <c r="S120"/>
  <c r="S121"/>
  <c r="S122"/>
  <c r="S123"/>
  <c r="S124"/>
  <c r="S125"/>
  <c r="S126"/>
  <c r="S127"/>
  <c r="S128"/>
  <c r="S129"/>
  <c r="S130"/>
  <c r="S131"/>
  <c r="S132"/>
  <c r="S133"/>
  <c r="S134"/>
  <c r="S135"/>
  <c r="S136"/>
  <c r="S137"/>
  <c r="S138"/>
  <c r="S139"/>
  <c r="S140"/>
  <c r="S141"/>
  <c r="S142"/>
  <c r="S143"/>
  <c r="S144"/>
  <c r="S145"/>
  <c r="S146"/>
  <c r="S147"/>
  <c r="S148"/>
  <c r="S149"/>
  <c r="S150"/>
  <c r="S151"/>
  <c r="S152"/>
  <c r="S153"/>
  <c r="S154"/>
  <c r="S155"/>
  <c r="S156"/>
  <c r="S157"/>
  <c r="S158"/>
  <c r="S159"/>
  <c r="S160"/>
  <c r="S161"/>
  <c r="S162"/>
  <c r="S163"/>
  <c r="S164"/>
  <c r="S165"/>
  <c r="S166"/>
  <c r="S167"/>
  <c r="S168"/>
  <c r="S169"/>
  <c r="S170"/>
  <c r="S171"/>
  <c r="S172"/>
  <c r="S173"/>
  <c r="S174"/>
  <c r="S175"/>
  <c r="S176"/>
  <c r="S177"/>
  <c r="S178"/>
  <c r="S179"/>
  <c r="S181"/>
  <c r="S182"/>
  <c r="S183"/>
  <c r="S184"/>
  <c r="S185"/>
  <c r="S186"/>
  <c r="S187"/>
  <c r="S188"/>
  <c r="S189"/>
  <c r="S190"/>
  <c r="S191"/>
  <c r="S192"/>
  <c r="S193"/>
  <c r="S195"/>
  <c r="S196"/>
  <c r="S197"/>
  <c r="S198"/>
  <c r="S199"/>
  <c r="S200"/>
  <c r="S201"/>
  <c r="S202"/>
  <c r="S203"/>
  <c r="S204"/>
  <c r="S205"/>
  <c r="S206"/>
  <c r="S207"/>
  <c r="S208"/>
  <c r="S209"/>
  <c r="S210"/>
  <c r="S211"/>
  <c r="S212"/>
  <c r="S213"/>
  <c r="S214"/>
  <c r="S215"/>
  <c r="S216"/>
  <c r="S217"/>
  <c r="S218"/>
  <c r="S219"/>
  <c r="S220"/>
  <c r="S221"/>
  <c r="S222"/>
  <c r="S223"/>
  <c r="S224"/>
  <c r="S225"/>
  <c r="S48"/>
  <c r="S50"/>
  <c r="S51"/>
  <c r="S52"/>
  <c r="S53"/>
  <c r="S54"/>
  <c r="S55"/>
  <c r="S56"/>
  <c r="S57"/>
  <c r="S58"/>
  <c r="S60"/>
  <c r="S61"/>
  <c r="S63"/>
  <c r="S64"/>
  <c r="S65"/>
  <c r="S67"/>
  <c r="S68"/>
  <c r="S69"/>
  <c r="S70"/>
  <c r="S71"/>
  <c r="S72"/>
  <c r="S73"/>
  <c r="S74"/>
  <c r="S75"/>
  <c r="S38"/>
  <c r="S39"/>
  <c r="S42"/>
  <c r="S43"/>
  <c r="S44"/>
  <c r="S45"/>
  <c r="S46"/>
  <c r="S47"/>
  <c r="S14"/>
  <c r="S15"/>
  <c r="S16"/>
  <c r="S17"/>
  <c r="S18"/>
  <c r="S19"/>
  <c r="S20"/>
  <c r="S21"/>
  <c r="S22"/>
  <c r="S23"/>
  <c r="S24"/>
  <c r="S25"/>
  <c r="S26"/>
  <c r="S27"/>
  <c r="S29"/>
  <c r="S30"/>
  <c r="S31"/>
  <c r="S32"/>
  <c r="S33"/>
  <c r="S34"/>
  <c r="S35"/>
  <c r="S36"/>
  <c r="S37"/>
  <c r="R14"/>
  <c r="R15"/>
  <c r="R16"/>
  <c r="R17"/>
  <c r="R18"/>
  <c r="R19"/>
  <c r="R20"/>
  <c r="R21"/>
  <c r="R22"/>
  <c r="R23"/>
  <c r="R24"/>
  <c r="R25"/>
  <c r="R26"/>
  <c r="R27"/>
  <c r="R29"/>
  <c r="R30"/>
  <c r="R31"/>
  <c r="R32"/>
  <c r="R33"/>
  <c r="R34"/>
  <c r="R35"/>
  <c r="R36"/>
  <c r="R37"/>
  <c r="R38"/>
  <c r="R39"/>
  <c r="R42"/>
  <c r="R43"/>
  <c r="R44"/>
  <c r="R45"/>
  <c r="R46"/>
  <c r="R47"/>
  <c r="R48"/>
  <c r="R50"/>
  <c r="R51"/>
  <c r="R52"/>
  <c r="R53"/>
  <c r="R54"/>
  <c r="R55"/>
  <c r="R56"/>
  <c r="R57"/>
  <c r="R58"/>
  <c r="R60"/>
  <c r="R61"/>
  <c r="R63"/>
  <c r="R64"/>
  <c r="R65"/>
  <c r="R67"/>
  <c r="R68"/>
  <c r="R69"/>
  <c r="R70"/>
  <c r="R71"/>
  <c r="R72"/>
  <c r="R73"/>
  <c r="R74"/>
  <c r="R75"/>
  <c r="R77"/>
  <c r="R78"/>
  <c r="R79"/>
  <c r="R80"/>
  <c r="R81"/>
  <c r="R82"/>
  <c r="R84"/>
  <c r="R85"/>
  <c r="R86"/>
  <c r="R87"/>
  <c r="R88"/>
  <c r="R90"/>
  <c r="R91"/>
  <c r="R92"/>
  <c r="R93"/>
  <c r="R94"/>
  <c r="R95"/>
  <c r="R96"/>
  <c r="R97"/>
  <c r="R98"/>
  <c r="R99"/>
  <c r="R100"/>
  <c r="R101"/>
  <c r="R103"/>
  <c r="R104"/>
  <c r="R105"/>
  <c r="R106"/>
  <c r="R108"/>
  <c r="R109"/>
  <c r="R110"/>
  <c r="R111"/>
  <c r="R112"/>
  <c r="R114"/>
  <c r="R115"/>
  <c r="R116"/>
  <c r="R117"/>
  <c r="R118"/>
  <c r="R119"/>
  <c r="R120"/>
  <c r="R121"/>
  <c r="R122"/>
  <c r="R123"/>
  <c r="R124"/>
  <c r="R125"/>
  <c r="R126"/>
  <c r="R127"/>
  <c r="R128"/>
  <c r="R129"/>
  <c r="R130"/>
  <c r="R131"/>
  <c r="R132"/>
  <c r="R133"/>
  <c r="R134"/>
  <c r="R135"/>
  <c r="R136"/>
  <c r="R137"/>
  <c r="R138"/>
  <c r="R139"/>
  <c r="R140"/>
  <c r="R141"/>
  <c r="R142"/>
  <c r="R143"/>
  <c r="R144"/>
  <c r="R145"/>
  <c r="R146"/>
  <c r="R147"/>
  <c r="R148"/>
  <c r="R149"/>
  <c r="R150"/>
  <c r="R151"/>
  <c r="R152"/>
  <c r="R153"/>
  <c r="R154"/>
  <c r="R155"/>
  <c r="R156"/>
  <c r="R157"/>
  <c r="R158"/>
  <c r="R159"/>
  <c r="R160"/>
  <c r="R161"/>
  <c r="R162"/>
  <c r="R163"/>
  <c r="R164"/>
  <c r="R165"/>
  <c r="R166"/>
  <c r="R167"/>
  <c r="R168"/>
  <c r="R169"/>
  <c r="R170"/>
  <c r="R171"/>
  <c r="R172"/>
  <c r="R173"/>
  <c r="R174"/>
  <c r="R175"/>
  <c r="R176"/>
  <c r="R177"/>
  <c r="R178"/>
  <c r="R179"/>
  <c r="R181"/>
  <c r="R182"/>
  <c r="R183"/>
  <c r="R184"/>
  <c r="R185"/>
  <c r="R186"/>
  <c r="R187"/>
  <c r="R188"/>
  <c r="R189"/>
  <c r="R190"/>
  <c r="R191"/>
  <c r="R192"/>
  <c r="R193"/>
  <c r="R195"/>
  <c r="R196"/>
  <c r="R197"/>
  <c r="R198"/>
  <c r="R199"/>
  <c r="R200"/>
  <c r="R201"/>
  <c r="R202"/>
  <c r="R203"/>
  <c r="R204"/>
  <c r="R205"/>
  <c r="R206"/>
  <c r="R207"/>
  <c r="R208"/>
  <c r="R209"/>
  <c r="R210"/>
  <c r="R211"/>
  <c r="R212"/>
  <c r="R213"/>
  <c r="R214"/>
  <c r="R215"/>
  <c r="R216"/>
  <c r="R217"/>
  <c r="R218"/>
  <c r="R219"/>
  <c r="R220"/>
  <c r="R221"/>
  <c r="R222"/>
  <c r="R223"/>
  <c r="R225"/>
  <c r="Q38"/>
  <c r="Q39"/>
  <c r="Q42"/>
  <c r="Q43"/>
  <c r="Q44"/>
  <c r="Q45"/>
  <c r="Q46"/>
  <c r="Q47"/>
  <c r="Q48"/>
  <c r="Q50"/>
  <c r="Q51"/>
  <c r="Q52"/>
  <c r="Q53"/>
  <c r="Q54"/>
  <c r="Q55"/>
  <c r="Q56"/>
  <c r="Q57"/>
  <c r="Q58"/>
  <c r="Q60"/>
  <c r="Q61"/>
  <c r="Q63"/>
  <c r="Q64"/>
  <c r="Q65"/>
  <c r="Q67"/>
  <c r="Q68"/>
  <c r="Q69"/>
  <c r="Q70"/>
  <c r="Q71"/>
  <c r="Q72"/>
  <c r="Q73"/>
  <c r="Q74"/>
  <c r="Q75"/>
  <c r="Q77"/>
  <c r="Q78"/>
  <c r="Q79"/>
  <c r="Q80"/>
  <c r="Q81"/>
  <c r="Q82"/>
  <c r="Q83"/>
  <c r="Q84"/>
  <c r="Q85"/>
  <c r="Q86"/>
  <c r="Q87"/>
  <c r="Q88"/>
  <c r="Q90"/>
  <c r="Q91"/>
  <c r="Q92"/>
  <c r="Q93"/>
  <c r="Q94"/>
  <c r="Q95"/>
  <c r="Q96"/>
  <c r="Q97"/>
  <c r="Q98"/>
  <c r="Q99"/>
  <c r="Q100"/>
  <c r="Q101"/>
  <c r="Q103"/>
  <c r="Q104"/>
  <c r="Q105"/>
  <c r="Q106"/>
  <c r="Q108"/>
  <c r="Q109"/>
  <c r="Q110"/>
  <c r="Q111"/>
  <c r="Q112"/>
  <c r="Q113"/>
  <c r="Q114"/>
  <c r="Q115"/>
  <c r="Q116"/>
  <c r="Q117"/>
  <c r="Q118"/>
  <c r="Q119"/>
  <c r="Q120"/>
  <c r="Q121"/>
  <c r="Q122"/>
  <c r="Q123"/>
  <c r="Q124"/>
  <c r="Q125"/>
  <c r="Q126"/>
  <c r="Q127"/>
  <c r="Q128"/>
  <c r="Q129"/>
  <c r="Q130"/>
  <c r="Q131"/>
  <c r="Q132"/>
  <c r="Q133"/>
  <c r="Q134"/>
  <c r="Q135"/>
  <c r="Q136"/>
  <c r="Q137"/>
  <c r="Q138"/>
  <c r="Q139"/>
  <c r="Q140"/>
  <c r="Q141"/>
  <c r="Q142"/>
  <c r="Q143"/>
  <c r="Q144"/>
  <c r="Q145"/>
  <c r="Q146"/>
  <c r="Q147"/>
  <c r="Q148"/>
  <c r="Q149"/>
  <c r="Q150"/>
  <c r="Q151"/>
  <c r="Q152"/>
  <c r="Q153"/>
  <c r="Q154"/>
  <c r="Q155"/>
  <c r="Q156"/>
  <c r="Q157"/>
  <c r="Q158"/>
  <c r="Q159"/>
  <c r="Q160"/>
  <c r="Q161"/>
  <c r="Q162"/>
  <c r="Q163"/>
  <c r="Q164"/>
  <c r="Q165"/>
  <c r="Q166"/>
  <c r="Q167"/>
  <c r="Q168"/>
  <c r="Q169"/>
  <c r="Q170"/>
  <c r="Q171"/>
  <c r="Q172"/>
  <c r="Q173"/>
  <c r="Q174"/>
  <c r="Q175"/>
  <c r="Q176"/>
  <c r="Q177"/>
  <c r="Q178"/>
  <c r="Q179"/>
  <c r="Q181"/>
  <c r="Q182"/>
  <c r="Q183"/>
  <c r="Q184"/>
  <c r="Q185"/>
  <c r="Q186"/>
  <c r="Q187"/>
  <c r="Q188"/>
  <c r="Q189"/>
  <c r="Q190"/>
  <c r="Q191"/>
  <c r="Q192"/>
  <c r="Q193"/>
  <c r="Q195"/>
  <c r="Q196"/>
  <c r="Q197"/>
  <c r="Q198"/>
  <c r="Q199"/>
  <c r="Q200"/>
  <c r="Q201"/>
  <c r="Q202"/>
  <c r="Q203"/>
  <c r="Q204"/>
  <c r="Q205"/>
  <c r="Q206"/>
  <c r="Q207"/>
  <c r="Q208"/>
  <c r="Q209"/>
  <c r="Q210"/>
  <c r="Q211"/>
  <c r="Q212"/>
  <c r="Q213"/>
  <c r="Q214"/>
  <c r="Q215"/>
  <c r="Q216"/>
  <c r="Q217"/>
  <c r="Q218"/>
  <c r="Q219"/>
  <c r="Q220"/>
  <c r="Q221"/>
  <c r="Q222"/>
  <c r="Q223"/>
  <c r="Q225"/>
  <c r="Q14"/>
  <c r="Q15"/>
  <c r="Q16"/>
  <c r="Q17"/>
  <c r="Q18"/>
  <c r="Q19"/>
  <c r="Q20"/>
  <c r="Q21"/>
  <c r="Q22"/>
  <c r="Q23"/>
  <c r="Q24"/>
  <c r="Q25"/>
  <c r="Q26"/>
  <c r="Q27"/>
  <c r="Q29"/>
  <c r="Q30"/>
  <c r="Q31"/>
  <c r="Q32"/>
  <c r="Q33"/>
  <c r="Q34"/>
  <c r="Q35"/>
  <c r="Q36"/>
  <c r="Q37"/>
  <c r="S113" l="1"/>
  <c r="U49"/>
  <c r="R49"/>
  <c r="T113"/>
  <c r="Q224"/>
  <c r="T40"/>
  <c r="R40"/>
  <c r="Q180"/>
  <c r="P49"/>
  <c r="V49" s="1"/>
  <c r="T59"/>
  <c r="S28"/>
  <c r="I66"/>
  <c r="I102" s="1"/>
  <c r="L66"/>
  <c r="L102" s="1"/>
  <c r="L226" s="1"/>
  <c r="U89"/>
  <c r="Q59"/>
  <c r="R59"/>
  <c r="O41"/>
  <c r="K41"/>
  <c r="P107"/>
  <c r="L41"/>
  <c r="V46"/>
  <c r="R28"/>
  <c r="D32" i="44"/>
  <c r="R62" i="3"/>
  <c r="T224"/>
  <c r="M66"/>
  <c r="M102" s="1"/>
  <c r="Q62"/>
  <c r="R224"/>
  <c r="S59"/>
  <c r="U62"/>
  <c r="V62"/>
  <c r="S62"/>
  <c r="I41"/>
  <c r="J66"/>
  <c r="J102" s="1"/>
  <c r="S83"/>
  <c r="Q28"/>
  <c r="P83"/>
  <c r="V83" s="1"/>
  <c r="K66"/>
  <c r="P76"/>
  <c r="V76" s="1"/>
  <c r="P113"/>
  <c r="V113" s="1"/>
  <c r="P224"/>
  <c r="V224" s="1"/>
  <c r="O66"/>
  <c r="O102" s="1"/>
  <c r="T102" s="1"/>
  <c r="Q40"/>
  <c r="J41"/>
  <c r="M41"/>
  <c r="P89"/>
  <c r="V89" s="1"/>
  <c r="P180"/>
  <c r="V180" s="1"/>
  <c r="P194"/>
  <c r="V194" s="1"/>
  <c r="N66"/>
  <c r="S66" s="1"/>
  <c r="P59"/>
  <c r="V59" s="1"/>
  <c r="R194"/>
  <c r="R89"/>
  <c r="U40"/>
  <c r="N41"/>
  <c r="Q194"/>
  <c r="S49"/>
  <c r="S89"/>
  <c r="T76"/>
  <c r="U76"/>
  <c r="Q89"/>
  <c r="R76"/>
  <c r="U28"/>
  <c r="U59"/>
  <c r="U83"/>
  <c r="S194"/>
  <c r="U224"/>
  <c r="S76"/>
  <c r="T194"/>
  <c r="U194"/>
  <c r="V86"/>
  <c r="R113"/>
  <c r="T89"/>
  <c r="V116"/>
  <c r="P28"/>
  <c r="R180"/>
  <c r="S180"/>
  <c r="U180"/>
  <c r="T180"/>
  <c r="U107"/>
  <c r="Q107"/>
  <c r="S107"/>
  <c r="V107"/>
  <c r="R107"/>
  <c r="P40"/>
  <c r="V40" s="1"/>
  <c r="V15"/>
  <c r="T41" l="1"/>
  <c r="Q66"/>
  <c r="S41"/>
  <c r="Q41"/>
  <c r="U41"/>
  <c r="J226"/>
  <c r="R41"/>
  <c r="I226"/>
  <c r="M226"/>
  <c r="R66"/>
  <c r="K102"/>
  <c r="U66"/>
  <c r="T66"/>
  <c r="U102"/>
  <c r="R102"/>
  <c r="N102"/>
  <c r="S102" s="1"/>
  <c r="P66"/>
  <c r="P102" s="1"/>
  <c r="V102" s="1"/>
  <c r="O226"/>
  <c r="T226" s="1"/>
  <c r="U226"/>
  <c r="V28"/>
  <c r="P41"/>
  <c r="R226" l="1"/>
  <c r="Q102"/>
  <c r="K226"/>
  <c r="Q226" s="1"/>
  <c r="N226"/>
  <c r="S226" s="1"/>
  <c r="V66"/>
  <c r="P226"/>
  <c r="V41"/>
  <c r="V226" l="1"/>
  <c r="F16" i="1"/>
  <c r="H10" i="22" l="1"/>
  <c r="G10"/>
  <c r="F10"/>
  <c r="H9"/>
  <c r="G9"/>
  <c r="F9"/>
  <c r="F16" s="1"/>
  <c r="F19" i="1" s="1"/>
  <c r="H10" i="4" l="1"/>
  <c r="H9"/>
  <c r="G18" i="1" l="1"/>
  <c r="H18"/>
  <c r="F18"/>
  <c r="H13"/>
  <c r="H12"/>
  <c r="R232" i="41"/>
  <c r="R133" l="1"/>
  <c r="R167"/>
  <c r="Q166"/>
  <c r="P166"/>
  <c r="O166"/>
  <c r="N166"/>
  <c r="M166"/>
  <c r="L166"/>
  <c r="K166"/>
  <c r="J166"/>
  <c r="I166"/>
  <c r="H166"/>
  <c r="G166"/>
  <c r="F166"/>
  <c r="E166"/>
  <c r="R165"/>
  <c r="R164"/>
  <c r="R163"/>
  <c r="R162"/>
  <c r="R161"/>
  <c r="R160"/>
  <c r="R159"/>
  <c r="R158"/>
  <c r="R157"/>
  <c r="R156"/>
  <c r="R155"/>
  <c r="R154"/>
  <c r="R153"/>
  <c r="R152"/>
  <c r="R151"/>
  <c r="R150"/>
  <c r="R149"/>
  <c r="R148"/>
  <c r="R147"/>
  <c r="R146"/>
  <c r="R145"/>
  <c r="R144"/>
  <c r="R143"/>
  <c r="R142"/>
  <c r="R141"/>
  <c r="R140"/>
  <c r="R139"/>
  <c r="Q136"/>
  <c r="P136"/>
  <c r="O136"/>
  <c r="N136"/>
  <c r="M136"/>
  <c r="L136"/>
  <c r="K136"/>
  <c r="J136"/>
  <c r="I136"/>
  <c r="H136"/>
  <c r="G136"/>
  <c r="F136"/>
  <c r="E136"/>
  <c r="R132"/>
  <c r="R131"/>
  <c r="R130"/>
  <c r="R129"/>
  <c r="R128"/>
  <c r="R127"/>
  <c r="R126"/>
  <c r="R125"/>
  <c r="Q122"/>
  <c r="P122"/>
  <c r="O122"/>
  <c r="N122"/>
  <c r="M122"/>
  <c r="L122"/>
  <c r="K122"/>
  <c r="J122"/>
  <c r="I122"/>
  <c r="H122"/>
  <c r="G122"/>
  <c r="F122"/>
  <c r="E122"/>
  <c r="R121"/>
  <c r="R120"/>
  <c r="R119"/>
  <c r="R118"/>
  <c r="R117"/>
  <c r="R116"/>
  <c r="R115"/>
  <c r="R114"/>
  <c r="R113"/>
  <c r="R112"/>
  <c r="Q109"/>
  <c r="P109"/>
  <c r="O109"/>
  <c r="N109"/>
  <c r="M109"/>
  <c r="L109"/>
  <c r="K109"/>
  <c r="J109"/>
  <c r="I109"/>
  <c r="H109"/>
  <c r="G109"/>
  <c r="F109"/>
  <c r="E109"/>
  <c r="R108"/>
  <c r="R107"/>
  <c r="R106"/>
  <c r="Q103"/>
  <c r="P103"/>
  <c r="O103"/>
  <c r="N103"/>
  <c r="M103"/>
  <c r="L103"/>
  <c r="K103"/>
  <c r="J103"/>
  <c r="I103"/>
  <c r="H103"/>
  <c r="G103"/>
  <c r="F103"/>
  <c r="E103"/>
  <c r="R102"/>
  <c r="R101"/>
  <c r="R97"/>
  <c r="R96"/>
  <c r="R95"/>
  <c r="R94"/>
  <c r="R93"/>
  <c r="R92"/>
  <c r="R91"/>
  <c r="R90"/>
  <c r="R89"/>
  <c r="R88"/>
  <c r="Q85"/>
  <c r="P85"/>
  <c r="O85"/>
  <c r="N85"/>
  <c r="M85"/>
  <c r="L85"/>
  <c r="K85"/>
  <c r="J85"/>
  <c r="I85"/>
  <c r="H85"/>
  <c r="G85"/>
  <c r="F85"/>
  <c r="E85"/>
  <c r="R84"/>
  <c r="R83"/>
  <c r="R82"/>
  <c r="Q79"/>
  <c r="P79"/>
  <c r="O79"/>
  <c r="N79"/>
  <c r="M79"/>
  <c r="L79"/>
  <c r="K79"/>
  <c r="J79"/>
  <c r="I79"/>
  <c r="H79"/>
  <c r="G79"/>
  <c r="F79"/>
  <c r="E79"/>
  <c r="R78"/>
  <c r="R77"/>
  <c r="R76"/>
  <c r="R75"/>
  <c r="Q72"/>
  <c r="P72"/>
  <c r="O72"/>
  <c r="N72"/>
  <c r="M72"/>
  <c r="L72"/>
  <c r="K72"/>
  <c r="J72"/>
  <c r="I72"/>
  <c r="H72"/>
  <c r="G72"/>
  <c r="F72"/>
  <c r="E72"/>
  <c r="R71"/>
  <c r="R70"/>
  <c r="R69"/>
  <c r="R68"/>
  <c r="R67"/>
  <c r="R66"/>
  <c r="R65"/>
  <c r="Q58"/>
  <c r="P58"/>
  <c r="O58"/>
  <c r="N58"/>
  <c r="M58"/>
  <c r="L58"/>
  <c r="K58"/>
  <c r="J58"/>
  <c r="I58"/>
  <c r="H58"/>
  <c r="G58"/>
  <c r="F58"/>
  <c r="E58"/>
  <c r="R57"/>
  <c r="R56"/>
  <c r="Q55"/>
  <c r="P55"/>
  <c r="O55"/>
  <c r="N55"/>
  <c r="M55"/>
  <c r="L55"/>
  <c r="K55"/>
  <c r="J55"/>
  <c r="I55"/>
  <c r="H55"/>
  <c r="G55"/>
  <c r="F55"/>
  <c r="E55"/>
  <c r="R54"/>
  <c r="R53"/>
  <c r="R52"/>
  <c r="R51"/>
  <c r="R50"/>
  <c r="R49"/>
  <c r="R48"/>
  <c r="Q45"/>
  <c r="P45"/>
  <c r="O45"/>
  <c r="N45"/>
  <c r="M45"/>
  <c r="L45"/>
  <c r="K45"/>
  <c r="J45"/>
  <c r="I45"/>
  <c r="H45"/>
  <c r="G45"/>
  <c r="F45"/>
  <c r="E45"/>
  <c r="R44"/>
  <c r="R43"/>
  <c r="R42"/>
  <c r="Q36"/>
  <c r="P36"/>
  <c r="O36"/>
  <c r="N36"/>
  <c r="M36"/>
  <c r="L36"/>
  <c r="K36"/>
  <c r="J36"/>
  <c r="I36"/>
  <c r="H36"/>
  <c r="G36"/>
  <c r="F36"/>
  <c r="E36"/>
  <c r="R35"/>
  <c r="R34"/>
  <c r="R33"/>
  <c r="R32"/>
  <c r="R31"/>
  <c r="R30"/>
  <c r="R29"/>
  <c r="R28"/>
  <c r="R27"/>
  <c r="R26"/>
  <c r="Q24"/>
  <c r="P24"/>
  <c r="O24"/>
  <c r="N24"/>
  <c r="M24"/>
  <c r="L24"/>
  <c r="K24"/>
  <c r="J24"/>
  <c r="I24"/>
  <c r="H24"/>
  <c r="G24"/>
  <c r="F24"/>
  <c r="E24"/>
  <c r="R23"/>
  <c r="R22"/>
  <c r="R21"/>
  <c r="R20"/>
  <c r="R19"/>
  <c r="R18"/>
  <c r="R17"/>
  <c r="R16"/>
  <c r="R15"/>
  <c r="R14"/>
  <c r="R13"/>
  <c r="R12"/>
  <c r="R11"/>
  <c r="R10"/>
  <c r="R9"/>
  <c r="R122" l="1"/>
  <c r="R103"/>
  <c r="R45"/>
  <c r="R24"/>
  <c r="K37"/>
  <c r="H62"/>
  <c r="H98" s="1"/>
  <c r="P62"/>
  <c r="P98" s="1"/>
  <c r="J37"/>
  <c r="E62"/>
  <c r="E98" s="1"/>
  <c r="M62"/>
  <c r="M98" s="1"/>
  <c r="R58"/>
  <c r="R79"/>
  <c r="I37"/>
  <c r="Q37"/>
  <c r="L62"/>
  <c r="L98" s="1"/>
  <c r="H37"/>
  <c r="P37"/>
  <c r="K62"/>
  <c r="K98" s="1"/>
  <c r="K168" s="1"/>
  <c r="G37"/>
  <c r="O37"/>
  <c r="J62"/>
  <c r="J98" s="1"/>
  <c r="F37"/>
  <c r="N37"/>
  <c r="I62"/>
  <c r="I98" s="1"/>
  <c r="Q62"/>
  <c r="Q98" s="1"/>
  <c r="R72"/>
  <c r="R166"/>
  <c r="E37"/>
  <c r="M37"/>
  <c r="L37"/>
  <c r="G62"/>
  <c r="G98" s="1"/>
  <c r="O62"/>
  <c r="O98" s="1"/>
  <c r="R109"/>
  <c r="R136"/>
  <c r="R36"/>
  <c r="R55"/>
  <c r="F62"/>
  <c r="F98" s="1"/>
  <c r="N62"/>
  <c r="N98" s="1"/>
  <c r="R85"/>
  <c r="F168" l="1"/>
  <c r="J168"/>
  <c r="N168"/>
  <c r="I168"/>
  <c r="L168"/>
  <c r="Q168"/>
  <c r="R37"/>
  <c r="R62"/>
  <c r="R98" s="1"/>
  <c r="O168"/>
  <c r="P168"/>
  <c r="H168"/>
  <c r="G168"/>
  <c r="M168"/>
  <c r="R168" l="1"/>
  <c r="E23" i="6" s="1"/>
  <c r="K46" i="67" l="1"/>
  <c r="J165"/>
  <c r="J164"/>
  <c r="J163"/>
  <c r="J162"/>
  <c r="H162"/>
  <c r="J160"/>
  <c r="J159"/>
  <c r="J158"/>
  <c r="H158"/>
  <c r="J134"/>
  <c r="J133"/>
  <c r="J132"/>
  <c r="J131"/>
  <c r="H131"/>
  <c r="J129"/>
  <c r="J128"/>
  <c r="J127"/>
  <c r="H127"/>
  <c r="J103"/>
  <c r="O103" s="1"/>
  <c r="J102"/>
  <c r="O102" s="1"/>
  <c r="J101"/>
  <c r="O101" s="1"/>
  <c r="J100"/>
  <c r="O100" s="1"/>
  <c r="H100"/>
  <c r="J98"/>
  <c r="J97"/>
  <c r="J96"/>
  <c r="H96"/>
  <c r="J71"/>
  <c r="O71" s="1"/>
  <c r="J70"/>
  <c r="J69"/>
  <c r="O69" s="1"/>
  <c r="J68"/>
  <c r="O68" s="1"/>
  <c r="H68"/>
  <c r="N68" s="1"/>
  <c r="J66"/>
  <c r="O66" s="1"/>
  <c r="J65"/>
  <c r="O65" s="1"/>
  <c r="J64"/>
  <c r="H64"/>
  <c r="J45"/>
  <c r="J44"/>
  <c r="J43"/>
  <c r="J42"/>
  <c r="J41"/>
  <c r="H16"/>
  <c r="J16"/>
  <c r="C165"/>
  <c r="C164"/>
  <c r="C163"/>
  <c r="C162"/>
  <c r="C160"/>
  <c r="C159"/>
  <c r="C158"/>
  <c r="C134"/>
  <c r="C133"/>
  <c r="C132"/>
  <c r="C131"/>
  <c r="C129"/>
  <c r="C128"/>
  <c r="C127"/>
  <c r="C103"/>
  <c r="Q103" s="1"/>
  <c r="C102"/>
  <c r="Q102" s="1"/>
  <c r="C101"/>
  <c r="Q101" s="1"/>
  <c r="C100"/>
  <c r="Q100" s="1"/>
  <c r="C98"/>
  <c r="C97"/>
  <c r="C96"/>
  <c r="C70"/>
  <c r="Q70" s="1"/>
  <c r="C71"/>
  <c r="Q71" s="1"/>
  <c r="C69"/>
  <c r="Q69" s="1"/>
  <c r="C68"/>
  <c r="Q68" s="1"/>
  <c r="C66"/>
  <c r="Q66" s="1"/>
  <c r="C65"/>
  <c r="Q65" s="1"/>
  <c r="C64"/>
  <c r="Z208" i="68"/>
  <c r="AA208" s="1"/>
  <c r="O208"/>
  <c r="Q208" s="1"/>
  <c r="S208" s="1"/>
  <c r="Y208" s="1"/>
  <c r="M208"/>
  <c r="L208"/>
  <c r="Z207"/>
  <c r="O207"/>
  <c r="O206" s="1"/>
  <c r="L207"/>
  <c r="E207"/>
  <c r="M207" s="1"/>
  <c r="X206"/>
  <c r="W206"/>
  <c r="V206"/>
  <c r="U206"/>
  <c r="T206"/>
  <c r="R206"/>
  <c r="P206"/>
  <c r="N206"/>
  <c r="L206"/>
  <c r="K206"/>
  <c r="J206"/>
  <c r="I206"/>
  <c r="H206"/>
  <c r="C206"/>
  <c r="Z205"/>
  <c r="O205"/>
  <c r="L205"/>
  <c r="E205"/>
  <c r="M205" s="1"/>
  <c r="Z204"/>
  <c r="O204"/>
  <c r="M204"/>
  <c r="L204"/>
  <c r="Q204" s="1"/>
  <c r="S204" s="1"/>
  <c r="Y204" s="1"/>
  <c r="E204"/>
  <c r="Z203"/>
  <c r="O203"/>
  <c r="L203"/>
  <c r="E203"/>
  <c r="M203" s="1"/>
  <c r="Z202"/>
  <c r="O202"/>
  <c r="L202"/>
  <c r="E202"/>
  <c r="M202" s="1"/>
  <c r="X201"/>
  <c r="W201"/>
  <c r="V201"/>
  <c r="U201"/>
  <c r="T201"/>
  <c r="R201"/>
  <c r="P201"/>
  <c r="O201"/>
  <c r="N201"/>
  <c r="K201"/>
  <c r="J201"/>
  <c r="I201"/>
  <c r="H201"/>
  <c r="C201"/>
  <c r="Z200"/>
  <c r="O200"/>
  <c r="L200"/>
  <c r="E200"/>
  <c r="M200" s="1"/>
  <c r="Z199"/>
  <c r="O199"/>
  <c r="M199"/>
  <c r="L199"/>
  <c r="D199"/>
  <c r="Z198"/>
  <c r="O198"/>
  <c r="M198"/>
  <c r="D198"/>
  <c r="L198" s="1"/>
  <c r="Q198" s="1"/>
  <c r="S198" s="1"/>
  <c r="Y198" s="1"/>
  <c r="Z197"/>
  <c r="O197"/>
  <c r="M197"/>
  <c r="L197"/>
  <c r="Z196"/>
  <c r="O196"/>
  <c r="L196"/>
  <c r="E196"/>
  <c r="M196" s="1"/>
  <c r="Z195"/>
  <c r="AA195" s="1"/>
  <c r="O195"/>
  <c r="M195"/>
  <c r="D195"/>
  <c r="L195" s="1"/>
  <c r="Q195" s="1"/>
  <c r="S195" s="1"/>
  <c r="Y195" s="1"/>
  <c r="Z194"/>
  <c r="AA194" s="1"/>
  <c r="O194"/>
  <c r="M194"/>
  <c r="D194"/>
  <c r="L194" s="1"/>
  <c r="Z193"/>
  <c r="O193"/>
  <c r="O192" s="1"/>
  <c r="M193"/>
  <c r="L193"/>
  <c r="Z192"/>
  <c r="X192"/>
  <c r="W192"/>
  <c r="W180" s="1"/>
  <c r="V192"/>
  <c r="V180" s="1"/>
  <c r="U192"/>
  <c r="T192"/>
  <c r="R192"/>
  <c r="R180" s="1"/>
  <c r="P192"/>
  <c r="N192"/>
  <c r="N180" s="1"/>
  <c r="K192"/>
  <c r="K180" s="1"/>
  <c r="J192"/>
  <c r="J180" s="1"/>
  <c r="I192"/>
  <c r="H192"/>
  <c r="C192"/>
  <c r="Z191"/>
  <c r="O191"/>
  <c r="L191"/>
  <c r="E191"/>
  <c r="M191" s="1"/>
  <c r="Z190"/>
  <c r="AA190" s="1"/>
  <c r="O190"/>
  <c r="Q190" s="1"/>
  <c r="S190" s="1"/>
  <c r="Y190" s="1"/>
  <c r="M190"/>
  <c r="L190"/>
  <c r="Z189"/>
  <c r="O189"/>
  <c r="L189"/>
  <c r="E189"/>
  <c r="M189" s="1"/>
  <c r="Z188"/>
  <c r="O188"/>
  <c r="L188"/>
  <c r="E188"/>
  <c r="M188" s="1"/>
  <c r="Z187"/>
  <c r="AA187" s="1"/>
  <c r="O187"/>
  <c r="M187"/>
  <c r="Q187" s="1"/>
  <c r="S187" s="1"/>
  <c r="Y187" s="1"/>
  <c r="L187"/>
  <c r="E187"/>
  <c r="Z186"/>
  <c r="AA186" s="1"/>
  <c r="Q186"/>
  <c r="S186" s="1"/>
  <c r="Y186" s="1"/>
  <c r="O186"/>
  <c r="M186"/>
  <c r="L186"/>
  <c r="Z185"/>
  <c r="O185"/>
  <c r="L185"/>
  <c r="E185"/>
  <c r="M185" s="1"/>
  <c r="Z184"/>
  <c r="O184"/>
  <c r="L184"/>
  <c r="E184"/>
  <c r="M184" s="1"/>
  <c r="Z183"/>
  <c r="AA183" s="1"/>
  <c r="O183"/>
  <c r="M183"/>
  <c r="L183"/>
  <c r="E183"/>
  <c r="O182"/>
  <c r="M182"/>
  <c r="AA182" s="1"/>
  <c r="L182"/>
  <c r="X180"/>
  <c r="U180"/>
  <c r="T180"/>
  <c r="T171" s="1"/>
  <c r="P180"/>
  <c r="I180"/>
  <c r="H180"/>
  <c r="H171" s="1"/>
  <c r="C180"/>
  <c r="C171" s="1"/>
  <c r="Z179"/>
  <c r="O179"/>
  <c r="M179"/>
  <c r="L179"/>
  <c r="Q179" s="1"/>
  <c r="S179" s="1"/>
  <c r="Y179" s="1"/>
  <c r="Z178"/>
  <c r="O178"/>
  <c r="M178"/>
  <c r="L178"/>
  <c r="Z177"/>
  <c r="O177"/>
  <c r="M177"/>
  <c r="L177"/>
  <c r="Q177" s="1"/>
  <c r="S177" s="1"/>
  <c r="Y177" s="1"/>
  <c r="Z176"/>
  <c r="O176"/>
  <c r="M176"/>
  <c r="L176"/>
  <c r="Q176" s="1"/>
  <c r="S176" s="1"/>
  <c r="Y176" s="1"/>
  <c r="Z175"/>
  <c r="O175"/>
  <c r="M175"/>
  <c r="L175"/>
  <c r="E175"/>
  <c r="Z174"/>
  <c r="O174"/>
  <c r="M174"/>
  <c r="Q174" s="1"/>
  <c r="L174"/>
  <c r="E174"/>
  <c r="X173"/>
  <c r="W173"/>
  <c r="V173"/>
  <c r="U173"/>
  <c r="U171" s="1"/>
  <c r="T173"/>
  <c r="R173"/>
  <c r="P173"/>
  <c r="N173"/>
  <c r="K173"/>
  <c r="J173"/>
  <c r="I173"/>
  <c r="I171" s="1"/>
  <c r="H173"/>
  <c r="C173"/>
  <c r="Z172"/>
  <c r="O172"/>
  <c r="L172"/>
  <c r="E172"/>
  <c r="M172" s="1"/>
  <c r="Z169"/>
  <c r="O169"/>
  <c r="L169"/>
  <c r="Z168"/>
  <c r="O168"/>
  <c r="L168"/>
  <c r="E168"/>
  <c r="M168" s="1"/>
  <c r="X167"/>
  <c r="W167"/>
  <c r="V167"/>
  <c r="U167"/>
  <c r="T167"/>
  <c r="R167"/>
  <c r="R132" s="1"/>
  <c r="P167"/>
  <c r="N167"/>
  <c r="J167"/>
  <c r="I167"/>
  <c r="H167"/>
  <c r="C167"/>
  <c r="Z166"/>
  <c r="O166"/>
  <c r="L166"/>
  <c r="E166"/>
  <c r="M166" s="1"/>
  <c r="Q166" s="1"/>
  <c r="S166" s="1"/>
  <c r="Y166" s="1"/>
  <c r="Z165"/>
  <c r="O165"/>
  <c r="L165"/>
  <c r="E165"/>
  <c r="M165" s="1"/>
  <c r="Z164"/>
  <c r="O164"/>
  <c r="L164"/>
  <c r="Q164" s="1"/>
  <c r="S164" s="1"/>
  <c r="Y164" s="1"/>
  <c r="E164"/>
  <c r="M164" s="1"/>
  <c r="Z163"/>
  <c r="O163"/>
  <c r="L163"/>
  <c r="E163"/>
  <c r="M163" s="1"/>
  <c r="M162" s="1"/>
  <c r="X162"/>
  <c r="W162"/>
  <c r="V162"/>
  <c r="U162"/>
  <c r="T162"/>
  <c r="P162"/>
  <c r="N162"/>
  <c r="K162"/>
  <c r="J162"/>
  <c r="I162"/>
  <c r="H162"/>
  <c r="C162"/>
  <c r="Z161"/>
  <c r="O161"/>
  <c r="M161"/>
  <c r="L161"/>
  <c r="Q161" s="1"/>
  <c r="S161" s="1"/>
  <c r="Y161" s="1"/>
  <c r="Z160"/>
  <c r="AA160" s="1"/>
  <c r="O160"/>
  <c r="M160"/>
  <c r="D160"/>
  <c r="L160" s="1"/>
  <c r="Q160" s="1"/>
  <c r="S160" s="1"/>
  <c r="Y160" s="1"/>
  <c r="Z159"/>
  <c r="O159"/>
  <c r="M159"/>
  <c r="D159"/>
  <c r="L159" s="1"/>
  <c r="Z158"/>
  <c r="AA158" s="1"/>
  <c r="O158"/>
  <c r="Q158" s="1"/>
  <c r="S158" s="1"/>
  <c r="Y158" s="1"/>
  <c r="M158"/>
  <c r="L158"/>
  <c r="Z157"/>
  <c r="AA157" s="1"/>
  <c r="O157"/>
  <c r="Q157" s="1"/>
  <c r="S157" s="1"/>
  <c r="Y157" s="1"/>
  <c r="M157"/>
  <c r="L157"/>
  <c r="Z156"/>
  <c r="AA156" s="1"/>
  <c r="O156"/>
  <c r="O153" s="1"/>
  <c r="M156"/>
  <c r="D156"/>
  <c r="L156" s="1"/>
  <c r="Z155"/>
  <c r="O155"/>
  <c r="M155"/>
  <c r="D155"/>
  <c r="L155" s="1"/>
  <c r="Q155" s="1"/>
  <c r="S155" s="1"/>
  <c r="Y155" s="1"/>
  <c r="Z154"/>
  <c r="O154"/>
  <c r="M154"/>
  <c r="L154"/>
  <c r="Q154" s="1"/>
  <c r="X153"/>
  <c r="X141" s="1"/>
  <c r="P153"/>
  <c r="N153"/>
  <c r="K153"/>
  <c r="J153"/>
  <c r="J141" s="1"/>
  <c r="J132" s="1"/>
  <c r="I153"/>
  <c r="I141" s="1"/>
  <c r="H153"/>
  <c r="H141" s="1"/>
  <c r="Z152"/>
  <c r="O152"/>
  <c r="L152"/>
  <c r="E152"/>
  <c r="M152" s="1"/>
  <c r="Z151"/>
  <c r="AA151" s="1"/>
  <c r="O151"/>
  <c r="M151"/>
  <c r="L151"/>
  <c r="Z150"/>
  <c r="O150"/>
  <c r="L150"/>
  <c r="Q150" s="1"/>
  <c r="S150" s="1"/>
  <c r="Y150" s="1"/>
  <c r="E150"/>
  <c r="M150" s="1"/>
  <c r="Z149"/>
  <c r="O149"/>
  <c r="L149"/>
  <c r="E149"/>
  <c r="M149" s="1"/>
  <c r="Z148"/>
  <c r="O148"/>
  <c r="L148"/>
  <c r="E148"/>
  <c r="M148" s="1"/>
  <c r="Q148" s="1"/>
  <c r="S148" s="1"/>
  <c r="Y148" s="1"/>
  <c r="Z147"/>
  <c r="O147"/>
  <c r="L147"/>
  <c r="K147"/>
  <c r="Z146"/>
  <c r="O146"/>
  <c r="L146"/>
  <c r="E146"/>
  <c r="M146" s="1"/>
  <c r="Z145"/>
  <c r="O145"/>
  <c r="L145"/>
  <c r="E145"/>
  <c r="Z144"/>
  <c r="O144"/>
  <c r="L144"/>
  <c r="E144"/>
  <c r="M144" s="1"/>
  <c r="O143"/>
  <c r="M143"/>
  <c r="Q143" s="1"/>
  <c r="S143" s="1"/>
  <c r="L143"/>
  <c r="W141"/>
  <c r="V141"/>
  <c r="U141"/>
  <c r="T141"/>
  <c r="P141"/>
  <c r="N141"/>
  <c r="C141"/>
  <c r="Z140"/>
  <c r="O140"/>
  <c r="M140"/>
  <c r="L140"/>
  <c r="Z139"/>
  <c r="O139"/>
  <c r="M139"/>
  <c r="L139"/>
  <c r="Q139" s="1"/>
  <c r="S139" s="1"/>
  <c r="Y139" s="1"/>
  <c r="Z138"/>
  <c r="O138"/>
  <c r="M138"/>
  <c r="L138"/>
  <c r="Q138" s="1"/>
  <c r="S138" s="1"/>
  <c r="Y138" s="1"/>
  <c r="Z137"/>
  <c r="O137"/>
  <c r="M137"/>
  <c r="L137"/>
  <c r="Z136"/>
  <c r="O136"/>
  <c r="M136"/>
  <c r="L136"/>
  <c r="Q136" s="1"/>
  <c r="S136" s="1"/>
  <c r="Y136" s="1"/>
  <c r="E136"/>
  <c r="Z135"/>
  <c r="O135"/>
  <c r="L135"/>
  <c r="L134" s="1"/>
  <c r="E135"/>
  <c r="M135" s="1"/>
  <c r="X134"/>
  <c r="W134"/>
  <c r="V134"/>
  <c r="V132" s="1"/>
  <c r="U134"/>
  <c r="T134"/>
  <c r="T132" s="1"/>
  <c r="P134"/>
  <c r="N134"/>
  <c r="N132" s="1"/>
  <c r="K134"/>
  <c r="J134"/>
  <c r="I134"/>
  <c r="H134"/>
  <c r="C134"/>
  <c r="C132" s="1"/>
  <c r="Z133"/>
  <c r="O133"/>
  <c r="L133"/>
  <c r="E133"/>
  <c r="M133" s="1"/>
  <c r="W132"/>
  <c r="U132"/>
  <c r="AA131"/>
  <c r="Z130"/>
  <c r="O130"/>
  <c r="M130"/>
  <c r="L130"/>
  <c r="Z129"/>
  <c r="O129"/>
  <c r="O128" s="1"/>
  <c r="L129"/>
  <c r="L128" s="1"/>
  <c r="E129"/>
  <c r="X128"/>
  <c r="W128"/>
  <c r="V128"/>
  <c r="U128"/>
  <c r="T128"/>
  <c r="R128"/>
  <c r="P128"/>
  <c r="N128"/>
  <c r="J128"/>
  <c r="I128"/>
  <c r="H128"/>
  <c r="C128"/>
  <c r="Z127"/>
  <c r="O127"/>
  <c r="L127"/>
  <c r="E127"/>
  <c r="M127" s="1"/>
  <c r="Z126"/>
  <c r="O126"/>
  <c r="L126"/>
  <c r="E126"/>
  <c r="M126" s="1"/>
  <c r="Z125"/>
  <c r="O125"/>
  <c r="M125"/>
  <c r="AA125" s="1"/>
  <c r="L125"/>
  <c r="E125"/>
  <c r="Z124"/>
  <c r="O124"/>
  <c r="M124"/>
  <c r="L124"/>
  <c r="Q124" s="1"/>
  <c r="E124"/>
  <c r="X123"/>
  <c r="W123"/>
  <c r="V123"/>
  <c r="U123"/>
  <c r="T123"/>
  <c r="R123"/>
  <c r="P123"/>
  <c r="N123"/>
  <c r="K123"/>
  <c r="J123"/>
  <c r="I123"/>
  <c r="H123"/>
  <c r="C123"/>
  <c r="Z122"/>
  <c r="AA122" s="1"/>
  <c r="O122"/>
  <c r="Q122" s="1"/>
  <c r="S122" s="1"/>
  <c r="Y122" s="1"/>
  <c r="M122"/>
  <c r="L122"/>
  <c r="Z121"/>
  <c r="AA121" s="1"/>
  <c r="O121"/>
  <c r="M121"/>
  <c r="D121"/>
  <c r="L121" s="1"/>
  <c r="Z120"/>
  <c r="O120"/>
  <c r="M120"/>
  <c r="AA120" s="1"/>
  <c r="L120"/>
  <c r="Q120" s="1"/>
  <c r="S120" s="1"/>
  <c r="Y120" s="1"/>
  <c r="D120"/>
  <c r="Z119"/>
  <c r="O119"/>
  <c r="M119"/>
  <c r="AA119" s="1"/>
  <c r="L119"/>
  <c r="Q119" s="1"/>
  <c r="S119" s="1"/>
  <c r="Y119" s="1"/>
  <c r="Z118"/>
  <c r="O118"/>
  <c r="L118"/>
  <c r="E118"/>
  <c r="M118" s="1"/>
  <c r="AA118" s="1"/>
  <c r="Z117"/>
  <c r="O117"/>
  <c r="M117"/>
  <c r="L117"/>
  <c r="D117"/>
  <c r="Z116"/>
  <c r="AA116" s="1"/>
  <c r="O116"/>
  <c r="M116"/>
  <c r="D116"/>
  <c r="L116" s="1"/>
  <c r="Z115"/>
  <c r="AA115" s="1"/>
  <c r="O115"/>
  <c r="M115"/>
  <c r="L115"/>
  <c r="Z114"/>
  <c r="X114"/>
  <c r="X102" s="1"/>
  <c r="W114"/>
  <c r="V114"/>
  <c r="U114"/>
  <c r="T114"/>
  <c r="T102" s="1"/>
  <c r="R114"/>
  <c r="P114"/>
  <c r="P102" s="1"/>
  <c r="N114"/>
  <c r="N102" s="1"/>
  <c r="K114"/>
  <c r="J114"/>
  <c r="J102" s="1"/>
  <c r="I114"/>
  <c r="H114"/>
  <c r="H102" s="1"/>
  <c r="C114"/>
  <c r="Z113"/>
  <c r="O113"/>
  <c r="M113"/>
  <c r="AA113" s="1"/>
  <c r="L113"/>
  <c r="E113"/>
  <c r="Z112"/>
  <c r="O112"/>
  <c r="L112"/>
  <c r="Z111"/>
  <c r="O111"/>
  <c r="L111"/>
  <c r="E111"/>
  <c r="M111" s="1"/>
  <c r="Z110"/>
  <c r="O110"/>
  <c r="L110"/>
  <c r="Q110" s="1"/>
  <c r="S110" s="1"/>
  <c r="Y110" s="1"/>
  <c r="E110"/>
  <c r="M110" s="1"/>
  <c r="Z109"/>
  <c r="O109"/>
  <c r="L109"/>
  <c r="K109"/>
  <c r="M109" s="1"/>
  <c r="AA109" s="1"/>
  <c r="E109"/>
  <c r="O108"/>
  <c r="M108"/>
  <c r="AA108" s="1"/>
  <c r="L108"/>
  <c r="Q108" s="1"/>
  <c r="S108" s="1"/>
  <c r="Y108" s="1"/>
  <c r="Z107"/>
  <c r="O107"/>
  <c r="L107"/>
  <c r="E107"/>
  <c r="M107" s="1"/>
  <c r="Z106"/>
  <c r="O106"/>
  <c r="L106"/>
  <c r="E106"/>
  <c r="M106" s="1"/>
  <c r="Z105"/>
  <c r="O105"/>
  <c r="L105"/>
  <c r="E105"/>
  <c r="M105" s="1"/>
  <c r="AA105" s="1"/>
  <c r="O104"/>
  <c r="L104"/>
  <c r="K104"/>
  <c r="M104" s="1"/>
  <c r="W102"/>
  <c r="V102"/>
  <c r="U102"/>
  <c r="U93" s="1"/>
  <c r="R102"/>
  <c r="I102"/>
  <c r="C102"/>
  <c r="Z101"/>
  <c r="AA101" s="1"/>
  <c r="O101"/>
  <c r="M101"/>
  <c r="L101"/>
  <c r="Q101" s="1"/>
  <c r="S101" s="1"/>
  <c r="Y101" s="1"/>
  <c r="Z100"/>
  <c r="AA100" s="1"/>
  <c r="O100"/>
  <c r="M100"/>
  <c r="L100"/>
  <c r="Q100" s="1"/>
  <c r="S100" s="1"/>
  <c r="Y100" s="1"/>
  <c r="Z99"/>
  <c r="AA99" s="1"/>
  <c r="O99"/>
  <c r="M99"/>
  <c r="L99"/>
  <c r="Z98"/>
  <c r="AA98" s="1"/>
  <c r="O98"/>
  <c r="M98"/>
  <c r="L98"/>
  <c r="Z97"/>
  <c r="O97"/>
  <c r="L97"/>
  <c r="I97"/>
  <c r="I95" s="1"/>
  <c r="I93" s="1"/>
  <c r="I90" s="1"/>
  <c r="I88" s="1"/>
  <c r="E97"/>
  <c r="Z96"/>
  <c r="O96"/>
  <c r="L96"/>
  <c r="E96"/>
  <c r="M96" s="1"/>
  <c r="X95"/>
  <c r="W95"/>
  <c r="W93" s="1"/>
  <c r="V95"/>
  <c r="U95"/>
  <c r="T95"/>
  <c r="R95"/>
  <c r="P95"/>
  <c r="O95"/>
  <c r="N95"/>
  <c r="J95"/>
  <c r="H95"/>
  <c r="C95"/>
  <c r="C93" s="1"/>
  <c r="Z94"/>
  <c r="Z93" s="1"/>
  <c r="O94"/>
  <c r="L94"/>
  <c r="E94"/>
  <c r="M94" s="1"/>
  <c r="F93"/>
  <c r="D93"/>
  <c r="O91"/>
  <c r="M91"/>
  <c r="L91"/>
  <c r="Z90"/>
  <c r="O90"/>
  <c r="L90"/>
  <c r="Z89"/>
  <c r="O89"/>
  <c r="O88" s="1"/>
  <c r="M89"/>
  <c r="L89"/>
  <c r="Q89" s="1"/>
  <c r="E89"/>
  <c r="X88"/>
  <c r="V88"/>
  <c r="U88"/>
  <c r="T88"/>
  <c r="R88"/>
  <c r="P88"/>
  <c r="N88"/>
  <c r="J88"/>
  <c r="H88"/>
  <c r="C88"/>
  <c r="Z87"/>
  <c r="O87"/>
  <c r="L87"/>
  <c r="E87"/>
  <c r="M87" s="1"/>
  <c r="Q87" s="1"/>
  <c r="S87" s="1"/>
  <c r="Y87" s="1"/>
  <c r="Z86"/>
  <c r="O86"/>
  <c r="O83" s="1"/>
  <c r="L86"/>
  <c r="E86"/>
  <c r="M86" s="1"/>
  <c r="Z85"/>
  <c r="O85"/>
  <c r="L85"/>
  <c r="L83" s="1"/>
  <c r="E85"/>
  <c r="M85" s="1"/>
  <c r="Z84"/>
  <c r="O84"/>
  <c r="L84"/>
  <c r="E84"/>
  <c r="M84" s="1"/>
  <c r="X83"/>
  <c r="W83"/>
  <c r="V83"/>
  <c r="U83"/>
  <c r="T83"/>
  <c r="R83"/>
  <c r="R53" s="1"/>
  <c r="P83"/>
  <c r="N83"/>
  <c r="K83"/>
  <c r="J83"/>
  <c r="I83"/>
  <c r="H83"/>
  <c r="C83"/>
  <c r="Z82"/>
  <c r="AA82" s="1"/>
  <c r="Z81"/>
  <c r="AA81" s="1"/>
  <c r="D81"/>
  <c r="Z80"/>
  <c r="AA80" s="1"/>
  <c r="D80"/>
  <c r="Z79"/>
  <c r="AA79" s="1"/>
  <c r="Z78"/>
  <c r="AA78" s="1"/>
  <c r="E78"/>
  <c r="Z77"/>
  <c r="AA77" s="1"/>
  <c r="D77"/>
  <c r="AA76"/>
  <c r="Z76"/>
  <c r="D76"/>
  <c r="Z75"/>
  <c r="AA75" s="1"/>
  <c r="M74"/>
  <c r="L74"/>
  <c r="Z73"/>
  <c r="L73"/>
  <c r="E73"/>
  <c r="M73" s="1"/>
  <c r="Z72"/>
  <c r="M72"/>
  <c r="L72"/>
  <c r="Z71"/>
  <c r="O71"/>
  <c r="M71"/>
  <c r="L71"/>
  <c r="E71"/>
  <c r="C71"/>
  <c r="Z70"/>
  <c r="L70"/>
  <c r="K70"/>
  <c r="M70" s="1"/>
  <c r="I70"/>
  <c r="I62" s="1"/>
  <c r="E70"/>
  <c r="C70"/>
  <c r="O70" s="1"/>
  <c r="Z69"/>
  <c r="L69"/>
  <c r="E69"/>
  <c r="M69" s="1"/>
  <c r="C69"/>
  <c r="O69" s="1"/>
  <c r="Z68"/>
  <c r="M68"/>
  <c r="L68"/>
  <c r="C68"/>
  <c r="O68" s="1"/>
  <c r="Z67"/>
  <c r="L67"/>
  <c r="E67"/>
  <c r="M67" s="1"/>
  <c r="Z66"/>
  <c r="L66"/>
  <c r="E66"/>
  <c r="M66" s="1"/>
  <c r="C66"/>
  <c r="O66" s="1"/>
  <c r="Z65"/>
  <c r="L65"/>
  <c r="E65"/>
  <c r="M65" s="1"/>
  <c r="C65"/>
  <c r="O65" s="1"/>
  <c r="M64"/>
  <c r="L64"/>
  <c r="C64"/>
  <c r="O64" s="1"/>
  <c r="Y62"/>
  <c r="X62"/>
  <c r="W62"/>
  <c r="W56" s="1"/>
  <c r="W55" s="1"/>
  <c r="W54" s="1"/>
  <c r="W53" s="1"/>
  <c r="V62"/>
  <c r="V56" s="1"/>
  <c r="V55" s="1"/>
  <c r="V54" s="1"/>
  <c r="V53" s="1"/>
  <c r="U62"/>
  <c r="T62"/>
  <c r="R62"/>
  <c r="P62"/>
  <c r="N62"/>
  <c r="J62"/>
  <c r="H62"/>
  <c r="Z61"/>
  <c r="M61"/>
  <c r="L61"/>
  <c r="Z60"/>
  <c r="M60"/>
  <c r="L60"/>
  <c r="Z59"/>
  <c r="M59"/>
  <c r="L59"/>
  <c r="Z58"/>
  <c r="M58"/>
  <c r="L58"/>
  <c r="Z57"/>
  <c r="L57"/>
  <c r="E57"/>
  <c r="M57" s="1"/>
  <c r="Z56"/>
  <c r="U56"/>
  <c r="U55" s="1"/>
  <c r="U54" s="1"/>
  <c r="U53" s="1"/>
  <c r="T56"/>
  <c r="L56"/>
  <c r="L55" s="1"/>
  <c r="E56"/>
  <c r="Y55"/>
  <c r="X55"/>
  <c r="T55"/>
  <c r="T54" s="1"/>
  <c r="T53" s="1"/>
  <c r="R55"/>
  <c r="P55"/>
  <c r="N55"/>
  <c r="J55"/>
  <c r="I55"/>
  <c r="I54" s="1"/>
  <c r="H55"/>
  <c r="Z54"/>
  <c r="L54"/>
  <c r="E54"/>
  <c r="N53"/>
  <c r="J53"/>
  <c r="O52"/>
  <c r="L49"/>
  <c r="E49"/>
  <c r="M49" s="1"/>
  <c r="M48"/>
  <c r="L48"/>
  <c r="E48"/>
  <c r="X47"/>
  <c r="W47"/>
  <c r="V47"/>
  <c r="U47"/>
  <c r="T47"/>
  <c r="R47"/>
  <c r="P47"/>
  <c r="N47"/>
  <c r="K47"/>
  <c r="J47"/>
  <c r="I47"/>
  <c r="I39" s="1"/>
  <c r="H47"/>
  <c r="L46"/>
  <c r="E46"/>
  <c r="M46" s="1"/>
  <c r="M45"/>
  <c r="L45"/>
  <c r="M44"/>
  <c r="L44"/>
  <c r="M43"/>
  <c r="L43"/>
  <c r="M42"/>
  <c r="L42"/>
  <c r="L40" s="1"/>
  <c r="M41"/>
  <c r="L41"/>
  <c r="X40"/>
  <c r="X39" s="1"/>
  <c r="W40"/>
  <c r="W39" s="1"/>
  <c r="V40"/>
  <c r="U40"/>
  <c r="U39" s="1"/>
  <c r="T40"/>
  <c r="T39" s="1"/>
  <c r="R40"/>
  <c r="P40"/>
  <c r="P39" s="1"/>
  <c r="N40"/>
  <c r="K40"/>
  <c r="K39" s="1"/>
  <c r="J40"/>
  <c r="J39" s="1"/>
  <c r="I40"/>
  <c r="H40"/>
  <c r="H39" s="1"/>
  <c r="Z39"/>
  <c r="Z50" s="1"/>
  <c r="R39"/>
  <c r="Z38"/>
  <c r="L38"/>
  <c r="E38"/>
  <c r="M38" s="1"/>
  <c r="Z37"/>
  <c r="L37"/>
  <c r="E37"/>
  <c r="M37" s="1"/>
  <c r="X36"/>
  <c r="W36"/>
  <c r="V36"/>
  <c r="U36"/>
  <c r="U33" s="1"/>
  <c r="T36"/>
  <c r="R36"/>
  <c r="P36"/>
  <c r="N36"/>
  <c r="K36"/>
  <c r="J36"/>
  <c r="J33" s="1"/>
  <c r="I36"/>
  <c r="H36"/>
  <c r="Z35"/>
  <c r="L35"/>
  <c r="E35"/>
  <c r="M35" s="1"/>
  <c r="Z34"/>
  <c r="L34"/>
  <c r="E34"/>
  <c r="M34" s="1"/>
  <c r="X33"/>
  <c r="W33"/>
  <c r="V33"/>
  <c r="T33"/>
  <c r="R33"/>
  <c r="P33"/>
  <c r="N33"/>
  <c r="K33"/>
  <c r="I33"/>
  <c r="H33"/>
  <c r="Z32"/>
  <c r="M32"/>
  <c r="L32"/>
  <c r="E32"/>
  <c r="Z31"/>
  <c r="L31"/>
  <c r="E31"/>
  <c r="M31" s="1"/>
  <c r="Z30"/>
  <c r="L30"/>
  <c r="E30"/>
  <c r="M30" s="1"/>
  <c r="X29"/>
  <c r="W29"/>
  <c r="V29"/>
  <c r="U29"/>
  <c r="T29"/>
  <c r="R29"/>
  <c r="P29"/>
  <c r="N29"/>
  <c r="K29"/>
  <c r="J29"/>
  <c r="I29"/>
  <c r="H29"/>
  <c r="Z28"/>
  <c r="M28"/>
  <c r="L28"/>
  <c r="Z27"/>
  <c r="M27"/>
  <c r="L27"/>
  <c r="Z26"/>
  <c r="M26"/>
  <c r="L26"/>
  <c r="Z25"/>
  <c r="M25"/>
  <c r="L25"/>
  <c r="Z24"/>
  <c r="L24"/>
  <c r="E24"/>
  <c r="M24" s="1"/>
  <c r="Z23"/>
  <c r="M23"/>
  <c r="L23"/>
  <c r="E23"/>
  <c r="Z22"/>
  <c r="L22"/>
  <c r="E22"/>
  <c r="M22" s="1"/>
  <c r="Z21"/>
  <c r="L21"/>
  <c r="E21"/>
  <c r="M21" s="1"/>
  <c r="Z20"/>
  <c r="L20"/>
  <c r="E20"/>
  <c r="M20" s="1"/>
  <c r="Z19"/>
  <c r="L19"/>
  <c r="E19"/>
  <c r="M19" s="1"/>
  <c r="X18"/>
  <c r="W18"/>
  <c r="V18"/>
  <c r="V17" s="1"/>
  <c r="U18"/>
  <c r="T18"/>
  <c r="R18"/>
  <c r="R17" s="1"/>
  <c r="P18"/>
  <c r="P17" s="1"/>
  <c r="N18"/>
  <c r="N17" s="1"/>
  <c r="K18"/>
  <c r="K17" s="1"/>
  <c r="J18"/>
  <c r="I18"/>
  <c r="H18"/>
  <c r="H17" s="1"/>
  <c r="X17"/>
  <c r="W17"/>
  <c r="U17"/>
  <c r="T17"/>
  <c r="J17"/>
  <c r="I17"/>
  <c r="M16"/>
  <c r="L16"/>
  <c r="C16"/>
  <c r="O16" s="1"/>
  <c r="Q16" s="1"/>
  <c r="S16" s="1"/>
  <c r="Y16" s="1"/>
  <c r="Z15"/>
  <c r="L15"/>
  <c r="E15"/>
  <c r="M15" s="1"/>
  <c r="Z14"/>
  <c r="L14"/>
  <c r="E14"/>
  <c r="M14" s="1"/>
  <c r="Z13"/>
  <c r="L13"/>
  <c r="E13"/>
  <c r="M13" s="1"/>
  <c r="L12"/>
  <c r="L9" s="1"/>
  <c r="L8" s="1"/>
  <c r="E12"/>
  <c r="M12" s="1"/>
  <c r="M11"/>
  <c r="L11"/>
  <c r="E11"/>
  <c r="L10"/>
  <c r="E10"/>
  <c r="M10" s="1"/>
  <c r="X9"/>
  <c r="W9"/>
  <c r="W8" s="1"/>
  <c r="V9"/>
  <c r="U9"/>
  <c r="T9"/>
  <c r="R9"/>
  <c r="P9"/>
  <c r="N9"/>
  <c r="K9"/>
  <c r="J9"/>
  <c r="I9"/>
  <c r="H9"/>
  <c r="H8" s="1"/>
  <c r="X8"/>
  <c r="V8"/>
  <c r="U8"/>
  <c r="T8"/>
  <c r="R8"/>
  <c r="P8"/>
  <c r="N8"/>
  <c r="K8"/>
  <c r="J8"/>
  <c r="I8"/>
  <c r="B5"/>
  <c r="C16" i="67"/>
  <c r="P230" i="46"/>
  <c r="O230"/>
  <c r="N230"/>
  <c r="M230"/>
  <c r="L230"/>
  <c r="K230"/>
  <c r="J230"/>
  <c r="I230"/>
  <c r="H230"/>
  <c r="G230"/>
  <c r="F230"/>
  <c r="E230"/>
  <c r="P225"/>
  <c r="O225"/>
  <c r="N225"/>
  <c r="M225"/>
  <c r="L225"/>
  <c r="K225"/>
  <c r="J225"/>
  <c r="I225"/>
  <c r="H225"/>
  <c r="G225"/>
  <c r="F225"/>
  <c r="E225"/>
  <c r="P218"/>
  <c r="O218"/>
  <c r="N218"/>
  <c r="M218"/>
  <c r="L218"/>
  <c r="K218"/>
  <c r="J218"/>
  <c r="I218"/>
  <c r="H218"/>
  <c r="G218"/>
  <c r="F218"/>
  <c r="E218"/>
  <c r="P211"/>
  <c r="O211"/>
  <c r="O209" s="1"/>
  <c r="N211"/>
  <c r="N209" s="1"/>
  <c r="M211"/>
  <c r="M209" s="1"/>
  <c r="L211"/>
  <c r="K211"/>
  <c r="J211"/>
  <c r="I211"/>
  <c r="H211"/>
  <c r="G211"/>
  <c r="G209" s="1"/>
  <c r="F211"/>
  <c r="F209" s="1"/>
  <c r="E211"/>
  <c r="E209" s="1"/>
  <c r="P210"/>
  <c r="L210"/>
  <c r="P206"/>
  <c r="O206"/>
  <c r="N206"/>
  <c r="M206"/>
  <c r="L206"/>
  <c r="K206"/>
  <c r="J206"/>
  <c r="I206"/>
  <c r="H206"/>
  <c r="G206"/>
  <c r="F206"/>
  <c r="E206"/>
  <c r="P201"/>
  <c r="O201"/>
  <c r="N201"/>
  <c r="M201"/>
  <c r="L201"/>
  <c r="K201"/>
  <c r="J201"/>
  <c r="I201"/>
  <c r="H201"/>
  <c r="G201"/>
  <c r="F201"/>
  <c r="E201"/>
  <c r="L195"/>
  <c r="L194" s="1"/>
  <c r="P194"/>
  <c r="O194"/>
  <c r="N194"/>
  <c r="M194"/>
  <c r="K194"/>
  <c r="J194"/>
  <c r="I194"/>
  <c r="H194"/>
  <c r="G194"/>
  <c r="F194"/>
  <c r="E194"/>
  <c r="P188"/>
  <c r="P187" s="1"/>
  <c r="L188"/>
  <c r="L187" s="1"/>
  <c r="O187"/>
  <c r="N187"/>
  <c r="M187"/>
  <c r="K187"/>
  <c r="J187"/>
  <c r="I187"/>
  <c r="H187"/>
  <c r="H185" s="1"/>
  <c r="G187"/>
  <c r="F187"/>
  <c r="E187"/>
  <c r="P186"/>
  <c r="L186"/>
  <c r="P182"/>
  <c r="O182"/>
  <c r="N182"/>
  <c r="M182"/>
  <c r="L182"/>
  <c r="K182"/>
  <c r="J182"/>
  <c r="I182"/>
  <c r="H182"/>
  <c r="G182"/>
  <c r="F182"/>
  <c r="E182"/>
  <c r="P177"/>
  <c r="O177"/>
  <c r="N177"/>
  <c r="M177"/>
  <c r="L177"/>
  <c r="K177"/>
  <c r="J177"/>
  <c r="I177"/>
  <c r="H177"/>
  <c r="G177"/>
  <c r="F177"/>
  <c r="E177"/>
  <c r="L171"/>
  <c r="L170" s="1"/>
  <c r="H171"/>
  <c r="H170" s="1"/>
  <c r="P170"/>
  <c r="O170"/>
  <c r="N170"/>
  <c r="M170"/>
  <c r="K170"/>
  <c r="J170"/>
  <c r="I170"/>
  <c r="G170"/>
  <c r="F170"/>
  <c r="E170"/>
  <c r="P163"/>
  <c r="O163"/>
  <c r="N163"/>
  <c r="M163"/>
  <c r="L163"/>
  <c r="K163"/>
  <c r="J163"/>
  <c r="I163"/>
  <c r="H163"/>
  <c r="G163"/>
  <c r="F163"/>
  <c r="E163"/>
  <c r="P162"/>
  <c r="P161" s="1"/>
  <c r="L162"/>
  <c r="P159"/>
  <c r="L159"/>
  <c r="P156"/>
  <c r="O156"/>
  <c r="N156"/>
  <c r="M156"/>
  <c r="L156"/>
  <c r="K156"/>
  <c r="J156"/>
  <c r="I156"/>
  <c r="H156"/>
  <c r="G156"/>
  <c r="F156"/>
  <c r="E156"/>
  <c r="P151"/>
  <c r="O151"/>
  <c r="N151"/>
  <c r="M151"/>
  <c r="L151"/>
  <c r="K151"/>
  <c r="J151"/>
  <c r="I151"/>
  <c r="H151"/>
  <c r="G151"/>
  <c r="F151"/>
  <c r="E151"/>
  <c r="P144"/>
  <c r="O144"/>
  <c r="N144"/>
  <c r="M144"/>
  <c r="L144"/>
  <c r="K144"/>
  <c r="J144"/>
  <c r="I144"/>
  <c r="H144"/>
  <c r="G144"/>
  <c r="F144"/>
  <c r="E144"/>
  <c r="H138"/>
  <c r="H137" s="1"/>
  <c r="P137"/>
  <c r="O137"/>
  <c r="N137"/>
  <c r="M137"/>
  <c r="L137"/>
  <c r="K137"/>
  <c r="J137"/>
  <c r="I137"/>
  <c r="G137"/>
  <c r="F137"/>
  <c r="E137"/>
  <c r="P136"/>
  <c r="L136"/>
  <c r="P132"/>
  <c r="O132"/>
  <c r="N132"/>
  <c r="M132"/>
  <c r="L132"/>
  <c r="K132"/>
  <c r="J132"/>
  <c r="I132"/>
  <c r="H132"/>
  <c r="G132"/>
  <c r="F132"/>
  <c r="E132"/>
  <c r="P16"/>
  <c r="O16"/>
  <c r="N16"/>
  <c r="M16"/>
  <c r="L16"/>
  <c r="K16"/>
  <c r="J16"/>
  <c r="I16"/>
  <c r="H16"/>
  <c r="G16"/>
  <c r="F16"/>
  <c r="E16"/>
  <c r="U73" i="7"/>
  <c r="S27"/>
  <c r="U27" s="1"/>
  <c r="S15"/>
  <c r="U15" s="1"/>
  <c r="S8"/>
  <c r="V13" i="3"/>
  <c r="T13"/>
  <c r="R13"/>
  <c r="AA204" i="68" l="1"/>
  <c r="AA149"/>
  <c r="J161" i="46"/>
  <c r="H209"/>
  <c r="F185"/>
  <c r="N185"/>
  <c r="E135"/>
  <c r="E185"/>
  <c r="M185"/>
  <c r="M135"/>
  <c r="I53" i="68"/>
  <c r="K171"/>
  <c r="K169" s="1"/>
  <c r="L192"/>
  <c r="L180" s="1"/>
  <c r="W171"/>
  <c r="W209"/>
  <c r="O114"/>
  <c r="O180"/>
  <c r="AA107"/>
  <c r="Q109"/>
  <c r="S109" s="1"/>
  <c r="Y109" s="1"/>
  <c r="AA117"/>
  <c r="AA114" s="1"/>
  <c r="H132"/>
  <c r="P132"/>
  <c r="AA137"/>
  <c r="AA140"/>
  <c r="O141"/>
  <c r="Q149"/>
  <c r="S149" s="1"/>
  <c r="Y149" s="1"/>
  <c r="X132"/>
  <c r="AA159"/>
  <c r="Q163"/>
  <c r="Q168"/>
  <c r="V171"/>
  <c r="O173"/>
  <c r="AA178"/>
  <c r="AA193"/>
  <c r="Q203"/>
  <c r="S203" s="1"/>
  <c r="Y203" s="1"/>
  <c r="L209" i="46"/>
  <c r="AA87" i="68"/>
  <c r="M161" i="46"/>
  <c r="H161"/>
  <c r="I50" i="68"/>
  <c r="R50"/>
  <c r="V39"/>
  <c r="V50" s="1"/>
  <c r="U209"/>
  <c r="L62"/>
  <c r="Q84"/>
  <c r="R93"/>
  <c r="O123"/>
  <c r="I132"/>
  <c r="N171"/>
  <c r="AA174"/>
  <c r="Q188"/>
  <c r="S188" s="1"/>
  <c r="Y188" s="1"/>
  <c r="AA197"/>
  <c r="AA198"/>
  <c r="AA200"/>
  <c r="P50"/>
  <c r="M47"/>
  <c r="N135" i="46"/>
  <c r="J50" i="68"/>
  <c r="N39"/>
  <c r="N50" s="1"/>
  <c r="X53"/>
  <c r="AA89"/>
  <c r="Q107"/>
  <c r="S107" s="1"/>
  <c r="Y107" s="1"/>
  <c r="P93"/>
  <c r="X93"/>
  <c r="Q118"/>
  <c r="S118" s="1"/>
  <c r="Y118" s="1"/>
  <c r="AA124"/>
  <c r="AA126"/>
  <c r="O134"/>
  <c r="AA136"/>
  <c r="AA139"/>
  <c r="Q151"/>
  <c r="S151" s="1"/>
  <c r="Y151" s="1"/>
  <c r="AA154"/>
  <c r="AA155"/>
  <c r="O167"/>
  <c r="AA177"/>
  <c r="Q183"/>
  <c r="S183" s="1"/>
  <c r="Y183" s="1"/>
  <c r="R171"/>
  <c r="L135" i="46"/>
  <c r="I135"/>
  <c r="J209"/>
  <c r="U50" i="68"/>
  <c r="U210" s="1"/>
  <c r="P53"/>
  <c r="P209" s="1"/>
  <c r="P210" s="1"/>
  <c r="L88"/>
  <c r="Q94"/>
  <c r="J93"/>
  <c r="Q99"/>
  <c r="S99" s="1"/>
  <c r="Y99" s="1"/>
  <c r="H93"/>
  <c r="Q126"/>
  <c r="S126" s="1"/>
  <c r="Y126" s="1"/>
  <c r="Q130"/>
  <c r="S130" s="1"/>
  <c r="Y130" s="1"/>
  <c r="Q137"/>
  <c r="S137" s="1"/>
  <c r="Y137" s="1"/>
  <c r="Q140"/>
  <c r="S140" s="1"/>
  <c r="Y140" s="1"/>
  <c r="Q159"/>
  <c r="S159" s="1"/>
  <c r="Y159" s="1"/>
  <c r="AA161"/>
  <c r="L162"/>
  <c r="AA163"/>
  <c r="O162"/>
  <c r="AA168"/>
  <c r="L173"/>
  <c r="Q178"/>
  <c r="S178" s="1"/>
  <c r="Y178" s="1"/>
  <c r="X171"/>
  <c r="Q199"/>
  <c r="S199" s="1"/>
  <c r="Y199" s="1"/>
  <c r="AA203"/>
  <c r="AA205"/>
  <c r="K135" i="46"/>
  <c r="E161"/>
  <c r="E233" s="1"/>
  <c r="E234" s="1"/>
  <c r="K209"/>
  <c r="M29" i="68"/>
  <c r="L36"/>
  <c r="H53"/>
  <c r="AA69"/>
  <c r="AA84"/>
  <c r="N93"/>
  <c r="V93"/>
  <c r="V209" s="1"/>
  <c r="Q98"/>
  <c r="S98" s="1"/>
  <c r="Y98" s="1"/>
  <c r="AA110"/>
  <c r="Q113"/>
  <c r="S113" s="1"/>
  <c r="Y113" s="1"/>
  <c r="T93"/>
  <c r="T209" s="1"/>
  <c r="Q115"/>
  <c r="Q117"/>
  <c r="S117" s="1"/>
  <c r="Y117" s="1"/>
  <c r="Q121"/>
  <c r="S121" s="1"/>
  <c r="Y121" s="1"/>
  <c r="L123"/>
  <c r="AA130"/>
  <c r="AA138"/>
  <c r="AA146"/>
  <c r="AA148"/>
  <c r="AA150"/>
  <c r="Q156"/>
  <c r="S156" s="1"/>
  <c r="Y156" s="1"/>
  <c r="AA164"/>
  <c r="AA166"/>
  <c r="AA175"/>
  <c r="AA176"/>
  <c r="AA179"/>
  <c r="P171"/>
  <c r="Q182"/>
  <c r="S182" s="1"/>
  <c r="Q185"/>
  <c r="S185" s="1"/>
  <c r="Y185" s="1"/>
  <c r="AA188"/>
  <c r="J171"/>
  <c r="Q193"/>
  <c r="AA199"/>
  <c r="U52" i="7"/>
  <c r="S52"/>
  <c r="U48"/>
  <c r="S48"/>
  <c r="U30"/>
  <c r="S30"/>
  <c r="U25"/>
  <c r="S25"/>
  <c r="U8"/>
  <c r="U14" s="1"/>
  <c r="S14"/>
  <c r="U112"/>
  <c r="U113" s="1"/>
  <c r="T113"/>
  <c r="T120" s="1"/>
  <c r="U108"/>
  <c r="S108"/>
  <c r="S120" s="1"/>
  <c r="U127"/>
  <c r="U134" s="1"/>
  <c r="U146" s="1"/>
  <c r="U183" s="1"/>
  <c r="G22" i="6" s="1"/>
  <c r="Q71" i="68"/>
  <c r="S71" s="1"/>
  <c r="S68" i="67"/>
  <c r="AA65" i="68"/>
  <c r="Q65"/>
  <c r="S65" s="1"/>
  <c r="AA71"/>
  <c r="M9"/>
  <c r="M8" s="1"/>
  <c r="M40"/>
  <c r="M39" s="1"/>
  <c r="AA94"/>
  <c r="Q144"/>
  <c r="S144" s="1"/>
  <c r="Y144" s="1"/>
  <c r="AA144"/>
  <c r="K50"/>
  <c r="X50"/>
  <c r="J209"/>
  <c r="AA153"/>
  <c r="O171"/>
  <c r="Q200"/>
  <c r="S200" s="1"/>
  <c r="Y200" s="1"/>
  <c r="Q205"/>
  <c r="S205" s="1"/>
  <c r="Y205" s="1"/>
  <c r="Q70"/>
  <c r="S70" s="1"/>
  <c r="AA70"/>
  <c r="Y143"/>
  <c r="Q153"/>
  <c r="S153" s="1"/>
  <c r="Y153" s="1"/>
  <c r="S154"/>
  <c r="Y154" s="1"/>
  <c r="S174"/>
  <c r="J210"/>
  <c r="M36"/>
  <c r="M33" s="1"/>
  <c r="AA104"/>
  <c r="Q104"/>
  <c r="S115"/>
  <c r="S193"/>
  <c r="S84"/>
  <c r="AA86"/>
  <c r="Q86"/>
  <c r="S86" s="1"/>
  <c r="Y86" s="1"/>
  <c r="AA106"/>
  <c r="Q106"/>
  <c r="S106" s="1"/>
  <c r="Y106" s="1"/>
  <c r="S124"/>
  <c r="M192"/>
  <c r="M180" s="1"/>
  <c r="AA196"/>
  <c r="Q196"/>
  <c r="S196" s="1"/>
  <c r="Y196" s="1"/>
  <c r="H50"/>
  <c r="T50"/>
  <c r="W50"/>
  <c r="M18"/>
  <c r="M17" s="1"/>
  <c r="Q111"/>
  <c r="S111" s="1"/>
  <c r="Y111" s="1"/>
  <c r="AA111"/>
  <c r="S163"/>
  <c r="Q165"/>
  <c r="S165" s="1"/>
  <c r="Y165" s="1"/>
  <c r="AA165"/>
  <c r="AA172"/>
  <c r="Q172"/>
  <c r="AA16"/>
  <c r="H209"/>
  <c r="AA64"/>
  <c r="O132"/>
  <c r="K145"/>
  <c r="AA207"/>
  <c r="AA206" s="1"/>
  <c r="AA66"/>
  <c r="M62"/>
  <c r="AA68"/>
  <c r="Q68"/>
  <c r="S68" s="1"/>
  <c r="Q116"/>
  <c r="S116" s="1"/>
  <c r="Y116" s="1"/>
  <c r="L114"/>
  <c r="L102" s="1"/>
  <c r="Q152"/>
  <c r="S152" s="1"/>
  <c r="Y152" s="1"/>
  <c r="AA152"/>
  <c r="AA191"/>
  <c r="Q191"/>
  <c r="S191" s="1"/>
  <c r="Y191" s="1"/>
  <c r="Q64"/>
  <c r="AA127"/>
  <c r="AA123" s="1"/>
  <c r="Q127"/>
  <c r="S127" s="1"/>
  <c r="Y127" s="1"/>
  <c r="AA135"/>
  <c r="M134"/>
  <c r="Q135"/>
  <c r="S168"/>
  <c r="K167"/>
  <c r="M169"/>
  <c r="Q169" s="1"/>
  <c r="Q184"/>
  <c r="S184" s="1"/>
  <c r="Y184" s="1"/>
  <c r="AA184"/>
  <c r="L33"/>
  <c r="Q69"/>
  <c r="S69" s="1"/>
  <c r="AA85"/>
  <c r="M83"/>
  <c r="S89"/>
  <c r="S94"/>
  <c r="AA96"/>
  <c r="Q96"/>
  <c r="Q133"/>
  <c r="AA133"/>
  <c r="AA189"/>
  <c r="Q189"/>
  <c r="S189" s="1"/>
  <c r="Y189" s="1"/>
  <c r="AA202"/>
  <c r="AA201" s="1"/>
  <c r="M201"/>
  <c r="Q202"/>
  <c r="M206"/>
  <c r="Q207"/>
  <c r="N209"/>
  <c r="O93"/>
  <c r="O102"/>
  <c r="AA173"/>
  <c r="AA185"/>
  <c r="L29"/>
  <c r="E93"/>
  <c r="M114"/>
  <c r="Q197"/>
  <c r="S197" s="1"/>
  <c r="Y197" s="1"/>
  <c r="Q66"/>
  <c r="S66" s="1"/>
  <c r="Q85"/>
  <c r="S85" s="1"/>
  <c r="Y85" s="1"/>
  <c r="Q105"/>
  <c r="S105" s="1"/>
  <c r="Y105" s="1"/>
  <c r="AA143"/>
  <c r="Q146"/>
  <c r="S146" s="1"/>
  <c r="Y146" s="1"/>
  <c r="L167"/>
  <c r="Q125"/>
  <c r="S125" s="1"/>
  <c r="Y125" s="1"/>
  <c r="M147"/>
  <c r="M153"/>
  <c r="Q175"/>
  <c r="S175" s="1"/>
  <c r="Y175" s="1"/>
  <c r="Q194"/>
  <c r="S194" s="1"/>
  <c r="Y194" s="1"/>
  <c r="L18"/>
  <c r="L17" s="1"/>
  <c r="L47"/>
  <c r="L39" s="1"/>
  <c r="L95"/>
  <c r="L153"/>
  <c r="L141" s="1"/>
  <c r="L201"/>
  <c r="L171" s="1"/>
  <c r="M123"/>
  <c r="M173"/>
  <c r="L53"/>
  <c r="K62"/>
  <c r="K56" s="1"/>
  <c r="K55" s="1"/>
  <c r="K54" s="1"/>
  <c r="M54" s="1"/>
  <c r="K161" i="46"/>
  <c r="F135"/>
  <c r="J135"/>
  <c r="I161"/>
  <c r="I233" s="1"/>
  <c r="I234" s="1"/>
  <c r="K185"/>
  <c r="P209"/>
  <c r="J185"/>
  <c r="H135"/>
  <c r="H233" s="1"/>
  <c r="H234" s="1"/>
  <c r="P135"/>
  <c r="G161"/>
  <c r="O161"/>
  <c r="I185"/>
  <c r="G135"/>
  <c r="O135"/>
  <c r="F161"/>
  <c r="F233" s="1"/>
  <c r="F234" s="1"/>
  <c r="N161"/>
  <c r="P185"/>
  <c r="I209"/>
  <c r="L161"/>
  <c r="G185"/>
  <c r="L185"/>
  <c r="O185"/>
  <c r="M233"/>
  <c r="M234" s="1"/>
  <c r="Q13" i="3"/>
  <c r="U13"/>
  <c r="S13"/>
  <c r="AA83" i="68" l="1"/>
  <c r="AA192"/>
  <c r="AA180" s="1"/>
  <c r="AA171" s="1"/>
  <c r="N233" i="46"/>
  <c r="N234" s="1"/>
  <c r="J233"/>
  <c r="J234" s="1"/>
  <c r="V210" i="68"/>
  <c r="AA162"/>
  <c r="W210"/>
  <c r="U68" i="67"/>
  <c r="G70" i="30" s="1"/>
  <c r="K70" s="1"/>
  <c r="E70"/>
  <c r="AA134" i="68"/>
  <c r="Q162"/>
  <c r="T210"/>
  <c r="Q114"/>
  <c r="Q173"/>
  <c r="N210"/>
  <c r="M171"/>
  <c r="L132"/>
  <c r="X209"/>
  <c r="X210" s="1"/>
  <c r="S26" i="7"/>
  <c r="S59" s="1"/>
  <c r="U26"/>
  <c r="U59" s="1"/>
  <c r="E22" i="6" s="1"/>
  <c r="S169" i="68"/>
  <c r="Y169" s="1"/>
  <c r="Q167"/>
  <c r="L50"/>
  <c r="Q206"/>
  <c r="S207"/>
  <c r="S133"/>
  <c r="Y89"/>
  <c r="Y94"/>
  <c r="Y182"/>
  <c r="S180"/>
  <c r="K141"/>
  <c r="K132" s="1"/>
  <c r="K129" s="1"/>
  <c r="M145"/>
  <c r="S172"/>
  <c r="Y193"/>
  <c r="S192"/>
  <c r="Y192" s="1"/>
  <c r="M56"/>
  <c r="H210"/>
  <c r="Y174"/>
  <c r="Y173" s="1"/>
  <c r="S173"/>
  <c r="Q180"/>
  <c r="Q192"/>
  <c r="M50"/>
  <c r="Y163"/>
  <c r="Y162" s="1"/>
  <c r="S162"/>
  <c r="Q134"/>
  <c r="S135"/>
  <c r="L93"/>
  <c r="L209" s="1"/>
  <c r="Q123"/>
  <c r="Y124"/>
  <c r="Y123" s="1"/>
  <c r="S123"/>
  <c r="Q201"/>
  <c r="S202"/>
  <c r="S96"/>
  <c r="Y168"/>
  <c r="Y167" s="1"/>
  <c r="S167"/>
  <c r="S64"/>
  <c r="S83"/>
  <c r="Y84"/>
  <c r="Y83" s="1"/>
  <c r="AA147"/>
  <c r="Q147"/>
  <c r="S147" s="1"/>
  <c r="Y147" s="1"/>
  <c r="S104"/>
  <c r="Q83"/>
  <c r="Y115"/>
  <c r="S114"/>
  <c r="Y114" s="1"/>
  <c r="AA169"/>
  <c r="AA167" s="1"/>
  <c r="M167"/>
  <c r="P233" i="46"/>
  <c r="P234" s="1"/>
  <c r="L233"/>
  <c r="L234" s="1"/>
  <c r="U84" i="7"/>
  <c r="U85" s="1"/>
  <c r="U120" s="1"/>
  <c r="F22" i="6" s="1"/>
  <c r="Y180" i="68" l="1"/>
  <c r="Q171"/>
  <c r="Y96"/>
  <c r="Y172"/>
  <c r="Y202"/>
  <c r="Y201" s="1"/>
  <c r="S201"/>
  <c r="S171" s="1"/>
  <c r="Y135"/>
  <c r="Y134" s="1"/>
  <c r="S134"/>
  <c r="Y207"/>
  <c r="Y206" s="1"/>
  <c r="S206"/>
  <c r="M55"/>
  <c r="Y133"/>
  <c r="M129"/>
  <c r="K128"/>
  <c r="K112"/>
  <c r="AA145"/>
  <c r="AA141" s="1"/>
  <c r="AA132" s="1"/>
  <c r="Q145"/>
  <c r="M141"/>
  <c r="M132" s="1"/>
  <c r="L210"/>
  <c r="S145" l="1"/>
  <c r="Q141"/>
  <c r="Q132" s="1"/>
  <c r="Y171"/>
  <c r="AA129"/>
  <c r="AA128" s="1"/>
  <c r="M128"/>
  <c r="Q129"/>
  <c r="M112"/>
  <c r="K102"/>
  <c r="K97" s="1"/>
  <c r="S129" l="1"/>
  <c r="Q128"/>
  <c r="Y145"/>
  <c r="Y141" s="1"/>
  <c r="Y132" s="1"/>
  <c r="S141"/>
  <c r="S132" s="1"/>
  <c r="Q112"/>
  <c r="M102"/>
  <c r="AA112"/>
  <c r="AA102" s="1"/>
  <c r="K95"/>
  <c r="K93" s="1"/>
  <c r="K90" s="1"/>
  <c r="M97"/>
  <c r="S112" l="1"/>
  <c r="Q102"/>
  <c r="Y129"/>
  <c r="Y128" s="1"/>
  <c r="S128"/>
  <c r="K88"/>
  <c r="K53" s="1"/>
  <c r="K209" s="1"/>
  <c r="K210" s="1"/>
  <c r="M90"/>
  <c r="AA97"/>
  <c r="AA95" s="1"/>
  <c r="AA93" s="1"/>
  <c r="Q97"/>
  <c r="M95"/>
  <c r="M93" s="1"/>
  <c r="AA90" l="1"/>
  <c r="AA88" s="1"/>
  <c r="M88"/>
  <c r="M53" s="1"/>
  <c r="M209" s="1"/>
  <c r="M210" s="1"/>
  <c r="Q90"/>
  <c r="Y112"/>
  <c r="Y102" s="1"/>
  <c r="S102"/>
  <c r="S97"/>
  <c r="Q95"/>
  <c r="Q93" s="1"/>
  <c r="S90" l="1"/>
  <c r="Q88"/>
  <c r="Y97"/>
  <c r="Y95" s="1"/>
  <c r="Y93" s="1"/>
  <c r="S95"/>
  <c r="S93" s="1"/>
  <c r="Y90" l="1"/>
  <c r="Y88" s="1"/>
  <c r="S88"/>
  <c r="T46" i="29" l="1"/>
  <c r="V46"/>
  <c r="W46"/>
  <c r="X46"/>
  <c r="T54"/>
  <c r="V54"/>
  <c r="W54"/>
  <c r="X54"/>
  <c r="E8" i="17"/>
  <c r="E9"/>
  <c r="E10"/>
  <c r="E11"/>
  <c r="E12"/>
  <c r="Z166" i="67"/>
  <c r="Z165"/>
  <c r="Z164"/>
  <c r="Z163"/>
  <c r="Z162"/>
  <c r="Z160"/>
  <c r="Z159"/>
  <c r="Z158"/>
  <c r="Z135"/>
  <c r="Z134"/>
  <c r="Z133"/>
  <c r="Z132"/>
  <c r="Z131"/>
  <c r="Z129"/>
  <c r="Z128"/>
  <c r="Z127"/>
  <c r="Z104"/>
  <c r="Z103"/>
  <c r="Z102"/>
  <c r="Z101"/>
  <c r="Z100"/>
  <c r="Z98"/>
  <c r="Z97"/>
  <c r="Z96"/>
  <c r="Z72"/>
  <c r="Z71"/>
  <c r="Z70"/>
  <c r="Z69"/>
  <c r="Z68"/>
  <c r="AA68" s="1"/>
  <c r="Z66"/>
  <c r="Z65"/>
  <c r="Z64"/>
  <c r="Z45"/>
  <c r="Z44"/>
  <c r="Z42"/>
  <c r="E19" i="17" l="1"/>
  <c r="K44" i="13"/>
  <c r="K45"/>
  <c r="K46"/>
  <c r="K42"/>
  <c r="K43"/>
  <c r="K47"/>
  <c r="J177"/>
  <c r="J176"/>
  <c r="J174"/>
  <c r="J173"/>
  <c r="J172"/>
  <c r="J171"/>
  <c r="J169"/>
  <c r="J168"/>
  <c r="J167"/>
  <c r="J162"/>
  <c r="J156"/>
  <c r="J155"/>
  <c r="J154"/>
  <c r="J153"/>
  <c r="J152"/>
  <c r="J151"/>
  <c r="J149"/>
  <c r="J146"/>
  <c r="J145"/>
  <c r="J143"/>
  <c r="J142"/>
  <c r="J141"/>
  <c r="J140"/>
  <c r="J138"/>
  <c r="J137"/>
  <c r="J136"/>
  <c r="J131"/>
  <c r="J125"/>
  <c r="J124"/>
  <c r="J123"/>
  <c r="J122"/>
  <c r="J121"/>
  <c r="J120"/>
  <c r="J118"/>
  <c r="J115"/>
  <c r="J114"/>
  <c r="J112"/>
  <c r="J111"/>
  <c r="J110"/>
  <c r="J109"/>
  <c r="J107"/>
  <c r="J106"/>
  <c r="J105"/>
  <c r="J100"/>
  <c r="J94"/>
  <c r="J93"/>
  <c r="J92"/>
  <c r="J91"/>
  <c r="J90"/>
  <c r="J89"/>
  <c r="J87"/>
  <c r="J83"/>
  <c r="J82"/>
  <c r="J80"/>
  <c r="J79"/>
  <c r="J78"/>
  <c r="J77"/>
  <c r="J75"/>
  <c r="J74"/>
  <c r="J73"/>
  <c r="J68"/>
  <c r="J62"/>
  <c r="J61"/>
  <c r="J60"/>
  <c r="J59"/>
  <c r="J58"/>
  <c r="J57"/>
  <c r="J55"/>
  <c r="J50"/>
  <c r="J49"/>
  <c r="J47"/>
  <c r="J46"/>
  <c r="J45"/>
  <c r="J44"/>
  <c r="J43"/>
  <c r="J42"/>
  <c r="J39"/>
  <c r="J38"/>
  <c r="J36"/>
  <c r="J35"/>
  <c r="J33"/>
  <c r="J32"/>
  <c r="J31"/>
  <c r="J29"/>
  <c r="J28"/>
  <c r="J27"/>
  <c r="J26"/>
  <c r="J25"/>
  <c r="J24"/>
  <c r="J23"/>
  <c r="J22"/>
  <c r="J21"/>
  <c r="J20"/>
  <c r="J16"/>
  <c r="J15"/>
  <c r="J14"/>
  <c r="J13"/>
  <c r="J12"/>
  <c r="J11"/>
  <c r="C177"/>
  <c r="C176"/>
  <c r="C174"/>
  <c r="C173"/>
  <c r="C172"/>
  <c r="C171"/>
  <c r="C168"/>
  <c r="C169"/>
  <c r="C167"/>
  <c r="C162"/>
  <c r="C156"/>
  <c r="C155"/>
  <c r="C154"/>
  <c r="C153"/>
  <c r="C152"/>
  <c r="C151"/>
  <c r="C149"/>
  <c r="C146"/>
  <c r="C145"/>
  <c r="C143"/>
  <c r="C142"/>
  <c r="C141"/>
  <c r="C140"/>
  <c r="C137"/>
  <c r="C138"/>
  <c r="C136"/>
  <c r="C131"/>
  <c r="C125"/>
  <c r="C124"/>
  <c r="C123"/>
  <c r="C122"/>
  <c r="C121"/>
  <c r="C120"/>
  <c r="C118"/>
  <c r="C115"/>
  <c r="C114"/>
  <c r="C112"/>
  <c r="C111"/>
  <c r="C110"/>
  <c r="C109"/>
  <c r="C107"/>
  <c r="C106"/>
  <c r="C105"/>
  <c r="C100"/>
  <c r="C94"/>
  <c r="C93"/>
  <c r="C92"/>
  <c r="C91"/>
  <c r="C90"/>
  <c r="C89"/>
  <c r="C87"/>
  <c r="C83"/>
  <c r="C82"/>
  <c r="C78"/>
  <c r="C79"/>
  <c r="C80"/>
  <c r="C77"/>
  <c r="C75"/>
  <c r="C73"/>
  <c r="C74"/>
  <c r="C68"/>
  <c r="C58"/>
  <c r="C59"/>
  <c r="C60"/>
  <c r="C61"/>
  <c r="C62"/>
  <c r="C57"/>
  <c r="C55"/>
  <c r="C50"/>
  <c r="C49"/>
  <c r="C47"/>
  <c r="C46"/>
  <c r="C45"/>
  <c r="C44"/>
  <c r="C43"/>
  <c r="C42"/>
  <c r="C39"/>
  <c r="C38"/>
  <c r="C36"/>
  <c r="C35"/>
  <c r="C33"/>
  <c r="C32"/>
  <c r="C31"/>
  <c r="C21"/>
  <c r="C22"/>
  <c r="C23"/>
  <c r="C24"/>
  <c r="C25"/>
  <c r="C26"/>
  <c r="C27"/>
  <c r="C28"/>
  <c r="C29"/>
  <c r="C20"/>
  <c r="C12"/>
  <c r="C13"/>
  <c r="C14"/>
  <c r="C15"/>
  <c r="C16"/>
  <c r="C11"/>
  <c r="E10" i="14"/>
  <c r="F9" i="15" s="1"/>
  <c r="J64" i="13" l="1"/>
  <c r="J63" s="1"/>
  <c r="J88"/>
  <c r="J158"/>
  <c r="J157" s="1"/>
  <c r="J175"/>
  <c r="J144"/>
  <c r="J81"/>
  <c r="J56"/>
  <c r="J30"/>
  <c r="J127"/>
  <c r="J126" s="1"/>
  <c r="J48"/>
  <c r="J37"/>
  <c r="J34" s="1"/>
  <c r="J96"/>
  <c r="J95" s="1"/>
  <c r="J150"/>
  <c r="J113"/>
  <c r="J119"/>
  <c r="J170"/>
  <c r="J76"/>
  <c r="J108"/>
  <c r="J139"/>
  <c r="J19"/>
  <c r="J18" s="1"/>
  <c r="J41"/>
  <c r="H62"/>
  <c r="H61"/>
  <c r="H60"/>
  <c r="H59"/>
  <c r="H58"/>
  <c r="H57"/>
  <c r="H55"/>
  <c r="H50"/>
  <c r="H49"/>
  <c r="H47"/>
  <c r="H46"/>
  <c r="H45"/>
  <c r="H44"/>
  <c r="H43"/>
  <c r="H42"/>
  <c r="H39"/>
  <c r="H38"/>
  <c r="H36"/>
  <c r="H35"/>
  <c r="H33"/>
  <c r="H32"/>
  <c r="H31"/>
  <c r="H21"/>
  <c r="H22"/>
  <c r="H23"/>
  <c r="H24"/>
  <c r="H25"/>
  <c r="H26"/>
  <c r="H27"/>
  <c r="H28"/>
  <c r="H29"/>
  <c r="H20"/>
  <c r="H12"/>
  <c r="H13"/>
  <c r="H14"/>
  <c r="H15"/>
  <c r="H16"/>
  <c r="H11"/>
  <c r="J40" l="1"/>
  <c r="J117"/>
  <c r="J54"/>
  <c r="J86"/>
  <c r="J148"/>
  <c r="J10"/>
  <c r="J9" s="1"/>
  <c r="J178" l="1"/>
  <c r="J51"/>
  <c r="F20" i="4"/>
  <c r="F11"/>
  <c r="G8" s="1"/>
  <c r="O53" i="39"/>
  <c r="F54"/>
  <c r="F53" s="1"/>
  <c r="G54"/>
  <c r="G53" s="1"/>
  <c r="H54"/>
  <c r="H53" s="1"/>
  <c r="I54"/>
  <c r="I53" s="1"/>
  <c r="J54"/>
  <c r="J53" s="1"/>
  <c r="K54"/>
  <c r="K53" s="1"/>
  <c r="L54"/>
  <c r="L53" s="1"/>
  <c r="M54"/>
  <c r="M53" s="1"/>
  <c r="N54"/>
  <c r="N53" s="1"/>
  <c r="O54"/>
  <c r="P54"/>
  <c r="P53" s="1"/>
  <c r="E54"/>
  <c r="E53" s="1"/>
  <c r="F12" i="4" l="1"/>
  <c r="F14" s="1"/>
  <c r="F17" i="1" s="1"/>
  <c r="F22" s="1"/>
  <c r="J179" i="13"/>
  <c r="Q54" i="39"/>
  <c r="F21" i="4" l="1"/>
  <c r="Q177" i="13"/>
  <c r="O177"/>
  <c r="N177"/>
  <c r="Q176"/>
  <c r="O176"/>
  <c r="N176"/>
  <c r="E176"/>
  <c r="Y175"/>
  <c r="X175"/>
  <c r="W175"/>
  <c r="V175"/>
  <c r="T175"/>
  <c r="R175"/>
  <c r="P175"/>
  <c r="K175"/>
  <c r="I175"/>
  <c r="H175"/>
  <c r="C175"/>
  <c r="N174"/>
  <c r="E174"/>
  <c r="O174" s="1"/>
  <c r="Q174"/>
  <c r="Q173"/>
  <c r="N173"/>
  <c r="E173"/>
  <c r="O173" s="1"/>
  <c r="N172"/>
  <c r="E172"/>
  <c r="O172" s="1"/>
  <c r="Q172"/>
  <c r="Q171"/>
  <c r="N171"/>
  <c r="E171"/>
  <c r="O171" s="1"/>
  <c r="C170"/>
  <c r="Y170"/>
  <c r="X170"/>
  <c r="W170"/>
  <c r="V170"/>
  <c r="T170"/>
  <c r="R170"/>
  <c r="P170"/>
  <c r="K170"/>
  <c r="I170"/>
  <c r="H170"/>
  <c r="Q169"/>
  <c r="O169"/>
  <c r="N169"/>
  <c r="N168"/>
  <c r="E168"/>
  <c r="O168" s="1"/>
  <c r="Q168"/>
  <c r="O167"/>
  <c r="N167"/>
  <c r="Q167"/>
  <c r="Q166"/>
  <c r="N166"/>
  <c r="E166"/>
  <c r="O166" s="1"/>
  <c r="Q165"/>
  <c r="N165"/>
  <c r="E165"/>
  <c r="O165" s="1"/>
  <c r="Q164"/>
  <c r="N164"/>
  <c r="E164"/>
  <c r="O164" s="1"/>
  <c r="Q163"/>
  <c r="O163"/>
  <c r="N163"/>
  <c r="N162"/>
  <c r="E162"/>
  <c r="O162" s="1"/>
  <c r="C158"/>
  <c r="C157" s="1"/>
  <c r="Q161"/>
  <c r="N161"/>
  <c r="E161"/>
  <c r="O161" s="1"/>
  <c r="Q160"/>
  <c r="N160"/>
  <c r="H158"/>
  <c r="E160"/>
  <c r="O160" s="1"/>
  <c r="Q159"/>
  <c r="O159"/>
  <c r="N159"/>
  <c r="Y158"/>
  <c r="Y157" s="1"/>
  <c r="X158"/>
  <c r="W158"/>
  <c r="V158"/>
  <c r="V157" s="1"/>
  <c r="T158"/>
  <c r="T157" s="1"/>
  <c r="R158"/>
  <c r="P158"/>
  <c r="P157" s="1"/>
  <c r="K158"/>
  <c r="K157" s="1"/>
  <c r="I158"/>
  <c r="I157" s="1"/>
  <c r="X157"/>
  <c r="W157"/>
  <c r="R157"/>
  <c r="O156"/>
  <c r="N156"/>
  <c r="Q156"/>
  <c r="O155"/>
  <c r="N155"/>
  <c r="Q155"/>
  <c r="Q154"/>
  <c r="O154"/>
  <c r="N154"/>
  <c r="Q153"/>
  <c r="N153"/>
  <c r="O153"/>
  <c r="N152"/>
  <c r="E152"/>
  <c r="O152" s="1"/>
  <c r="Q152"/>
  <c r="Q151"/>
  <c r="N151"/>
  <c r="E151"/>
  <c r="O151" s="1"/>
  <c r="Y150"/>
  <c r="X150"/>
  <c r="X148" s="1"/>
  <c r="W150"/>
  <c r="V150"/>
  <c r="T150"/>
  <c r="R150"/>
  <c r="P150"/>
  <c r="K150"/>
  <c r="I150"/>
  <c r="H150"/>
  <c r="C150"/>
  <c r="N149"/>
  <c r="E149"/>
  <c r="Q149"/>
  <c r="O146"/>
  <c r="N146"/>
  <c r="C144"/>
  <c r="Q145"/>
  <c r="N145"/>
  <c r="E145"/>
  <c r="O145" s="1"/>
  <c r="Y144"/>
  <c r="X144"/>
  <c r="W144"/>
  <c r="V144"/>
  <c r="T144"/>
  <c r="R144"/>
  <c r="P144"/>
  <c r="K144"/>
  <c r="I144"/>
  <c r="H144"/>
  <c r="Q143"/>
  <c r="N143"/>
  <c r="E143"/>
  <c r="O143" s="1"/>
  <c r="N142"/>
  <c r="E142"/>
  <c r="O142" s="1"/>
  <c r="Q142"/>
  <c r="Q141"/>
  <c r="N141"/>
  <c r="E141"/>
  <c r="O141" s="1"/>
  <c r="N140"/>
  <c r="E140"/>
  <c r="O140" s="1"/>
  <c r="Q140"/>
  <c r="Y139"/>
  <c r="X139"/>
  <c r="W139"/>
  <c r="V139"/>
  <c r="T139"/>
  <c r="R139"/>
  <c r="P139"/>
  <c r="K139"/>
  <c r="I139"/>
  <c r="H139"/>
  <c r="C139"/>
  <c r="O138"/>
  <c r="N138"/>
  <c r="Q138"/>
  <c r="Q137"/>
  <c r="N137"/>
  <c r="E137"/>
  <c r="O137" s="1"/>
  <c r="O136"/>
  <c r="N136"/>
  <c r="Q136"/>
  <c r="Q135"/>
  <c r="N135"/>
  <c r="E135"/>
  <c r="O135" s="1"/>
  <c r="Q134"/>
  <c r="N134"/>
  <c r="E134"/>
  <c r="O134" s="1"/>
  <c r="Q133"/>
  <c r="N133"/>
  <c r="E133"/>
  <c r="O133" s="1"/>
  <c r="Q132"/>
  <c r="O132"/>
  <c r="N132"/>
  <c r="N131"/>
  <c r="E131"/>
  <c r="Q131"/>
  <c r="Q130"/>
  <c r="N130"/>
  <c r="E130"/>
  <c r="O130" s="1"/>
  <c r="Q129"/>
  <c r="H127"/>
  <c r="E129"/>
  <c r="O129" s="1"/>
  <c r="Q128"/>
  <c r="O128"/>
  <c r="N128"/>
  <c r="Y127"/>
  <c r="Y126" s="1"/>
  <c r="X127"/>
  <c r="X126" s="1"/>
  <c r="W127"/>
  <c r="W126" s="1"/>
  <c r="V127"/>
  <c r="T127"/>
  <c r="T126" s="1"/>
  <c r="R127"/>
  <c r="R126" s="1"/>
  <c r="P127"/>
  <c r="P126" s="1"/>
  <c r="K127"/>
  <c r="K126" s="1"/>
  <c r="I127"/>
  <c r="I126" s="1"/>
  <c r="V126"/>
  <c r="Q125"/>
  <c r="N125"/>
  <c r="O125"/>
  <c r="O124"/>
  <c r="N124"/>
  <c r="Q124"/>
  <c r="Q123"/>
  <c r="O123"/>
  <c r="N123"/>
  <c r="Q122"/>
  <c r="O122"/>
  <c r="N122"/>
  <c r="N121"/>
  <c r="E121"/>
  <c r="O121" s="1"/>
  <c r="Q121"/>
  <c r="Q120"/>
  <c r="N120"/>
  <c r="E120"/>
  <c r="O120" s="1"/>
  <c r="Y119"/>
  <c r="X119"/>
  <c r="W119"/>
  <c r="V119"/>
  <c r="T119"/>
  <c r="R119"/>
  <c r="P119"/>
  <c r="K119"/>
  <c r="I119"/>
  <c r="H119"/>
  <c r="C119"/>
  <c r="Q118"/>
  <c r="N118"/>
  <c r="E118"/>
  <c r="O118" s="1"/>
  <c r="Q115"/>
  <c r="N115"/>
  <c r="N114"/>
  <c r="E114"/>
  <c r="O114" s="1"/>
  <c r="Q114"/>
  <c r="Y113"/>
  <c r="X113"/>
  <c r="W113"/>
  <c r="V113"/>
  <c r="T113"/>
  <c r="R113"/>
  <c r="P113"/>
  <c r="K113"/>
  <c r="I113"/>
  <c r="H113"/>
  <c r="N112"/>
  <c r="E112"/>
  <c r="O112" s="1"/>
  <c r="Q112"/>
  <c r="Q111"/>
  <c r="N111"/>
  <c r="E111"/>
  <c r="O111" s="1"/>
  <c r="N110"/>
  <c r="E110"/>
  <c r="O110" s="1"/>
  <c r="Q110"/>
  <c r="Q109"/>
  <c r="N109"/>
  <c r="E109"/>
  <c r="O109" s="1"/>
  <c r="Y108"/>
  <c r="X108"/>
  <c r="W108"/>
  <c r="V108"/>
  <c r="T108"/>
  <c r="R108"/>
  <c r="P108"/>
  <c r="K108"/>
  <c r="I108"/>
  <c r="H108"/>
  <c r="C108"/>
  <c r="Q107"/>
  <c r="N107"/>
  <c r="O107"/>
  <c r="N106"/>
  <c r="E106"/>
  <c r="O106" s="1"/>
  <c r="Q106"/>
  <c r="Q105"/>
  <c r="N105"/>
  <c r="Q104"/>
  <c r="N104"/>
  <c r="E104"/>
  <c r="O104" s="1"/>
  <c r="Q103"/>
  <c r="N103"/>
  <c r="E103"/>
  <c r="O103" s="1"/>
  <c r="Q102"/>
  <c r="N102"/>
  <c r="E102"/>
  <c r="O102" s="1"/>
  <c r="Q101"/>
  <c r="O101"/>
  <c r="N101"/>
  <c r="N100"/>
  <c r="E100"/>
  <c r="O100" s="1"/>
  <c r="C96"/>
  <c r="C95" s="1"/>
  <c r="Q99"/>
  <c r="N99"/>
  <c r="E99"/>
  <c r="O99" s="1"/>
  <c r="Q98"/>
  <c r="N98"/>
  <c r="E98"/>
  <c r="O98" s="1"/>
  <c r="Q97"/>
  <c r="O97"/>
  <c r="N97"/>
  <c r="Y96"/>
  <c r="Y95" s="1"/>
  <c r="X96"/>
  <c r="W96"/>
  <c r="V96"/>
  <c r="V95" s="1"/>
  <c r="T96"/>
  <c r="T95" s="1"/>
  <c r="R96"/>
  <c r="R95" s="1"/>
  <c r="P96"/>
  <c r="P95" s="1"/>
  <c r="K96"/>
  <c r="K95" s="1"/>
  <c r="I96"/>
  <c r="I95" s="1"/>
  <c r="X95"/>
  <c r="W95"/>
  <c r="O94"/>
  <c r="N94"/>
  <c r="Q94"/>
  <c r="Q93"/>
  <c r="O93"/>
  <c r="N93"/>
  <c r="Q92"/>
  <c r="N92"/>
  <c r="O92"/>
  <c r="O91"/>
  <c r="N91"/>
  <c r="Q91"/>
  <c r="Q90"/>
  <c r="N90"/>
  <c r="E90"/>
  <c r="O90" s="1"/>
  <c r="N89"/>
  <c r="E89"/>
  <c r="O89" s="1"/>
  <c r="Q89"/>
  <c r="Y88"/>
  <c r="X88"/>
  <c r="W88"/>
  <c r="V88"/>
  <c r="T88"/>
  <c r="R88"/>
  <c r="P88"/>
  <c r="K88"/>
  <c r="I88"/>
  <c r="H88"/>
  <c r="N87"/>
  <c r="E87"/>
  <c r="O87" s="1"/>
  <c r="Q83"/>
  <c r="O83"/>
  <c r="N83"/>
  <c r="Q82"/>
  <c r="O82"/>
  <c r="N82"/>
  <c r="E82"/>
  <c r="Y81"/>
  <c r="X81"/>
  <c r="W81"/>
  <c r="V81"/>
  <c r="T81"/>
  <c r="R81"/>
  <c r="P81"/>
  <c r="K81"/>
  <c r="I81"/>
  <c r="H81"/>
  <c r="C81"/>
  <c r="N80"/>
  <c r="E80"/>
  <c r="O80" s="1"/>
  <c r="Q80"/>
  <c r="Q79"/>
  <c r="N79"/>
  <c r="E79"/>
  <c r="O79" s="1"/>
  <c r="N78"/>
  <c r="E78"/>
  <c r="O78" s="1"/>
  <c r="Q78"/>
  <c r="Q77"/>
  <c r="N77"/>
  <c r="E77"/>
  <c r="O77" s="1"/>
  <c r="Y76"/>
  <c r="X76"/>
  <c r="W76"/>
  <c r="V76"/>
  <c r="T76"/>
  <c r="R76"/>
  <c r="P76"/>
  <c r="K76"/>
  <c r="I76"/>
  <c r="H76"/>
  <c r="C76"/>
  <c r="Q75"/>
  <c r="O75"/>
  <c r="N75"/>
  <c r="N74"/>
  <c r="E74"/>
  <c r="O74" s="1"/>
  <c r="Q74"/>
  <c r="Q73"/>
  <c r="O73"/>
  <c r="N73"/>
  <c r="Q72"/>
  <c r="N72"/>
  <c r="E72"/>
  <c r="O72" s="1"/>
  <c r="Q71"/>
  <c r="N71"/>
  <c r="E71"/>
  <c r="O71" s="1"/>
  <c r="Q70"/>
  <c r="N70"/>
  <c r="E70"/>
  <c r="O70" s="1"/>
  <c r="Q69"/>
  <c r="O69"/>
  <c r="N69"/>
  <c r="N68"/>
  <c r="E68"/>
  <c r="O68" s="1"/>
  <c r="C64"/>
  <c r="C63" s="1"/>
  <c r="Q67"/>
  <c r="N67"/>
  <c r="E67"/>
  <c r="O67" s="1"/>
  <c r="Q66"/>
  <c r="H64"/>
  <c r="H63" s="1"/>
  <c r="E66"/>
  <c r="O66" s="1"/>
  <c r="Q65"/>
  <c r="O65"/>
  <c r="N65"/>
  <c r="Y64"/>
  <c r="Y63" s="1"/>
  <c r="X64"/>
  <c r="X63" s="1"/>
  <c r="W64"/>
  <c r="W63" s="1"/>
  <c r="V64"/>
  <c r="V63" s="1"/>
  <c r="T64"/>
  <c r="T63" s="1"/>
  <c r="R64"/>
  <c r="R63" s="1"/>
  <c r="P64"/>
  <c r="P63" s="1"/>
  <c r="K64"/>
  <c r="K63" s="1"/>
  <c r="I64"/>
  <c r="I63" s="1"/>
  <c r="Q62"/>
  <c r="N62"/>
  <c r="O62"/>
  <c r="O61"/>
  <c r="N61"/>
  <c r="Q61"/>
  <c r="O60"/>
  <c r="N60"/>
  <c r="Q60"/>
  <c r="Q59"/>
  <c r="O59"/>
  <c r="N59"/>
  <c r="N58"/>
  <c r="E58"/>
  <c r="O58" s="1"/>
  <c r="Q58"/>
  <c r="Q57"/>
  <c r="N57"/>
  <c r="E57"/>
  <c r="O57" s="1"/>
  <c r="Y56"/>
  <c r="X56"/>
  <c r="W56"/>
  <c r="V56"/>
  <c r="T56"/>
  <c r="R56"/>
  <c r="P56"/>
  <c r="K56"/>
  <c r="I56"/>
  <c r="C56"/>
  <c r="Q55"/>
  <c r="E55"/>
  <c r="O55" s="1"/>
  <c r="Q52"/>
  <c r="N50"/>
  <c r="E50"/>
  <c r="O50" s="1"/>
  <c r="Q50"/>
  <c r="Q49"/>
  <c r="N49"/>
  <c r="E49"/>
  <c r="O49" s="1"/>
  <c r="Y48"/>
  <c r="X48"/>
  <c r="W48"/>
  <c r="V48"/>
  <c r="T48"/>
  <c r="R48"/>
  <c r="P48"/>
  <c r="K48"/>
  <c r="I48"/>
  <c r="C48"/>
  <c r="Q47"/>
  <c r="N47"/>
  <c r="E47"/>
  <c r="O47" s="1"/>
  <c r="O46"/>
  <c r="N46"/>
  <c r="Q46"/>
  <c r="Q45"/>
  <c r="O45"/>
  <c r="N45"/>
  <c r="O44"/>
  <c r="N44"/>
  <c r="Q44"/>
  <c r="Q43"/>
  <c r="O43"/>
  <c r="N43"/>
  <c r="O42"/>
  <c r="N42"/>
  <c r="H41"/>
  <c r="C41"/>
  <c r="Y41"/>
  <c r="X41"/>
  <c r="W41"/>
  <c r="W40" s="1"/>
  <c r="V41"/>
  <c r="T41"/>
  <c r="R41"/>
  <c r="P41"/>
  <c r="K41"/>
  <c r="I41"/>
  <c r="N39"/>
  <c r="E39"/>
  <c r="C37"/>
  <c r="C34" s="1"/>
  <c r="Q38"/>
  <c r="N38"/>
  <c r="E38"/>
  <c r="O38" s="1"/>
  <c r="Y37"/>
  <c r="Y34" s="1"/>
  <c r="X37"/>
  <c r="X34" s="1"/>
  <c r="W37"/>
  <c r="W34" s="1"/>
  <c r="V37"/>
  <c r="V34" s="1"/>
  <c r="T37"/>
  <c r="T34" s="1"/>
  <c r="R37"/>
  <c r="R34" s="1"/>
  <c r="P37"/>
  <c r="P34" s="1"/>
  <c r="I37"/>
  <c r="I34" s="1"/>
  <c r="H37"/>
  <c r="N36"/>
  <c r="E36"/>
  <c r="O36" s="1"/>
  <c r="Q36"/>
  <c r="Q35"/>
  <c r="N35"/>
  <c r="E35"/>
  <c r="O35" s="1"/>
  <c r="Q33"/>
  <c r="N33"/>
  <c r="E33"/>
  <c r="O33" s="1"/>
  <c r="N32"/>
  <c r="E32"/>
  <c r="O32" s="1"/>
  <c r="C30"/>
  <c r="Q31"/>
  <c r="N31"/>
  <c r="E31"/>
  <c r="O31" s="1"/>
  <c r="Y30"/>
  <c r="X30"/>
  <c r="W30"/>
  <c r="V30"/>
  <c r="T30"/>
  <c r="R30"/>
  <c r="P30"/>
  <c r="K30"/>
  <c r="I30"/>
  <c r="H30"/>
  <c r="Q29"/>
  <c r="N29"/>
  <c r="O29"/>
  <c r="O28"/>
  <c r="N28"/>
  <c r="Q28"/>
  <c r="Q27"/>
  <c r="N27"/>
  <c r="O27"/>
  <c r="O26"/>
  <c r="N26"/>
  <c r="Q26"/>
  <c r="N25"/>
  <c r="E25"/>
  <c r="O25" s="1"/>
  <c r="Q25"/>
  <c r="Q24"/>
  <c r="N24"/>
  <c r="E24"/>
  <c r="O24" s="1"/>
  <c r="N23"/>
  <c r="E23"/>
  <c r="O23" s="1"/>
  <c r="Q23"/>
  <c r="Q22"/>
  <c r="N22"/>
  <c r="E22"/>
  <c r="O22" s="1"/>
  <c r="N21"/>
  <c r="E21"/>
  <c r="O21" s="1"/>
  <c r="Q21"/>
  <c r="Q20"/>
  <c r="P19"/>
  <c r="P18" s="1"/>
  <c r="N20"/>
  <c r="E20"/>
  <c r="O20" s="1"/>
  <c r="Y19"/>
  <c r="Y18" s="1"/>
  <c r="X19"/>
  <c r="X18" s="1"/>
  <c r="W19"/>
  <c r="W18" s="1"/>
  <c r="V19"/>
  <c r="V18" s="1"/>
  <c r="T19"/>
  <c r="T18" s="1"/>
  <c r="R19"/>
  <c r="R18" s="1"/>
  <c r="K19"/>
  <c r="K18" s="1"/>
  <c r="I19"/>
  <c r="I18" s="1"/>
  <c r="H19"/>
  <c r="H18" s="1"/>
  <c r="C19"/>
  <c r="C18" s="1"/>
  <c r="Q17"/>
  <c r="O17"/>
  <c r="N17"/>
  <c r="N16"/>
  <c r="E16"/>
  <c r="O16" s="1"/>
  <c r="Q16"/>
  <c r="Q15"/>
  <c r="N15"/>
  <c r="E15"/>
  <c r="O15" s="1"/>
  <c r="N14"/>
  <c r="E14"/>
  <c r="O14" s="1"/>
  <c r="Q14"/>
  <c r="Q13"/>
  <c r="N13"/>
  <c r="E13"/>
  <c r="O13" s="1"/>
  <c r="N12"/>
  <c r="E12"/>
  <c r="O12" s="1"/>
  <c r="Q12"/>
  <c r="Q11"/>
  <c r="N11"/>
  <c r="E11"/>
  <c r="O11" s="1"/>
  <c r="Y10"/>
  <c r="Y9" s="1"/>
  <c r="X10"/>
  <c r="X9" s="1"/>
  <c r="W10"/>
  <c r="W9" s="1"/>
  <c r="V10"/>
  <c r="V9" s="1"/>
  <c r="T10"/>
  <c r="T9" s="1"/>
  <c r="R10"/>
  <c r="R9" s="1"/>
  <c r="P10"/>
  <c r="P9" s="1"/>
  <c r="K10"/>
  <c r="K9" s="1"/>
  <c r="I10"/>
  <c r="I9" s="1"/>
  <c r="H10"/>
  <c r="H9" s="1"/>
  <c r="C10"/>
  <c r="C9" s="1"/>
  <c r="AF103" i="46"/>
  <c r="AE103"/>
  <c r="AD103"/>
  <c r="AC103"/>
  <c r="AB103"/>
  <c r="AA103"/>
  <c r="Z103"/>
  <c r="Y103"/>
  <c r="X103"/>
  <c r="W103"/>
  <c r="V103"/>
  <c r="U103"/>
  <c r="T103"/>
  <c r="S103"/>
  <c r="R103"/>
  <c r="Q103"/>
  <c r="AF91"/>
  <c r="AE91"/>
  <c r="AD91"/>
  <c r="AC91"/>
  <c r="AB91"/>
  <c r="AB75" s="1"/>
  <c r="AA91"/>
  <c r="AA75" s="1"/>
  <c r="Z91"/>
  <c r="Y91"/>
  <c r="X91"/>
  <c r="W91"/>
  <c r="V91"/>
  <c r="U91"/>
  <c r="U75" s="1"/>
  <c r="T91"/>
  <c r="T75" s="1"/>
  <c r="S91"/>
  <c r="S75" s="1"/>
  <c r="R91"/>
  <c r="Q91"/>
  <c r="AF75"/>
  <c r="AE75"/>
  <c r="AD75"/>
  <c r="AC75"/>
  <c r="Z75"/>
  <c r="Y75"/>
  <c r="X75"/>
  <c r="W75"/>
  <c r="V75"/>
  <c r="R75"/>
  <c r="Q75"/>
  <c r="AF48"/>
  <c r="AE48"/>
  <c r="AD48"/>
  <c r="AC48"/>
  <c r="AB48"/>
  <c r="AA48"/>
  <c r="Z48"/>
  <c r="Y48"/>
  <c r="X48"/>
  <c r="W48"/>
  <c r="V48"/>
  <c r="U48"/>
  <c r="T48"/>
  <c r="S48"/>
  <c r="R48"/>
  <c r="Q48"/>
  <c r="J119" i="29"/>
  <c r="I119"/>
  <c r="H119"/>
  <c r="F119"/>
  <c r="J114"/>
  <c r="I114"/>
  <c r="H114"/>
  <c r="F114"/>
  <c r="J106"/>
  <c r="I106"/>
  <c r="H106"/>
  <c r="F106"/>
  <c r="G105"/>
  <c r="K105" s="1"/>
  <c r="J98"/>
  <c r="I98"/>
  <c r="I96" s="1"/>
  <c r="H98"/>
  <c r="H96" s="1"/>
  <c r="F98"/>
  <c r="J93"/>
  <c r="I93"/>
  <c r="H93"/>
  <c r="F93"/>
  <c r="F70" s="1"/>
  <c r="J88"/>
  <c r="I88"/>
  <c r="H88"/>
  <c r="F88"/>
  <c r="J80"/>
  <c r="I80"/>
  <c r="I70" s="1"/>
  <c r="H80"/>
  <c r="F80"/>
  <c r="K79"/>
  <c r="J72"/>
  <c r="J70" s="1"/>
  <c r="I72"/>
  <c r="H72"/>
  <c r="F72"/>
  <c r="J67"/>
  <c r="I67"/>
  <c r="H67"/>
  <c r="F67"/>
  <c r="J62"/>
  <c r="I62"/>
  <c r="H62"/>
  <c r="F62"/>
  <c r="J54"/>
  <c r="I54"/>
  <c r="H54"/>
  <c r="F54"/>
  <c r="G53"/>
  <c r="J46"/>
  <c r="I46"/>
  <c r="H46"/>
  <c r="F46"/>
  <c r="F44"/>
  <c r="J40"/>
  <c r="I40"/>
  <c r="H40"/>
  <c r="F40"/>
  <c r="J35"/>
  <c r="I35"/>
  <c r="H35"/>
  <c r="F35"/>
  <c r="J27"/>
  <c r="J18" s="1"/>
  <c r="I27"/>
  <c r="H27"/>
  <c r="F27"/>
  <c r="J20"/>
  <c r="I20"/>
  <c r="I18" s="1"/>
  <c r="H20"/>
  <c r="F20"/>
  <c r="F18"/>
  <c r="G16"/>
  <c r="G15"/>
  <c r="J9"/>
  <c r="I9"/>
  <c r="H9"/>
  <c r="F9"/>
  <c r="V112" i="7"/>
  <c r="V104"/>
  <c r="V92"/>
  <c r="V79"/>
  <c r="V47"/>
  <c r="V22"/>
  <c r="V25" s="1"/>
  <c r="V26" s="1"/>
  <c r="Q116" i="39"/>
  <c r="O114"/>
  <c r="N114"/>
  <c r="J114"/>
  <c r="I114"/>
  <c r="P114"/>
  <c r="M114"/>
  <c r="L114"/>
  <c r="K114"/>
  <c r="H114"/>
  <c r="G114"/>
  <c r="F114"/>
  <c r="E114"/>
  <c r="L110"/>
  <c r="Q112"/>
  <c r="P110"/>
  <c r="N110"/>
  <c r="M110"/>
  <c r="I110"/>
  <c r="O110"/>
  <c r="K110"/>
  <c r="J110"/>
  <c r="H110"/>
  <c r="G110"/>
  <c r="F110"/>
  <c r="E110"/>
  <c r="Q109"/>
  <c r="Q108"/>
  <c r="N102"/>
  <c r="Q107"/>
  <c r="P102"/>
  <c r="O102"/>
  <c r="L102"/>
  <c r="K102"/>
  <c r="I102"/>
  <c r="Q105"/>
  <c r="Q104"/>
  <c r="M102"/>
  <c r="J102"/>
  <c r="H102"/>
  <c r="G102"/>
  <c r="F102"/>
  <c r="E102"/>
  <c r="Q101"/>
  <c r="Q100"/>
  <c r="Q99"/>
  <c r="J95"/>
  <c r="Q98"/>
  <c r="K95"/>
  <c r="Q97"/>
  <c r="O95"/>
  <c r="N95"/>
  <c r="L95"/>
  <c r="Q96"/>
  <c r="P95"/>
  <c r="P93" s="1"/>
  <c r="M95"/>
  <c r="H95"/>
  <c r="G95"/>
  <c r="F95"/>
  <c r="E95"/>
  <c r="Q94"/>
  <c r="P90"/>
  <c r="Q92"/>
  <c r="L90"/>
  <c r="K90"/>
  <c r="I90"/>
  <c r="O90"/>
  <c r="N90"/>
  <c r="M90"/>
  <c r="J90"/>
  <c r="H90"/>
  <c r="G90"/>
  <c r="F90"/>
  <c r="E90"/>
  <c r="O85"/>
  <c r="Q89"/>
  <c r="P85"/>
  <c r="Q88"/>
  <c r="I85"/>
  <c r="M85"/>
  <c r="L85"/>
  <c r="J85"/>
  <c r="Q86"/>
  <c r="N85"/>
  <c r="K85"/>
  <c r="H85"/>
  <c r="G85"/>
  <c r="F85"/>
  <c r="E85"/>
  <c r="Q84"/>
  <c r="Q83"/>
  <c r="J77"/>
  <c r="Q82"/>
  <c r="K77"/>
  <c r="Q81"/>
  <c r="O77"/>
  <c r="L77"/>
  <c r="Q80"/>
  <c r="P77"/>
  <c r="M77"/>
  <c r="Q79"/>
  <c r="N77"/>
  <c r="I77"/>
  <c r="H77"/>
  <c r="G77"/>
  <c r="F77"/>
  <c r="E77"/>
  <c r="Q76"/>
  <c r="Q75"/>
  <c r="M70"/>
  <c r="Q74"/>
  <c r="N70"/>
  <c r="Q73"/>
  <c r="O70"/>
  <c r="J70"/>
  <c r="Q72"/>
  <c r="P70"/>
  <c r="K70"/>
  <c r="Q71"/>
  <c r="L70"/>
  <c r="I70"/>
  <c r="H70"/>
  <c r="G70"/>
  <c r="F70"/>
  <c r="E70"/>
  <c r="O65"/>
  <c r="L65"/>
  <c r="Q67"/>
  <c r="P65"/>
  <c r="M65"/>
  <c r="K65"/>
  <c r="Q66"/>
  <c r="N65"/>
  <c r="J65"/>
  <c r="I65"/>
  <c r="H65"/>
  <c r="G65"/>
  <c r="F65"/>
  <c r="E65"/>
  <c r="K61"/>
  <c r="Q64"/>
  <c r="O61"/>
  <c r="L61"/>
  <c r="Q63"/>
  <c r="P61"/>
  <c r="M61"/>
  <c r="Q62"/>
  <c r="N61"/>
  <c r="J61"/>
  <c r="I61"/>
  <c r="H61"/>
  <c r="G61"/>
  <c r="F61"/>
  <c r="E61"/>
  <c r="Q60"/>
  <c r="Q59"/>
  <c r="Q58"/>
  <c r="Q57"/>
  <c r="Q56"/>
  <c r="Q55"/>
  <c r="Q53"/>
  <c r="Q52"/>
  <c r="Q51"/>
  <c r="P46"/>
  <c r="Q50"/>
  <c r="Q49"/>
  <c r="M46"/>
  <c r="J46"/>
  <c r="Q48"/>
  <c r="N46"/>
  <c r="K46"/>
  <c r="K44" s="1"/>
  <c r="Q47"/>
  <c r="O46"/>
  <c r="L46"/>
  <c r="H46"/>
  <c r="H44" s="1"/>
  <c r="G46"/>
  <c r="G44" s="1"/>
  <c r="F46"/>
  <c r="E46"/>
  <c r="E44" s="1"/>
  <c r="P42"/>
  <c r="O42"/>
  <c r="N42"/>
  <c r="M42"/>
  <c r="L42"/>
  <c r="K42"/>
  <c r="J42"/>
  <c r="I42"/>
  <c r="H42"/>
  <c r="G42"/>
  <c r="F42"/>
  <c r="E42"/>
  <c r="O39"/>
  <c r="L39"/>
  <c r="Q41"/>
  <c r="P39"/>
  <c r="M39"/>
  <c r="K39"/>
  <c r="Q40"/>
  <c r="N39"/>
  <c r="J39"/>
  <c r="I39"/>
  <c r="H39"/>
  <c r="G39"/>
  <c r="F39"/>
  <c r="E39"/>
  <c r="Q38"/>
  <c r="N35"/>
  <c r="K35"/>
  <c r="O35"/>
  <c r="L35"/>
  <c r="Q36"/>
  <c r="P35"/>
  <c r="M35"/>
  <c r="J35"/>
  <c r="I35"/>
  <c r="H35"/>
  <c r="G35"/>
  <c r="F35"/>
  <c r="E35"/>
  <c r="G13" i="32"/>
  <c r="F13"/>
  <c r="H13" s="1"/>
  <c r="H12"/>
  <c r="H11"/>
  <c r="H10"/>
  <c r="I16" i="33"/>
  <c r="I20" s="1"/>
  <c r="G16"/>
  <c r="G20" s="1"/>
  <c r="F16"/>
  <c r="H16" s="1"/>
  <c r="I11"/>
  <c r="G11"/>
  <c r="F11"/>
  <c r="H11" s="1"/>
  <c r="O39" i="45"/>
  <c r="M39"/>
  <c r="L39"/>
  <c r="J39"/>
  <c r="I39"/>
  <c r="G39"/>
  <c r="F39"/>
  <c r="D39"/>
  <c r="O24"/>
  <c r="O41" s="1"/>
  <c r="M24"/>
  <c r="J24"/>
  <c r="G24"/>
  <c r="G41" s="1"/>
  <c r="F24"/>
  <c r="I15"/>
  <c r="L15" s="1"/>
  <c r="I14"/>
  <c r="F15" i="44"/>
  <c r="J15" s="1"/>
  <c r="I14"/>
  <c r="J14" s="1"/>
  <c r="F14"/>
  <c r="H13"/>
  <c r="E13"/>
  <c r="F13" s="1"/>
  <c r="O24" i="43"/>
  <c r="M24"/>
  <c r="L24"/>
  <c r="J24"/>
  <c r="I24"/>
  <c r="G24"/>
  <c r="F24"/>
  <c r="D24"/>
  <c r="O17"/>
  <c r="O26" s="1"/>
  <c r="M17"/>
  <c r="M26" s="1"/>
  <c r="L17"/>
  <c r="L26" s="1"/>
  <c r="J17"/>
  <c r="J26" s="1"/>
  <c r="G17"/>
  <c r="D17"/>
  <c r="I17"/>
  <c r="F17"/>
  <c r="F26" s="1"/>
  <c r="H5" i="52"/>
  <c r="H5" i="53"/>
  <c r="H5" i="58"/>
  <c r="H5" i="65"/>
  <c r="E6" i="30"/>
  <c r="M27" i="29"/>
  <c r="O27"/>
  <c r="P27"/>
  <c r="Q27"/>
  <c r="T27"/>
  <c r="V27"/>
  <c r="W27"/>
  <c r="X27"/>
  <c r="M54"/>
  <c r="O54"/>
  <c r="P54"/>
  <c r="Q54"/>
  <c r="M106"/>
  <c r="O106"/>
  <c r="P106"/>
  <c r="Q106"/>
  <c r="T106"/>
  <c r="V106"/>
  <c r="W106"/>
  <c r="X106"/>
  <c r="M80"/>
  <c r="O80"/>
  <c r="P80"/>
  <c r="Q80"/>
  <c r="T80"/>
  <c r="V80"/>
  <c r="W80"/>
  <c r="X80"/>
  <c r="M119"/>
  <c r="O119"/>
  <c r="P119"/>
  <c r="Q119"/>
  <c r="T119"/>
  <c r="V119"/>
  <c r="W119"/>
  <c r="X119"/>
  <c r="T67"/>
  <c r="V67"/>
  <c r="W67"/>
  <c r="X67"/>
  <c r="M93"/>
  <c r="O93"/>
  <c r="P93"/>
  <c r="Q93"/>
  <c r="T93"/>
  <c r="V93"/>
  <c r="W93"/>
  <c r="X93"/>
  <c r="X114"/>
  <c r="W114"/>
  <c r="V114"/>
  <c r="T114"/>
  <c r="Q114"/>
  <c r="P114"/>
  <c r="O114"/>
  <c r="M114"/>
  <c r="T107"/>
  <c r="N105"/>
  <c r="R105" s="1"/>
  <c r="X98"/>
  <c r="W98"/>
  <c r="V98"/>
  <c r="T98"/>
  <c r="Q98"/>
  <c r="Q96" s="1"/>
  <c r="P98"/>
  <c r="O98"/>
  <c r="O96" s="1"/>
  <c r="M98"/>
  <c r="X96"/>
  <c r="W96"/>
  <c r="V96"/>
  <c r="M96"/>
  <c r="K68" i="39" l="1"/>
  <c r="Q61"/>
  <c r="P96" i="29"/>
  <c r="Q42" i="39"/>
  <c r="F96" i="29"/>
  <c r="F17" s="1"/>
  <c r="F122" s="1"/>
  <c r="J44"/>
  <c r="J96"/>
  <c r="J17" s="1"/>
  <c r="J122" s="1"/>
  <c r="K93" i="39"/>
  <c r="M41" i="45"/>
  <c r="H18" i="29"/>
  <c r="W148" i="13"/>
  <c r="K86"/>
  <c r="H157"/>
  <c r="H148" s="1"/>
  <c r="H126"/>
  <c r="X86"/>
  <c r="V148"/>
  <c r="P117"/>
  <c r="J41" i="45"/>
  <c r="W54" i="13"/>
  <c r="Y117"/>
  <c r="R40"/>
  <c r="X40"/>
  <c r="V35" i="7"/>
  <c r="V36" s="1"/>
  <c r="K117" i="13"/>
  <c r="V54"/>
  <c r="T86"/>
  <c r="I40"/>
  <c r="R86"/>
  <c r="V117"/>
  <c r="T40"/>
  <c r="T51" s="1"/>
  <c r="S159"/>
  <c r="U159" s="1"/>
  <c r="AA159" s="1"/>
  <c r="I86"/>
  <c r="W117"/>
  <c r="P54"/>
  <c r="K54"/>
  <c r="V40"/>
  <c r="R117"/>
  <c r="X51"/>
  <c r="P40"/>
  <c r="P51" s="1"/>
  <c r="S97"/>
  <c r="U97" s="1"/>
  <c r="R148"/>
  <c r="P148"/>
  <c r="I26" i="43"/>
  <c r="F41" i="45"/>
  <c r="I24"/>
  <c r="I41" s="1"/>
  <c r="L14"/>
  <c r="L24" s="1"/>
  <c r="L41" s="1"/>
  <c r="K39" i="13"/>
  <c r="K37" s="1"/>
  <c r="K34" s="1"/>
  <c r="H70" i="29"/>
  <c r="I44"/>
  <c r="I17" s="1"/>
  <c r="I122" s="1"/>
  <c r="H44"/>
  <c r="Y54" i="13"/>
  <c r="W86"/>
  <c r="X117"/>
  <c r="K148"/>
  <c r="Y148"/>
  <c r="V86"/>
  <c r="R54"/>
  <c r="K40"/>
  <c r="T54"/>
  <c r="P86"/>
  <c r="Y86"/>
  <c r="T148"/>
  <c r="Y40"/>
  <c r="Y51" s="1"/>
  <c r="V93" i="7"/>
  <c r="F15" i="1"/>
  <c r="F11" i="44"/>
  <c r="D41" i="45"/>
  <c r="G26" i="43"/>
  <c r="D26"/>
  <c r="S130" i="13"/>
  <c r="U130" s="1"/>
  <c r="AA130" s="1"/>
  <c r="O108"/>
  <c r="Q170"/>
  <c r="Q108"/>
  <c r="Q76"/>
  <c r="Q48"/>
  <c r="Q56"/>
  <c r="Q139"/>
  <c r="S163"/>
  <c r="U163" s="1"/>
  <c r="AA163" s="1"/>
  <c r="S128"/>
  <c r="U128" s="1"/>
  <c r="AA128" s="1"/>
  <c r="S99"/>
  <c r="U99" s="1"/>
  <c r="S103"/>
  <c r="U103" s="1"/>
  <c r="S65"/>
  <c r="U65" s="1"/>
  <c r="AA65" s="1"/>
  <c r="O119"/>
  <c r="O81"/>
  <c r="O175"/>
  <c r="S73"/>
  <c r="U73" s="1"/>
  <c r="AA73" s="1"/>
  <c r="O10"/>
  <c r="O9" s="1"/>
  <c r="S75"/>
  <c r="U75" s="1"/>
  <c r="S153"/>
  <c r="U153" s="1"/>
  <c r="S17"/>
  <c r="U17" s="1"/>
  <c r="O19"/>
  <c r="O18" s="1"/>
  <c r="S125"/>
  <c r="U125" s="1"/>
  <c r="Q113"/>
  <c r="S107"/>
  <c r="U107" s="1"/>
  <c r="S62"/>
  <c r="U62" s="1"/>
  <c r="Q10"/>
  <c r="Q9" s="1"/>
  <c r="J93" i="39"/>
  <c r="Q65"/>
  <c r="I68"/>
  <c r="Q39"/>
  <c r="Q100" i="13"/>
  <c r="S100" s="1"/>
  <c r="U100" s="1"/>
  <c r="S177"/>
  <c r="U177" s="1"/>
  <c r="I148"/>
  <c r="O170"/>
  <c r="Q175"/>
  <c r="S173"/>
  <c r="U173" s="1"/>
  <c r="S164"/>
  <c r="U164" s="1"/>
  <c r="AA164" s="1"/>
  <c r="S161"/>
  <c r="U161" s="1"/>
  <c r="AA161" s="1"/>
  <c r="Q150"/>
  <c r="O150"/>
  <c r="S155"/>
  <c r="U155" s="1"/>
  <c r="O144"/>
  <c r="I117"/>
  <c r="S140"/>
  <c r="U140" s="1"/>
  <c r="S141"/>
  <c r="U141" s="1"/>
  <c r="O139"/>
  <c r="S132"/>
  <c r="U132" s="1"/>
  <c r="AA132" s="1"/>
  <c r="S134"/>
  <c r="U134" s="1"/>
  <c r="AA134" s="1"/>
  <c r="S133"/>
  <c r="U133" s="1"/>
  <c r="AA133" s="1"/>
  <c r="S135"/>
  <c r="U135" s="1"/>
  <c r="AA135" s="1"/>
  <c r="S137"/>
  <c r="U137" s="1"/>
  <c r="AA137" s="1"/>
  <c r="S122"/>
  <c r="U122" s="1"/>
  <c r="H117"/>
  <c r="S123"/>
  <c r="U123" s="1"/>
  <c r="Q119"/>
  <c r="S121"/>
  <c r="U121" s="1"/>
  <c r="S101"/>
  <c r="U101" s="1"/>
  <c r="S104"/>
  <c r="U104" s="1"/>
  <c r="S102"/>
  <c r="U102" s="1"/>
  <c r="S106"/>
  <c r="U106" s="1"/>
  <c r="O88"/>
  <c r="S94"/>
  <c r="U94" s="1"/>
  <c r="Q88"/>
  <c r="S92"/>
  <c r="U92" s="1"/>
  <c r="S90"/>
  <c r="U90" s="1"/>
  <c r="S89"/>
  <c r="S93"/>
  <c r="U93" s="1"/>
  <c r="S83"/>
  <c r="U83" s="1"/>
  <c r="Q81"/>
  <c r="C54"/>
  <c r="S78"/>
  <c r="U78" s="1"/>
  <c r="O76"/>
  <c r="S79"/>
  <c r="U79" s="1"/>
  <c r="S80"/>
  <c r="U80" s="1"/>
  <c r="S69"/>
  <c r="U69" s="1"/>
  <c r="AA69" s="1"/>
  <c r="O56"/>
  <c r="I54"/>
  <c r="S58"/>
  <c r="U58" s="1"/>
  <c r="S59"/>
  <c r="U59" s="1"/>
  <c r="O48"/>
  <c r="S50"/>
  <c r="U50" s="1"/>
  <c r="C40"/>
  <c r="C51" s="1"/>
  <c r="O41"/>
  <c r="S43"/>
  <c r="U43" s="1"/>
  <c r="AA43" s="1"/>
  <c r="S44"/>
  <c r="U44" s="1"/>
  <c r="S36"/>
  <c r="U36" s="1"/>
  <c r="I51"/>
  <c r="S33"/>
  <c r="U33" s="1"/>
  <c r="S26"/>
  <c r="U26" s="1"/>
  <c r="S29"/>
  <c r="U29" s="1"/>
  <c r="Q19"/>
  <c r="Q18" s="1"/>
  <c r="S24"/>
  <c r="U24" s="1"/>
  <c r="S22"/>
  <c r="U22" s="1"/>
  <c r="S25"/>
  <c r="U25" s="1"/>
  <c r="S28"/>
  <c r="U28" s="1"/>
  <c r="S15"/>
  <c r="U15" s="1"/>
  <c r="S16"/>
  <c r="U16" s="1"/>
  <c r="N81"/>
  <c r="S82"/>
  <c r="N30"/>
  <c r="S31"/>
  <c r="N48"/>
  <c r="S49"/>
  <c r="N56"/>
  <c r="S57"/>
  <c r="S145"/>
  <c r="N144"/>
  <c r="S167"/>
  <c r="U167" s="1"/>
  <c r="AA167" s="1"/>
  <c r="S169"/>
  <c r="U169" s="1"/>
  <c r="S47"/>
  <c r="U47" s="1"/>
  <c r="S124"/>
  <c r="U124" s="1"/>
  <c r="S143"/>
  <c r="U143" s="1"/>
  <c r="N19"/>
  <c r="N18" s="1"/>
  <c r="S20"/>
  <c r="W51"/>
  <c r="S13"/>
  <c r="U13" s="1"/>
  <c r="O30"/>
  <c r="S71"/>
  <c r="U71" s="1"/>
  <c r="AA71" s="1"/>
  <c r="S111"/>
  <c r="U111" s="1"/>
  <c r="S160"/>
  <c r="S77"/>
  <c r="N76"/>
  <c r="N150"/>
  <c r="S151"/>
  <c r="V51"/>
  <c r="S14"/>
  <c r="U14" s="1"/>
  <c r="S23"/>
  <c r="U23" s="1"/>
  <c r="S27"/>
  <c r="U27" s="1"/>
  <c r="S60"/>
  <c r="U60" s="1"/>
  <c r="S67"/>
  <c r="U67" s="1"/>
  <c r="AA67" s="1"/>
  <c r="S112"/>
  <c r="U112" s="1"/>
  <c r="S114"/>
  <c r="Q127"/>
  <c r="Q126" s="1"/>
  <c r="S136"/>
  <c r="U136" s="1"/>
  <c r="AA136" s="1"/>
  <c r="S138"/>
  <c r="U138" s="1"/>
  <c r="S156"/>
  <c r="U156" s="1"/>
  <c r="O158"/>
  <c r="O157" s="1"/>
  <c r="S166"/>
  <c r="U166" s="1"/>
  <c r="AA166" s="1"/>
  <c r="S172"/>
  <c r="U172" s="1"/>
  <c r="N10"/>
  <c r="N9" s="1"/>
  <c r="S11"/>
  <c r="S35"/>
  <c r="N96"/>
  <c r="N95" s="1"/>
  <c r="N108"/>
  <c r="S109"/>
  <c r="S152"/>
  <c r="U152" s="1"/>
  <c r="S118"/>
  <c r="S120"/>
  <c r="N119"/>
  <c r="R51"/>
  <c r="S12"/>
  <c r="U12" s="1"/>
  <c r="S21"/>
  <c r="U21" s="1"/>
  <c r="S45"/>
  <c r="U45" s="1"/>
  <c r="AA45" s="1"/>
  <c r="S46"/>
  <c r="U46" s="1"/>
  <c r="AA46" s="1"/>
  <c r="K178"/>
  <c r="S61"/>
  <c r="U61" s="1"/>
  <c r="S74"/>
  <c r="U74" s="1"/>
  <c r="S91"/>
  <c r="U91" s="1"/>
  <c r="S110"/>
  <c r="U110" s="1"/>
  <c r="T117"/>
  <c r="S142"/>
  <c r="U142" s="1"/>
  <c r="S154"/>
  <c r="U154" s="1"/>
  <c r="S168"/>
  <c r="U168" s="1"/>
  <c r="AA168" s="1"/>
  <c r="S174"/>
  <c r="U174" s="1"/>
  <c r="S171"/>
  <c r="N170"/>
  <c r="N37"/>
  <c r="N34" s="1"/>
  <c r="S38"/>
  <c r="N175"/>
  <c r="S176"/>
  <c r="X54"/>
  <c r="O64"/>
  <c r="O63" s="1"/>
  <c r="S70"/>
  <c r="U70" s="1"/>
  <c r="AA70" s="1"/>
  <c r="S72"/>
  <c r="U72" s="1"/>
  <c r="AA72" s="1"/>
  <c r="S165"/>
  <c r="U165" s="1"/>
  <c r="AA165" s="1"/>
  <c r="Q32"/>
  <c r="Q30" s="1"/>
  <c r="Q39"/>
  <c r="Q37" s="1"/>
  <c r="Q34" s="1"/>
  <c r="Q42"/>
  <c r="Q41" s="1"/>
  <c r="N55"/>
  <c r="N66"/>
  <c r="C88"/>
  <c r="C113"/>
  <c r="O115"/>
  <c r="O113" s="1"/>
  <c r="C127"/>
  <c r="C126" s="1"/>
  <c r="C117" s="1"/>
  <c r="O131"/>
  <c r="S131" s="1"/>
  <c r="U131" s="1"/>
  <c r="C148"/>
  <c r="O149"/>
  <c r="N158"/>
  <c r="N157" s="1"/>
  <c r="H34"/>
  <c r="H48"/>
  <c r="H40" s="1"/>
  <c r="H56"/>
  <c r="H54" s="1"/>
  <c r="H96"/>
  <c r="H95" s="1"/>
  <c r="H86" s="1"/>
  <c r="Q68"/>
  <c r="Q64" s="1"/>
  <c r="Q63" s="1"/>
  <c r="N88"/>
  <c r="S98"/>
  <c r="O105"/>
  <c r="O96" s="1"/>
  <c r="O95" s="1"/>
  <c r="N113"/>
  <c r="N41"/>
  <c r="Q87"/>
  <c r="N129"/>
  <c r="N139"/>
  <c r="Q146"/>
  <c r="S146" s="1"/>
  <c r="U146" s="1"/>
  <c r="Q162"/>
  <c r="Q158" s="1"/>
  <c r="Q157" s="1"/>
  <c r="H17" i="29"/>
  <c r="H122" s="1"/>
  <c r="O93" i="39"/>
  <c r="M93"/>
  <c r="H93"/>
  <c r="F93"/>
  <c r="E93"/>
  <c r="Q90"/>
  <c r="H68"/>
  <c r="G68"/>
  <c r="E68"/>
  <c r="Q70"/>
  <c r="F68"/>
  <c r="P44"/>
  <c r="Q35"/>
  <c r="M44"/>
  <c r="N68"/>
  <c r="L68"/>
  <c r="P68"/>
  <c r="O68"/>
  <c r="Q85"/>
  <c r="J44"/>
  <c r="M68"/>
  <c r="O44"/>
  <c r="Q102"/>
  <c r="Q110"/>
  <c r="J68"/>
  <c r="L44"/>
  <c r="N44"/>
  <c r="L93"/>
  <c r="N93"/>
  <c r="Q114"/>
  <c r="I46"/>
  <c r="Q46" s="1"/>
  <c r="F44"/>
  <c r="G93"/>
  <c r="I95"/>
  <c r="I93" s="1"/>
  <c r="Q69"/>
  <c r="Q77"/>
  <c r="Q111"/>
  <c r="Q106"/>
  <c r="Q115"/>
  <c r="Q45"/>
  <c r="Q87"/>
  <c r="Q91"/>
  <c r="F20" i="33"/>
  <c r="G13" i="44"/>
  <c r="I13" s="1"/>
  <c r="J13" s="1"/>
  <c r="G11"/>
  <c r="I11" s="1"/>
  <c r="T96" i="29"/>
  <c r="V178" i="13" l="1"/>
  <c r="V179" s="1"/>
  <c r="Y178"/>
  <c r="Y179" s="1"/>
  <c r="W178"/>
  <c r="W179" s="1"/>
  <c r="K51"/>
  <c r="K179" s="1"/>
  <c r="T178"/>
  <c r="T179" s="1"/>
  <c r="P178"/>
  <c r="P179" s="1"/>
  <c r="R178"/>
  <c r="R179" s="1"/>
  <c r="X178"/>
  <c r="X179" s="1"/>
  <c r="O39"/>
  <c r="O37" s="1"/>
  <c r="O34" s="1"/>
  <c r="N40"/>
  <c r="N51" s="1"/>
  <c r="F24" i="1"/>
  <c r="J11" i="44"/>
  <c r="O86" i="13"/>
  <c r="Q40"/>
  <c r="Q51" s="1"/>
  <c r="O40"/>
  <c r="O54"/>
  <c r="Q148"/>
  <c r="S139"/>
  <c r="C86"/>
  <c r="C178" s="1"/>
  <c r="C179" s="1"/>
  <c r="Q54"/>
  <c r="S32"/>
  <c r="U32" s="1"/>
  <c r="I44" i="39"/>
  <c r="Q44" s="1"/>
  <c r="H13" i="24" s="1"/>
  <c r="Q96" i="13"/>
  <c r="Q95" s="1"/>
  <c r="Q86" s="1"/>
  <c r="S88"/>
  <c r="O148"/>
  <c r="N148"/>
  <c r="I178"/>
  <c r="I179" s="1"/>
  <c r="Q144"/>
  <c r="Q117" s="1"/>
  <c r="S115"/>
  <c r="U115" s="1"/>
  <c r="N86"/>
  <c r="H178"/>
  <c r="U89"/>
  <c r="U88" s="1"/>
  <c r="H51"/>
  <c r="N64"/>
  <c r="N63" s="1"/>
  <c r="N54" s="1"/>
  <c r="S66"/>
  <c r="S150"/>
  <c r="U151"/>
  <c r="S105"/>
  <c r="U105" s="1"/>
  <c r="U98"/>
  <c r="U114"/>
  <c r="U57"/>
  <c r="S56"/>
  <c r="O127"/>
  <c r="O126" s="1"/>
  <c r="O117" s="1"/>
  <c r="S87"/>
  <c r="N127"/>
  <c r="N126" s="1"/>
  <c r="N117" s="1"/>
  <c r="S129"/>
  <c r="U38"/>
  <c r="S108"/>
  <c r="U109"/>
  <c r="S144"/>
  <c r="U145"/>
  <c r="S162"/>
  <c r="U162" s="1"/>
  <c r="U35"/>
  <c r="U139"/>
  <c r="S68"/>
  <c r="U68" s="1"/>
  <c r="S42"/>
  <c r="S149"/>
  <c r="U49"/>
  <c r="S48"/>
  <c r="S175"/>
  <c r="U176"/>
  <c r="U118"/>
  <c r="S10"/>
  <c r="S9" s="1"/>
  <c r="U11"/>
  <c r="U160"/>
  <c r="S55"/>
  <c r="S170"/>
  <c r="U171"/>
  <c r="S81"/>
  <c r="U82"/>
  <c r="S119"/>
  <c r="U120"/>
  <c r="S76"/>
  <c r="U77"/>
  <c r="U20"/>
  <c r="S19"/>
  <c r="S18" s="1"/>
  <c r="U31"/>
  <c r="Q93" i="39"/>
  <c r="Q68"/>
  <c r="Q95"/>
  <c r="E10" i="6" l="1"/>
  <c r="H57" i="24"/>
  <c r="L13" i="44"/>
  <c r="L14"/>
  <c r="O51" i="13"/>
  <c r="S39"/>
  <c r="U39" s="1"/>
  <c r="E7" i="14"/>
  <c r="F7" i="15"/>
  <c r="O178" i="13"/>
  <c r="S96"/>
  <c r="S95" s="1"/>
  <c r="S30"/>
  <c r="Q178"/>
  <c r="Q179" s="1"/>
  <c r="S158"/>
  <c r="S157" s="1"/>
  <c r="S148" s="1"/>
  <c r="N178"/>
  <c r="N179" s="1"/>
  <c r="S113"/>
  <c r="H179"/>
  <c r="S127"/>
  <c r="S126" s="1"/>
  <c r="S117" s="1"/>
  <c r="U129"/>
  <c r="U119"/>
  <c r="U55"/>
  <c r="S41"/>
  <c r="S40" s="1"/>
  <c r="U42"/>
  <c r="U96"/>
  <c r="U95" s="1"/>
  <c r="U175"/>
  <c r="U150"/>
  <c r="U76"/>
  <c r="U19"/>
  <c r="U18" s="1"/>
  <c r="U10"/>
  <c r="U9" s="1"/>
  <c r="U149"/>
  <c r="U108"/>
  <c r="U113"/>
  <c r="U170"/>
  <c r="AA160"/>
  <c r="U158"/>
  <c r="U157" s="1"/>
  <c r="U48"/>
  <c r="U144"/>
  <c r="U87"/>
  <c r="U56"/>
  <c r="U66"/>
  <c r="S64"/>
  <c r="S63" s="1"/>
  <c r="S54" s="1"/>
  <c r="U30"/>
  <c r="U81"/>
  <c r="Z173" l="1"/>
  <c r="AA173" s="1"/>
  <c r="Z122"/>
  <c r="AA122" s="1"/>
  <c r="Z111"/>
  <c r="AA111" s="1"/>
  <c r="Z149"/>
  <c r="Z120"/>
  <c r="Z142"/>
  <c r="AA142" s="1"/>
  <c r="Z123"/>
  <c r="AA123" s="1"/>
  <c r="Z114"/>
  <c r="Z140"/>
  <c r="Z154"/>
  <c r="AA154" s="1"/>
  <c r="Z143"/>
  <c r="Z125"/>
  <c r="AA125" s="1"/>
  <c r="Z152"/>
  <c r="AA152" s="1"/>
  <c r="Z155"/>
  <c r="AA155" s="1"/>
  <c r="Z146"/>
  <c r="AA146" s="1"/>
  <c r="Z172"/>
  <c r="AA172" s="1"/>
  <c r="Z176"/>
  <c r="Z118"/>
  <c r="Z121"/>
  <c r="AA121" s="1"/>
  <c r="Z110"/>
  <c r="AA110" s="1"/>
  <c r="Z156"/>
  <c r="AA156" s="1"/>
  <c r="Z171"/>
  <c r="Z138"/>
  <c r="AA138" s="1"/>
  <c r="Z109"/>
  <c r="Z141"/>
  <c r="AA141" s="1"/>
  <c r="Z115"/>
  <c r="AA115" s="1"/>
  <c r="Z177"/>
  <c r="AA177" s="1"/>
  <c r="Z174"/>
  <c r="AA174" s="1"/>
  <c r="Z169"/>
  <c r="AA169" s="1"/>
  <c r="Z124"/>
  <c r="AA124" s="1"/>
  <c r="Z151"/>
  <c r="Z145"/>
  <c r="Z112"/>
  <c r="AA112" s="1"/>
  <c r="Z153"/>
  <c r="AA153" s="1"/>
  <c r="Z131"/>
  <c r="Z162"/>
  <c r="Z101"/>
  <c r="AA101" s="1"/>
  <c r="Z75"/>
  <c r="Z79"/>
  <c r="AA79" s="1"/>
  <c r="Z17"/>
  <c r="AA17" s="1"/>
  <c r="Z68"/>
  <c r="Z90"/>
  <c r="AA90" s="1"/>
  <c r="Z87"/>
  <c r="AA87" s="1"/>
  <c r="Z92"/>
  <c r="AA92" s="1"/>
  <c r="Z83"/>
  <c r="AA83" s="1"/>
  <c r="Z107"/>
  <c r="Z82"/>
  <c r="Z98"/>
  <c r="Z102"/>
  <c r="AA102" s="1"/>
  <c r="Z77"/>
  <c r="Z100"/>
  <c r="AA100" s="1"/>
  <c r="Z105"/>
  <c r="AA105" s="1"/>
  <c r="Z106"/>
  <c r="AA106" s="1"/>
  <c r="Z94"/>
  <c r="AA94" s="1"/>
  <c r="Z74"/>
  <c r="AA74" s="1"/>
  <c r="Z78"/>
  <c r="AA78" s="1"/>
  <c r="Z89"/>
  <c r="Z91"/>
  <c r="AA91" s="1"/>
  <c r="Z104"/>
  <c r="AA104" s="1"/>
  <c r="Z93"/>
  <c r="AA93" s="1"/>
  <c r="Z99"/>
  <c r="AA99" s="1"/>
  <c r="Z80"/>
  <c r="AA80" s="1"/>
  <c r="Z97"/>
  <c r="AA97" s="1"/>
  <c r="Z103"/>
  <c r="AA103" s="1"/>
  <c r="Z44"/>
  <c r="AA44" s="1"/>
  <c r="Z38"/>
  <c r="Z13"/>
  <c r="AA13" s="1"/>
  <c r="Z14"/>
  <c r="AA14" s="1"/>
  <c r="Z11"/>
  <c r="Z28"/>
  <c r="AA28" s="1"/>
  <c r="Z32"/>
  <c r="AA32" s="1"/>
  <c r="Z57"/>
  <c r="Z33"/>
  <c r="AA33" s="1"/>
  <c r="Z23"/>
  <c r="AA23" s="1"/>
  <c r="Z42"/>
  <c r="AA42" s="1"/>
  <c r="Z55"/>
  <c r="Z29"/>
  <c r="AA29" s="1"/>
  <c r="Z26"/>
  <c r="AA26" s="1"/>
  <c r="Z59"/>
  <c r="AA59" s="1"/>
  <c r="Z15"/>
  <c r="AA15" s="1"/>
  <c r="Z35"/>
  <c r="AA35" s="1"/>
  <c r="Z25"/>
  <c r="AA25" s="1"/>
  <c r="Z21"/>
  <c r="AA21" s="1"/>
  <c r="Z12"/>
  <c r="AA12" s="1"/>
  <c r="Z31"/>
  <c r="Z50"/>
  <c r="AA50" s="1"/>
  <c r="Z16"/>
  <c r="AA16" s="1"/>
  <c r="Z22"/>
  <c r="AA22" s="1"/>
  <c r="Z58"/>
  <c r="AA58" s="1"/>
  <c r="Z39"/>
  <c r="AA39" s="1"/>
  <c r="Z60"/>
  <c r="AA60" s="1"/>
  <c r="Z62"/>
  <c r="AA62" s="1"/>
  <c r="Z49"/>
  <c r="Z61"/>
  <c r="AA61" s="1"/>
  <c r="Z20"/>
  <c r="Z27"/>
  <c r="AA27" s="1"/>
  <c r="Z47"/>
  <c r="AA47" s="1"/>
  <c r="Z36"/>
  <c r="AA36" s="1"/>
  <c r="Z24"/>
  <c r="AA24" s="1"/>
  <c r="O179"/>
  <c r="S37"/>
  <c r="S34" s="1"/>
  <c r="S51" s="1"/>
  <c r="U37"/>
  <c r="U34" s="1"/>
  <c r="S86"/>
  <c r="S178" s="1"/>
  <c r="AA66"/>
  <c r="U64"/>
  <c r="U63" s="1"/>
  <c r="AA129"/>
  <c r="U127"/>
  <c r="U126" s="1"/>
  <c r="U117" s="1"/>
  <c r="AA149"/>
  <c r="U148"/>
  <c r="U41"/>
  <c r="U40" s="1"/>
  <c r="U86"/>
  <c r="M40" i="29"/>
  <c r="O40"/>
  <c r="P40"/>
  <c r="Q40"/>
  <c r="T40"/>
  <c r="V40"/>
  <c r="W40"/>
  <c r="X40"/>
  <c r="AA143" i="13" l="1"/>
  <c r="AA75"/>
  <c r="Z175"/>
  <c r="AA176"/>
  <c r="AA175" s="1"/>
  <c r="Z139"/>
  <c r="AA140"/>
  <c r="AA118"/>
  <c r="Z127"/>
  <c r="Z126" s="1"/>
  <c r="AA131"/>
  <c r="AA127" s="1"/>
  <c r="AA126" s="1"/>
  <c r="Z158"/>
  <c r="Z157" s="1"/>
  <c r="AA162"/>
  <c r="AA158" s="1"/>
  <c r="AA157" s="1"/>
  <c r="Z119"/>
  <c r="AA120"/>
  <c r="AA119" s="1"/>
  <c r="Z170"/>
  <c r="AA171"/>
  <c r="AA170" s="1"/>
  <c r="Z150"/>
  <c r="AA151"/>
  <c r="AA150" s="1"/>
  <c r="Z144"/>
  <c r="AA145"/>
  <c r="AA144" s="1"/>
  <c r="Z108"/>
  <c r="AA109"/>
  <c r="AA108" s="1"/>
  <c r="Z113"/>
  <c r="AA114"/>
  <c r="AA113" s="1"/>
  <c r="AA55"/>
  <c r="Z10"/>
  <c r="Z9" s="1"/>
  <c r="AA11"/>
  <c r="AA10" s="1"/>
  <c r="AA9" s="1"/>
  <c r="Z81"/>
  <c r="AA82"/>
  <c r="AA81" s="1"/>
  <c r="Z56"/>
  <c r="AA57"/>
  <c r="AA56" s="1"/>
  <c r="Z96"/>
  <c r="Z95" s="1"/>
  <c r="AA98"/>
  <c r="AA96" s="1"/>
  <c r="Z88"/>
  <c r="AA89"/>
  <c r="AA88" s="1"/>
  <c r="Z64"/>
  <c r="Z63" s="1"/>
  <c r="AA68"/>
  <c r="AA64" s="1"/>
  <c r="Z30"/>
  <c r="AA31"/>
  <c r="AA30" s="1"/>
  <c r="AA107"/>
  <c r="Z37"/>
  <c r="Z34" s="1"/>
  <c r="AA38"/>
  <c r="AA37" s="1"/>
  <c r="AA34" s="1"/>
  <c r="Z76"/>
  <c r="AA77"/>
  <c r="AA76" s="1"/>
  <c r="AA41"/>
  <c r="Z19"/>
  <c r="Z18" s="1"/>
  <c r="AA20"/>
  <c r="AA19" s="1"/>
  <c r="AA18" s="1"/>
  <c r="Z41"/>
  <c r="Z48"/>
  <c r="AA49"/>
  <c r="AA48" s="1"/>
  <c r="U54"/>
  <c r="U178" s="1"/>
  <c r="U51"/>
  <c r="S179"/>
  <c r="P374"/>
  <c r="P20" i="67" s="1"/>
  <c r="P375" i="13"/>
  <c r="P21" i="67" s="1"/>
  <c r="P376" i="13"/>
  <c r="P22" i="67" s="1"/>
  <c r="P377" i="13"/>
  <c r="P23" i="67" s="1"/>
  <c r="P378" i="13"/>
  <c r="P24" i="67" s="1"/>
  <c r="P379" i="13"/>
  <c r="P25" i="67" s="1"/>
  <c r="P380" i="13"/>
  <c r="P26" i="67" s="1"/>
  <c r="P381" i="13"/>
  <c r="P27" i="67" s="1"/>
  <c r="P382" i="13"/>
  <c r="P28" i="67" s="1"/>
  <c r="P373" i="13"/>
  <c r="P19" i="67" s="1"/>
  <c r="J161"/>
  <c r="J130"/>
  <c r="J99"/>
  <c r="J67"/>
  <c r="O67" s="1"/>
  <c r="K396" i="13"/>
  <c r="K42" i="67" s="1"/>
  <c r="K397" i="13"/>
  <c r="K43" i="67" s="1"/>
  <c r="K398" i="13"/>
  <c r="K44" i="67" s="1"/>
  <c r="K399" i="13"/>
  <c r="K45" i="67" s="1"/>
  <c r="K395" i="13"/>
  <c r="K41" i="67" s="1"/>
  <c r="J176"/>
  <c r="J175"/>
  <c r="J173"/>
  <c r="J172"/>
  <c r="J171"/>
  <c r="J170"/>
  <c r="J168"/>
  <c r="O168" s="1"/>
  <c r="J167"/>
  <c r="O167" s="1"/>
  <c r="J166"/>
  <c r="J155"/>
  <c r="J154"/>
  <c r="J153"/>
  <c r="J152"/>
  <c r="J151"/>
  <c r="J150"/>
  <c r="J148"/>
  <c r="J145"/>
  <c r="J144"/>
  <c r="J142"/>
  <c r="J141"/>
  <c r="J140"/>
  <c r="J139"/>
  <c r="J137"/>
  <c r="O137" s="1"/>
  <c r="J136"/>
  <c r="J135"/>
  <c r="J124"/>
  <c r="J123"/>
  <c r="J122"/>
  <c r="J121"/>
  <c r="J120"/>
  <c r="J119"/>
  <c r="J114"/>
  <c r="J113"/>
  <c r="J111"/>
  <c r="J110"/>
  <c r="J109"/>
  <c r="J108"/>
  <c r="J106"/>
  <c r="O106" s="1"/>
  <c r="J105"/>
  <c r="O105" s="1"/>
  <c r="J104"/>
  <c r="O104" s="1"/>
  <c r="J93"/>
  <c r="J92"/>
  <c r="J91"/>
  <c r="J90"/>
  <c r="J89"/>
  <c r="J88"/>
  <c r="J86"/>
  <c r="J82"/>
  <c r="J81"/>
  <c r="J79"/>
  <c r="J78"/>
  <c r="J77"/>
  <c r="J76"/>
  <c r="J74"/>
  <c r="O74" s="1"/>
  <c r="J73"/>
  <c r="O73" s="1"/>
  <c r="J72"/>
  <c r="O72" s="1"/>
  <c r="J61"/>
  <c r="J60"/>
  <c r="J59"/>
  <c r="J58"/>
  <c r="J57"/>
  <c r="J56"/>
  <c r="J54"/>
  <c r="J49"/>
  <c r="J48"/>
  <c r="J38"/>
  <c r="J37"/>
  <c r="J35"/>
  <c r="J34"/>
  <c r="J32"/>
  <c r="J31"/>
  <c r="J30"/>
  <c r="J28"/>
  <c r="J27"/>
  <c r="J26"/>
  <c r="J25"/>
  <c r="J24"/>
  <c r="J23"/>
  <c r="J22"/>
  <c r="J21"/>
  <c r="J20"/>
  <c r="J19"/>
  <c r="J15"/>
  <c r="J14"/>
  <c r="J13"/>
  <c r="J12"/>
  <c r="J11"/>
  <c r="J10"/>
  <c r="N525" i="13"/>
  <c r="N494"/>
  <c r="C175" i="67"/>
  <c r="C176"/>
  <c r="C173"/>
  <c r="C172"/>
  <c r="C171"/>
  <c r="C170"/>
  <c r="C167"/>
  <c r="C168"/>
  <c r="Q168" s="1"/>
  <c r="C166"/>
  <c r="C161"/>
  <c r="C155"/>
  <c r="C154"/>
  <c r="C153"/>
  <c r="C152"/>
  <c r="C151"/>
  <c r="C150"/>
  <c r="C148"/>
  <c r="C145"/>
  <c r="C144"/>
  <c r="C142"/>
  <c r="C141"/>
  <c r="C140"/>
  <c r="C139"/>
  <c r="C136"/>
  <c r="C137"/>
  <c r="Q137" s="1"/>
  <c r="C135"/>
  <c r="C130"/>
  <c r="C124"/>
  <c r="C123"/>
  <c r="C122"/>
  <c r="C121"/>
  <c r="C120"/>
  <c r="C119"/>
  <c r="C117"/>
  <c r="C114"/>
  <c r="C113"/>
  <c r="C111"/>
  <c r="C110"/>
  <c r="C109"/>
  <c r="C108"/>
  <c r="C105"/>
  <c r="Q105" s="1"/>
  <c r="C106"/>
  <c r="Q106" s="1"/>
  <c r="C104"/>
  <c r="Q104" s="1"/>
  <c r="C99"/>
  <c r="C93"/>
  <c r="C92"/>
  <c r="C91"/>
  <c r="C90"/>
  <c r="C88"/>
  <c r="C86"/>
  <c r="K218" i="13"/>
  <c r="K219"/>
  <c r="K220"/>
  <c r="K221"/>
  <c r="K217"/>
  <c r="E120" i="29"/>
  <c r="E118"/>
  <c r="G118" s="1"/>
  <c r="K118" s="1"/>
  <c r="E117"/>
  <c r="G117" s="1"/>
  <c r="K117" s="1"/>
  <c r="E116"/>
  <c r="G116" s="1"/>
  <c r="K116" s="1"/>
  <c r="E115"/>
  <c r="E113"/>
  <c r="G113" s="1"/>
  <c r="K113" s="1"/>
  <c r="E112"/>
  <c r="G112" s="1"/>
  <c r="K112" s="1"/>
  <c r="E111"/>
  <c r="G111" s="1"/>
  <c r="K111" s="1"/>
  <c r="E110"/>
  <c r="G110" s="1"/>
  <c r="E109"/>
  <c r="G109" s="1"/>
  <c r="K109" s="1"/>
  <c r="E108"/>
  <c r="E104"/>
  <c r="G104" s="1"/>
  <c r="K104" s="1"/>
  <c r="E103"/>
  <c r="G103" s="1"/>
  <c r="K103" s="1"/>
  <c r="E102"/>
  <c r="G102" s="1"/>
  <c r="K102" s="1"/>
  <c r="E101"/>
  <c r="G101" s="1"/>
  <c r="K101" s="1"/>
  <c r="E100"/>
  <c r="G100" s="1"/>
  <c r="K100" s="1"/>
  <c r="E99"/>
  <c r="E97"/>
  <c r="G97" s="1"/>
  <c r="K97" s="1"/>
  <c r="E95"/>
  <c r="G95" s="1"/>
  <c r="K95" s="1"/>
  <c r="E94"/>
  <c r="E92"/>
  <c r="G92" s="1"/>
  <c r="K92" s="1"/>
  <c r="E91"/>
  <c r="G91" s="1"/>
  <c r="K91" s="1"/>
  <c r="E90"/>
  <c r="G90" s="1"/>
  <c r="K90" s="1"/>
  <c r="E89"/>
  <c r="E87"/>
  <c r="G87" s="1"/>
  <c r="K87" s="1"/>
  <c r="E86"/>
  <c r="G86" s="1"/>
  <c r="K86" s="1"/>
  <c r="E85"/>
  <c r="G85" s="1"/>
  <c r="K85" s="1"/>
  <c r="E84"/>
  <c r="G84" s="1"/>
  <c r="K84" s="1"/>
  <c r="E83"/>
  <c r="G83" s="1"/>
  <c r="K83" s="1"/>
  <c r="E82"/>
  <c r="E78"/>
  <c r="G78" s="1"/>
  <c r="K78" s="1"/>
  <c r="E77"/>
  <c r="G77" s="1"/>
  <c r="K77" s="1"/>
  <c r="E76"/>
  <c r="G76" s="1"/>
  <c r="K76" s="1"/>
  <c r="E75"/>
  <c r="G75" s="1"/>
  <c r="K75" s="1"/>
  <c r="E74"/>
  <c r="G74" s="1"/>
  <c r="K74" s="1"/>
  <c r="E73"/>
  <c r="E71"/>
  <c r="E69"/>
  <c r="G69" s="1"/>
  <c r="K69" s="1"/>
  <c r="E68"/>
  <c r="E66"/>
  <c r="G66" s="1"/>
  <c r="K66" s="1"/>
  <c r="E65"/>
  <c r="G65" s="1"/>
  <c r="K65" s="1"/>
  <c r="E64"/>
  <c r="G64" s="1"/>
  <c r="K64" s="1"/>
  <c r="E63"/>
  <c r="E61"/>
  <c r="G61" s="1"/>
  <c r="K61" s="1"/>
  <c r="E60"/>
  <c r="G60" s="1"/>
  <c r="K60" s="1"/>
  <c r="E59"/>
  <c r="G59" s="1"/>
  <c r="K59" s="1"/>
  <c r="E58"/>
  <c r="G58" s="1"/>
  <c r="K58" s="1"/>
  <c r="E57"/>
  <c r="G57" s="1"/>
  <c r="K57" s="1"/>
  <c r="E56"/>
  <c r="E52"/>
  <c r="G52" s="1"/>
  <c r="K52" s="1"/>
  <c r="E51"/>
  <c r="G51" s="1"/>
  <c r="K51" s="1"/>
  <c r="E50"/>
  <c r="G50" s="1"/>
  <c r="K50" s="1"/>
  <c r="E49"/>
  <c r="G49" s="1"/>
  <c r="K49" s="1"/>
  <c r="E47"/>
  <c r="E45"/>
  <c r="G45" s="1"/>
  <c r="K45" s="1"/>
  <c r="E42"/>
  <c r="G42" s="1"/>
  <c r="K42" s="1"/>
  <c r="E41"/>
  <c r="E39"/>
  <c r="G39" s="1"/>
  <c r="K39" s="1"/>
  <c r="E38"/>
  <c r="G38" s="1"/>
  <c r="K38" s="1"/>
  <c r="E37"/>
  <c r="G37" s="1"/>
  <c r="K37" s="1"/>
  <c r="E36"/>
  <c r="E34"/>
  <c r="G34" s="1"/>
  <c r="K34" s="1"/>
  <c r="E33"/>
  <c r="G33" s="1"/>
  <c r="K33" s="1"/>
  <c r="E32"/>
  <c r="G32" s="1"/>
  <c r="K32" s="1"/>
  <c r="E31"/>
  <c r="G31" s="1"/>
  <c r="K31" s="1"/>
  <c r="E30"/>
  <c r="G30" s="1"/>
  <c r="K30" s="1"/>
  <c r="E29"/>
  <c r="E26"/>
  <c r="G26" s="1"/>
  <c r="K26" s="1"/>
  <c r="E25"/>
  <c r="G25" s="1"/>
  <c r="K25" s="1"/>
  <c r="E24"/>
  <c r="E23"/>
  <c r="G23" s="1"/>
  <c r="K23" s="1"/>
  <c r="E22"/>
  <c r="G22" s="1"/>
  <c r="K22" s="1"/>
  <c r="E21"/>
  <c r="G21" s="1"/>
  <c r="E19"/>
  <c r="J222" i="13"/>
  <c r="J221"/>
  <c r="J220"/>
  <c r="J219"/>
  <c r="J218"/>
  <c r="J217"/>
  <c r="E121" i="29"/>
  <c r="G121" s="1"/>
  <c r="K121" s="1"/>
  <c r="C239" i="13"/>
  <c r="C222"/>
  <c r="C221"/>
  <c r="C220"/>
  <c r="C219"/>
  <c r="C218"/>
  <c r="C217"/>
  <c r="P203"/>
  <c r="P202"/>
  <c r="P201"/>
  <c r="P200"/>
  <c r="P195"/>
  <c r="F211" i="39"/>
  <c r="G211"/>
  <c r="H211"/>
  <c r="E211"/>
  <c r="F186"/>
  <c r="G186"/>
  <c r="H186"/>
  <c r="E186"/>
  <c r="F162"/>
  <c r="G162"/>
  <c r="H162"/>
  <c r="E162"/>
  <c r="F136"/>
  <c r="G136"/>
  <c r="H136"/>
  <c r="E136"/>
  <c r="F206"/>
  <c r="G206"/>
  <c r="H206"/>
  <c r="F201"/>
  <c r="G201"/>
  <c r="H201"/>
  <c r="F218"/>
  <c r="G218"/>
  <c r="H218"/>
  <c r="F226"/>
  <c r="G226"/>
  <c r="H226"/>
  <c r="F230"/>
  <c r="G230"/>
  <c r="H230"/>
  <c r="E230"/>
  <c r="E201"/>
  <c r="F177"/>
  <c r="G177"/>
  <c r="H177"/>
  <c r="E177"/>
  <c r="F151"/>
  <c r="G151"/>
  <c r="H151"/>
  <c r="E151"/>
  <c r="E226"/>
  <c r="P484"/>
  <c r="P485" s="1"/>
  <c r="O484"/>
  <c r="O485" s="1"/>
  <c r="N484"/>
  <c r="N485" s="1"/>
  <c r="M484"/>
  <c r="M485" s="1"/>
  <c r="L484"/>
  <c r="L485" s="1"/>
  <c r="K484"/>
  <c r="K485" s="1"/>
  <c r="J484"/>
  <c r="J485" s="1"/>
  <c r="I484"/>
  <c r="I485" s="1"/>
  <c r="H484"/>
  <c r="H485" s="1"/>
  <c r="G484"/>
  <c r="G485" s="1"/>
  <c r="F484"/>
  <c r="F485" s="1"/>
  <c r="E484"/>
  <c r="P606"/>
  <c r="P607" s="1"/>
  <c r="O606"/>
  <c r="O607" s="1"/>
  <c r="N606"/>
  <c r="N607" s="1"/>
  <c r="M606"/>
  <c r="M607" s="1"/>
  <c r="L606"/>
  <c r="L607" s="1"/>
  <c r="K606"/>
  <c r="K607" s="1"/>
  <c r="J606"/>
  <c r="J607" s="1"/>
  <c r="I606"/>
  <c r="H606"/>
  <c r="H607" s="1"/>
  <c r="G606"/>
  <c r="G607" s="1"/>
  <c r="F606"/>
  <c r="F607" s="1"/>
  <c r="E606"/>
  <c r="E607" s="1"/>
  <c r="Q605"/>
  <c r="Q604"/>
  <c r="P603"/>
  <c r="O603"/>
  <c r="N603"/>
  <c r="M603"/>
  <c r="L603"/>
  <c r="K603"/>
  <c r="J603"/>
  <c r="I603"/>
  <c r="H603"/>
  <c r="G603"/>
  <c r="F603"/>
  <c r="E603"/>
  <c r="Q602"/>
  <c r="Q601"/>
  <c r="Q600"/>
  <c r="Q599"/>
  <c r="P598"/>
  <c r="O598"/>
  <c r="N598"/>
  <c r="M598"/>
  <c r="L598"/>
  <c r="K598"/>
  <c r="J598"/>
  <c r="I598"/>
  <c r="H598"/>
  <c r="G598"/>
  <c r="F598"/>
  <c r="E598"/>
  <c r="Q597"/>
  <c r="Q596"/>
  <c r="Q595"/>
  <c r="Q594"/>
  <c r="Q593"/>
  <c r="Q592"/>
  <c r="P590"/>
  <c r="O590"/>
  <c r="N590"/>
  <c r="M590"/>
  <c r="L590"/>
  <c r="K590"/>
  <c r="J590"/>
  <c r="I590"/>
  <c r="H590"/>
  <c r="G590"/>
  <c r="F590"/>
  <c r="E590"/>
  <c r="Q589"/>
  <c r="Q588"/>
  <c r="Q587"/>
  <c r="Q586"/>
  <c r="Q585"/>
  <c r="Q584"/>
  <c r="P583"/>
  <c r="O583"/>
  <c r="N583"/>
  <c r="M583"/>
  <c r="L583"/>
  <c r="K583"/>
  <c r="J583"/>
  <c r="I583"/>
  <c r="H583"/>
  <c r="G583"/>
  <c r="F583"/>
  <c r="E583"/>
  <c r="Q582"/>
  <c r="P581"/>
  <c r="O581"/>
  <c r="N581"/>
  <c r="M581"/>
  <c r="L581"/>
  <c r="K581"/>
  <c r="J581"/>
  <c r="I581"/>
  <c r="H581"/>
  <c r="G581"/>
  <c r="F581"/>
  <c r="E581"/>
  <c r="Q483"/>
  <c r="Q482"/>
  <c r="Q481"/>
  <c r="Q480"/>
  <c r="Q479"/>
  <c r="P478"/>
  <c r="O478"/>
  <c r="N478"/>
  <c r="M478"/>
  <c r="L478"/>
  <c r="K478"/>
  <c r="J478"/>
  <c r="I478"/>
  <c r="H478"/>
  <c r="G478"/>
  <c r="F478"/>
  <c r="E478"/>
  <c r="Q477"/>
  <c r="Q476"/>
  <c r="Q475"/>
  <c r="Q474"/>
  <c r="P473"/>
  <c r="O473"/>
  <c r="N473"/>
  <c r="M473"/>
  <c r="L473"/>
  <c r="K473"/>
  <c r="J473"/>
  <c r="I473"/>
  <c r="H473"/>
  <c r="G473"/>
  <c r="F473"/>
  <c r="E473"/>
  <c r="Q472"/>
  <c r="Q471"/>
  <c r="Q470"/>
  <c r="Q469"/>
  <c r="Q468"/>
  <c r="Q467"/>
  <c r="P465"/>
  <c r="O465"/>
  <c r="N465"/>
  <c r="M465"/>
  <c r="L465"/>
  <c r="K465"/>
  <c r="J465"/>
  <c r="I465"/>
  <c r="H465"/>
  <c r="G465"/>
  <c r="F465"/>
  <c r="E465"/>
  <c r="Q464"/>
  <c r="Q463"/>
  <c r="Q462"/>
  <c r="Q461"/>
  <c r="Q460"/>
  <c r="Q459"/>
  <c r="P458"/>
  <c r="O458"/>
  <c r="N458"/>
  <c r="M458"/>
  <c r="L458"/>
  <c r="K458"/>
  <c r="J458"/>
  <c r="I458"/>
  <c r="H458"/>
  <c r="G458"/>
  <c r="F458"/>
  <c r="E458"/>
  <c r="Q457"/>
  <c r="P456"/>
  <c r="O456"/>
  <c r="N456"/>
  <c r="M456"/>
  <c r="L456"/>
  <c r="K456"/>
  <c r="J456"/>
  <c r="I456"/>
  <c r="H456"/>
  <c r="G456"/>
  <c r="F456"/>
  <c r="E456"/>
  <c r="F209" l="1"/>
  <c r="G209"/>
  <c r="H209"/>
  <c r="AA139" i="13"/>
  <c r="AA117" s="1"/>
  <c r="AA63"/>
  <c r="Z148"/>
  <c r="AA148"/>
  <c r="Z117"/>
  <c r="C89" i="67"/>
  <c r="Q443" i="13"/>
  <c r="Z86"/>
  <c r="AA40"/>
  <c r="Z54"/>
  <c r="Z40"/>
  <c r="AA95"/>
  <c r="H171" i="67"/>
  <c r="H140"/>
  <c r="C26" i="68"/>
  <c r="O26" s="1"/>
  <c r="C26" i="67"/>
  <c r="C37"/>
  <c r="C37" i="68"/>
  <c r="C48" i="67"/>
  <c r="C48" i="68"/>
  <c r="C61"/>
  <c r="O61" s="1"/>
  <c r="C61" i="67"/>
  <c r="C79" i="68"/>
  <c r="C79" i="67"/>
  <c r="C19" i="68"/>
  <c r="C19" i="67"/>
  <c r="C25"/>
  <c r="C25" i="68"/>
  <c r="O25" s="1"/>
  <c r="C35" i="67"/>
  <c r="C35" i="68"/>
  <c r="O35" s="1"/>
  <c r="C46" i="67"/>
  <c r="C46" i="68"/>
  <c r="O46" s="1"/>
  <c r="C60" i="67"/>
  <c r="C60" i="68"/>
  <c r="O60" s="1"/>
  <c r="C78"/>
  <c r="C78" i="67"/>
  <c r="C24"/>
  <c r="C24" i="68"/>
  <c r="O24" s="1"/>
  <c r="C34"/>
  <c r="O34" s="1"/>
  <c r="C34" i="67"/>
  <c r="C45"/>
  <c r="C45" i="68"/>
  <c r="O45" s="1"/>
  <c r="C59" i="67"/>
  <c r="C59" i="68"/>
  <c r="O59" s="1"/>
  <c r="C77"/>
  <c r="C77" i="67"/>
  <c r="C38" i="68"/>
  <c r="O38" s="1"/>
  <c r="C38" i="67"/>
  <c r="C81"/>
  <c r="C81" i="68"/>
  <c r="C23" i="67"/>
  <c r="C23" i="68"/>
  <c r="O23" s="1"/>
  <c r="C32" i="67"/>
  <c r="C32" i="68"/>
  <c r="O32" s="1"/>
  <c r="C44" i="67"/>
  <c r="C44" i="68"/>
  <c r="O44" s="1"/>
  <c r="C58" i="67"/>
  <c r="C58" i="68"/>
  <c r="O58" s="1"/>
  <c r="C76"/>
  <c r="C76" i="67"/>
  <c r="C118"/>
  <c r="C49" i="68"/>
  <c r="O49" s="1"/>
  <c r="C49" i="67"/>
  <c r="C22" i="68"/>
  <c r="O22" s="1"/>
  <c r="C22" i="67"/>
  <c r="C31" i="68"/>
  <c r="O31" s="1"/>
  <c r="C31" i="67"/>
  <c r="C43" i="68"/>
  <c r="O43" s="1"/>
  <c r="C43" i="67"/>
  <c r="C57" i="68"/>
  <c r="O57" s="1"/>
  <c r="C57" i="67"/>
  <c r="C73"/>
  <c r="Q73" s="1"/>
  <c r="C73" i="68"/>
  <c r="O73" s="1"/>
  <c r="C67" i="67"/>
  <c r="Q67" s="1"/>
  <c r="C67" i="68"/>
  <c r="J394" i="13"/>
  <c r="J46" i="67"/>
  <c r="C21" i="68"/>
  <c r="O21" s="1"/>
  <c r="C21" i="67"/>
  <c r="C30" i="68"/>
  <c r="C30" i="67"/>
  <c r="C42" i="68"/>
  <c r="O42" s="1"/>
  <c r="C42" i="67"/>
  <c r="C56" i="68"/>
  <c r="C56" i="67"/>
  <c r="C74" i="68"/>
  <c r="O74" s="1"/>
  <c r="C74" i="67"/>
  <c r="Q74" s="1"/>
  <c r="C27" i="68"/>
  <c r="O27" s="1"/>
  <c r="C27" i="67"/>
  <c r="C20"/>
  <c r="C20" i="68"/>
  <c r="O20" s="1"/>
  <c r="C28" i="67"/>
  <c r="C28" i="68"/>
  <c r="O28" s="1"/>
  <c r="C41"/>
  <c r="C41" i="67"/>
  <c r="C54"/>
  <c r="C54" i="68"/>
  <c r="C72" i="67"/>
  <c r="Q72" s="1"/>
  <c r="C72" i="68"/>
  <c r="O72" s="1"/>
  <c r="C82" i="67"/>
  <c r="C82" i="68"/>
  <c r="C319" i="13"/>
  <c r="C212"/>
  <c r="C209" s="1"/>
  <c r="C223"/>
  <c r="C271"/>
  <c r="C270" s="1"/>
  <c r="C256"/>
  <c r="C288"/>
  <c r="C350"/>
  <c r="U179"/>
  <c r="E9" i="14" s="1"/>
  <c r="J383" i="13"/>
  <c r="J256"/>
  <c r="J390"/>
  <c r="J387" s="1"/>
  <c r="G71" i="29"/>
  <c r="K71" s="1"/>
  <c r="G115"/>
  <c r="E114"/>
  <c r="J401" i="13"/>
  <c r="J393" s="1"/>
  <c r="G73" i="29"/>
  <c r="E72"/>
  <c r="G36"/>
  <c r="E35"/>
  <c r="J263" i="13"/>
  <c r="E48" i="29"/>
  <c r="G48" s="1"/>
  <c r="K48" s="1"/>
  <c r="G82"/>
  <c r="E80"/>
  <c r="E81"/>
  <c r="G81" s="1"/>
  <c r="K81" s="1"/>
  <c r="C231" i="13"/>
  <c r="C302"/>
  <c r="C301" s="1"/>
  <c r="G94" i="29"/>
  <c r="E93"/>
  <c r="E20"/>
  <c r="G24"/>
  <c r="K24" s="1"/>
  <c r="G47"/>
  <c r="G68"/>
  <c r="E67"/>
  <c r="G89"/>
  <c r="E88"/>
  <c r="G56"/>
  <c r="E54"/>
  <c r="E55"/>
  <c r="G55" s="1"/>
  <c r="K55" s="1"/>
  <c r="G99"/>
  <c r="E98"/>
  <c r="G120"/>
  <c r="E119"/>
  <c r="E28"/>
  <c r="G28" s="1"/>
  <c r="K28" s="1"/>
  <c r="G29"/>
  <c r="E27"/>
  <c r="K21"/>
  <c r="G41"/>
  <c r="E40"/>
  <c r="G19"/>
  <c r="K19" s="1"/>
  <c r="G63"/>
  <c r="E62"/>
  <c r="E107"/>
  <c r="G107" s="1"/>
  <c r="K107" s="1"/>
  <c r="G108"/>
  <c r="E106"/>
  <c r="C194" i="13"/>
  <c r="C205"/>
  <c r="C216"/>
  <c r="C251"/>
  <c r="C263"/>
  <c r="C283"/>
  <c r="C294"/>
  <c r="C314"/>
  <c r="C333"/>
  <c r="C332" s="1"/>
  <c r="J497"/>
  <c r="J528"/>
  <c r="C325"/>
  <c r="C345"/>
  <c r="J288"/>
  <c r="J372"/>
  <c r="J371" s="1"/>
  <c r="J434"/>
  <c r="J319"/>
  <c r="J466"/>
  <c r="C238"/>
  <c r="J523"/>
  <c r="J503"/>
  <c r="J492"/>
  <c r="J472"/>
  <c r="J461"/>
  <c r="J441"/>
  <c r="J429"/>
  <c r="J409"/>
  <c r="J511"/>
  <c r="J510" s="1"/>
  <c r="J480"/>
  <c r="J479" s="1"/>
  <c r="J449"/>
  <c r="J448" s="1"/>
  <c r="J417"/>
  <c r="J416" s="1"/>
  <c r="J302"/>
  <c r="J301" s="1"/>
  <c r="J239"/>
  <c r="J238" s="1"/>
  <c r="J216"/>
  <c r="J205"/>
  <c r="E12" i="29" s="1"/>
  <c r="G12" s="1"/>
  <c r="K12" s="1"/>
  <c r="J194" i="13"/>
  <c r="J193" s="1"/>
  <c r="E11" i="29" s="1"/>
  <c r="G11" s="1"/>
  <c r="K11" s="1"/>
  <c r="J350" i="13"/>
  <c r="J345"/>
  <c r="J333"/>
  <c r="J332" s="1"/>
  <c r="J325"/>
  <c r="J314"/>
  <c r="J294"/>
  <c r="J283"/>
  <c r="J271"/>
  <c r="J270" s="1"/>
  <c r="J251"/>
  <c r="J231"/>
  <c r="J223"/>
  <c r="J212"/>
  <c r="J209" s="1"/>
  <c r="E13" i="29" s="1"/>
  <c r="G13" s="1"/>
  <c r="K13" s="1"/>
  <c r="H580" i="39"/>
  <c r="P580"/>
  <c r="H193"/>
  <c r="F193"/>
  <c r="G193"/>
  <c r="E206"/>
  <c r="J580"/>
  <c r="F580"/>
  <c r="N580"/>
  <c r="G181"/>
  <c r="H155"/>
  <c r="G155"/>
  <c r="E218"/>
  <c r="E209" s="1"/>
  <c r="F155"/>
  <c r="H181"/>
  <c r="F181"/>
  <c r="Q606"/>
  <c r="E181"/>
  <c r="E155"/>
  <c r="Q484"/>
  <c r="E455"/>
  <c r="M455"/>
  <c r="K455"/>
  <c r="J455"/>
  <c r="I580"/>
  <c r="Q603"/>
  <c r="E485"/>
  <c r="Q485" s="1"/>
  <c r="I607"/>
  <c r="Q607" s="1"/>
  <c r="K580"/>
  <c r="L580"/>
  <c r="Q583"/>
  <c r="F455"/>
  <c r="N455"/>
  <c r="O455"/>
  <c r="Q473"/>
  <c r="Q598"/>
  <c r="G455"/>
  <c r="Q581"/>
  <c r="M580"/>
  <c r="Q590"/>
  <c r="G580"/>
  <c r="O580"/>
  <c r="E580"/>
  <c r="Q478"/>
  <c r="L455"/>
  <c r="Q465"/>
  <c r="Q458"/>
  <c r="I455"/>
  <c r="H455"/>
  <c r="P455"/>
  <c r="Q456"/>
  <c r="AA54" i="13" l="1"/>
  <c r="AA51"/>
  <c r="AA86"/>
  <c r="Z178"/>
  <c r="Z51"/>
  <c r="O41" i="68"/>
  <c r="C40"/>
  <c r="Q49"/>
  <c r="S49" s="1"/>
  <c r="Y49" s="1"/>
  <c r="AA49"/>
  <c r="Q38"/>
  <c r="S38" s="1"/>
  <c r="Y38" s="1"/>
  <c r="AA38"/>
  <c r="AA34"/>
  <c r="Q34"/>
  <c r="AA32"/>
  <c r="Q32"/>
  <c r="S32" s="1"/>
  <c r="Y32" s="1"/>
  <c r="Q27"/>
  <c r="S27" s="1"/>
  <c r="Y27" s="1"/>
  <c r="AA27"/>
  <c r="O30"/>
  <c r="C29"/>
  <c r="Q22"/>
  <c r="S22" s="1"/>
  <c r="Y22" s="1"/>
  <c r="AA22"/>
  <c r="AA44"/>
  <c r="Q44"/>
  <c r="S44" s="1"/>
  <c r="Y44" s="1"/>
  <c r="AA46"/>
  <c r="Q46"/>
  <c r="S46" s="1"/>
  <c r="Y46" s="1"/>
  <c r="AA57"/>
  <c r="Q57"/>
  <c r="S57" s="1"/>
  <c r="O54"/>
  <c r="AA73"/>
  <c r="Q73"/>
  <c r="S73" s="1"/>
  <c r="O19"/>
  <c r="C18"/>
  <c r="C17" s="1"/>
  <c r="O37"/>
  <c r="C36"/>
  <c r="C33" s="1"/>
  <c r="Q26"/>
  <c r="S26" s="1"/>
  <c r="Y26" s="1"/>
  <c r="AA26"/>
  <c r="AA42"/>
  <c r="Q42"/>
  <c r="S42" s="1"/>
  <c r="Y42" s="1"/>
  <c r="AA31"/>
  <c r="Q31"/>
  <c r="S31" s="1"/>
  <c r="Y31" s="1"/>
  <c r="AA58"/>
  <c r="Q58"/>
  <c r="S58" s="1"/>
  <c r="AA45"/>
  <c r="Q45"/>
  <c r="S45" s="1"/>
  <c r="Y45" s="1"/>
  <c r="Q60"/>
  <c r="S60" s="1"/>
  <c r="AA60"/>
  <c r="Q74"/>
  <c r="S74" s="1"/>
  <c r="AA74"/>
  <c r="Q24"/>
  <c r="S24" s="1"/>
  <c r="Y24" s="1"/>
  <c r="AA24"/>
  <c r="Q72"/>
  <c r="S72" s="1"/>
  <c r="AA72"/>
  <c r="AA20"/>
  <c r="Q20"/>
  <c r="S20" s="1"/>
  <c r="Y20" s="1"/>
  <c r="C62"/>
  <c r="O67"/>
  <c r="O48"/>
  <c r="C47"/>
  <c r="Q21"/>
  <c r="S21" s="1"/>
  <c r="Y21" s="1"/>
  <c r="AA21"/>
  <c r="C55"/>
  <c r="O56"/>
  <c r="AA43"/>
  <c r="Q43"/>
  <c r="S43" s="1"/>
  <c r="Y43" s="1"/>
  <c r="AA23"/>
  <c r="Q23"/>
  <c r="S23" s="1"/>
  <c r="Y23" s="1"/>
  <c r="AA59"/>
  <c r="Q59"/>
  <c r="S59" s="1"/>
  <c r="AA25"/>
  <c r="Q25"/>
  <c r="S25" s="1"/>
  <c r="Y25" s="1"/>
  <c r="AA61"/>
  <c r="Q61"/>
  <c r="S61" s="1"/>
  <c r="Q35"/>
  <c r="S35" s="1"/>
  <c r="Y35" s="1"/>
  <c r="AA35"/>
  <c r="AA28"/>
  <c r="Q28"/>
  <c r="S28" s="1"/>
  <c r="Y28" s="1"/>
  <c r="E8" i="14"/>
  <c r="E19" s="1"/>
  <c r="F8" i="15"/>
  <c r="F11" s="1"/>
  <c r="F22" s="1"/>
  <c r="C215" i="13"/>
  <c r="E70" i="29"/>
  <c r="E18"/>
  <c r="C292" i="13"/>
  <c r="C261"/>
  <c r="K20" i="29"/>
  <c r="G20"/>
  <c r="E46"/>
  <c r="E44" s="1"/>
  <c r="G72"/>
  <c r="K73"/>
  <c r="K72" s="1"/>
  <c r="G106"/>
  <c r="K108"/>
  <c r="K106" s="1"/>
  <c r="K99"/>
  <c r="K98" s="1"/>
  <c r="G98"/>
  <c r="K120"/>
  <c r="K119" s="1"/>
  <c r="G119"/>
  <c r="G88"/>
  <c r="K89"/>
  <c r="K88" s="1"/>
  <c r="K94"/>
  <c r="K93" s="1"/>
  <c r="G93"/>
  <c r="C323" i="13"/>
  <c r="K115" i="29"/>
  <c r="K114" s="1"/>
  <c r="G114"/>
  <c r="G62"/>
  <c r="K63"/>
  <c r="K62" s="1"/>
  <c r="K29"/>
  <c r="K27" s="1"/>
  <c r="G27"/>
  <c r="K56"/>
  <c r="K54" s="1"/>
  <c r="G54"/>
  <c r="K82"/>
  <c r="K80" s="1"/>
  <c r="G80"/>
  <c r="G46"/>
  <c r="K47"/>
  <c r="K46" s="1"/>
  <c r="K68"/>
  <c r="K67" s="1"/>
  <c r="G67"/>
  <c r="K41"/>
  <c r="K40" s="1"/>
  <c r="G40"/>
  <c r="G35"/>
  <c r="K36"/>
  <c r="K35" s="1"/>
  <c r="E96"/>
  <c r="C229" i="13"/>
  <c r="J407"/>
  <c r="J215"/>
  <c r="E14" i="29" s="1"/>
  <c r="G14" s="1"/>
  <c r="K14" s="1"/>
  <c r="J501" i="13"/>
  <c r="J470"/>
  <c r="J439"/>
  <c r="J323"/>
  <c r="J292"/>
  <c r="J261"/>
  <c r="J229"/>
  <c r="Q455" i="39"/>
  <c r="Q580"/>
  <c r="AA178" i="13" l="1"/>
  <c r="AA179" s="1"/>
  <c r="C39" i="68"/>
  <c r="C53"/>
  <c r="C209" s="1"/>
  <c r="O55"/>
  <c r="AA56"/>
  <c r="AA55" s="1"/>
  <c r="Q56"/>
  <c r="O18"/>
  <c r="O17" s="1"/>
  <c r="Q19"/>
  <c r="AA19"/>
  <c r="AA18" s="1"/>
  <c r="AA17" s="1"/>
  <c r="O62"/>
  <c r="Q67"/>
  <c r="AA67"/>
  <c r="AA62" s="1"/>
  <c r="Q48"/>
  <c r="AA48"/>
  <c r="AA47" s="1"/>
  <c r="O47"/>
  <c r="O36"/>
  <c r="O33" s="1"/>
  <c r="Q37"/>
  <c r="AA37"/>
  <c r="AA36" s="1"/>
  <c r="AA33" s="1"/>
  <c r="O29"/>
  <c r="Q30"/>
  <c r="AA30"/>
  <c r="AA29" s="1"/>
  <c r="Q41"/>
  <c r="O40"/>
  <c r="O39" s="1"/>
  <c r="AA41"/>
  <c r="AA40" s="1"/>
  <c r="AA54"/>
  <c r="Q54"/>
  <c r="S34"/>
  <c r="Y34" s="1"/>
  <c r="G96" i="29"/>
  <c r="K96" s="1"/>
  <c r="E17"/>
  <c r="K44"/>
  <c r="G18"/>
  <c r="G70"/>
  <c r="K70" s="1"/>
  <c r="G44"/>
  <c r="Q530" i="13"/>
  <c r="O530"/>
  <c r="Q529"/>
  <c r="O529"/>
  <c r="Y528"/>
  <c r="X528"/>
  <c r="W528"/>
  <c r="V528"/>
  <c r="T528"/>
  <c r="R528"/>
  <c r="P528"/>
  <c r="K528"/>
  <c r="I528"/>
  <c r="C528"/>
  <c r="Q527"/>
  <c r="O527"/>
  <c r="Q526"/>
  <c r="O526"/>
  <c r="Q525"/>
  <c r="O525"/>
  <c r="Q524"/>
  <c r="O524"/>
  <c r="Y523"/>
  <c r="X523"/>
  <c r="W523"/>
  <c r="V523"/>
  <c r="T523"/>
  <c r="R523"/>
  <c r="P523"/>
  <c r="K523"/>
  <c r="I523"/>
  <c r="C523"/>
  <c r="Q522"/>
  <c r="O522"/>
  <c r="Q521"/>
  <c r="O521"/>
  <c r="Q520"/>
  <c r="O520"/>
  <c r="Q519"/>
  <c r="O519"/>
  <c r="Q518"/>
  <c r="O518"/>
  <c r="Q517"/>
  <c r="O517"/>
  <c r="Q516"/>
  <c r="O516"/>
  <c r="Q515"/>
  <c r="O515"/>
  <c r="Q514"/>
  <c r="O514"/>
  <c r="Q513"/>
  <c r="O513"/>
  <c r="Q512"/>
  <c r="O512"/>
  <c r="Y511"/>
  <c r="Y510" s="1"/>
  <c r="X511"/>
  <c r="X510" s="1"/>
  <c r="W511"/>
  <c r="W510" s="1"/>
  <c r="V511"/>
  <c r="V510" s="1"/>
  <c r="T511"/>
  <c r="T510" s="1"/>
  <c r="R511"/>
  <c r="R510" s="1"/>
  <c r="P511"/>
  <c r="P510" s="1"/>
  <c r="K511"/>
  <c r="K510" s="1"/>
  <c r="I511"/>
  <c r="I510" s="1"/>
  <c r="C511"/>
  <c r="C510" s="1"/>
  <c r="Q509"/>
  <c r="O509"/>
  <c r="Q508"/>
  <c r="O508"/>
  <c r="Q507"/>
  <c r="O507"/>
  <c r="Q506"/>
  <c r="O506"/>
  <c r="Q505"/>
  <c r="O505"/>
  <c r="Q504"/>
  <c r="O504"/>
  <c r="Y503"/>
  <c r="X503"/>
  <c r="W503"/>
  <c r="V503"/>
  <c r="T503"/>
  <c r="R503"/>
  <c r="P503"/>
  <c r="K503"/>
  <c r="I503"/>
  <c r="C503"/>
  <c r="Q502"/>
  <c r="O502"/>
  <c r="Q499"/>
  <c r="O499"/>
  <c r="Q498"/>
  <c r="O498"/>
  <c r="Y497"/>
  <c r="X497"/>
  <c r="W497"/>
  <c r="V497"/>
  <c r="T497"/>
  <c r="R497"/>
  <c r="P497"/>
  <c r="K497"/>
  <c r="I497"/>
  <c r="C497"/>
  <c r="Q496"/>
  <c r="O496"/>
  <c r="Q495"/>
  <c r="O495"/>
  <c r="Q494"/>
  <c r="O494"/>
  <c r="Q493"/>
  <c r="O493"/>
  <c r="Y492"/>
  <c r="X492"/>
  <c r="W492"/>
  <c r="V492"/>
  <c r="T492"/>
  <c r="R492"/>
  <c r="P492"/>
  <c r="K492"/>
  <c r="I492"/>
  <c r="C492"/>
  <c r="Q491"/>
  <c r="O491"/>
  <c r="Q490"/>
  <c r="O490"/>
  <c r="Q489"/>
  <c r="O489"/>
  <c r="Q488"/>
  <c r="O488"/>
  <c r="Q487"/>
  <c r="O487"/>
  <c r="Q486"/>
  <c r="O486"/>
  <c r="Q485"/>
  <c r="O485"/>
  <c r="Q484"/>
  <c r="O484"/>
  <c r="Q483"/>
  <c r="O483"/>
  <c r="Q482"/>
  <c r="O482"/>
  <c r="Q481"/>
  <c r="O481"/>
  <c r="Y480"/>
  <c r="Y479" s="1"/>
  <c r="X480"/>
  <c r="X479" s="1"/>
  <c r="W480"/>
  <c r="W479" s="1"/>
  <c r="V480"/>
  <c r="V479" s="1"/>
  <c r="T480"/>
  <c r="T479" s="1"/>
  <c r="R480"/>
  <c r="R479" s="1"/>
  <c r="P480"/>
  <c r="P479" s="1"/>
  <c r="K480"/>
  <c r="K479" s="1"/>
  <c r="I480"/>
  <c r="I479" s="1"/>
  <c r="C480"/>
  <c r="C479" s="1"/>
  <c r="Q478"/>
  <c r="O478"/>
  <c r="Q477"/>
  <c r="O477"/>
  <c r="Q476"/>
  <c r="O476"/>
  <c r="Q475"/>
  <c r="O475"/>
  <c r="Q474"/>
  <c r="O474"/>
  <c r="Q473"/>
  <c r="O473"/>
  <c r="Y472"/>
  <c r="X472"/>
  <c r="W472"/>
  <c r="V472"/>
  <c r="T472"/>
  <c r="R472"/>
  <c r="P472"/>
  <c r="K472"/>
  <c r="I472"/>
  <c r="C472"/>
  <c r="Q471"/>
  <c r="O471"/>
  <c r="Q468"/>
  <c r="O468"/>
  <c r="Q467"/>
  <c r="O467"/>
  <c r="Y466"/>
  <c r="X466"/>
  <c r="W466"/>
  <c r="V466"/>
  <c r="T466"/>
  <c r="R466"/>
  <c r="P466"/>
  <c r="K466"/>
  <c r="I466"/>
  <c r="C466"/>
  <c r="Q465"/>
  <c r="O465"/>
  <c r="Q464"/>
  <c r="O464"/>
  <c r="Q463"/>
  <c r="O463"/>
  <c r="Q462"/>
  <c r="O462"/>
  <c r="Y461"/>
  <c r="X461"/>
  <c r="W461"/>
  <c r="V461"/>
  <c r="T461"/>
  <c r="R461"/>
  <c r="P461"/>
  <c r="K461"/>
  <c r="I461"/>
  <c r="C461"/>
  <c r="Q460"/>
  <c r="O460"/>
  <c r="Q459"/>
  <c r="O459"/>
  <c r="Q458"/>
  <c r="O458"/>
  <c r="Q457"/>
  <c r="O457"/>
  <c r="Q456"/>
  <c r="O456"/>
  <c r="Q455"/>
  <c r="O455"/>
  <c r="Q454"/>
  <c r="O454"/>
  <c r="Q453"/>
  <c r="O453"/>
  <c r="Q452"/>
  <c r="O452"/>
  <c r="Q451"/>
  <c r="O451"/>
  <c r="Q450"/>
  <c r="O450"/>
  <c r="Y449"/>
  <c r="Y448" s="1"/>
  <c r="X449"/>
  <c r="X448" s="1"/>
  <c r="W449"/>
  <c r="W448" s="1"/>
  <c r="V449"/>
  <c r="V448" s="1"/>
  <c r="T449"/>
  <c r="T448" s="1"/>
  <c r="R449"/>
  <c r="R448" s="1"/>
  <c r="P449"/>
  <c r="P448" s="1"/>
  <c r="K449"/>
  <c r="K448" s="1"/>
  <c r="I449"/>
  <c r="I448" s="1"/>
  <c r="C449"/>
  <c r="C448" s="1"/>
  <c r="Q447"/>
  <c r="O447"/>
  <c r="Q446"/>
  <c r="O446"/>
  <c r="Q445"/>
  <c r="O445"/>
  <c r="Q444"/>
  <c r="O444"/>
  <c r="O443"/>
  <c r="Q442"/>
  <c r="O442"/>
  <c r="Y441"/>
  <c r="X441"/>
  <c r="W441"/>
  <c r="V441"/>
  <c r="T441"/>
  <c r="R441"/>
  <c r="P441"/>
  <c r="K441"/>
  <c r="I441"/>
  <c r="C441"/>
  <c r="Q440"/>
  <c r="O440"/>
  <c r="Q438"/>
  <c r="O438"/>
  <c r="Q437"/>
  <c r="O437"/>
  <c r="Q436"/>
  <c r="O436"/>
  <c r="Q435"/>
  <c r="O435"/>
  <c r="Y434"/>
  <c r="X434"/>
  <c r="W434"/>
  <c r="V434"/>
  <c r="T434"/>
  <c r="R434"/>
  <c r="P434"/>
  <c r="K434"/>
  <c r="I434"/>
  <c r="C434"/>
  <c r="C80" i="68" s="1"/>
  <c r="Q433" i="13"/>
  <c r="O433"/>
  <c r="Q432"/>
  <c r="O432"/>
  <c r="Q431"/>
  <c r="O431"/>
  <c r="Q430"/>
  <c r="O430"/>
  <c r="Y429"/>
  <c r="X429"/>
  <c r="W429"/>
  <c r="V429"/>
  <c r="T429"/>
  <c r="R429"/>
  <c r="P429"/>
  <c r="K429"/>
  <c r="I429"/>
  <c r="C429"/>
  <c r="C75" i="68" s="1"/>
  <c r="Q428" i="13"/>
  <c r="O428"/>
  <c r="Q427"/>
  <c r="O427"/>
  <c r="Q426"/>
  <c r="O426"/>
  <c r="Q425"/>
  <c r="O425"/>
  <c r="Q424"/>
  <c r="O424"/>
  <c r="Q423"/>
  <c r="O423"/>
  <c r="Q422"/>
  <c r="O422"/>
  <c r="Q421"/>
  <c r="O421"/>
  <c r="Q420"/>
  <c r="O420"/>
  <c r="Q419"/>
  <c r="O419"/>
  <c r="Q418"/>
  <c r="O418"/>
  <c r="Y417"/>
  <c r="Y416" s="1"/>
  <c r="X417"/>
  <c r="X416" s="1"/>
  <c r="W417"/>
  <c r="W416" s="1"/>
  <c r="V417"/>
  <c r="V416" s="1"/>
  <c r="T417"/>
  <c r="T416" s="1"/>
  <c r="R417"/>
  <c r="R416" s="1"/>
  <c r="P417"/>
  <c r="P416" s="1"/>
  <c r="K417"/>
  <c r="I417"/>
  <c r="I416" s="1"/>
  <c r="C417"/>
  <c r="C416" s="1"/>
  <c r="K416"/>
  <c r="Q415"/>
  <c r="O415"/>
  <c r="Q414"/>
  <c r="O414"/>
  <c r="Q413"/>
  <c r="O413"/>
  <c r="Q412"/>
  <c r="O412"/>
  <c r="Q411"/>
  <c r="O411"/>
  <c r="Q410"/>
  <c r="O410"/>
  <c r="Y409"/>
  <c r="X409"/>
  <c r="W409"/>
  <c r="V409"/>
  <c r="T409"/>
  <c r="R409"/>
  <c r="P409"/>
  <c r="K409"/>
  <c r="I409"/>
  <c r="C409"/>
  <c r="Q408"/>
  <c r="O408"/>
  <c r="Q405"/>
  <c r="Q403"/>
  <c r="O403"/>
  <c r="Q402"/>
  <c r="O402"/>
  <c r="Y401"/>
  <c r="X401"/>
  <c r="W401"/>
  <c r="V401"/>
  <c r="T401"/>
  <c r="R401"/>
  <c r="P401"/>
  <c r="K401"/>
  <c r="I401"/>
  <c r="C401"/>
  <c r="Q400"/>
  <c r="O400"/>
  <c r="Q399"/>
  <c r="O399"/>
  <c r="Q398"/>
  <c r="O398"/>
  <c r="Q397"/>
  <c r="O397"/>
  <c r="Q396"/>
  <c r="O396"/>
  <c r="Q395"/>
  <c r="O395"/>
  <c r="Y394"/>
  <c r="Y393" s="1"/>
  <c r="X394"/>
  <c r="W394"/>
  <c r="V394"/>
  <c r="T394"/>
  <c r="R394"/>
  <c r="R393" s="1"/>
  <c r="P394"/>
  <c r="K394"/>
  <c r="K393" s="1"/>
  <c r="I394"/>
  <c r="C394"/>
  <c r="Q392"/>
  <c r="O392"/>
  <c r="Q391"/>
  <c r="O391"/>
  <c r="Y390"/>
  <c r="Y387" s="1"/>
  <c r="X390"/>
  <c r="X387" s="1"/>
  <c r="W390"/>
  <c r="V390"/>
  <c r="V387" s="1"/>
  <c r="T390"/>
  <c r="T387" s="1"/>
  <c r="R390"/>
  <c r="R387" s="1"/>
  <c r="P390"/>
  <c r="P387" s="1"/>
  <c r="K390"/>
  <c r="K387" s="1"/>
  <c r="I390"/>
  <c r="I387" s="1"/>
  <c r="C390"/>
  <c r="C387" s="1"/>
  <c r="Q389"/>
  <c r="O389"/>
  <c r="Q388"/>
  <c r="O388"/>
  <c r="W387"/>
  <c r="Q386"/>
  <c r="O386"/>
  <c r="Q385"/>
  <c r="O385"/>
  <c r="Q384"/>
  <c r="O384"/>
  <c r="Y383"/>
  <c r="X383"/>
  <c r="W383"/>
  <c r="V383"/>
  <c r="T383"/>
  <c r="R383"/>
  <c r="P383"/>
  <c r="K383"/>
  <c r="I383"/>
  <c r="C383"/>
  <c r="Q382"/>
  <c r="O382"/>
  <c r="Q381"/>
  <c r="O381"/>
  <c r="Q380"/>
  <c r="O380"/>
  <c r="Q379"/>
  <c r="O379"/>
  <c r="Q378"/>
  <c r="O378"/>
  <c r="Q377"/>
  <c r="O377"/>
  <c r="Q376"/>
  <c r="O376"/>
  <c r="Q375"/>
  <c r="O375"/>
  <c r="Q374"/>
  <c r="O374"/>
  <c r="Q373"/>
  <c r="O373"/>
  <c r="Y372"/>
  <c r="Y371" s="1"/>
  <c r="X372"/>
  <c r="X371" s="1"/>
  <c r="W372"/>
  <c r="W371" s="1"/>
  <c r="V372"/>
  <c r="V371" s="1"/>
  <c r="T372"/>
  <c r="R372"/>
  <c r="R371" s="1"/>
  <c r="P372"/>
  <c r="P371" s="1"/>
  <c r="K372"/>
  <c r="K371" s="1"/>
  <c r="I372"/>
  <c r="I371" s="1"/>
  <c r="C372"/>
  <c r="C371" s="1"/>
  <c r="T371"/>
  <c r="Q370"/>
  <c r="O370"/>
  <c r="O369"/>
  <c r="O368"/>
  <c r="O367"/>
  <c r="O366"/>
  <c r="O365"/>
  <c r="O364"/>
  <c r="Y363"/>
  <c r="Y362" s="1"/>
  <c r="X363"/>
  <c r="X362" s="1"/>
  <c r="W363"/>
  <c r="W362" s="1"/>
  <c r="V363"/>
  <c r="V362" s="1"/>
  <c r="T363"/>
  <c r="T362" s="1"/>
  <c r="R363"/>
  <c r="R362" s="1"/>
  <c r="P363"/>
  <c r="P362" s="1"/>
  <c r="K363"/>
  <c r="J363"/>
  <c r="J362" s="1"/>
  <c r="J404" s="1"/>
  <c r="I363"/>
  <c r="I362" s="1"/>
  <c r="K362"/>
  <c r="Q352"/>
  <c r="O352"/>
  <c r="Q351"/>
  <c r="O351"/>
  <c r="Y350"/>
  <c r="X350"/>
  <c r="W350"/>
  <c r="V350"/>
  <c r="T350"/>
  <c r="R350"/>
  <c r="P350"/>
  <c r="K350"/>
  <c r="I350"/>
  <c r="Q349"/>
  <c r="O349"/>
  <c r="Q348"/>
  <c r="O348"/>
  <c r="Q347"/>
  <c r="O347"/>
  <c r="Q346"/>
  <c r="O346"/>
  <c r="Y345"/>
  <c r="X345"/>
  <c r="W345"/>
  <c r="V345"/>
  <c r="T345"/>
  <c r="R345"/>
  <c r="P345"/>
  <c r="K345"/>
  <c r="I345"/>
  <c r="Q344"/>
  <c r="O344"/>
  <c r="Q343"/>
  <c r="O343"/>
  <c r="Q342"/>
  <c r="O342"/>
  <c r="Q341"/>
  <c r="O341"/>
  <c r="Q340"/>
  <c r="O340"/>
  <c r="Q339"/>
  <c r="O339"/>
  <c r="Q338"/>
  <c r="O338"/>
  <c r="Q337"/>
  <c r="O337"/>
  <c r="Q336"/>
  <c r="O336"/>
  <c r="Q335"/>
  <c r="O335"/>
  <c r="Q334"/>
  <c r="O334"/>
  <c r="Y333"/>
  <c r="Y332" s="1"/>
  <c r="X333"/>
  <c r="X332" s="1"/>
  <c r="W333"/>
  <c r="W332" s="1"/>
  <c r="V333"/>
  <c r="V332" s="1"/>
  <c r="T333"/>
  <c r="T332" s="1"/>
  <c r="R333"/>
  <c r="R332" s="1"/>
  <c r="P333"/>
  <c r="P332" s="1"/>
  <c r="K333"/>
  <c r="K332" s="1"/>
  <c r="I333"/>
  <c r="I332" s="1"/>
  <c r="Q331"/>
  <c r="O331"/>
  <c r="Q330"/>
  <c r="O330"/>
  <c r="Q329"/>
  <c r="O329"/>
  <c r="Q328"/>
  <c r="O328"/>
  <c r="Q327"/>
  <c r="O327"/>
  <c r="Q326"/>
  <c r="O326"/>
  <c r="Y325"/>
  <c r="X325"/>
  <c r="W325"/>
  <c r="V325"/>
  <c r="T325"/>
  <c r="R325"/>
  <c r="P325"/>
  <c r="K325"/>
  <c r="I325"/>
  <c r="Q324"/>
  <c r="O324"/>
  <c r="Q321"/>
  <c r="O321"/>
  <c r="Q320"/>
  <c r="O320"/>
  <c r="Y319"/>
  <c r="X319"/>
  <c r="W319"/>
  <c r="V319"/>
  <c r="T319"/>
  <c r="R319"/>
  <c r="P319"/>
  <c r="K319"/>
  <c r="I319"/>
  <c r="Q318"/>
  <c r="O318"/>
  <c r="Q317"/>
  <c r="O317"/>
  <c r="Q316"/>
  <c r="O316"/>
  <c r="Q315"/>
  <c r="O315"/>
  <c r="Y314"/>
  <c r="X314"/>
  <c r="W314"/>
  <c r="V314"/>
  <c r="T314"/>
  <c r="R314"/>
  <c r="P314"/>
  <c r="K314"/>
  <c r="I314"/>
  <c r="Q313"/>
  <c r="O313"/>
  <c r="Q312"/>
  <c r="O312"/>
  <c r="Q311"/>
  <c r="O311"/>
  <c r="Q310"/>
  <c r="O310"/>
  <c r="Q309"/>
  <c r="O309"/>
  <c r="Q308"/>
  <c r="O308"/>
  <c r="Q307"/>
  <c r="O307"/>
  <c r="N307"/>
  <c r="Q306"/>
  <c r="O306"/>
  <c r="Q305"/>
  <c r="O305"/>
  <c r="Q304"/>
  <c r="O304"/>
  <c r="Q303"/>
  <c r="O303"/>
  <c r="N303"/>
  <c r="Y302"/>
  <c r="Y301" s="1"/>
  <c r="X302"/>
  <c r="X301" s="1"/>
  <c r="W302"/>
  <c r="W301" s="1"/>
  <c r="V302"/>
  <c r="V301" s="1"/>
  <c r="T302"/>
  <c r="T301" s="1"/>
  <c r="R302"/>
  <c r="R301" s="1"/>
  <c r="P302"/>
  <c r="P301" s="1"/>
  <c r="K302"/>
  <c r="K301" s="1"/>
  <c r="I302"/>
  <c r="I301" s="1"/>
  <c r="Q300"/>
  <c r="O300"/>
  <c r="Q299"/>
  <c r="O299"/>
  <c r="Q298"/>
  <c r="O298"/>
  <c r="Q297"/>
  <c r="O297"/>
  <c r="Q296"/>
  <c r="O296"/>
  <c r="Q295"/>
  <c r="O295"/>
  <c r="Y294"/>
  <c r="X294"/>
  <c r="W294"/>
  <c r="V294"/>
  <c r="T294"/>
  <c r="R294"/>
  <c r="P294"/>
  <c r="K294"/>
  <c r="I294"/>
  <c r="Q293"/>
  <c r="O290"/>
  <c r="Q289"/>
  <c r="O289"/>
  <c r="Y288"/>
  <c r="X288"/>
  <c r="W288"/>
  <c r="V288"/>
  <c r="T288"/>
  <c r="R288"/>
  <c r="P288"/>
  <c r="K288"/>
  <c r="I288"/>
  <c r="Q287"/>
  <c r="O287"/>
  <c r="Q286"/>
  <c r="O286"/>
  <c r="Q285"/>
  <c r="O285"/>
  <c r="O284"/>
  <c r="Y283"/>
  <c r="X283"/>
  <c r="W283"/>
  <c r="V283"/>
  <c r="T283"/>
  <c r="R283"/>
  <c r="P283"/>
  <c r="K283"/>
  <c r="I283"/>
  <c r="Q282"/>
  <c r="O282"/>
  <c r="Q281"/>
  <c r="O281"/>
  <c r="Q280"/>
  <c r="O280"/>
  <c r="Q279"/>
  <c r="O279"/>
  <c r="Q278"/>
  <c r="O278"/>
  <c r="Q277"/>
  <c r="O277"/>
  <c r="Q276"/>
  <c r="O276"/>
  <c r="Q275"/>
  <c r="O275"/>
  <c r="Q274"/>
  <c r="O274"/>
  <c r="Q273"/>
  <c r="O273"/>
  <c r="Q272"/>
  <c r="O272"/>
  <c r="Y271"/>
  <c r="Y270" s="1"/>
  <c r="X271"/>
  <c r="X270" s="1"/>
  <c r="W271"/>
  <c r="W270" s="1"/>
  <c r="V271"/>
  <c r="V270" s="1"/>
  <c r="T271"/>
  <c r="T270" s="1"/>
  <c r="R271"/>
  <c r="R270" s="1"/>
  <c r="P271"/>
  <c r="P270" s="1"/>
  <c r="K271"/>
  <c r="K270" s="1"/>
  <c r="I271"/>
  <c r="I270" s="1"/>
  <c r="Q269"/>
  <c r="O269"/>
  <c r="Q268"/>
  <c r="O268"/>
  <c r="Q267"/>
  <c r="O267"/>
  <c r="Q266"/>
  <c r="O266"/>
  <c r="Q265"/>
  <c r="O265"/>
  <c r="Q264"/>
  <c r="O264"/>
  <c r="Y263"/>
  <c r="X263"/>
  <c r="W263"/>
  <c r="V263"/>
  <c r="T263"/>
  <c r="R263"/>
  <c r="P263"/>
  <c r="K263"/>
  <c r="I263"/>
  <c r="Q262"/>
  <c r="O262"/>
  <c r="Q258"/>
  <c r="O258"/>
  <c r="Q257"/>
  <c r="O257"/>
  <c r="Y256"/>
  <c r="X256"/>
  <c r="W256"/>
  <c r="V256"/>
  <c r="T256"/>
  <c r="R256"/>
  <c r="P256"/>
  <c r="K256"/>
  <c r="I256"/>
  <c r="Q255"/>
  <c r="O255"/>
  <c r="Q254"/>
  <c r="O254"/>
  <c r="Q253"/>
  <c r="O253"/>
  <c r="Q252"/>
  <c r="O252"/>
  <c r="Y251"/>
  <c r="X251"/>
  <c r="W251"/>
  <c r="V251"/>
  <c r="T251"/>
  <c r="R251"/>
  <c r="P251"/>
  <c r="K251"/>
  <c r="I251"/>
  <c r="Q250"/>
  <c r="O250"/>
  <c r="Q249"/>
  <c r="O249"/>
  <c r="Q248"/>
  <c r="O248"/>
  <c r="Q247"/>
  <c r="O247"/>
  <c r="Q246"/>
  <c r="O246"/>
  <c r="Q245"/>
  <c r="O245"/>
  <c r="Q244"/>
  <c r="O244"/>
  <c r="Q243"/>
  <c r="O243"/>
  <c r="Q242"/>
  <c r="O242"/>
  <c r="Q241"/>
  <c r="O241"/>
  <c r="Q240"/>
  <c r="O240"/>
  <c r="Y239"/>
  <c r="Y238" s="1"/>
  <c r="X239"/>
  <c r="X238" s="1"/>
  <c r="W239"/>
  <c r="W238" s="1"/>
  <c r="V239"/>
  <c r="V238" s="1"/>
  <c r="T239"/>
  <c r="T238" s="1"/>
  <c r="R239"/>
  <c r="R238" s="1"/>
  <c r="P239"/>
  <c r="P238" s="1"/>
  <c r="K239"/>
  <c r="K238" s="1"/>
  <c r="I239"/>
  <c r="I238" s="1"/>
  <c r="Q237"/>
  <c r="O237"/>
  <c r="Q236"/>
  <c r="O236"/>
  <c r="Q235"/>
  <c r="O235"/>
  <c r="Q234"/>
  <c r="O234"/>
  <c r="Q233"/>
  <c r="O233"/>
  <c r="Q232"/>
  <c r="O232"/>
  <c r="Y231"/>
  <c r="X231"/>
  <c r="W231"/>
  <c r="V231"/>
  <c r="T231"/>
  <c r="R231"/>
  <c r="P231"/>
  <c r="K231"/>
  <c r="I231"/>
  <c r="Q230"/>
  <c r="O230"/>
  <c r="Q227"/>
  <c r="Q225"/>
  <c r="O225"/>
  <c r="Q224"/>
  <c r="O224"/>
  <c r="Y223"/>
  <c r="X223"/>
  <c r="W223"/>
  <c r="V223"/>
  <c r="T223"/>
  <c r="R223"/>
  <c r="P223"/>
  <c r="K223"/>
  <c r="I223"/>
  <c r="Q222"/>
  <c r="E222"/>
  <c r="Q221"/>
  <c r="O221"/>
  <c r="Q220"/>
  <c r="O220"/>
  <c r="Q219"/>
  <c r="O219"/>
  <c r="Q218"/>
  <c r="O218"/>
  <c r="Q217"/>
  <c r="O217"/>
  <c r="Y216"/>
  <c r="X216"/>
  <c r="W216"/>
  <c r="V216"/>
  <c r="T216"/>
  <c r="R216"/>
  <c r="P216"/>
  <c r="K216"/>
  <c r="I216"/>
  <c r="Q214"/>
  <c r="O214"/>
  <c r="Q213"/>
  <c r="O213"/>
  <c r="Y212"/>
  <c r="Y209" s="1"/>
  <c r="X212"/>
  <c r="X209" s="1"/>
  <c r="W212"/>
  <c r="W209" s="1"/>
  <c r="V212"/>
  <c r="V209" s="1"/>
  <c r="T212"/>
  <c r="T209" s="1"/>
  <c r="R212"/>
  <c r="R209" s="1"/>
  <c r="P212"/>
  <c r="P209" s="1"/>
  <c r="K212"/>
  <c r="K209" s="1"/>
  <c r="I212"/>
  <c r="I209" s="1"/>
  <c r="Q211"/>
  <c r="O211"/>
  <c r="Q210"/>
  <c r="O210"/>
  <c r="Q208"/>
  <c r="E208"/>
  <c r="O208" s="1"/>
  <c r="Q207"/>
  <c r="E207"/>
  <c r="O207" s="1"/>
  <c r="Q206"/>
  <c r="E206"/>
  <c r="O206" s="1"/>
  <c r="Y205"/>
  <c r="X205"/>
  <c r="W205"/>
  <c r="V205"/>
  <c r="T205"/>
  <c r="R205"/>
  <c r="P205"/>
  <c r="K205"/>
  <c r="I205"/>
  <c r="Q204"/>
  <c r="O204"/>
  <c r="Q203"/>
  <c r="O203"/>
  <c r="Q202"/>
  <c r="O202"/>
  <c r="Q201"/>
  <c r="O201"/>
  <c r="Q200"/>
  <c r="E200"/>
  <c r="O200" s="1"/>
  <c r="Q199"/>
  <c r="E199"/>
  <c r="O199" s="1"/>
  <c r="Q198"/>
  <c r="E198"/>
  <c r="O198" s="1"/>
  <c r="Q197"/>
  <c r="E197"/>
  <c r="O197" s="1"/>
  <c r="Q196"/>
  <c r="E196"/>
  <c r="O196" s="1"/>
  <c r="Q195"/>
  <c r="E195"/>
  <c r="O195" s="1"/>
  <c r="Y194"/>
  <c r="Y193" s="1"/>
  <c r="X194"/>
  <c r="X193" s="1"/>
  <c r="W194"/>
  <c r="W193" s="1"/>
  <c r="V194"/>
  <c r="V193" s="1"/>
  <c r="T194"/>
  <c r="T193" s="1"/>
  <c r="R194"/>
  <c r="R193" s="1"/>
  <c r="P194"/>
  <c r="P193" s="1"/>
  <c r="K194"/>
  <c r="K193" s="1"/>
  <c r="I194"/>
  <c r="I193" s="1"/>
  <c r="Q192"/>
  <c r="O192"/>
  <c r="E191"/>
  <c r="O191" s="1"/>
  <c r="E190"/>
  <c r="O190" s="1"/>
  <c r="E189"/>
  <c r="O189" s="1"/>
  <c r="E188"/>
  <c r="O188" s="1"/>
  <c r="E187"/>
  <c r="O187" s="1"/>
  <c r="E186"/>
  <c r="O186" s="1"/>
  <c r="Y185"/>
  <c r="Y184" s="1"/>
  <c r="X185"/>
  <c r="X184" s="1"/>
  <c r="W185"/>
  <c r="W184" s="1"/>
  <c r="V185"/>
  <c r="V184" s="1"/>
  <c r="T185"/>
  <c r="T184" s="1"/>
  <c r="R185"/>
  <c r="R184" s="1"/>
  <c r="P185"/>
  <c r="P184" s="1"/>
  <c r="K185"/>
  <c r="K184" s="1"/>
  <c r="J185"/>
  <c r="J184" s="1"/>
  <c r="I185"/>
  <c r="I184" s="1"/>
  <c r="W501" l="1"/>
  <c r="V393"/>
  <c r="W470"/>
  <c r="Y215"/>
  <c r="X393"/>
  <c r="X404" s="1"/>
  <c r="O53" i="68"/>
  <c r="O209" s="1"/>
  <c r="S54"/>
  <c r="Q29"/>
  <c r="S30"/>
  <c r="Q47"/>
  <c r="S48"/>
  <c r="S56"/>
  <c r="S55" s="1"/>
  <c r="Q55"/>
  <c r="S41"/>
  <c r="Q40"/>
  <c r="Q18"/>
  <c r="Q17" s="1"/>
  <c r="S19"/>
  <c r="AA39"/>
  <c r="Q36"/>
  <c r="Q33" s="1"/>
  <c r="S37"/>
  <c r="S67"/>
  <c r="S62" s="1"/>
  <c r="Q62"/>
  <c r="AA53"/>
  <c r="AA209" s="1"/>
  <c r="P439" i="13"/>
  <c r="T407"/>
  <c r="K501"/>
  <c r="K407"/>
  <c r="Y439"/>
  <c r="P393"/>
  <c r="P404" s="1"/>
  <c r="Y407"/>
  <c r="I470"/>
  <c r="V501"/>
  <c r="T439"/>
  <c r="G17" i="29"/>
  <c r="K18"/>
  <c r="K17" s="1"/>
  <c r="J226" i="13"/>
  <c r="E10" i="29"/>
  <c r="Q401" i="13"/>
  <c r="Q528"/>
  <c r="Q466"/>
  <c r="O528"/>
  <c r="S512"/>
  <c r="U512" s="1"/>
  <c r="AA512" s="1"/>
  <c r="C501"/>
  <c r="C407"/>
  <c r="O441"/>
  <c r="S454"/>
  <c r="U454" s="1"/>
  <c r="AA454" s="1"/>
  <c r="Q523"/>
  <c r="Q372"/>
  <c r="Q371" s="1"/>
  <c r="X407"/>
  <c r="S450"/>
  <c r="U450" s="1"/>
  <c r="AA450" s="1"/>
  <c r="O497"/>
  <c r="R501"/>
  <c r="Q461"/>
  <c r="P501"/>
  <c r="Q434"/>
  <c r="P407"/>
  <c r="P215"/>
  <c r="P226" s="1"/>
  <c r="S370"/>
  <c r="U370" s="1"/>
  <c r="C393"/>
  <c r="K439"/>
  <c r="O461"/>
  <c r="S516"/>
  <c r="U516" s="1"/>
  <c r="AA516" s="1"/>
  <c r="T393"/>
  <c r="T404" s="1"/>
  <c r="Q394"/>
  <c r="C439"/>
  <c r="Q441"/>
  <c r="X439"/>
  <c r="Q390"/>
  <c r="Q387" s="1"/>
  <c r="W393"/>
  <c r="W404" s="1"/>
  <c r="S422"/>
  <c r="U422" s="1"/>
  <c r="AA422" s="1"/>
  <c r="Q429"/>
  <c r="S437"/>
  <c r="U437" s="1"/>
  <c r="AA437" s="1"/>
  <c r="O449"/>
  <c r="O448" s="1"/>
  <c r="Q480"/>
  <c r="Q479" s="1"/>
  <c r="S485"/>
  <c r="U485" s="1"/>
  <c r="AA485" s="1"/>
  <c r="Q492"/>
  <c r="R407"/>
  <c r="Q417"/>
  <c r="Q416" s="1"/>
  <c r="T470"/>
  <c r="X470"/>
  <c r="S494"/>
  <c r="I501"/>
  <c r="V439"/>
  <c r="Q472"/>
  <c r="T292"/>
  <c r="O394"/>
  <c r="O472"/>
  <c r="V470"/>
  <c r="Y501"/>
  <c r="S525"/>
  <c r="K215"/>
  <c r="K226" s="1"/>
  <c r="Y404"/>
  <c r="S418"/>
  <c r="U418" s="1"/>
  <c r="AA418" s="1"/>
  <c r="Q497"/>
  <c r="Q503"/>
  <c r="Q383"/>
  <c r="R470"/>
  <c r="W407"/>
  <c r="Q449"/>
  <c r="Q448" s="1"/>
  <c r="P470"/>
  <c r="P531" s="1"/>
  <c r="S481"/>
  <c r="U481" s="1"/>
  <c r="AA481" s="1"/>
  <c r="Q511"/>
  <c r="Q510" s="1"/>
  <c r="T261"/>
  <c r="I393"/>
  <c r="I404" s="1"/>
  <c r="V407"/>
  <c r="Q409"/>
  <c r="S438"/>
  <c r="U438" s="1"/>
  <c r="K470"/>
  <c r="O401"/>
  <c r="O409"/>
  <c r="O503"/>
  <c r="V404"/>
  <c r="O372"/>
  <c r="O371" s="1"/>
  <c r="O429"/>
  <c r="O523"/>
  <c r="O434"/>
  <c r="C470"/>
  <c r="J531"/>
  <c r="K404"/>
  <c r="O390"/>
  <c r="O387" s="1"/>
  <c r="I439"/>
  <c r="W439"/>
  <c r="X501"/>
  <c r="O383"/>
  <c r="O363"/>
  <c r="O362" s="1"/>
  <c r="O417"/>
  <c r="O416" s="1"/>
  <c r="O466"/>
  <c r="R439"/>
  <c r="T501"/>
  <c r="O511"/>
  <c r="O510" s="1"/>
  <c r="R404"/>
  <c r="I407"/>
  <c r="Y470"/>
  <c r="Y531" s="1"/>
  <c r="Y532" s="1"/>
  <c r="O492"/>
  <c r="O480"/>
  <c r="O479" s="1"/>
  <c r="K229"/>
  <c r="X215"/>
  <c r="X226" s="1"/>
  <c r="R292"/>
  <c r="I215"/>
  <c r="I226" s="1"/>
  <c r="O212"/>
  <c r="O209" s="1"/>
  <c r="Q256"/>
  <c r="O293"/>
  <c r="R323"/>
  <c r="P261"/>
  <c r="X261"/>
  <c r="S276"/>
  <c r="U276" s="1"/>
  <c r="AA276" s="1"/>
  <c r="W215"/>
  <c r="W226" s="1"/>
  <c r="P323"/>
  <c r="O350"/>
  <c r="T215"/>
  <c r="T226" s="1"/>
  <c r="V215"/>
  <c r="V226" s="1"/>
  <c r="T229"/>
  <c r="R261"/>
  <c r="Q319"/>
  <c r="X229"/>
  <c r="I261"/>
  <c r="X292"/>
  <c r="Q302"/>
  <c r="Q301" s="1"/>
  <c r="T323"/>
  <c r="Q212"/>
  <c r="Q209" s="1"/>
  <c r="V229"/>
  <c r="W261"/>
  <c r="Y261"/>
  <c r="K292"/>
  <c r="S307"/>
  <c r="U307" s="1"/>
  <c r="AA307" s="1"/>
  <c r="S338"/>
  <c r="U338" s="1"/>
  <c r="AA338" s="1"/>
  <c r="R215"/>
  <c r="R226" s="1"/>
  <c r="P229"/>
  <c r="O231"/>
  <c r="Y323"/>
  <c r="I292"/>
  <c r="W323"/>
  <c r="S334"/>
  <c r="U334" s="1"/>
  <c r="AA334" s="1"/>
  <c r="V323"/>
  <c r="Q223"/>
  <c r="S240"/>
  <c r="U240" s="1"/>
  <c r="AA240" s="1"/>
  <c r="Y292"/>
  <c r="O319"/>
  <c r="Q350"/>
  <c r="Q325"/>
  <c r="Q194"/>
  <c r="Q193" s="1"/>
  <c r="Q231"/>
  <c r="Y229"/>
  <c r="S192"/>
  <c r="U192" s="1"/>
  <c r="O194"/>
  <c r="O193" s="1"/>
  <c r="Q205"/>
  <c r="R229"/>
  <c r="S244"/>
  <c r="U244" s="1"/>
  <c r="AA244" s="1"/>
  <c r="Q251"/>
  <c r="K261"/>
  <c r="Q271"/>
  <c r="Q270" s="1"/>
  <c r="Q314"/>
  <c r="K323"/>
  <c r="Q239"/>
  <c r="Q238" s="1"/>
  <c r="O251"/>
  <c r="V261"/>
  <c r="Q263"/>
  <c r="O271"/>
  <c r="O270" s="1"/>
  <c r="Q294"/>
  <c r="W292"/>
  <c r="S303"/>
  <c r="U303" s="1"/>
  <c r="AA303" s="1"/>
  <c r="O314"/>
  <c r="I323"/>
  <c r="X323"/>
  <c r="Q345"/>
  <c r="S272"/>
  <c r="U272" s="1"/>
  <c r="AA272" s="1"/>
  <c r="O294"/>
  <c r="P292"/>
  <c r="V292"/>
  <c r="Q333"/>
  <c r="Q332" s="1"/>
  <c r="O205"/>
  <c r="O345"/>
  <c r="I229"/>
  <c r="O239"/>
  <c r="O238" s="1"/>
  <c r="O288"/>
  <c r="Y226"/>
  <c r="O185"/>
  <c r="O184" s="1"/>
  <c r="O223"/>
  <c r="W229"/>
  <c r="O283"/>
  <c r="O302"/>
  <c r="O301" s="1"/>
  <c r="O325"/>
  <c r="O256"/>
  <c r="O333"/>
  <c r="O332" s="1"/>
  <c r="O263"/>
  <c r="Q216"/>
  <c r="Q53" i="68" l="1"/>
  <c r="Q209" s="1"/>
  <c r="R531" i="13"/>
  <c r="R532" s="1"/>
  <c r="T531"/>
  <c r="T532" s="1"/>
  <c r="X531"/>
  <c r="X532" s="1"/>
  <c r="V531"/>
  <c r="V532" s="1"/>
  <c r="K531"/>
  <c r="S40" i="68"/>
  <c r="Y41"/>
  <c r="Y40" s="1"/>
  <c r="Y30"/>
  <c r="Y29" s="1"/>
  <c r="S29"/>
  <c r="S18"/>
  <c r="S17" s="1"/>
  <c r="Y19"/>
  <c r="Y18" s="1"/>
  <c r="Y17" s="1"/>
  <c r="Q39"/>
  <c r="S47"/>
  <c r="Y48"/>
  <c r="Y47" s="1"/>
  <c r="Y54"/>
  <c r="Y53" s="1"/>
  <c r="Y209" s="1"/>
  <c r="S53"/>
  <c r="S209" s="1"/>
  <c r="Y37"/>
  <c r="Y36" s="1"/>
  <c r="Y33" s="1"/>
  <c r="S36"/>
  <c r="S33" s="1"/>
  <c r="Q393" i="13"/>
  <c r="Q470"/>
  <c r="G10" i="29"/>
  <c r="E9"/>
  <c r="E122" s="1"/>
  <c r="O393" i="13"/>
  <c r="O404" s="1"/>
  <c r="U525"/>
  <c r="S116" i="29"/>
  <c r="U116" s="1"/>
  <c r="Y116" s="1"/>
  <c r="U494" i="13"/>
  <c r="S90" i="29"/>
  <c r="Q407" i="13"/>
  <c r="P532"/>
  <c r="O439"/>
  <c r="C531"/>
  <c r="Q439"/>
  <c r="O323"/>
  <c r="O407"/>
  <c r="P353"/>
  <c r="P354" s="1"/>
  <c r="W531"/>
  <c r="W532" s="1"/>
  <c r="O470"/>
  <c r="Q501"/>
  <c r="O501"/>
  <c r="K532"/>
  <c r="J532"/>
  <c r="Q215"/>
  <c r="Q323"/>
  <c r="K353"/>
  <c r="K354" s="1"/>
  <c r="X353"/>
  <c r="X354" s="1"/>
  <c r="I531"/>
  <c r="I532" s="1"/>
  <c r="R353"/>
  <c r="R354" s="1"/>
  <c r="Y353"/>
  <c r="Y354" s="1"/>
  <c r="I353"/>
  <c r="I354" s="1"/>
  <c r="V353"/>
  <c r="V354" s="1"/>
  <c r="J353"/>
  <c r="O292"/>
  <c r="Q229"/>
  <c r="T353"/>
  <c r="T354" s="1"/>
  <c r="O229"/>
  <c r="W353"/>
  <c r="W354" s="1"/>
  <c r="Q292"/>
  <c r="O261"/>
  <c r="S39" i="68" l="1"/>
  <c r="Y39"/>
  <c r="G9" i="29"/>
  <c r="G122" s="1"/>
  <c r="K122" s="1"/>
  <c r="K10"/>
  <c r="K9" s="1"/>
  <c r="O531" i="13"/>
  <c r="O532" s="1"/>
  <c r="Q531"/>
  <c r="O353"/>
  <c r="B5" i="67" l="1"/>
  <c r="H6" i="66"/>
  <c r="C854" i="39"/>
  <c r="E14" i="52"/>
  <c r="F14"/>
  <c r="G14"/>
  <c r="H14"/>
  <c r="I14"/>
  <c r="J14"/>
  <c r="K14"/>
  <c r="D88" i="45"/>
  <c r="M971" i="39" l="1"/>
  <c r="Q973"/>
  <c r="P971"/>
  <c r="N971"/>
  <c r="K971"/>
  <c r="J971"/>
  <c r="H971"/>
  <c r="F971"/>
  <c r="Q972"/>
  <c r="O971"/>
  <c r="L971"/>
  <c r="I971"/>
  <c r="G971"/>
  <c r="Q970"/>
  <c r="Q969"/>
  <c r="Q968"/>
  <c r="Q967"/>
  <c r="O966"/>
  <c r="L966"/>
  <c r="K966"/>
  <c r="I966"/>
  <c r="G966"/>
  <c r="P966"/>
  <c r="N966"/>
  <c r="M966"/>
  <c r="J966"/>
  <c r="H966"/>
  <c r="F966"/>
  <c r="E966"/>
  <c r="Q965"/>
  <c r="Q964"/>
  <c r="Q963"/>
  <c r="Q962"/>
  <c r="Q961"/>
  <c r="Q960"/>
  <c r="O958"/>
  <c r="N958"/>
  <c r="L958"/>
  <c r="G958"/>
  <c r="F958"/>
  <c r="P958"/>
  <c r="M958"/>
  <c r="K958"/>
  <c r="J958"/>
  <c r="I958"/>
  <c r="H958"/>
  <c r="E958"/>
  <c r="Q957"/>
  <c r="Q956"/>
  <c r="Q955"/>
  <c r="Q954"/>
  <c r="Q953"/>
  <c r="Q952"/>
  <c r="O951"/>
  <c r="J951"/>
  <c r="I951"/>
  <c r="G951"/>
  <c r="P951"/>
  <c r="N951"/>
  <c r="M951"/>
  <c r="L951"/>
  <c r="K951"/>
  <c r="H951"/>
  <c r="F951"/>
  <c r="E951"/>
  <c r="Q950"/>
  <c r="L949"/>
  <c r="K949"/>
  <c r="I949"/>
  <c r="P949"/>
  <c r="O949"/>
  <c r="N949"/>
  <c r="M949"/>
  <c r="J949"/>
  <c r="H949"/>
  <c r="G949"/>
  <c r="F949"/>
  <c r="E949"/>
  <c r="K944"/>
  <c r="J944"/>
  <c r="Q946"/>
  <c r="P944"/>
  <c r="O944"/>
  <c r="M944"/>
  <c r="H944"/>
  <c r="G944"/>
  <c r="E944"/>
  <c r="N944"/>
  <c r="L944"/>
  <c r="I944"/>
  <c r="F944"/>
  <c r="Q943"/>
  <c r="Q942"/>
  <c r="Q941"/>
  <c r="Q940"/>
  <c r="P939"/>
  <c r="N939"/>
  <c r="I939"/>
  <c r="H939"/>
  <c r="F939"/>
  <c r="O939"/>
  <c r="M939"/>
  <c r="L939"/>
  <c r="K939"/>
  <c r="J939"/>
  <c r="G939"/>
  <c r="E939"/>
  <c r="Q938"/>
  <c r="Q937"/>
  <c r="Q936"/>
  <c r="Q935"/>
  <c r="Q934"/>
  <c r="Q933"/>
  <c r="P931"/>
  <c r="N931"/>
  <c r="K931"/>
  <c r="H931"/>
  <c r="F931"/>
  <c r="Q932"/>
  <c r="O931"/>
  <c r="M931"/>
  <c r="L931"/>
  <c r="J931"/>
  <c r="I931"/>
  <c r="G931"/>
  <c r="E931"/>
  <c r="Q930"/>
  <c r="Q929"/>
  <c r="Q928"/>
  <c r="Q927"/>
  <c r="Q926"/>
  <c r="P924"/>
  <c r="O924"/>
  <c r="M924"/>
  <c r="H924"/>
  <c r="G924"/>
  <c r="E924"/>
  <c r="N924"/>
  <c r="L924"/>
  <c r="K924"/>
  <c r="J924"/>
  <c r="I924"/>
  <c r="F924"/>
  <c r="Q923"/>
  <c r="O922"/>
  <c r="J922"/>
  <c r="I922"/>
  <c r="G922"/>
  <c r="P922"/>
  <c r="N922"/>
  <c r="M922"/>
  <c r="L922"/>
  <c r="K922"/>
  <c r="H922"/>
  <c r="F922"/>
  <c r="E922"/>
  <c r="Q919"/>
  <c r="P917"/>
  <c r="I917"/>
  <c r="H917"/>
  <c r="N917"/>
  <c r="M917"/>
  <c r="K917"/>
  <c r="F917"/>
  <c r="E917"/>
  <c r="O917"/>
  <c r="L917"/>
  <c r="J917"/>
  <c r="G917"/>
  <c r="Q916"/>
  <c r="Q915"/>
  <c r="Q914"/>
  <c r="Q913"/>
  <c r="O912"/>
  <c r="N912"/>
  <c r="L912"/>
  <c r="G912"/>
  <c r="F912"/>
  <c r="P912"/>
  <c r="M912"/>
  <c r="K912"/>
  <c r="J912"/>
  <c r="I912"/>
  <c r="H912"/>
  <c r="E912"/>
  <c r="Q911"/>
  <c r="Q910"/>
  <c r="Q909"/>
  <c r="Q908"/>
  <c r="Q907"/>
  <c r="Q906"/>
  <c r="O904"/>
  <c r="J904"/>
  <c r="I904"/>
  <c r="G904"/>
  <c r="P904"/>
  <c r="N904"/>
  <c r="M904"/>
  <c r="L904"/>
  <c r="K904"/>
  <c r="H904"/>
  <c r="F904"/>
  <c r="E904"/>
  <c r="Q903"/>
  <c r="Q902"/>
  <c r="Q901"/>
  <c r="Q900"/>
  <c r="Q899"/>
  <c r="M897"/>
  <c r="L897"/>
  <c r="J897"/>
  <c r="E897"/>
  <c r="P897"/>
  <c r="O897"/>
  <c r="N897"/>
  <c r="K897"/>
  <c r="I897"/>
  <c r="H897"/>
  <c r="G897"/>
  <c r="F897"/>
  <c r="Q896"/>
  <c r="O895"/>
  <c r="N895"/>
  <c r="L895"/>
  <c r="G895"/>
  <c r="F895"/>
  <c r="P895"/>
  <c r="M895"/>
  <c r="K895"/>
  <c r="J895"/>
  <c r="I895"/>
  <c r="H895"/>
  <c r="E895"/>
  <c r="N890"/>
  <c r="M890"/>
  <c r="F890"/>
  <c r="Q892"/>
  <c r="P890"/>
  <c r="K890"/>
  <c r="J890"/>
  <c r="H890"/>
  <c r="Q891"/>
  <c r="O890"/>
  <c r="L890"/>
  <c r="I890"/>
  <c r="G890"/>
  <c r="Q889"/>
  <c r="Q888"/>
  <c r="Q887"/>
  <c r="Q886"/>
  <c r="L885"/>
  <c r="K885"/>
  <c r="I885"/>
  <c r="P885"/>
  <c r="O885"/>
  <c r="N885"/>
  <c r="M885"/>
  <c r="J885"/>
  <c r="H885"/>
  <c r="G885"/>
  <c r="F885"/>
  <c r="E885"/>
  <c r="Q884"/>
  <c r="Q883"/>
  <c r="Q882"/>
  <c r="Q881"/>
  <c r="Q880"/>
  <c r="Q879"/>
  <c r="N877"/>
  <c r="I877"/>
  <c r="F877"/>
  <c r="Q878"/>
  <c r="P877"/>
  <c r="O877"/>
  <c r="M877"/>
  <c r="L877"/>
  <c r="K877"/>
  <c r="J877"/>
  <c r="H877"/>
  <c r="G877"/>
  <c r="E877"/>
  <c r="Q876"/>
  <c r="Q875"/>
  <c r="Q874"/>
  <c r="Q873"/>
  <c r="Q872"/>
  <c r="P870"/>
  <c r="K870"/>
  <c r="J870"/>
  <c r="H870"/>
  <c r="Q871"/>
  <c r="O870"/>
  <c r="N870"/>
  <c r="M870"/>
  <c r="L870"/>
  <c r="I870"/>
  <c r="G870"/>
  <c r="F870"/>
  <c r="E870"/>
  <c r="M868"/>
  <c r="L868"/>
  <c r="K868"/>
  <c r="J868"/>
  <c r="E868"/>
  <c r="P868"/>
  <c r="O868"/>
  <c r="N868"/>
  <c r="I868"/>
  <c r="H868"/>
  <c r="G868"/>
  <c r="F868"/>
  <c r="K864"/>
  <c r="I864"/>
  <c r="Q863"/>
  <c r="Q862"/>
  <c r="Q861"/>
  <c r="Q860"/>
  <c r="Q859"/>
  <c r="Q858"/>
  <c r="Q857"/>
  <c r="P864"/>
  <c r="O864"/>
  <c r="N864"/>
  <c r="M864"/>
  <c r="L864"/>
  <c r="J864"/>
  <c r="H864"/>
  <c r="G864"/>
  <c r="F864"/>
  <c r="E864"/>
  <c r="G894" l="1"/>
  <c r="F894"/>
  <c r="L867"/>
  <c r="Q895"/>
  <c r="O921"/>
  <c r="F948"/>
  <c r="N894"/>
  <c r="F921"/>
  <c r="Q939"/>
  <c r="Q922"/>
  <c r="G921"/>
  <c r="Q912"/>
  <c r="Q951"/>
  <c r="Q966"/>
  <c r="Q885"/>
  <c r="P948"/>
  <c r="Q958"/>
  <c r="N948"/>
  <c r="L948"/>
  <c r="K948"/>
  <c r="Q949"/>
  <c r="M948"/>
  <c r="J948"/>
  <c r="N921"/>
  <c r="Q944"/>
  <c r="J921"/>
  <c r="Q931"/>
  <c r="L921"/>
  <c r="H921"/>
  <c r="P921"/>
  <c r="K921"/>
  <c r="Q917"/>
  <c r="K894"/>
  <c r="I894"/>
  <c r="Q904"/>
  <c r="O894"/>
  <c r="J894"/>
  <c r="H894"/>
  <c r="P894"/>
  <c r="P867"/>
  <c r="Q877"/>
  <c r="G867"/>
  <c r="F867"/>
  <c r="N867"/>
  <c r="J867"/>
  <c r="O867"/>
  <c r="Q870"/>
  <c r="I867"/>
  <c r="E894"/>
  <c r="Q897"/>
  <c r="E921"/>
  <c r="Q924"/>
  <c r="M894"/>
  <c r="M921"/>
  <c r="G948"/>
  <c r="O948"/>
  <c r="Q864"/>
  <c r="Q868"/>
  <c r="M867"/>
  <c r="K867"/>
  <c r="I948"/>
  <c r="L894"/>
  <c r="H867"/>
  <c r="I921"/>
  <c r="H948"/>
  <c r="E890"/>
  <c r="Q890" s="1"/>
  <c r="E971"/>
  <c r="Q869"/>
  <c r="Q898"/>
  <c r="Q918"/>
  <c r="Q925"/>
  <c r="Q945"/>
  <c r="F974" l="1"/>
  <c r="F975" s="1"/>
  <c r="G974"/>
  <c r="G975" s="1"/>
  <c r="Q921"/>
  <c r="N974"/>
  <c r="N975" s="1"/>
  <c r="L974"/>
  <c r="L975" s="1"/>
  <c r="Q894"/>
  <c r="O974"/>
  <c r="O975" s="1"/>
  <c r="K974"/>
  <c r="K975" s="1"/>
  <c r="I974"/>
  <c r="I975" s="1"/>
  <c r="J974"/>
  <c r="J975" s="1"/>
  <c r="M974"/>
  <c r="M975" s="1"/>
  <c r="P974"/>
  <c r="P975" s="1"/>
  <c r="H974"/>
  <c r="H975" s="1"/>
  <c r="E867"/>
  <c r="Q971"/>
  <c r="E948"/>
  <c r="Q948" s="1"/>
  <c r="E974" l="1"/>
  <c r="E975" s="1"/>
  <c r="Q975" s="1"/>
  <c r="Q867"/>
  <c r="Q974" s="1"/>
  <c r="Y174" i="67" l="1"/>
  <c r="X174"/>
  <c r="W174"/>
  <c r="V174"/>
  <c r="T174"/>
  <c r="R174"/>
  <c r="P174"/>
  <c r="K174"/>
  <c r="I174"/>
  <c r="Y169"/>
  <c r="X169"/>
  <c r="W169"/>
  <c r="V169"/>
  <c r="T169"/>
  <c r="R169"/>
  <c r="P169"/>
  <c r="K169"/>
  <c r="I169"/>
  <c r="O166"/>
  <c r="Q166"/>
  <c r="Q165"/>
  <c r="O164"/>
  <c r="Q164"/>
  <c r="O163"/>
  <c r="Q163"/>
  <c r="O162"/>
  <c r="Q162"/>
  <c r="O160"/>
  <c r="Q160"/>
  <c r="O159"/>
  <c r="Q159"/>
  <c r="O158"/>
  <c r="N158"/>
  <c r="Q158"/>
  <c r="Y156"/>
  <c r="X156"/>
  <c r="W156"/>
  <c r="V156"/>
  <c r="V147" s="1"/>
  <c r="T156"/>
  <c r="R156"/>
  <c r="P156"/>
  <c r="K156"/>
  <c r="I156"/>
  <c r="T149"/>
  <c r="R149"/>
  <c r="P149"/>
  <c r="K149"/>
  <c r="I149"/>
  <c r="Y143"/>
  <c r="X143"/>
  <c r="W143"/>
  <c r="V143"/>
  <c r="T143"/>
  <c r="T116" s="1"/>
  <c r="R143"/>
  <c r="P143"/>
  <c r="I143"/>
  <c r="Y138"/>
  <c r="X138"/>
  <c r="W138"/>
  <c r="V138"/>
  <c r="R138"/>
  <c r="P138"/>
  <c r="K138"/>
  <c r="I138"/>
  <c r="O135"/>
  <c r="O133"/>
  <c r="Q133"/>
  <c r="O132"/>
  <c r="Q132"/>
  <c r="K131"/>
  <c r="Q131"/>
  <c r="Q129"/>
  <c r="Q128"/>
  <c r="O127"/>
  <c r="N127"/>
  <c r="Q127"/>
  <c r="Y125"/>
  <c r="X125"/>
  <c r="W125"/>
  <c r="V125"/>
  <c r="R125"/>
  <c r="P125"/>
  <c r="I125"/>
  <c r="O121"/>
  <c r="Y118"/>
  <c r="X118"/>
  <c r="W118"/>
  <c r="V118"/>
  <c r="R118"/>
  <c r="P118"/>
  <c r="K118"/>
  <c r="I118"/>
  <c r="AC115"/>
  <c r="Y112"/>
  <c r="X112"/>
  <c r="W112"/>
  <c r="V112"/>
  <c r="T112"/>
  <c r="R112"/>
  <c r="P112"/>
  <c r="I112"/>
  <c r="Y107"/>
  <c r="X107"/>
  <c r="W107"/>
  <c r="V107"/>
  <c r="T107"/>
  <c r="R107"/>
  <c r="P107"/>
  <c r="K107"/>
  <c r="I107"/>
  <c r="I94"/>
  <c r="I87" s="1"/>
  <c r="N100"/>
  <c r="S100" s="1"/>
  <c r="O98"/>
  <c r="Q98"/>
  <c r="Q97"/>
  <c r="K96"/>
  <c r="O96" s="1"/>
  <c r="N96"/>
  <c r="Q96"/>
  <c r="Y94"/>
  <c r="X94"/>
  <c r="W94"/>
  <c r="V94"/>
  <c r="T94"/>
  <c r="R94"/>
  <c r="P94"/>
  <c r="Y87"/>
  <c r="X87"/>
  <c r="W87"/>
  <c r="V87"/>
  <c r="T87"/>
  <c r="R87"/>
  <c r="P87"/>
  <c r="Q83"/>
  <c r="O83"/>
  <c r="N83"/>
  <c r="X80"/>
  <c r="W80"/>
  <c r="V80"/>
  <c r="T80"/>
  <c r="R80"/>
  <c r="P80"/>
  <c r="Y75"/>
  <c r="X75"/>
  <c r="W75"/>
  <c r="V75"/>
  <c r="T75"/>
  <c r="R75"/>
  <c r="P75"/>
  <c r="K75"/>
  <c r="I75"/>
  <c r="K70"/>
  <c r="I62"/>
  <c r="O64"/>
  <c r="Q64"/>
  <c r="Y62"/>
  <c r="Y56" s="1"/>
  <c r="Y55" s="1"/>
  <c r="Y54" s="1"/>
  <c r="Y53" s="1"/>
  <c r="X62"/>
  <c r="W62"/>
  <c r="W56" s="1"/>
  <c r="W55" s="1"/>
  <c r="W54" s="1"/>
  <c r="W53" s="1"/>
  <c r="V62"/>
  <c r="V56" s="1"/>
  <c r="V55" s="1"/>
  <c r="T62"/>
  <c r="R62"/>
  <c r="P62"/>
  <c r="X56"/>
  <c r="X55" s="1"/>
  <c r="X54" s="1"/>
  <c r="X53" s="1"/>
  <c r="T55"/>
  <c r="R55"/>
  <c r="P55"/>
  <c r="I55"/>
  <c r="Q52"/>
  <c r="Y47"/>
  <c r="X47"/>
  <c r="W47"/>
  <c r="V47"/>
  <c r="T47"/>
  <c r="R47"/>
  <c r="P47"/>
  <c r="K47"/>
  <c r="I47"/>
  <c r="Y40"/>
  <c r="X40"/>
  <c r="W40"/>
  <c r="V40"/>
  <c r="T40"/>
  <c r="R40"/>
  <c r="P40"/>
  <c r="K40"/>
  <c r="I40"/>
  <c r="Y36"/>
  <c r="X36"/>
  <c r="X33" s="1"/>
  <c r="W36"/>
  <c r="W33" s="1"/>
  <c r="V36"/>
  <c r="V33" s="1"/>
  <c r="T36"/>
  <c r="T33" s="1"/>
  <c r="R36"/>
  <c r="R33" s="1"/>
  <c r="P36"/>
  <c r="P33" s="1"/>
  <c r="K36"/>
  <c r="K33" s="1"/>
  <c r="I36"/>
  <c r="I33" s="1"/>
  <c r="Y33"/>
  <c r="Y29"/>
  <c r="X29"/>
  <c r="W29"/>
  <c r="V29"/>
  <c r="T29"/>
  <c r="R29"/>
  <c r="P29"/>
  <c r="K29"/>
  <c r="I29"/>
  <c r="Y18"/>
  <c r="Y17" s="1"/>
  <c r="X18"/>
  <c r="W18"/>
  <c r="V18"/>
  <c r="V17" s="1"/>
  <c r="T18"/>
  <c r="R18"/>
  <c r="R17" s="1"/>
  <c r="K18"/>
  <c r="K17" s="1"/>
  <c r="I18"/>
  <c r="I17" s="1"/>
  <c r="X17"/>
  <c r="W17"/>
  <c r="T17"/>
  <c r="Q16"/>
  <c r="O16"/>
  <c r="Y9"/>
  <c r="Y8" s="1"/>
  <c r="X9"/>
  <c r="X8" s="1"/>
  <c r="W9"/>
  <c r="V9"/>
  <c r="V8" s="1"/>
  <c r="T9"/>
  <c r="R9"/>
  <c r="R8" s="1"/>
  <c r="P9"/>
  <c r="K9"/>
  <c r="K8" s="1"/>
  <c r="I9"/>
  <c r="I8" s="1"/>
  <c r="W8"/>
  <c r="T8"/>
  <c r="P8"/>
  <c r="U100" l="1"/>
  <c r="G102" i="30" s="1"/>
  <c r="K102" s="1"/>
  <c r="E102"/>
  <c r="K62" i="67"/>
  <c r="K56" s="1"/>
  <c r="O70"/>
  <c r="Y50"/>
  <c r="R53"/>
  <c r="I39"/>
  <c r="I50" s="1"/>
  <c r="Y39"/>
  <c r="P147"/>
  <c r="X147"/>
  <c r="I147"/>
  <c r="T53"/>
  <c r="K39"/>
  <c r="K50" s="1"/>
  <c r="V54"/>
  <c r="V53" s="1"/>
  <c r="R39"/>
  <c r="R50" s="1"/>
  <c r="Y116"/>
  <c r="W39"/>
  <c r="W50" s="1"/>
  <c r="I116"/>
  <c r="W116"/>
  <c r="V39"/>
  <c r="V50" s="1"/>
  <c r="T147"/>
  <c r="T85"/>
  <c r="R116"/>
  <c r="X50"/>
  <c r="X39"/>
  <c r="V116"/>
  <c r="K147"/>
  <c r="K145" s="1"/>
  <c r="K143" s="1"/>
  <c r="T39"/>
  <c r="T50" s="1"/>
  <c r="P53"/>
  <c r="Y147"/>
  <c r="X85"/>
  <c r="P39"/>
  <c r="W85"/>
  <c r="X116"/>
  <c r="R147"/>
  <c r="V85"/>
  <c r="I85"/>
  <c r="I80" s="1"/>
  <c r="I53" s="1"/>
  <c r="N64"/>
  <c r="S64" s="1"/>
  <c r="E66" i="30" s="1"/>
  <c r="N16" i="67"/>
  <c r="S16" s="1"/>
  <c r="E18" i="30" s="1"/>
  <c r="P85" i="67"/>
  <c r="Y85"/>
  <c r="R85"/>
  <c r="P116"/>
  <c r="W147"/>
  <c r="O128"/>
  <c r="O97"/>
  <c r="O131"/>
  <c r="O165"/>
  <c r="O134"/>
  <c r="P18"/>
  <c r="P17" s="1"/>
  <c r="P50" s="1"/>
  <c r="S158"/>
  <c r="E160" i="30" s="1"/>
  <c r="S127" i="67"/>
  <c r="E129" i="30" s="1"/>
  <c r="S96" i="67"/>
  <c r="E98" i="30" s="1"/>
  <c r="N131" i="67"/>
  <c r="Q134"/>
  <c r="N162"/>
  <c r="S162" s="1"/>
  <c r="K55"/>
  <c r="K54" s="1"/>
  <c r="AA100" l="1"/>
  <c r="U162"/>
  <c r="E164" i="30"/>
  <c r="R177" i="67"/>
  <c r="R178" s="1"/>
  <c r="K129"/>
  <c r="K125" s="1"/>
  <c r="K116" s="1"/>
  <c r="K113" s="1"/>
  <c r="K112" s="1"/>
  <c r="X177"/>
  <c r="X178" s="1"/>
  <c r="W177"/>
  <c r="W178" s="1"/>
  <c r="V177"/>
  <c r="V178" s="1"/>
  <c r="Y177"/>
  <c r="Y178" s="1"/>
  <c r="P177"/>
  <c r="P178" s="1"/>
  <c r="S131"/>
  <c r="U16"/>
  <c r="G18" i="30" s="1"/>
  <c r="U127" i="67"/>
  <c r="G129" i="30" s="1"/>
  <c r="K129" s="1"/>
  <c r="U64" i="67"/>
  <c r="U96"/>
  <c r="G98" i="30" s="1"/>
  <c r="K98" s="1"/>
  <c r="U158" i="67"/>
  <c r="G160" i="30" s="1"/>
  <c r="K160" s="1"/>
  <c r="U131" i="67" l="1"/>
  <c r="E133" i="30"/>
  <c r="AA64" i="67"/>
  <c r="G66" i="30"/>
  <c r="K66" s="1"/>
  <c r="AA162" i="67"/>
  <c r="G164" i="30"/>
  <c r="K164" s="1"/>
  <c r="O129" i="67"/>
  <c r="AA127"/>
  <c r="AA158"/>
  <c r="K94"/>
  <c r="K89" s="1"/>
  <c r="AA131" l="1"/>
  <c r="G133" i="30"/>
  <c r="K133" s="1"/>
  <c r="K87" i="67"/>
  <c r="K85" s="1"/>
  <c r="K82" s="1"/>
  <c r="K80" l="1"/>
  <c r="K53" s="1"/>
  <c r="K177" s="1"/>
  <c r="K178" s="1"/>
  <c r="E111" i="37" l="1"/>
  <c r="E112" s="1"/>
  <c r="D111"/>
  <c r="D112" s="1"/>
  <c r="V67" i="34" l="1"/>
  <c r="U67"/>
  <c r="T67"/>
  <c r="S67"/>
  <c r="R67"/>
  <c r="Q67"/>
  <c r="V66"/>
  <c r="U66"/>
  <c r="T66"/>
  <c r="S66"/>
  <c r="R66"/>
  <c r="Q66"/>
  <c r="V65"/>
  <c r="U65"/>
  <c r="T65"/>
  <c r="S65"/>
  <c r="R65"/>
  <c r="Q65"/>
  <c r="P65"/>
  <c r="V64"/>
  <c r="U64"/>
  <c r="T64"/>
  <c r="S64"/>
  <c r="R64"/>
  <c r="Q64"/>
  <c r="P64"/>
  <c r="O62"/>
  <c r="N62"/>
  <c r="M62"/>
  <c r="L62"/>
  <c r="K62"/>
  <c r="J62"/>
  <c r="R62" s="1"/>
  <c r="H62"/>
  <c r="F62"/>
  <c r="V61"/>
  <c r="U61"/>
  <c r="T61"/>
  <c r="S61"/>
  <c r="R61"/>
  <c r="Q61"/>
  <c r="P61"/>
  <c r="V60"/>
  <c r="U60"/>
  <c r="T60"/>
  <c r="S60"/>
  <c r="R60"/>
  <c r="Q60"/>
  <c r="P60"/>
  <c r="V59"/>
  <c r="U59"/>
  <c r="T59"/>
  <c r="S59"/>
  <c r="R59"/>
  <c r="Q59"/>
  <c r="P59"/>
  <c r="V58"/>
  <c r="U58"/>
  <c r="T58"/>
  <c r="S58"/>
  <c r="R58"/>
  <c r="Q58"/>
  <c r="V57"/>
  <c r="U57"/>
  <c r="T57"/>
  <c r="S57"/>
  <c r="R57"/>
  <c r="Q57"/>
  <c r="P57"/>
  <c r="V56"/>
  <c r="U56"/>
  <c r="T56"/>
  <c r="S56"/>
  <c r="R56"/>
  <c r="Q56"/>
  <c r="P56"/>
  <c r="V55"/>
  <c r="U55"/>
  <c r="T55"/>
  <c r="S55"/>
  <c r="R55"/>
  <c r="Q55"/>
  <c r="P55"/>
  <c r="V54"/>
  <c r="U54"/>
  <c r="T54"/>
  <c r="S54"/>
  <c r="R54"/>
  <c r="Q54"/>
  <c r="P54"/>
  <c r="V53"/>
  <c r="U53"/>
  <c r="T53"/>
  <c r="S53"/>
  <c r="R53"/>
  <c r="Q53"/>
  <c r="V52"/>
  <c r="U52"/>
  <c r="T52"/>
  <c r="S52"/>
  <c r="R52"/>
  <c r="Q52"/>
  <c r="P52"/>
  <c r="V51"/>
  <c r="U51"/>
  <c r="T51"/>
  <c r="S51"/>
  <c r="R51"/>
  <c r="Q51"/>
  <c r="P51"/>
  <c r="V50"/>
  <c r="U50"/>
  <c r="T50"/>
  <c r="S50"/>
  <c r="R50"/>
  <c r="Q50"/>
  <c r="P50"/>
  <c r="V49"/>
  <c r="U49"/>
  <c r="T49"/>
  <c r="S49"/>
  <c r="R49"/>
  <c r="Q49"/>
  <c r="P49"/>
  <c r="V48"/>
  <c r="U48"/>
  <c r="T48"/>
  <c r="S48"/>
  <c r="R48"/>
  <c r="Q48"/>
  <c r="P48"/>
  <c r="V47"/>
  <c r="U47"/>
  <c r="T47"/>
  <c r="S47"/>
  <c r="R47"/>
  <c r="Q47"/>
  <c r="P47"/>
  <c r="V46"/>
  <c r="U46"/>
  <c r="T46"/>
  <c r="S46"/>
  <c r="R46"/>
  <c r="Q46"/>
  <c r="P46"/>
  <c r="V45"/>
  <c r="U45"/>
  <c r="T45"/>
  <c r="S45"/>
  <c r="R45"/>
  <c r="Q45"/>
  <c r="P45"/>
  <c r="V44"/>
  <c r="U44"/>
  <c r="T44"/>
  <c r="S44"/>
  <c r="R44"/>
  <c r="Q44"/>
  <c r="P44"/>
  <c r="V43"/>
  <c r="U43"/>
  <c r="T43"/>
  <c r="S43"/>
  <c r="R43"/>
  <c r="Q43"/>
  <c r="P43"/>
  <c r="V42"/>
  <c r="U42"/>
  <c r="T42"/>
  <c r="S42"/>
  <c r="R42"/>
  <c r="Q42"/>
  <c r="P42"/>
  <c r="V41"/>
  <c r="U41"/>
  <c r="T41"/>
  <c r="S41"/>
  <c r="R41"/>
  <c r="Q41"/>
  <c r="P41"/>
  <c r="V40"/>
  <c r="U40"/>
  <c r="T40"/>
  <c r="S40"/>
  <c r="R40"/>
  <c r="Q40"/>
  <c r="P40"/>
  <c r="V39"/>
  <c r="U39"/>
  <c r="T39"/>
  <c r="S39"/>
  <c r="R39"/>
  <c r="Q39"/>
  <c r="P39"/>
  <c r="V38"/>
  <c r="U38"/>
  <c r="T38"/>
  <c r="S38"/>
  <c r="R38"/>
  <c r="Q38"/>
  <c r="P38"/>
  <c r="V37"/>
  <c r="U37"/>
  <c r="T37"/>
  <c r="S37"/>
  <c r="R37"/>
  <c r="Q37"/>
  <c r="P37"/>
  <c r="V36"/>
  <c r="U36"/>
  <c r="T36"/>
  <c r="S36"/>
  <c r="R36"/>
  <c r="Q36"/>
  <c r="P36"/>
  <c r="V35"/>
  <c r="U35"/>
  <c r="T35"/>
  <c r="S35"/>
  <c r="R35"/>
  <c r="Q35"/>
  <c r="P35"/>
  <c r="O34"/>
  <c r="O63" s="1"/>
  <c r="N34"/>
  <c r="N63" s="1"/>
  <c r="M34"/>
  <c r="L34"/>
  <c r="K34"/>
  <c r="J34"/>
  <c r="R34" s="1"/>
  <c r="H34"/>
  <c r="H63" s="1"/>
  <c r="F34"/>
  <c r="F63" s="1"/>
  <c r="V33"/>
  <c r="U33"/>
  <c r="T33"/>
  <c r="S33"/>
  <c r="R33"/>
  <c r="Q33"/>
  <c r="P33"/>
  <c r="V32"/>
  <c r="U32"/>
  <c r="T32"/>
  <c r="S32"/>
  <c r="R32"/>
  <c r="Q32"/>
  <c r="P32"/>
  <c r="V31"/>
  <c r="U31"/>
  <c r="T31"/>
  <c r="S31"/>
  <c r="R31"/>
  <c r="Q31"/>
  <c r="P31"/>
  <c r="V30"/>
  <c r="U30"/>
  <c r="T30"/>
  <c r="S30"/>
  <c r="R30"/>
  <c r="Q30"/>
  <c r="P30"/>
  <c r="V29"/>
  <c r="U29"/>
  <c r="T29"/>
  <c r="S29"/>
  <c r="R29"/>
  <c r="Q29"/>
  <c r="P29"/>
  <c r="V28"/>
  <c r="U28"/>
  <c r="T28"/>
  <c r="S28"/>
  <c r="R28"/>
  <c r="Q28"/>
  <c r="P28"/>
  <c r="V27"/>
  <c r="U27"/>
  <c r="T27"/>
  <c r="S27"/>
  <c r="R27"/>
  <c r="Q27"/>
  <c r="P27"/>
  <c r="V26"/>
  <c r="U26"/>
  <c r="T26"/>
  <c r="S26"/>
  <c r="R26"/>
  <c r="Q26"/>
  <c r="P26"/>
  <c r="V25"/>
  <c r="U25"/>
  <c r="T25"/>
  <c r="S25"/>
  <c r="R25"/>
  <c r="Q25"/>
  <c r="P25"/>
  <c r="V24"/>
  <c r="U24"/>
  <c r="T24"/>
  <c r="S24"/>
  <c r="R24"/>
  <c r="Q24"/>
  <c r="P24"/>
  <c r="V23"/>
  <c r="U23"/>
  <c r="T23"/>
  <c r="S23"/>
  <c r="R23"/>
  <c r="Q23"/>
  <c r="P23"/>
  <c r="V22"/>
  <c r="U22"/>
  <c r="T22"/>
  <c r="S22"/>
  <c r="R22"/>
  <c r="Q22"/>
  <c r="P22"/>
  <c r="V21"/>
  <c r="U21"/>
  <c r="T21"/>
  <c r="S21"/>
  <c r="R21"/>
  <c r="Q21"/>
  <c r="P21"/>
  <c r="V20"/>
  <c r="U20"/>
  <c r="T20"/>
  <c r="S20"/>
  <c r="R20"/>
  <c r="Q20"/>
  <c r="P20"/>
  <c r="V19"/>
  <c r="U19"/>
  <c r="T19"/>
  <c r="S19"/>
  <c r="R19"/>
  <c r="Q19"/>
  <c r="P19"/>
  <c r="V18"/>
  <c r="U18"/>
  <c r="T18"/>
  <c r="S18"/>
  <c r="R18"/>
  <c r="Q18"/>
  <c r="P18"/>
  <c r="V17"/>
  <c r="U17"/>
  <c r="T17"/>
  <c r="S17"/>
  <c r="R17"/>
  <c r="Q17"/>
  <c r="P17"/>
  <c r="V16"/>
  <c r="U16"/>
  <c r="T16"/>
  <c r="S16"/>
  <c r="R16"/>
  <c r="Q16"/>
  <c r="P16"/>
  <c r="V15"/>
  <c r="U15"/>
  <c r="T15"/>
  <c r="S15"/>
  <c r="R15"/>
  <c r="Q15"/>
  <c r="P15"/>
  <c r="V14"/>
  <c r="U14"/>
  <c r="T14"/>
  <c r="S14"/>
  <c r="R14"/>
  <c r="Q14"/>
  <c r="P14"/>
  <c r="V13"/>
  <c r="U13"/>
  <c r="T13"/>
  <c r="S13"/>
  <c r="R13"/>
  <c r="Q13"/>
  <c r="P13"/>
  <c r="V12"/>
  <c r="U12"/>
  <c r="T12"/>
  <c r="S12"/>
  <c r="R12"/>
  <c r="Q12"/>
  <c r="P12"/>
  <c r="V11"/>
  <c r="U11"/>
  <c r="T11"/>
  <c r="S11"/>
  <c r="R11"/>
  <c r="Q11"/>
  <c r="P11"/>
  <c r="T34" l="1"/>
  <c r="M63"/>
  <c r="V34"/>
  <c r="L63"/>
  <c r="U34"/>
  <c r="P62"/>
  <c r="U62"/>
  <c r="Q34"/>
  <c r="T62"/>
  <c r="S62"/>
  <c r="P34"/>
  <c r="V62"/>
  <c r="S34"/>
  <c r="Q62"/>
  <c r="J63"/>
  <c r="K63"/>
  <c r="P63" l="1"/>
  <c r="Q63"/>
  <c r="S63"/>
  <c r="T63"/>
  <c r="U63"/>
  <c r="R63"/>
  <c r="V63"/>
  <c r="N44" i="52" l="1"/>
  <c r="M44"/>
  <c r="L44"/>
  <c r="K44"/>
  <c r="J44"/>
  <c r="H44"/>
  <c r="G44"/>
  <c r="F44"/>
  <c r="E44"/>
  <c r="O43"/>
  <c r="P43"/>
  <c r="O42"/>
  <c r="P42"/>
  <c r="O41"/>
  <c r="P41"/>
  <c r="O40"/>
  <c r="P40"/>
  <c r="O39"/>
  <c r="P39"/>
  <c r="O38"/>
  <c r="P38"/>
  <c r="O37"/>
  <c r="P37"/>
  <c r="O36"/>
  <c r="P36"/>
  <c r="N35"/>
  <c r="M35"/>
  <c r="L35"/>
  <c r="K35"/>
  <c r="J35"/>
  <c r="I35"/>
  <c r="H35"/>
  <c r="G35"/>
  <c r="F35"/>
  <c r="E35"/>
  <c r="T34"/>
  <c r="S34"/>
  <c r="R34"/>
  <c r="Q34"/>
  <c r="P34"/>
  <c r="O34"/>
  <c r="U34" s="1"/>
  <c r="U33"/>
  <c r="T33"/>
  <c r="S33"/>
  <c r="R33"/>
  <c r="Q33"/>
  <c r="P33"/>
  <c r="O33"/>
  <c r="T32"/>
  <c r="S32"/>
  <c r="R32"/>
  <c r="Q32"/>
  <c r="P32"/>
  <c r="O32"/>
  <c r="U32" s="1"/>
  <c r="T31"/>
  <c r="S31"/>
  <c r="R31"/>
  <c r="Q31"/>
  <c r="P31"/>
  <c r="O31"/>
  <c r="U31" s="1"/>
  <c r="U30"/>
  <c r="T30"/>
  <c r="S30"/>
  <c r="R30"/>
  <c r="Q30"/>
  <c r="P30"/>
  <c r="O30"/>
  <c r="U29"/>
  <c r="T29"/>
  <c r="S29"/>
  <c r="R29"/>
  <c r="Q29"/>
  <c r="P29"/>
  <c r="O29"/>
  <c r="N28"/>
  <c r="M28"/>
  <c r="L28"/>
  <c r="K28"/>
  <c r="J28"/>
  <c r="I28"/>
  <c r="H28"/>
  <c r="G28"/>
  <c r="F28"/>
  <c r="T27"/>
  <c r="S27"/>
  <c r="R27"/>
  <c r="Q27"/>
  <c r="P27"/>
  <c r="O27"/>
  <c r="U27" s="1"/>
  <c r="T26"/>
  <c r="S26"/>
  <c r="R26"/>
  <c r="Q26"/>
  <c r="P26"/>
  <c r="O26"/>
  <c r="U26" s="1"/>
  <c r="T25"/>
  <c r="S25"/>
  <c r="R25"/>
  <c r="Q25"/>
  <c r="P25"/>
  <c r="O25"/>
  <c r="U25" s="1"/>
  <c r="E28"/>
  <c r="T24"/>
  <c r="S24"/>
  <c r="R24"/>
  <c r="Q24"/>
  <c r="P24"/>
  <c r="O24"/>
  <c r="U24" s="1"/>
  <c r="T23"/>
  <c r="S23"/>
  <c r="R23"/>
  <c r="Q23"/>
  <c r="P23"/>
  <c r="O23"/>
  <c r="U23" s="1"/>
  <c r="U22"/>
  <c r="T22"/>
  <c r="S22"/>
  <c r="R22"/>
  <c r="Q22"/>
  <c r="P22"/>
  <c r="O22"/>
  <c r="U21"/>
  <c r="T21"/>
  <c r="S21"/>
  <c r="R21"/>
  <c r="Q21"/>
  <c r="P21"/>
  <c r="O21"/>
  <c r="N20"/>
  <c r="M20"/>
  <c r="R20" s="1"/>
  <c r="L20"/>
  <c r="K20"/>
  <c r="J20"/>
  <c r="I20"/>
  <c r="Q20" s="1"/>
  <c r="H20"/>
  <c r="G20"/>
  <c r="F20"/>
  <c r="E20"/>
  <c r="U19"/>
  <c r="T19"/>
  <c r="S19"/>
  <c r="R19"/>
  <c r="Q19"/>
  <c r="P19"/>
  <c r="O19"/>
  <c r="U18"/>
  <c r="T18"/>
  <c r="S18"/>
  <c r="R18"/>
  <c r="Q18"/>
  <c r="P18"/>
  <c r="O18"/>
  <c r="T17"/>
  <c r="S17"/>
  <c r="R17"/>
  <c r="Q17"/>
  <c r="P17"/>
  <c r="O17"/>
  <c r="U17" s="1"/>
  <c r="N16"/>
  <c r="M16"/>
  <c r="L16"/>
  <c r="K16"/>
  <c r="J16"/>
  <c r="I16"/>
  <c r="H16"/>
  <c r="G16"/>
  <c r="F16"/>
  <c r="E16"/>
  <c r="T15"/>
  <c r="S15"/>
  <c r="R15"/>
  <c r="Q15"/>
  <c r="P15"/>
  <c r="O15"/>
  <c r="U15" s="1"/>
  <c r="N14"/>
  <c r="M14"/>
  <c r="R14" s="1"/>
  <c r="L14"/>
  <c r="U13"/>
  <c r="T13"/>
  <c r="S13"/>
  <c r="R13"/>
  <c r="Q13"/>
  <c r="P13"/>
  <c r="O13"/>
  <c r="T12"/>
  <c r="S12"/>
  <c r="R12"/>
  <c r="Q12"/>
  <c r="P12"/>
  <c r="O12"/>
  <c r="U12" s="1"/>
  <c r="N11"/>
  <c r="M11"/>
  <c r="L11"/>
  <c r="K11"/>
  <c r="J11"/>
  <c r="I11"/>
  <c r="S11" s="1"/>
  <c r="H11"/>
  <c r="G11"/>
  <c r="F11"/>
  <c r="E11"/>
  <c r="U10"/>
  <c r="T10"/>
  <c r="S10"/>
  <c r="R10"/>
  <c r="Q10"/>
  <c r="P10"/>
  <c r="O10"/>
  <c r="N45" i="53"/>
  <c r="M45"/>
  <c r="L45"/>
  <c r="K45"/>
  <c r="J45"/>
  <c r="I45"/>
  <c r="Q45" s="1"/>
  <c r="H45"/>
  <c r="G45"/>
  <c r="F45"/>
  <c r="E45"/>
  <c r="U44"/>
  <c r="T44"/>
  <c r="S44"/>
  <c r="R44"/>
  <c r="Q44"/>
  <c r="P44"/>
  <c r="O44"/>
  <c r="U43"/>
  <c r="T43"/>
  <c r="S43"/>
  <c r="R43"/>
  <c r="Q43"/>
  <c r="P43"/>
  <c r="O43"/>
  <c r="U42"/>
  <c r="T42"/>
  <c r="S42"/>
  <c r="R42"/>
  <c r="Q42"/>
  <c r="P42"/>
  <c r="O42"/>
  <c r="U41"/>
  <c r="T41"/>
  <c r="S41"/>
  <c r="R41"/>
  <c r="Q41"/>
  <c r="P41"/>
  <c r="O41"/>
  <c r="U40"/>
  <c r="T40"/>
  <c r="S40"/>
  <c r="R40"/>
  <c r="Q40"/>
  <c r="P40"/>
  <c r="O40"/>
  <c r="U39"/>
  <c r="T39"/>
  <c r="S39"/>
  <c r="R39"/>
  <c r="Q39"/>
  <c r="P39"/>
  <c r="O39"/>
  <c r="U38"/>
  <c r="T38"/>
  <c r="S38"/>
  <c r="R38"/>
  <c r="Q38"/>
  <c r="P38"/>
  <c r="O38"/>
  <c r="U37"/>
  <c r="T37"/>
  <c r="S37"/>
  <c r="R37"/>
  <c r="Q37"/>
  <c r="P37"/>
  <c r="O37"/>
  <c r="N36"/>
  <c r="M36"/>
  <c r="L36"/>
  <c r="K36"/>
  <c r="J36"/>
  <c r="I36"/>
  <c r="P36" s="1"/>
  <c r="H36"/>
  <c r="G36"/>
  <c r="F36"/>
  <c r="E36"/>
  <c r="T35"/>
  <c r="S35"/>
  <c r="R35"/>
  <c r="Q35"/>
  <c r="P35"/>
  <c r="O35"/>
  <c r="U35" s="1"/>
  <c r="T34"/>
  <c r="S34"/>
  <c r="R34"/>
  <c r="Q34"/>
  <c r="P34"/>
  <c r="O34"/>
  <c r="U34" s="1"/>
  <c r="U33"/>
  <c r="T33"/>
  <c r="S33"/>
  <c r="R33"/>
  <c r="Q33"/>
  <c r="P33"/>
  <c r="O33"/>
  <c r="T32"/>
  <c r="S32"/>
  <c r="R32"/>
  <c r="Q32"/>
  <c r="P32"/>
  <c r="O32"/>
  <c r="U32" s="1"/>
  <c r="U31"/>
  <c r="T31"/>
  <c r="S31"/>
  <c r="R31"/>
  <c r="Q31"/>
  <c r="P31"/>
  <c r="O31"/>
  <c r="U30"/>
  <c r="T30"/>
  <c r="S30"/>
  <c r="R30"/>
  <c r="Q30"/>
  <c r="P30"/>
  <c r="O30"/>
  <c r="N29"/>
  <c r="M29"/>
  <c r="L29"/>
  <c r="K29"/>
  <c r="J29"/>
  <c r="I29"/>
  <c r="S29" s="1"/>
  <c r="H29"/>
  <c r="G29"/>
  <c r="F29"/>
  <c r="U28"/>
  <c r="T28"/>
  <c r="S28"/>
  <c r="R28"/>
  <c r="Q28"/>
  <c r="P28"/>
  <c r="O28"/>
  <c r="T27"/>
  <c r="S27"/>
  <c r="R27"/>
  <c r="Q27"/>
  <c r="P27"/>
  <c r="O27"/>
  <c r="U27" s="1"/>
  <c r="E29"/>
  <c r="T26"/>
  <c r="S26"/>
  <c r="R26"/>
  <c r="Q26"/>
  <c r="P26"/>
  <c r="O26"/>
  <c r="U26" s="1"/>
  <c r="T25"/>
  <c r="S25"/>
  <c r="R25"/>
  <c r="Q25"/>
  <c r="P25"/>
  <c r="O25"/>
  <c r="U25" s="1"/>
  <c r="U24"/>
  <c r="T24"/>
  <c r="S24"/>
  <c r="R24"/>
  <c r="Q24"/>
  <c r="P24"/>
  <c r="O24"/>
  <c r="U23"/>
  <c r="T23"/>
  <c r="S23"/>
  <c r="R23"/>
  <c r="Q23"/>
  <c r="P23"/>
  <c r="O23"/>
  <c r="N22"/>
  <c r="M22"/>
  <c r="L22"/>
  <c r="K22"/>
  <c r="J22"/>
  <c r="I22"/>
  <c r="H22"/>
  <c r="G22"/>
  <c r="F22"/>
  <c r="E22"/>
  <c r="U21"/>
  <c r="T21"/>
  <c r="S21"/>
  <c r="R21"/>
  <c r="Q21"/>
  <c r="P21"/>
  <c r="O21"/>
  <c r="U20"/>
  <c r="T20"/>
  <c r="S20"/>
  <c r="R20"/>
  <c r="Q20"/>
  <c r="P20"/>
  <c r="O20"/>
  <c r="T19"/>
  <c r="S19"/>
  <c r="R19"/>
  <c r="Q19"/>
  <c r="P19"/>
  <c r="O19"/>
  <c r="U19" s="1"/>
  <c r="N18"/>
  <c r="M18"/>
  <c r="L18"/>
  <c r="K18"/>
  <c r="J18"/>
  <c r="I18"/>
  <c r="H18"/>
  <c r="G18"/>
  <c r="F18"/>
  <c r="E18"/>
  <c r="T17"/>
  <c r="S17"/>
  <c r="R17"/>
  <c r="Q17"/>
  <c r="P17"/>
  <c r="O17"/>
  <c r="U17" s="1"/>
  <c r="N16"/>
  <c r="M16"/>
  <c r="L16"/>
  <c r="K16"/>
  <c r="J16"/>
  <c r="I16"/>
  <c r="U16" s="1"/>
  <c r="H16"/>
  <c r="G16"/>
  <c r="F16"/>
  <c r="E16"/>
  <c r="U15"/>
  <c r="T15"/>
  <c r="S15"/>
  <c r="R15"/>
  <c r="Q15"/>
  <c r="P15"/>
  <c r="O15"/>
  <c r="U14"/>
  <c r="T14"/>
  <c r="S14"/>
  <c r="R14"/>
  <c r="Q14"/>
  <c r="P14"/>
  <c r="O14"/>
  <c r="T13"/>
  <c r="S13"/>
  <c r="R13"/>
  <c r="Q13"/>
  <c r="P13"/>
  <c r="O13"/>
  <c r="U13" s="1"/>
  <c r="N12"/>
  <c r="M12"/>
  <c r="L12"/>
  <c r="O12" s="1"/>
  <c r="K12"/>
  <c r="J12"/>
  <c r="I12"/>
  <c r="S12" s="1"/>
  <c r="H12"/>
  <c r="G12"/>
  <c r="F12"/>
  <c r="E12"/>
  <c r="U11"/>
  <c r="T11"/>
  <c r="S11"/>
  <c r="R11"/>
  <c r="Q11"/>
  <c r="P11"/>
  <c r="O11"/>
  <c r="T10"/>
  <c r="S10"/>
  <c r="R10"/>
  <c r="Q10"/>
  <c r="P10"/>
  <c r="O10"/>
  <c r="U10" s="1"/>
  <c r="N56" i="58"/>
  <c r="M56"/>
  <c r="L56"/>
  <c r="K56"/>
  <c r="J56"/>
  <c r="I56"/>
  <c r="Q56" s="1"/>
  <c r="H56"/>
  <c r="G56"/>
  <c r="F56"/>
  <c r="E56"/>
  <c r="U55"/>
  <c r="T55"/>
  <c r="S55"/>
  <c r="R55"/>
  <c r="Q55"/>
  <c r="P55"/>
  <c r="O55"/>
  <c r="U54"/>
  <c r="T54"/>
  <c r="S54"/>
  <c r="R54"/>
  <c r="Q54"/>
  <c r="P54"/>
  <c r="O54"/>
  <c r="U53"/>
  <c r="T53"/>
  <c r="S53"/>
  <c r="R53"/>
  <c r="Q53"/>
  <c r="P53"/>
  <c r="O53"/>
  <c r="U52"/>
  <c r="T52"/>
  <c r="S52"/>
  <c r="R52"/>
  <c r="Q52"/>
  <c r="P52"/>
  <c r="O52"/>
  <c r="U51"/>
  <c r="T51"/>
  <c r="S51"/>
  <c r="R51"/>
  <c r="Q51"/>
  <c r="P51"/>
  <c r="O51"/>
  <c r="U50"/>
  <c r="T50"/>
  <c r="S50"/>
  <c r="R50"/>
  <c r="Q50"/>
  <c r="P50"/>
  <c r="O50"/>
  <c r="U49"/>
  <c r="T49"/>
  <c r="S49"/>
  <c r="R49"/>
  <c r="Q49"/>
  <c r="P49"/>
  <c r="O49"/>
  <c r="U48"/>
  <c r="T48"/>
  <c r="S48"/>
  <c r="R48"/>
  <c r="Q48"/>
  <c r="P48"/>
  <c r="O48"/>
  <c r="N47"/>
  <c r="M47"/>
  <c r="L47"/>
  <c r="K47"/>
  <c r="J47"/>
  <c r="I47"/>
  <c r="Q47" s="1"/>
  <c r="H47"/>
  <c r="G47"/>
  <c r="F47"/>
  <c r="E47"/>
  <c r="T46"/>
  <c r="S46"/>
  <c r="R46"/>
  <c r="Q46"/>
  <c r="P46"/>
  <c r="O46"/>
  <c r="U46" s="1"/>
  <c r="T45"/>
  <c r="S45"/>
  <c r="R45"/>
  <c r="Q45"/>
  <c r="P45"/>
  <c r="O45"/>
  <c r="U45" s="1"/>
  <c r="T44"/>
  <c r="S44"/>
  <c r="R44"/>
  <c r="Q44"/>
  <c r="P44"/>
  <c r="O44"/>
  <c r="U44" s="1"/>
  <c r="U43"/>
  <c r="T43"/>
  <c r="S43"/>
  <c r="R43"/>
  <c r="Q43"/>
  <c r="P43"/>
  <c r="O43"/>
  <c r="U42"/>
  <c r="T42"/>
  <c r="S42"/>
  <c r="R42"/>
  <c r="Q42"/>
  <c r="P42"/>
  <c r="O42"/>
  <c r="T41"/>
  <c r="S41"/>
  <c r="R41"/>
  <c r="Q41"/>
  <c r="P41"/>
  <c r="O41"/>
  <c r="U41" s="1"/>
  <c r="U40"/>
  <c r="T40"/>
  <c r="S40"/>
  <c r="R40"/>
  <c r="Q40"/>
  <c r="P40"/>
  <c r="O40"/>
  <c r="N39"/>
  <c r="M39"/>
  <c r="L39"/>
  <c r="K39"/>
  <c r="J39"/>
  <c r="I39"/>
  <c r="R39" s="1"/>
  <c r="H39"/>
  <c r="E39"/>
  <c r="U38"/>
  <c r="T38"/>
  <c r="S38"/>
  <c r="R38"/>
  <c r="Q38"/>
  <c r="P38"/>
  <c r="O38"/>
  <c r="O39" s="1"/>
  <c r="N37"/>
  <c r="M37"/>
  <c r="L37"/>
  <c r="K37"/>
  <c r="J37"/>
  <c r="I37"/>
  <c r="Q37" s="1"/>
  <c r="H37"/>
  <c r="G37"/>
  <c r="F37"/>
  <c r="T36"/>
  <c r="S36"/>
  <c r="R36"/>
  <c r="Q36"/>
  <c r="P36"/>
  <c r="O36"/>
  <c r="U36" s="1"/>
  <c r="E37"/>
  <c r="T35"/>
  <c r="S35"/>
  <c r="R35"/>
  <c r="Q35"/>
  <c r="P35"/>
  <c r="O35"/>
  <c r="U35" s="1"/>
  <c r="T34"/>
  <c r="S34"/>
  <c r="R34"/>
  <c r="Q34"/>
  <c r="P34"/>
  <c r="O34"/>
  <c r="U34" s="1"/>
  <c r="N33"/>
  <c r="M33"/>
  <c r="L33"/>
  <c r="K33"/>
  <c r="J33"/>
  <c r="I33"/>
  <c r="Q33" s="1"/>
  <c r="H33"/>
  <c r="G33"/>
  <c r="F33"/>
  <c r="E33"/>
  <c r="U32"/>
  <c r="T32"/>
  <c r="S32"/>
  <c r="R32"/>
  <c r="Q32"/>
  <c r="P32"/>
  <c r="O32"/>
  <c r="U31"/>
  <c r="T31"/>
  <c r="S31"/>
  <c r="R31"/>
  <c r="Q31"/>
  <c r="P31"/>
  <c r="O31"/>
  <c r="U30"/>
  <c r="T30"/>
  <c r="S30"/>
  <c r="R30"/>
  <c r="Q30"/>
  <c r="P30"/>
  <c r="O30"/>
  <c r="U29"/>
  <c r="T29"/>
  <c r="S29"/>
  <c r="R29"/>
  <c r="Q29"/>
  <c r="P29"/>
  <c r="O29"/>
  <c r="N28"/>
  <c r="M28"/>
  <c r="L28"/>
  <c r="K28"/>
  <c r="T28" s="1"/>
  <c r="J28"/>
  <c r="P28" s="1"/>
  <c r="I28"/>
  <c r="Q28" s="1"/>
  <c r="H28"/>
  <c r="G28"/>
  <c r="F28"/>
  <c r="E28"/>
  <c r="U27"/>
  <c r="T27"/>
  <c r="S27"/>
  <c r="R27"/>
  <c r="Q27"/>
  <c r="P27"/>
  <c r="O27"/>
  <c r="U26"/>
  <c r="T26"/>
  <c r="S26"/>
  <c r="R26"/>
  <c r="Q26"/>
  <c r="P26"/>
  <c r="O26"/>
  <c r="T25"/>
  <c r="S25"/>
  <c r="R25"/>
  <c r="Q25"/>
  <c r="P25"/>
  <c r="O25"/>
  <c r="U25" s="1"/>
  <c r="N24"/>
  <c r="M24"/>
  <c r="L24"/>
  <c r="K24"/>
  <c r="J24"/>
  <c r="I24"/>
  <c r="R24" s="1"/>
  <c r="H24"/>
  <c r="E24"/>
  <c r="T23"/>
  <c r="S23"/>
  <c r="R23"/>
  <c r="Q23"/>
  <c r="P23"/>
  <c r="O23"/>
  <c r="U23" s="1"/>
  <c r="N22"/>
  <c r="M22"/>
  <c r="L22"/>
  <c r="K22"/>
  <c r="J22"/>
  <c r="I22"/>
  <c r="Q22" s="1"/>
  <c r="H22"/>
  <c r="G22"/>
  <c r="F22"/>
  <c r="F57" s="1"/>
  <c r="E22"/>
  <c r="U21"/>
  <c r="T21"/>
  <c r="S21"/>
  <c r="R21"/>
  <c r="Q21"/>
  <c r="P21"/>
  <c r="O21"/>
  <c r="U20"/>
  <c r="T20"/>
  <c r="S20"/>
  <c r="R20"/>
  <c r="Q20"/>
  <c r="P20"/>
  <c r="O20"/>
  <c r="U19"/>
  <c r="T19"/>
  <c r="S19"/>
  <c r="R19"/>
  <c r="Q19"/>
  <c r="P19"/>
  <c r="O19"/>
  <c r="U18"/>
  <c r="T18"/>
  <c r="S18"/>
  <c r="R18"/>
  <c r="Q18"/>
  <c r="P18"/>
  <c r="O18"/>
  <c r="U17"/>
  <c r="T17"/>
  <c r="S17"/>
  <c r="R17"/>
  <c r="Q17"/>
  <c r="P17"/>
  <c r="O17"/>
  <c r="U16"/>
  <c r="T16"/>
  <c r="S16"/>
  <c r="R16"/>
  <c r="Q16"/>
  <c r="P16"/>
  <c r="O16"/>
  <c r="T15"/>
  <c r="S15"/>
  <c r="R15"/>
  <c r="Q15"/>
  <c r="P15"/>
  <c r="O15"/>
  <c r="U15" s="1"/>
  <c r="N14"/>
  <c r="N57" s="1"/>
  <c r="M14"/>
  <c r="M57" s="1"/>
  <c r="L14"/>
  <c r="L57" s="1"/>
  <c r="K14"/>
  <c r="J14"/>
  <c r="J57" s="1"/>
  <c r="I14"/>
  <c r="R14" s="1"/>
  <c r="H14"/>
  <c r="E14"/>
  <c r="U13"/>
  <c r="T13"/>
  <c r="S13"/>
  <c r="R13"/>
  <c r="Q13"/>
  <c r="P13"/>
  <c r="O13"/>
  <c r="U12"/>
  <c r="T12"/>
  <c r="S12"/>
  <c r="R12"/>
  <c r="Q12"/>
  <c r="P12"/>
  <c r="O12"/>
  <c r="U11"/>
  <c r="T11"/>
  <c r="S11"/>
  <c r="R11"/>
  <c r="Q11"/>
  <c r="P11"/>
  <c r="O11"/>
  <c r="U10"/>
  <c r="T10"/>
  <c r="S10"/>
  <c r="R10"/>
  <c r="Q10"/>
  <c r="P10"/>
  <c r="O10"/>
  <c r="S18" i="53" l="1"/>
  <c r="U39" i="58"/>
  <c r="O28" i="52"/>
  <c r="O28" i="58"/>
  <c r="U28" s="1"/>
  <c r="R28"/>
  <c r="S16" i="53"/>
  <c r="O44" i="52"/>
  <c r="P37" i="58"/>
  <c r="R56"/>
  <c r="O16" i="53"/>
  <c r="R16" i="52"/>
  <c r="P45" i="53"/>
  <c r="P56" i="58"/>
  <c r="O56"/>
  <c r="H57"/>
  <c r="U56"/>
  <c r="S47"/>
  <c r="P47"/>
  <c r="G57"/>
  <c r="S37"/>
  <c r="U33"/>
  <c r="S33"/>
  <c r="R33"/>
  <c r="O33"/>
  <c r="P33"/>
  <c r="S28"/>
  <c r="S22"/>
  <c r="K57"/>
  <c r="P22"/>
  <c r="O22"/>
  <c r="O14"/>
  <c r="E57"/>
  <c r="P20" i="52"/>
  <c r="S28"/>
  <c r="F45"/>
  <c r="N45"/>
  <c r="M45"/>
  <c r="T20"/>
  <c r="G45"/>
  <c r="L45"/>
  <c r="O11"/>
  <c r="S20"/>
  <c r="J45"/>
  <c r="H45"/>
  <c r="O14"/>
  <c r="U14" s="1"/>
  <c r="O16"/>
  <c r="U16" s="1"/>
  <c r="O20"/>
  <c r="P35"/>
  <c r="T14"/>
  <c r="T16"/>
  <c r="E45"/>
  <c r="R11"/>
  <c r="S14"/>
  <c r="S16"/>
  <c r="U20"/>
  <c r="R28"/>
  <c r="O35"/>
  <c r="U35" s="1"/>
  <c r="Q11"/>
  <c r="Q28"/>
  <c r="P11"/>
  <c r="Q14"/>
  <c r="Q16"/>
  <c r="P28"/>
  <c r="U36"/>
  <c r="U37"/>
  <c r="U38"/>
  <c r="U39"/>
  <c r="U40"/>
  <c r="U41"/>
  <c r="U42"/>
  <c r="U43"/>
  <c r="K45"/>
  <c r="P14"/>
  <c r="P16"/>
  <c r="T35"/>
  <c r="T36"/>
  <c r="T37"/>
  <c r="T38"/>
  <c r="T39"/>
  <c r="T40"/>
  <c r="T41"/>
  <c r="T42"/>
  <c r="T43"/>
  <c r="S35"/>
  <c r="S36"/>
  <c r="S37"/>
  <c r="S38"/>
  <c r="S39"/>
  <c r="S40"/>
  <c r="S41"/>
  <c r="S42"/>
  <c r="S43"/>
  <c r="U11"/>
  <c r="U28"/>
  <c r="R35"/>
  <c r="R36"/>
  <c r="R37"/>
  <c r="R38"/>
  <c r="R39"/>
  <c r="R40"/>
  <c r="R41"/>
  <c r="R42"/>
  <c r="R43"/>
  <c r="I44"/>
  <c r="T11"/>
  <c r="T28"/>
  <c r="Q35"/>
  <c r="Q36"/>
  <c r="Q37"/>
  <c r="Q38"/>
  <c r="Q39"/>
  <c r="Q40"/>
  <c r="Q41"/>
  <c r="Q42"/>
  <c r="Q43"/>
  <c r="O18" i="53"/>
  <c r="F46"/>
  <c r="N46"/>
  <c r="U18"/>
  <c r="O22"/>
  <c r="U22" s="1"/>
  <c r="E46"/>
  <c r="M46"/>
  <c r="G46"/>
  <c r="Q22"/>
  <c r="K46"/>
  <c r="L46"/>
  <c r="O45"/>
  <c r="P22"/>
  <c r="O29"/>
  <c r="J46"/>
  <c r="H46"/>
  <c r="R12"/>
  <c r="T16"/>
  <c r="T18"/>
  <c r="R29"/>
  <c r="O36"/>
  <c r="U36" s="1"/>
  <c r="Q12"/>
  <c r="Q29"/>
  <c r="U45"/>
  <c r="P12"/>
  <c r="R16"/>
  <c r="R18"/>
  <c r="T22"/>
  <c r="P29"/>
  <c r="T45"/>
  <c r="Q16"/>
  <c r="Q18"/>
  <c r="S22"/>
  <c r="T36"/>
  <c r="S45"/>
  <c r="P16"/>
  <c r="P18"/>
  <c r="R22"/>
  <c r="S36"/>
  <c r="R45"/>
  <c r="I46"/>
  <c r="U12"/>
  <c r="U29"/>
  <c r="R36"/>
  <c r="T12"/>
  <c r="T29"/>
  <c r="Q36"/>
  <c r="Q39" i="58"/>
  <c r="P14"/>
  <c r="P24"/>
  <c r="P39"/>
  <c r="Q14"/>
  <c r="O37"/>
  <c r="O47"/>
  <c r="U22"/>
  <c r="O24"/>
  <c r="U24" s="1"/>
  <c r="T33"/>
  <c r="U37"/>
  <c r="U47"/>
  <c r="T56"/>
  <c r="Q24"/>
  <c r="T22"/>
  <c r="T37"/>
  <c r="T47"/>
  <c r="S56"/>
  <c r="I57"/>
  <c r="T14"/>
  <c r="R22"/>
  <c r="T24"/>
  <c r="R37"/>
  <c r="T39"/>
  <c r="R47"/>
  <c r="S14"/>
  <c r="S24"/>
  <c r="S39"/>
  <c r="U14"/>
  <c r="O45" i="52" l="1"/>
  <c r="O46" i="53"/>
  <c r="U46" s="1"/>
  <c r="P44" i="52"/>
  <c r="Q44"/>
  <c r="I45"/>
  <c r="R44"/>
  <c r="S44"/>
  <c r="T44"/>
  <c r="U44"/>
  <c r="P46" i="53"/>
  <c r="Q46"/>
  <c r="R46"/>
  <c r="S46"/>
  <c r="T46"/>
  <c r="O57" i="58"/>
  <c r="P57"/>
  <c r="Q57"/>
  <c r="R57"/>
  <c r="S57"/>
  <c r="T57"/>
  <c r="U57"/>
  <c r="P45" i="52" l="1"/>
  <c r="Q45"/>
  <c r="R45"/>
  <c r="S45"/>
  <c r="T45"/>
  <c r="U45"/>
  <c r="Q167" i="67" l="1"/>
  <c r="O136"/>
  <c r="H49" i="30" l="1"/>
  <c r="I49"/>
  <c r="J49"/>
  <c r="H42"/>
  <c r="H41" s="1"/>
  <c r="I42"/>
  <c r="J42"/>
  <c r="H31"/>
  <c r="I31"/>
  <c r="J31"/>
  <c r="H20"/>
  <c r="H19" s="1"/>
  <c r="I20"/>
  <c r="I19" s="1"/>
  <c r="J20"/>
  <c r="J19" s="1"/>
  <c r="I41" l="1"/>
  <c r="J41"/>
  <c r="Q638" i="39"/>
  <c r="Q639"/>
  <c r="Q640"/>
  <c r="O38" i="67" l="1"/>
  <c r="O15"/>
  <c r="O26"/>
  <c r="O176"/>
  <c r="O19"/>
  <c r="O14"/>
  <c r="O25"/>
  <c r="O35"/>
  <c r="O46"/>
  <c r="O24"/>
  <c r="O34"/>
  <c r="O45"/>
  <c r="O173"/>
  <c r="O27"/>
  <c r="O13"/>
  <c r="O12"/>
  <c r="O23"/>
  <c r="O32"/>
  <c r="O44"/>
  <c r="O172"/>
  <c r="O49"/>
  <c r="O31"/>
  <c r="O43"/>
  <c r="O171"/>
  <c r="O10"/>
  <c r="O21"/>
  <c r="O20"/>
  <c r="O28"/>
  <c r="O41"/>
  <c r="N117" l="1"/>
  <c r="J47"/>
  <c r="O48"/>
  <c r="O47" s="1"/>
  <c r="N140"/>
  <c r="Q22"/>
  <c r="Q35"/>
  <c r="Q46"/>
  <c r="J40"/>
  <c r="O42"/>
  <c r="O40" s="1"/>
  <c r="J174"/>
  <c r="O175"/>
  <c r="O174" s="1"/>
  <c r="Q23"/>
  <c r="Q45"/>
  <c r="N171"/>
  <c r="Q24"/>
  <c r="Q32"/>
  <c r="Q44"/>
  <c r="O170"/>
  <c r="O169" s="1"/>
  <c r="J169"/>
  <c r="J9"/>
  <c r="J8" s="1"/>
  <c r="O11"/>
  <c r="O9" s="1"/>
  <c r="O8" s="1"/>
  <c r="Q21"/>
  <c r="J18"/>
  <c r="J17" s="1"/>
  <c r="O22"/>
  <c r="Q25"/>
  <c r="Q31"/>
  <c r="Q43"/>
  <c r="Q26"/>
  <c r="Q42"/>
  <c r="O108"/>
  <c r="Q27"/>
  <c r="Q28"/>
  <c r="Q79"/>
  <c r="J36"/>
  <c r="J33" s="1"/>
  <c r="O37"/>
  <c r="O36" s="1"/>
  <c r="O33" s="1"/>
  <c r="Q20"/>
  <c r="Q38"/>
  <c r="Q49"/>
  <c r="O30"/>
  <c r="O29" s="1"/>
  <c r="J29"/>
  <c r="O39" l="1"/>
  <c r="J39"/>
  <c r="J50" s="1"/>
  <c r="O18"/>
  <c r="O17" s="1"/>
  <c r="C47"/>
  <c r="Q48"/>
  <c r="Q34"/>
  <c r="Q41"/>
  <c r="C40"/>
  <c r="C29"/>
  <c r="Q30"/>
  <c r="Q29" s="1"/>
  <c r="C36"/>
  <c r="C33" s="1"/>
  <c r="Q37"/>
  <c r="Q19"/>
  <c r="C18"/>
  <c r="C17" s="1"/>
  <c r="O50" l="1"/>
  <c r="Q47"/>
  <c r="Q36"/>
  <c r="Q33" s="1"/>
  <c r="Q18"/>
  <c r="Q17" s="1"/>
  <c r="C39"/>
  <c r="Q40"/>
  <c r="Q135" l="1"/>
  <c r="Q136"/>
  <c r="Q39"/>
  <c r="Q141" l="1"/>
  <c r="Q117"/>
  <c r="Q92"/>
  <c r="Q124"/>
  <c r="Q145"/>
  <c r="Q140"/>
  <c r="Q123"/>
  <c r="O79" l="1"/>
  <c r="O78"/>
  <c r="O57"/>
  <c r="O86"/>
  <c r="O93"/>
  <c r="O123"/>
  <c r="Q144"/>
  <c r="Q143" s="1"/>
  <c r="C143"/>
  <c r="O82"/>
  <c r="O111"/>
  <c r="O114"/>
  <c r="O141"/>
  <c r="O90"/>
  <c r="O117"/>
  <c r="Q139"/>
  <c r="O59"/>
  <c r="O61"/>
  <c r="O60"/>
  <c r="O92"/>
  <c r="O142"/>
  <c r="O58"/>
  <c r="O110"/>
  <c r="O77"/>
  <c r="O89"/>
  <c r="O120"/>
  <c r="O152"/>
  <c r="O124"/>
  <c r="O155"/>
  <c r="O153"/>
  <c r="O54"/>
  <c r="O140"/>
  <c r="O91"/>
  <c r="O145"/>
  <c r="O122"/>
  <c r="O154"/>
  <c r="O150"/>
  <c r="J149" l="1"/>
  <c r="O151"/>
  <c r="J125"/>
  <c r="O130"/>
  <c r="O109"/>
  <c r="J107"/>
  <c r="J143"/>
  <c r="O144"/>
  <c r="J94"/>
  <c r="O99"/>
  <c r="J118"/>
  <c r="O119"/>
  <c r="J55"/>
  <c r="O56"/>
  <c r="O76"/>
  <c r="J75"/>
  <c r="S140"/>
  <c r="E142" i="30" s="1"/>
  <c r="O88" i="67"/>
  <c r="J87"/>
  <c r="J62"/>
  <c r="S117"/>
  <c r="E119" i="30" s="1"/>
  <c r="O113" i="67"/>
  <c r="J112"/>
  <c r="O148"/>
  <c r="J138"/>
  <c r="O139"/>
  <c r="O81"/>
  <c r="J80"/>
  <c r="O161"/>
  <c r="J156"/>
  <c r="O149" l="1"/>
  <c r="J147"/>
  <c r="U117"/>
  <c r="G119" i="30" s="1"/>
  <c r="K119" s="1"/>
  <c r="U140" i="67"/>
  <c r="G142" i="30" s="1"/>
  <c r="K142" s="1"/>
  <c r="J85" i="67"/>
  <c r="O156"/>
  <c r="O75"/>
  <c r="O107"/>
  <c r="O138"/>
  <c r="O112"/>
  <c r="O87"/>
  <c r="O55"/>
  <c r="J116"/>
  <c r="O118"/>
  <c r="O125"/>
  <c r="O143"/>
  <c r="O62"/>
  <c r="O94"/>
  <c r="O80"/>
  <c r="J53"/>
  <c r="O147" l="1"/>
  <c r="O53"/>
  <c r="J177"/>
  <c r="J178" s="1"/>
  <c r="O116"/>
  <c r="O85"/>
  <c r="O177" l="1"/>
  <c r="O178" s="1"/>
  <c r="Q172"/>
  <c r="Q176"/>
  <c r="Q76"/>
  <c r="Q90"/>
  <c r="Q93"/>
  <c r="Q82"/>
  <c r="Q122"/>
  <c r="Q57"/>
  <c r="Q154"/>
  <c r="Q121"/>
  <c r="Q91"/>
  <c r="Q120"/>
  <c r="Q58"/>
  <c r="Q148"/>
  <c r="Q89"/>
  <c r="Q173"/>
  <c r="Q109"/>
  <c r="Q77"/>
  <c r="Q60"/>
  <c r="Q152"/>
  <c r="Q111"/>
  <c r="Q153"/>
  <c r="Q86"/>
  <c r="Q151"/>
  <c r="Q110"/>
  <c r="Q171"/>
  <c r="Q61"/>
  <c r="Q114"/>
  <c r="Q59"/>
  <c r="Q155"/>
  <c r="Q150" l="1"/>
  <c r="C149"/>
  <c r="Q54"/>
  <c r="Q88"/>
  <c r="C87"/>
  <c r="S171"/>
  <c r="E173" i="30" s="1"/>
  <c r="Q108" i="67"/>
  <c r="C107"/>
  <c r="C169"/>
  <c r="Q170"/>
  <c r="Q113"/>
  <c r="C112"/>
  <c r="C75"/>
  <c r="Q78"/>
  <c r="C174"/>
  <c r="Q175"/>
  <c r="C80"/>
  <c r="Q81"/>
  <c r="Q130"/>
  <c r="C125"/>
  <c r="C62"/>
  <c r="Q99"/>
  <c r="C94"/>
  <c r="Q142"/>
  <c r="C138"/>
  <c r="Q119"/>
  <c r="Q56"/>
  <c r="C55"/>
  <c r="Q161"/>
  <c r="C156"/>
  <c r="Q80" l="1"/>
  <c r="Q112"/>
  <c r="Q107"/>
  <c r="C147"/>
  <c r="C53"/>
  <c r="U171"/>
  <c r="G173" i="30" s="1"/>
  <c r="K173" s="1"/>
  <c r="Q75" i="67"/>
  <c r="Q87"/>
  <c r="Q62"/>
  <c r="Q174"/>
  <c r="C85"/>
  <c r="Q94"/>
  <c r="Q149"/>
  <c r="Q138"/>
  <c r="Q156"/>
  <c r="Q55"/>
  <c r="Q118"/>
  <c r="Q125"/>
  <c r="Q169"/>
  <c r="C116"/>
  <c r="C177" l="1"/>
  <c r="Q116"/>
  <c r="Q147"/>
  <c r="Q85"/>
  <c r="Q53"/>
  <c r="Q177" l="1"/>
  <c r="C13" i="17" l="1"/>
  <c r="N6" i="24" l="1"/>
  <c r="Q842" i="39" l="1"/>
  <c r="Q840"/>
  <c r="Q839"/>
  <c r="Q841"/>
  <c r="Q788" l="1"/>
  <c r="Q786"/>
  <c r="Q761"/>
  <c r="Q760"/>
  <c r="Q759"/>
  <c r="Q717"/>
  <c r="E712"/>
  <c r="Q691"/>
  <c r="M686"/>
  <c r="Q665"/>
  <c r="L712" l="1"/>
  <c r="O712"/>
  <c r="G712"/>
  <c r="Q815"/>
  <c r="Q785"/>
  <c r="Q812"/>
  <c r="I712"/>
  <c r="J712"/>
  <c r="P712"/>
  <c r="H712"/>
  <c r="K712"/>
  <c r="Q813"/>
  <c r="M712"/>
  <c r="N712"/>
  <c r="F712"/>
  <c r="Q787"/>
  <c r="E686"/>
  <c r="I686"/>
  <c r="P686"/>
  <c r="H686"/>
  <c r="K686"/>
  <c r="N686"/>
  <c r="F686"/>
  <c r="Q814"/>
  <c r="O686"/>
  <c r="G686"/>
  <c r="J686"/>
  <c r="L686"/>
  <c r="E498" l="1"/>
  <c r="F498"/>
  <c r="G498"/>
  <c r="H498"/>
  <c r="I498"/>
  <c r="J498"/>
  <c r="K498"/>
  <c r="L498"/>
  <c r="M498"/>
  <c r="N498"/>
  <c r="O498"/>
  <c r="P498"/>
  <c r="E502"/>
  <c r="F502"/>
  <c r="G502"/>
  <c r="H502"/>
  <c r="I502"/>
  <c r="J502"/>
  <c r="K502"/>
  <c r="L502"/>
  <c r="M502"/>
  <c r="N502"/>
  <c r="O502"/>
  <c r="P502"/>
  <c r="E504"/>
  <c r="F504"/>
  <c r="G504"/>
  <c r="H504"/>
  <c r="I504"/>
  <c r="J504"/>
  <c r="K504"/>
  <c r="L504"/>
  <c r="M504"/>
  <c r="N504"/>
  <c r="O504"/>
  <c r="P504"/>
  <c r="E511"/>
  <c r="F511"/>
  <c r="G511"/>
  <c r="H511"/>
  <c r="I511"/>
  <c r="J511"/>
  <c r="K511"/>
  <c r="L511"/>
  <c r="M511"/>
  <c r="N511"/>
  <c r="O511"/>
  <c r="P511"/>
  <c r="E519"/>
  <c r="F519"/>
  <c r="G519"/>
  <c r="H519"/>
  <c r="I519"/>
  <c r="J519"/>
  <c r="K519"/>
  <c r="L519"/>
  <c r="M519"/>
  <c r="N519"/>
  <c r="O519"/>
  <c r="P519"/>
  <c r="E524"/>
  <c r="F524"/>
  <c r="G524"/>
  <c r="H524"/>
  <c r="J524"/>
  <c r="L524"/>
  <c r="M524"/>
  <c r="N524"/>
  <c r="O524"/>
  <c r="P524"/>
  <c r="I524"/>
  <c r="K524"/>
  <c r="J501" l="1"/>
  <c r="N501"/>
  <c r="F501"/>
  <c r="O501"/>
  <c r="G501"/>
  <c r="I501"/>
  <c r="K501"/>
  <c r="L501"/>
  <c r="M501"/>
  <c r="E501"/>
  <c r="P501"/>
  <c r="H501"/>
  <c r="H38" i="30" l="1"/>
  <c r="H35" s="1"/>
  <c r="I38"/>
  <c r="I35" s="1"/>
  <c r="J38"/>
  <c r="J35" s="1"/>
  <c r="H11"/>
  <c r="H10" s="1"/>
  <c r="I11"/>
  <c r="I10" s="1"/>
  <c r="I52" s="1"/>
  <c r="I180" s="1"/>
  <c r="J11"/>
  <c r="J10" s="1"/>
  <c r="P835" i="39"/>
  <c r="O835"/>
  <c r="N835"/>
  <c r="M835"/>
  <c r="L835"/>
  <c r="K835"/>
  <c r="J835"/>
  <c r="I835"/>
  <c r="H835"/>
  <c r="G835"/>
  <c r="F835"/>
  <c r="E835"/>
  <c r="P808"/>
  <c r="O808"/>
  <c r="N808"/>
  <c r="M808"/>
  <c r="L808"/>
  <c r="K808"/>
  <c r="J808"/>
  <c r="I808"/>
  <c r="H808"/>
  <c r="G808"/>
  <c r="F808"/>
  <c r="E808"/>
  <c r="P781"/>
  <c r="O781"/>
  <c r="N781"/>
  <c r="M781"/>
  <c r="L781"/>
  <c r="K781"/>
  <c r="J781"/>
  <c r="I781"/>
  <c r="H781"/>
  <c r="G781"/>
  <c r="F781"/>
  <c r="E781"/>
  <c r="P754"/>
  <c r="O754"/>
  <c r="N754"/>
  <c r="M754"/>
  <c r="L754"/>
  <c r="K754"/>
  <c r="J754"/>
  <c r="I754"/>
  <c r="H754"/>
  <c r="G754"/>
  <c r="F754"/>
  <c r="E754"/>
  <c r="F703"/>
  <c r="G703"/>
  <c r="H703"/>
  <c r="I703"/>
  <c r="J703"/>
  <c r="K703"/>
  <c r="L703"/>
  <c r="M703"/>
  <c r="N703"/>
  <c r="O703"/>
  <c r="P703"/>
  <c r="Q727"/>
  <c r="O725"/>
  <c r="I725"/>
  <c r="G725"/>
  <c r="P725"/>
  <c r="N725"/>
  <c r="L725"/>
  <c r="H725"/>
  <c r="F725"/>
  <c r="Q726"/>
  <c r="M725"/>
  <c r="K725"/>
  <c r="J725"/>
  <c r="E725"/>
  <c r="Q724"/>
  <c r="Q723"/>
  <c r="Q722"/>
  <c r="O720"/>
  <c r="M720"/>
  <c r="I720"/>
  <c r="G720"/>
  <c r="E720"/>
  <c r="P720"/>
  <c r="N720"/>
  <c r="L720"/>
  <c r="K720"/>
  <c r="J720"/>
  <c r="H720"/>
  <c r="F720"/>
  <c r="Q719"/>
  <c r="Q718"/>
  <c r="Q716"/>
  <c r="Q715"/>
  <c r="Q712"/>
  <c r="Q711"/>
  <c r="Q710"/>
  <c r="Q709"/>
  <c r="Q708"/>
  <c r="Q707"/>
  <c r="O705"/>
  <c r="M705"/>
  <c r="K705"/>
  <c r="G705"/>
  <c r="E705"/>
  <c r="P705"/>
  <c r="N705"/>
  <c r="L705"/>
  <c r="J705"/>
  <c r="I705"/>
  <c r="H705"/>
  <c r="F705"/>
  <c r="E703"/>
  <c r="C731"/>
  <c r="Q850"/>
  <c r="Q849"/>
  <c r="P848"/>
  <c r="O848"/>
  <c r="N848"/>
  <c r="M848"/>
  <c r="L848"/>
  <c r="K848"/>
  <c r="J848"/>
  <c r="I848"/>
  <c r="H848"/>
  <c r="G848"/>
  <c r="F848"/>
  <c r="E848"/>
  <c r="Q847"/>
  <c r="Q846"/>
  <c r="Q845"/>
  <c r="Q844"/>
  <c r="P843"/>
  <c r="O843"/>
  <c r="N843"/>
  <c r="M843"/>
  <c r="L843"/>
  <c r="K843"/>
  <c r="J843"/>
  <c r="I843"/>
  <c r="H843"/>
  <c r="G843"/>
  <c r="F843"/>
  <c r="E843"/>
  <c r="Q838"/>
  <c r="Q837"/>
  <c r="Q834"/>
  <c r="Q833"/>
  <c r="Q832"/>
  <c r="Q831"/>
  <c r="Q830"/>
  <c r="Q829"/>
  <c r="P828"/>
  <c r="O828"/>
  <c r="N828"/>
  <c r="M828"/>
  <c r="L828"/>
  <c r="K828"/>
  <c r="J828"/>
  <c r="I828"/>
  <c r="H828"/>
  <c r="G828"/>
  <c r="F828"/>
  <c r="E828"/>
  <c r="Q827"/>
  <c r="P826"/>
  <c r="O826"/>
  <c r="N826"/>
  <c r="M826"/>
  <c r="L826"/>
  <c r="K826"/>
  <c r="J826"/>
  <c r="I826"/>
  <c r="H826"/>
  <c r="G826"/>
  <c r="F826"/>
  <c r="E826"/>
  <c r="Q823"/>
  <c r="I821"/>
  <c r="N821"/>
  <c r="L821"/>
  <c r="J821"/>
  <c r="F821"/>
  <c r="Q822"/>
  <c r="P821"/>
  <c r="O821"/>
  <c r="M821"/>
  <c r="K821"/>
  <c r="H821"/>
  <c r="G821"/>
  <c r="E821"/>
  <c r="Q820"/>
  <c r="Q819"/>
  <c r="Q818"/>
  <c r="Q817"/>
  <c r="O816"/>
  <c r="K816"/>
  <c r="G816"/>
  <c r="P816"/>
  <c r="N816"/>
  <c r="M816"/>
  <c r="L816"/>
  <c r="J816"/>
  <c r="I816"/>
  <c r="H816"/>
  <c r="F816"/>
  <c r="E816"/>
  <c r="Q811"/>
  <c r="Q810"/>
  <c r="Q809"/>
  <c r="Q807"/>
  <c r="Q806"/>
  <c r="Q805"/>
  <c r="Q804"/>
  <c r="Q803"/>
  <c r="M801"/>
  <c r="E801"/>
  <c r="P801"/>
  <c r="O801"/>
  <c r="N801"/>
  <c r="L801"/>
  <c r="K801"/>
  <c r="J801"/>
  <c r="I801"/>
  <c r="H801"/>
  <c r="G801"/>
  <c r="F801"/>
  <c r="O799"/>
  <c r="G799"/>
  <c r="Q800"/>
  <c r="P799"/>
  <c r="N799"/>
  <c r="M799"/>
  <c r="L799"/>
  <c r="K799"/>
  <c r="J799"/>
  <c r="I799"/>
  <c r="H799"/>
  <c r="F799"/>
  <c r="E799"/>
  <c r="N794"/>
  <c r="F794"/>
  <c r="Q796"/>
  <c r="K794"/>
  <c r="J794"/>
  <c r="Q795"/>
  <c r="P794"/>
  <c r="O794"/>
  <c r="M794"/>
  <c r="L794"/>
  <c r="I794"/>
  <c r="H794"/>
  <c r="G794"/>
  <c r="E794"/>
  <c r="Q793"/>
  <c r="Q792"/>
  <c r="Q791"/>
  <c r="Q784"/>
  <c r="Q780"/>
  <c r="Q779"/>
  <c r="Q778"/>
  <c r="Q777"/>
  <c r="Q776"/>
  <c r="N774"/>
  <c r="M774"/>
  <c r="J774"/>
  <c r="F774"/>
  <c r="E774"/>
  <c r="P774"/>
  <c r="O774"/>
  <c r="L774"/>
  <c r="K774"/>
  <c r="I774"/>
  <c r="H774"/>
  <c r="G774"/>
  <c r="P772"/>
  <c r="O772"/>
  <c r="L772"/>
  <c r="H772"/>
  <c r="G772"/>
  <c r="Q773"/>
  <c r="N772"/>
  <c r="M772"/>
  <c r="K772"/>
  <c r="J772"/>
  <c r="I772"/>
  <c r="F772"/>
  <c r="E772"/>
  <c r="Q769"/>
  <c r="Q768"/>
  <c r="M767"/>
  <c r="L767"/>
  <c r="I767"/>
  <c r="E767"/>
  <c r="P767"/>
  <c r="O767"/>
  <c r="N767"/>
  <c r="K767"/>
  <c r="J767"/>
  <c r="H767"/>
  <c r="G767"/>
  <c r="F767"/>
  <c r="Q766"/>
  <c r="Q765"/>
  <c r="Q764"/>
  <c r="N762"/>
  <c r="M762"/>
  <c r="J762"/>
  <c r="F762"/>
  <c r="E762"/>
  <c r="P762"/>
  <c r="O762"/>
  <c r="L762"/>
  <c r="K762"/>
  <c r="I762"/>
  <c r="H762"/>
  <c r="G762"/>
  <c r="Q758"/>
  <c r="Q757"/>
  <c r="Q753"/>
  <c r="Q752"/>
  <c r="Q751"/>
  <c r="Q750"/>
  <c r="Q749"/>
  <c r="P747"/>
  <c r="L747"/>
  <c r="K747"/>
  <c r="H747"/>
  <c r="Q748"/>
  <c r="O747"/>
  <c r="N747"/>
  <c r="M747"/>
  <c r="J747"/>
  <c r="I747"/>
  <c r="G747"/>
  <c r="F747"/>
  <c r="E747"/>
  <c r="N745"/>
  <c r="M745"/>
  <c r="J745"/>
  <c r="F745"/>
  <c r="E745"/>
  <c r="P745"/>
  <c r="O745"/>
  <c r="L745"/>
  <c r="K745"/>
  <c r="I745"/>
  <c r="H745"/>
  <c r="G745"/>
  <c r="Q740"/>
  <c r="N46" i="24" s="1"/>
  <c r="Q738" i="39"/>
  <c r="Q737"/>
  <c r="Q736"/>
  <c r="Q735"/>
  <c r="P741"/>
  <c r="O741"/>
  <c r="N741"/>
  <c r="M741"/>
  <c r="L741"/>
  <c r="K741"/>
  <c r="J741"/>
  <c r="I741"/>
  <c r="H741"/>
  <c r="G741"/>
  <c r="F741"/>
  <c r="Q734"/>
  <c r="H52" i="30" l="1"/>
  <c r="H180" s="1"/>
  <c r="J52"/>
  <c r="J180" s="1"/>
  <c r="P798" i="39"/>
  <c r="K744"/>
  <c r="F825"/>
  <c r="N825"/>
  <c r="M702"/>
  <c r="M825"/>
  <c r="P825"/>
  <c r="G825"/>
  <c r="O825"/>
  <c r="L798"/>
  <c r="L825"/>
  <c r="H825"/>
  <c r="K798"/>
  <c r="J825"/>
  <c r="I825"/>
  <c r="Q816"/>
  <c r="E702"/>
  <c r="H798"/>
  <c r="E825"/>
  <c r="F798"/>
  <c r="E798"/>
  <c r="N798"/>
  <c r="M798"/>
  <c r="K825"/>
  <c r="G744"/>
  <c r="J798"/>
  <c r="O798"/>
  <c r="Q705"/>
  <c r="N702"/>
  <c r="I798"/>
  <c r="G798"/>
  <c r="F702"/>
  <c r="Q725"/>
  <c r="Q720"/>
  <c r="K702"/>
  <c r="O702"/>
  <c r="G702"/>
  <c r="L702"/>
  <c r="H702"/>
  <c r="P702"/>
  <c r="Q703"/>
  <c r="I702"/>
  <c r="J702"/>
  <c r="Q706"/>
  <c r="Q704"/>
  <c r="Q721"/>
  <c r="Q828"/>
  <c r="Q843"/>
  <c r="Q848"/>
  <c r="P744"/>
  <c r="Q762"/>
  <c r="O744"/>
  <c r="H744"/>
  <c r="Q754"/>
  <c r="Q826"/>
  <c r="Q835"/>
  <c r="Q821"/>
  <c r="Q808"/>
  <c r="Q799"/>
  <c r="Q794"/>
  <c r="Q781"/>
  <c r="Q774"/>
  <c r="Q772"/>
  <c r="Q767"/>
  <c r="Q747"/>
  <c r="N744"/>
  <c r="J744"/>
  <c r="F744"/>
  <c r="I744"/>
  <c r="L744"/>
  <c r="Q801"/>
  <c r="E744"/>
  <c r="Q745"/>
  <c r="M744"/>
  <c r="E741"/>
  <c r="Q739"/>
  <c r="Q746"/>
  <c r="Q763"/>
  <c r="Q775"/>
  <c r="Q756"/>
  <c r="Q802"/>
  <c r="Q825" l="1"/>
  <c r="Q702"/>
  <c r="Q741"/>
  <c r="Q744"/>
  <c r="N32" i="24" l="1"/>
  <c r="N44"/>
  <c r="N34" l="1"/>
  <c r="N15" s="1"/>
  <c r="N24" l="1"/>
  <c r="N30" s="1"/>
  <c r="N36" s="1"/>
  <c r="N38" s="1"/>
  <c r="N42"/>
  <c r="N48" s="1"/>
  <c r="N50" s="1"/>
  <c r="F58" i="65" l="1"/>
  <c r="N57"/>
  <c r="M57"/>
  <c r="L57"/>
  <c r="J57"/>
  <c r="G57"/>
  <c r="E57"/>
  <c r="O56"/>
  <c r="I56"/>
  <c r="S56" s="1"/>
  <c r="O55"/>
  <c r="I55"/>
  <c r="R55" s="1"/>
  <c r="T54"/>
  <c r="I54"/>
  <c r="P54" s="1"/>
  <c r="O53"/>
  <c r="I53"/>
  <c r="R53" s="1"/>
  <c r="U52"/>
  <c r="T52"/>
  <c r="Q52"/>
  <c r="O52"/>
  <c r="I52"/>
  <c r="R52" s="1"/>
  <c r="O51"/>
  <c r="I51"/>
  <c r="I50"/>
  <c r="S50" s="1"/>
  <c r="O49"/>
  <c r="I49"/>
  <c r="R49" s="1"/>
  <c r="N48"/>
  <c r="M48"/>
  <c r="L48"/>
  <c r="J48"/>
  <c r="I47"/>
  <c r="O46"/>
  <c r="I46"/>
  <c r="U46" s="1"/>
  <c r="O45"/>
  <c r="I45"/>
  <c r="U45" s="1"/>
  <c r="O44"/>
  <c r="I44"/>
  <c r="U44" s="1"/>
  <c r="O43"/>
  <c r="I43"/>
  <c r="U43" s="1"/>
  <c r="U42"/>
  <c r="O42"/>
  <c r="I42"/>
  <c r="O41"/>
  <c r="I41"/>
  <c r="O40"/>
  <c r="I40"/>
  <c r="R40" s="1"/>
  <c r="O39"/>
  <c r="I39"/>
  <c r="O38"/>
  <c r="I38"/>
  <c r="Q38" s="1"/>
  <c r="I37"/>
  <c r="I36"/>
  <c r="O35"/>
  <c r="I35"/>
  <c r="I34"/>
  <c r="I33"/>
  <c r="O32"/>
  <c r="I32"/>
  <c r="N31"/>
  <c r="M31"/>
  <c r="L31"/>
  <c r="K31"/>
  <c r="J31"/>
  <c r="I31"/>
  <c r="S31" s="1"/>
  <c r="H31"/>
  <c r="G31"/>
  <c r="E31"/>
  <c r="U30"/>
  <c r="T30"/>
  <c r="S30"/>
  <c r="R30"/>
  <c r="Q30"/>
  <c r="P30"/>
  <c r="O30"/>
  <c r="N29"/>
  <c r="M29"/>
  <c r="L29"/>
  <c r="J29"/>
  <c r="G29"/>
  <c r="E29"/>
  <c r="O28"/>
  <c r="I28"/>
  <c r="S28" s="1"/>
  <c r="O27"/>
  <c r="I27"/>
  <c r="R27" s="1"/>
  <c r="O26"/>
  <c r="I26"/>
  <c r="O25"/>
  <c r="I25"/>
  <c r="K24"/>
  <c r="J24"/>
  <c r="I24"/>
  <c r="H24"/>
  <c r="N22"/>
  <c r="M22"/>
  <c r="L22"/>
  <c r="J22"/>
  <c r="G22"/>
  <c r="E22"/>
  <c r="K22"/>
  <c r="O22" s="1"/>
  <c r="H22"/>
  <c r="N19"/>
  <c r="M19"/>
  <c r="L19"/>
  <c r="K19"/>
  <c r="J19"/>
  <c r="I19"/>
  <c r="R19" s="1"/>
  <c r="H19"/>
  <c r="G19"/>
  <c r="E19"/>
  <c r="U18"/>
  <c r="T18"/>
  <c r="S18"/>
  <c r="R18"/>
  <c r="Q18"/>
  <c r="P18"/>
  <c r="O18"/>
  <c r="N17"/>
  <c r="M17"/>
  <c r="L17"/>
  <c r="J17"/>
  <c r="G17"/>
  <c r="E17"/>
  <c r="O16"/>
  <c r="I16"/>
  <c r="U15"/>
  <c r="T15"/>
  <c r="S15"/>
  <c r="R15"/>
  <c r="Q15"/>
  <c r="P15"/>
  <c r="O15"/>
  <c r="I14"/>
  <c r="S14" s="1"/>
  <c r="N13"/>
  <c r="M13"/>
  <c r="M58" s="1"/>
  <c r="L13"/>
  <c r="J13"/>
  <c r="G13"/>
  <c r="E13"/>
  <c r="O12"/>
  <c r="I12"/>
  <c r="R12" s="1"/>
  <c r="O11"/>
  <c r="I11"/>
  <c r="R11" s="1"/>
  <c r="K13"/>
  <c r="T11" l="1"/>
  <c r="E58"/>
  <c r="Q43"/>
  <c r="R43"/>
  <c r="S52"/>
  <c r="R45"/>
  <c r="Q45"/>
  <c r="S11"/>
  <c r="U12"/>
  <c r="T12"/>
  <c r="Q12"/>
  <c r="O20"/>
  <c r="Q11"/>
  <c r="S12"/>
  <c r="U31"/>
  <c r="U53"/>
  <c r="P11"/>
  <c r="O24"/>
  <c r="Q31"/>
  <c r="T53"/>
  <c r="P12"/>
  <c r="L58"/>
  <c r="S53"/>
  <c r="J58"/>
  <c r="O19"/>
  <c r="U38"/>
  <c r="P52"/>
  <c r="Q53"/>
  <c r="S54"/>
  <c r="G58"/>
  <c r="R38"/>
  <c r="P53"/>
  <c r="R54"/>
  <c r="U11"/>
  <c r="O31"/>
  <c r="I20"/>
  <c r="P20" s="1"/>
  <c r="T56"/>
  <c r="T49"/>
  <c r="O54"/>
  <c r="U54" s="1"/>
  <c r="H17"/>
  <c r="R51"/>
  <c r="S51"/>
  <c r="O10"/>
  <c r="H29"/>
  <c r="U32"/>
  <c r="S40"/>
  <c r="S27"/>
  <c r="H57"/>
  <c r="T41"/>
  <c r="P41"/>
  <c r="S41"/>
  <c r="U41"/>
  <c r="Q41"/>
  <c r="S16"/>
  <c r="Q16"/>
  <c r="R16"/>
  <c r="T16"/>
  <c r="S24"/>
  <c r="R24"/>
  <c r="T24"/>
  <c r="U24"/>
  <c r="P24"/>
  <c r="T39"/>
  <c r="P39"/>
  <c r="U39"/>
  <c r="Q39"/>
  <c r="R39"/>
  <c r="K17"/>
  <c r="O17" s="1"/>
  <c r="O14"/>
  <c r="U14" s="1"/>
  <c r="T19"/>
  <c r="P19"/>
  <c r="S19"/>
  <c r="U19"/>
  <c r="Q19"/>
  <c r="K57"/>
  <c r="O57" s="1"/>
  <c r="O50"/>
  <c r="U50" s="1"/>
  <c r="T55"/>
  <c r="P55"/>
  <c r="S55"/>
  <c r="U55"/>
  <c r="Q55"/>
  <c r="H48"/>
  <c r="O13"/>
  <c r="U16"/>
  <c r="I17"/>
  <c r="Q24"/>
  <c r="R41"/>
  <c r="H13"/>
  <c r="I10"/>
  <c r="R32"/>
  <c r="I48"/>
  <c r="Q32"/>
  <c r="S32"/>
  <c r="T32"/>
  <c r="R35"/>
  <c r="S35"/>
  <c r="T35"/>
  <c r="U35"/>
  <c r="P35"/>
  <c r="U25"/>
  <c r="Q25"/>
  <c r="I29"/>
  <c r="S25"/>
  <c r="T25"/>
  <c r="P25"/>
  <c r="S26"/>
  <c r="T26"/>
  <c r="U26"/>
  <c r="P26"/>
  <c r="Q26"/>
  <c r="P32"/>
  <c r="Q35"/>
  <c r="P16"/>
  <c r="Q20"/>
  <c r="R25"/>
  <c r="R26"/>
  <c r="T28"/>
  <c r="S39"/>
  <c r="T14"/>
  <c r="P14"/>
  <c r="U27"/>
  <c r="Q27"/>
  <c r="T42"/>
  <c r="P42"/>
  <c r="T44"/>
  <c r="P44"/>
  <c r="T46"/>
  <c r="P46"/>
  <c r="T50"/>
  <c r="P50"/>
  <c r="T38"/>
  <c r="P38"/>
  <c r="N58"/>
  <c r="R14"/>
  <c r="R28"/>
  <c r="Q40"/>
  <c r="S42"/>
  <c r="S44"/>
  <c r="S46"/>
  <c r="S49"/>
  <c r="R50"/>
  <c r="Q51"/>
  <c r="R56"/>
  <c r="Q14"/>
  <c r="P27"/>
  <c r="Q28"/>
  <c r="K48"/>
  <c r="O48" s="1"/>
  <c r="S38"/>
  <c r="P40"/>
  <c r="U40"/>
  <c r="R42"/>
  <c r="R44"/>
  <c r="R46"/>
  <c r="Q49"/>
  <c r="Q50"/>
  <c r="P51"/>
  <c r="U51"/>
  <c r="Q56"/>
  <c r="T31"/>
  <c r="P31"/>
  <c r="T43"/>
  <c r="P43"/>
  <c r="T45"/>
  <c r="P45"/>
  <c r="K29"/>
  <c r="O29" s="1"/>
  <c r="T27"/>
  <c r="P28"/>
  <c r="U28"/>
  <c r="R31"/>
  <c r="T40"/>
  <c r="Q42"/>
  <c r="S43"/>
  <c r="Q44"/>
  <c r="S45"/>
  <c r="Q46"/>
  <c r="P49"/>
  <c r="U49"/>
  <c r="T51"/>
  <c r="P56"/>
  <c r="U56"/>
  <c r="I57"/>
  <c r="Q54"/>
  <c r="U20" l="1"/>
  <c r="R20"/>
  <c r="S20"/>
  <c r="T20"/>
  <c r="I22"/>
  <c r="Q22" s="1"/>
  <c r="H58"/>
  <c r="S17"/>
  <c r="U17"/>
  <c r="P17"/>
  <c r="Q17"/>
  <c r="R17"/>
  <c r="T17"/>
  <c r="S29"/>
  <c r="T29"/>
  <c r="U29"/>
  <c r="P29"/>
  <c r="Q29"/>
  <c r="R29"/>
  <c r="S48"/>
  <c r="T48"/>
  <c r="U48"/>
  <c r="P48"/>
  <c r="Q48"/>
  <c r="R48"/>
  <c r="K58"/>
  <c r="O58"/>
  <c r="R10"/>
  <c r="Q10"/>
  <c r="I13"/>
  <c r="S10"/>
  <c r="T10"/>
  <c r="P10"/>
  <c r="U10"/>
  <c r="S57"/>
  <c r="T57"/>
  <c r="U57"/>
  <c r="P57"/>
  <c r="Q57"/>
  <c r="R57"/>
  <c r="U22" l="1"/>
  <c r="T22"/>
  <c r="R22"/>
  <c r="P22"/>
  <c r="S22"/>
  <c r="R13"/>
  <c r="R58" s="1"/>
  <c r="U13"/>
  <c r="P13"/>
  <c r="Q13"/>
  <c r="Q58" s="1"/>
  <c r="I58"/>
  <c r="S13"/>
  <c r="T13"/>
  <c r="T58" s="1"/>
  <c r="S58" l="1"/>
  <c r="P58"/>
  <c r="U58"/>
  <c r="E6" i="66" l="1"/>
  <c r="F6" i="17" l="1"/>
  <c r="G6"/>
  <c r="C8"/>
  <c r="F8"/>
  <c r="G8"/>
  <c r="C9"/>
  <c r="F9"/>
  <c r="G9"/>
  <c r="C10"/>
  <c r="F10"/>
  <c r="G10"/>
  <c r="C11"/>
  <c r="F11"/>
  <c r="G11"/>
  <c r="C12"/>
  <c r="F12"/>
  <c r="G12"/>
  <c r="G6" i="15"/>
  <c r="H6"/>
  <c r="F6" i="14"/>
  <c r="G6"/>
  <c r="G10" i="15"/>
  <c r="B180" i="13"/>
  <c r="B358"/>
  <c r="F8" i="12"/>
  <c r="G8"/>
  <c r="H8"/>
  <c r="I8"/>
  <c r="J8"/>
  <c r="K8"/>
  <c r="F17"/>
  <c r="Z354" i="13" s="1"/>
  <c r="G17" i="12"/>
  <c r="H17"/>
  <c r="I17"/>
  <c r="J17"/>
  <c r="K17"/>
  <c r="E8" i="35"/>
  <c r="M8"/>
  <c r="U8"/>
  <c r="AC8"/>
  <c r="AK8"/>
  <c r="AS8"/>
  <c r="E10"/>
  <c r="F10"/>
  <c r="G10"/>
  <c r="M10"/>
  <c r="N10"/>
  <c r="N107" s="1"/>
  <c r="O10"/>
  <c r="U10"/>
  <c r="V10"/>
  <c r="W10"/>
  <c r="AC10"/>
  <c r="AD10"/>
  <c r="AD107" s="1"/>
  <c r="AE10"/>
  <c r="AK10"/>
  <c r="AL10"/>
  <c r="AM10"/>
  <c r="AS10"/>
  <c r="AT10"/>
  <c r="AT107" s="1"/>
  <c r="AU10"/>
  <c r="I11"/>
  <c r="L11" s="1"/>
  <c r="L10" s="1"/>
  <c r="J11"/>
  <c r="J10" s="1"/>
  <c r="K11"/>
  <c r="K10" s="1"/>
  <c r="Q11"/>
  <c r="R11"/>
  <c r="S11"/>
  <c r="Y11"/>
  <c r="Z11"/>
  <c r="AA11"/>
  <c r="AG11"/>
  <c r="AJ11" s="1"/>
  <c r="AJ10" s="1"/>
  <c r="AH11"/>
  <c r="AH10" s="1"/>
  <c r="AI11"/>
  <c r="AI10" s="1"/>
  <c r="AO11"/>
  <c r="AR11" s="1"/>
  <c r="AR10" s="1"/>
  <c r="AP11"/>
  <c r="AP10" s="1"/>
  <c r="AQ11"/>
  <c r="AQ10" s="1"/>
  <c r="AW11"/>
  <c r="AZ11" s="1"/>
  <c r="AZ10" s="1"/>
  <c r="AX11"/>
  <c r="AX10" s="1"/>
  <c r="AY11"/>
  <c r="AY10" s="1"/>
  <c r="I12"/>
  <c r="L12" s="1"/>
  <c r="J12"/>
  <c r="K12"/>
  <c r="Q12"/>
  <c r="R12"/>
  <c r="S12"/>
  <c r="Y12"/>
  <c r="Z12"/>
  <c r="AA12"/>
  <c r="AG12"/>
  <c r="AJ12" s="1"/>
  <c r="AH12"/>
  <c r="AI12"/>
  <c r="AO12"/>
  <c r="AR12" s="1"/>
  <c r="AP12"/>
  <c r="AQ12"/>
  <c r="AW12"/>
  <c r="AZ12" s="1"/>
  <c r="AX12"/>
  <c r="AY12"/>
  <c r="I13"/>
  <c r="L13" s="1"/>
  <c r="J13"/>
  <c r="K13"/>
  <c r="Q13"/>
  <c r="R13"/>
  <c r="S13"/>
  <c r="Y13"/>
  <c r="Z13"/>
  <c r="AA13"/>
  <c r="AG13"/>
  <c r="AJ13" s="1"/>
  <c r="AH13"/>
  <c r="AI13"/>
  <c r="AO13"/>
  <c r="AR13" s="1"/>
  <c r="AP13"/>
  <c r="AQ13"/>
  <c r="AW13"/>
  <c r="AZ13" s="1"/>
  <c r="AX13"/>
  <c r="AY13"/>
  <c r="I14"/>
  <c r="L14" s="1"/>
  <c r="J14"/>
  <c r="K14"/>
  <c r="Q14"/>
  <c r="R14"/>
  <c r="S14"/>
  <c r="Y14"/>
  <c r="Z14"/>
  <c r="AA14"/>
  <c r="AG14"/>
  <c r="AJ14" s="1"/>
  <c r="AH14"/>
  <c r="AI14"/>
  <c r="AO14"/>
  <c r="AR14" s="1"/>
  <c r="AP14"/>
  <c r="AQ14"/>
  <c r="AW14"/>
  <c r="AZ14" s="1"/>
  <c r="AX14"/>
  <c r="AY14"/>
  <c r="I15"/>
  <c r="L15" s="1"/>
  <c r="J15"/>
  <c r="K15"/>
  <c r="Q15"/>
  <c r="R15"/>
  <c r="S15"/>
  <c r="Y15"/>
  <c r="Z15"/>
  <c r="AA15"/>
  <c r="AG15"/>
  <c r="AJ15" s="1"/>
  <c r="AH15"/>
  <c r="AI15"/>
  <c r="AO15"/>
  <c r="AR15" s="1"/>
  <c r="AP15"/>
  <c r="AQ15"/>
  <c r="AW15"/>
  <c r="AZ15" s="1"/>
  <c r="AX15"/>
  <c r="AY15"/>
  <c r="I16"/>
  <c r="L16" s="1"/>
  <c r="J16"/>
  <c r="K16"/>
  <c r="Q16"/>
  <c r="T16" s="1"/>
  <c r="R16"/>
  <c r="S16"/>
  <c r="Y16"/>
  <c r="AB16" s="1"/>
  <c r="Z16"/>
  <c r="AA16"/>
  <c r="AG16"/>
  <c r="AJ16" s="1"/>
  <c r="AH16"/>
  <c r="AI16"/>
  <c r="AO16"/>
  <c r="AR16" s="1"/>
  <c r="AP16"/>
  <c r="AQ16"/>
  <c r="AW16"/>
  <c r="AZ16" s="1"/>
  <c r="AX16"/>
  <c r="AY16"/>
  <c r="I17"/>
  <c r="L17" s="1"/>
  <c r="J17"/>
  <c r="K17"/>
  <c r="Q17"/>
  <c r="T17" s="1"/>
  <c r="R17"/>
  <c r="S17"/>
  <c r="Y17"/>
  <c r="AB17" s="1"/>
  <c r="Z17"/>
  <c r="AA17"/>
  <c r="AG17"/>
  <c r="AJ17" s="1"/>
  <c r="AH17"/>
  <c r="AI17"/>
  <c r="AO17"/>
  <c r="AR17" s="1"/>
  <c r="AP17"/>
  <c r="AQ17"/>
  <c r="AW17"/>
  <c r="AZ17" s="1"/>
  <c r="AX17"/>
  <c r="AY17"/>
  <c r="I18"/>
  <c r="L18" s="1"/>
  <c r="J18"/>
  <c r="K18"/>
  <c r="Q18"/>
  <c r="T18" s="1"/>
  <c r="R18"/>
  <c r="S18"/>
  <c r="Y18"/>
  <c r="AB18" s="1"/>
  <c r="Z18"/>
  <c r="AA18"/>
  <c r="AG18"/>
  <c r="AJ18" s="1"/>
  <c r="AH18"/>
  <c r="AI18"/>
  <c r="AO18"/>
  <c r="AR18" s="1"/>
  <c r="AP18"/>
  <c r="AQ18"/>
  <c r="AW18"/>
  <c r="AZ18" s="1"/>
  <c r="AX18"/>
  <c r="AY18"/>
  <c r="I19"/>
  <c r="L19" s="1"/>
  <c r="J19"/>
  <c r="K19"/>
  <c r="Q19"/>
  <c r="T19" s="1"/>
  <c r="R19"/>
  <c r="S19"/>
  <c r="Y19"/>
  <c r="AB19" s="1"/>
  <c r="Z19"/>
  <c r="AA19"/>
  <c r="AG19"/>
  <c r="AJ19" s="1"/>
  <c r="AH19"/>
  <c r="AI19"/>
  <c r="AO19"/>
  <c r="AR19" s="1"/>
  <c r="AP19"/>
  <c r="AQ19"/>
  <c r="AW19"/>
  <c r="AZ19" s="1"/>
  <c r="AX19"/>
  <c r="AY19"/>
  <c r="I20"/>
  <c r="L20" s="1"/>
  <c r="J20"/>
  <c r="K20"/>
  <c r="Q20"/>
  <c r="T20" s="1"/>
  <c r="R20"/>
  <c r="S20"/>
  <c r="Y20"/>
  <c r="AB20" s="1"/>
  <c r="Z20"/>
  <c r="AA20"/>
  <c r="AG20"/>
  <c r="AJ20" s="1"/>
  <c r="AH20"/>
  <c r="AI20"/>
  <c r="AO20"/>
  <c r="AR20" s="1"/>
  <c r="AP20"/>
  <c r="AQ20"/>
  <c r="AW20"/>
  <c r="AZ20" s="1"/>
  <c r="AX20"/>
  <c r="AY20"/>
  <c r="I21"/>
  <c r="L21" s="1"/>
  <c r="J21"/>
  <c r="K21"/>
  <c r="Q21"/>
  <c r="T21" s="1"/>
  <c r="R21"/>
  <c r="S21"/>
  <c r="Y21"/>
  <c r="AB21" s="1"/>
  <c r="Z21"/>
  <c r="AA21"/>
  <c r="AG21"/>
  <c r="AJ21" s="1"/>
  <c r="AH21"/>
  <c r="AI21"/>
  <c r="AO21"/>
  <c r="AR21" s="1"/>
  <c r="AP21"/>
  <c r="AQ21"/>
  <c r="AW21"/>
  <c r="AZ21" s="1"/>
  <c r="AX21"/>
  <c r="AY21"/>
  <c r="I22"/>
  <c r="L22" s="1"/>
  <c r="J22"/>
  <c r="K22"/>
  <c r="Q22"/>
  <c r="T22" s="1"/>
  <c r="R22"/>
  <c r="S22"/>
  <c r="Y22"/>
  <c r="AB22" s="1"/>
  <c r="Z22"/>
  <c r="AA22"/>
  <c r="AG22"/>
  <c r="AJ22" s="1"/>
  <c r="AH22"/>
  <c r="AI22"/>
  <c r="AO22"/>
  <c r="AR22" s="1"/>
  <c r="AP22"/>
  <c r="AQ22"/>
  <c r="AW22"/>
  <c r="AZ22" s="1"/>
  <c r="AX22"/>
  <c r="AY22"/>
  <c r="I23"/>
  <c r="L23" s="1"/>
  <c r="J23"/>
  <c r="K23"/>
  <c r="Q23"/>
  <c r="T23" s="1"/>
  <c r="R23"/>
  <c r="S23"/>
  <c r="Y23"/>
  <c r="AB23" s="1"/>
  <c r="Z23"/>
  <c r="AA23"/>
  <c r="AG23"/>
  <c r="AJ23" s="1"/>
  <c r="AH23"/>
  <c r="AI23"/>
  <c r="AO23"/>
  <c r="AR23" s="1"/>
  <c r="AP23"/>
  <c r="AQ23"/>
  <c r="AW23"/>
  <c r="AZ23" s="1"/>
  <c r="AX23"/>
  <c r="AY23"/>
  <c r="I24"/>
  <c r="L24" s="1"/>
  <c r="J24"/>
  <c r="K24"/>
  <c r="Q24"/>
  <c r="T24" s="1"/>
  <c r="R24"/>
  <c r="S24"/>
  <c r="Y24"/>
  <c r="AB24" s="1"/>
  <c r="Z24"/>
  <c r="AA24"/>
  <c r="AG24"/>
  <c r="AJ24" s="1"/>
  <c r="AH24"/>
  <c r="AI24"/>
  <c r="AO24"/>
  <c r="AR24" s="1"/>
  <c r="AP24"/>
  <c r="AQ24"/>
  <c r="AW24"/>
  <c r="AZ24" s="1"/>
  <c r="AX24"/>
  <c r="AY24"/>
  <c r="I25"/>
  <c r="L25" s="1"/>
  <c r="J25"/>
  <c r="K25"/>
  <c r="Q25"/>
  <c r="T25" s="1"/>
  <c r="R25"/>
  <c r="S25"/>
  <c r="Y25"/>
  <c r="AB25" s="1"/>
  <c r="Z25"/>
  <c r="AA25"/>
  <c r="AG25"/>
  <c r="AJ25" s="1"/>
  <c r="AH25"/>
  <c r="AI25"/>
  <c r="AO25"/>
  <c r="AR25" s="1"/>
  <c r="AP25"/>
  <c r="AQ25"/>
  <c r="AW25"/>
  <c r="AZ25" s="1"/>
  <c r="AX25"/>
  <c r="AY25"/>
  <c r="I26"/>
  <c r="L26" s="1"/>
  <c r="J26"/>
  <c r="K26"/>
  <c r="Q26"/>
  <c r="T26" s="1"/>
  <c r="R26"/>
  <c r="S26"/>
  <c r="Y26"/>
  <c r="AB26" s="1"/>
  <c r="Z26"/>
  <c r="AA26"/>
  <c r="AG26"/>
  <c r="AJ26" s="1"/>
  <c r="AH26"/>
  <c r="AI26"/>
  <c r="AO26"/>
  <c r="AR26" s="1"/>
  <c r="AP26"/>
  <c r="AQ26"/>
  <c r="AW26"/>
  <c r="AZ26" s="1"/>
  <c r="AX26"/>
  <c r="AY26"/>
  <c r="I27"/>
  <c r="L27" s="1"/>
  <c r="J27"/>
  <c r="K27"/>
  <c r="Q27"/>
  <c r="T27" s="1"/>
  <c r="R27"/>
  <c r="S27"/>
  <c r="Y27"/>
  <c r="AB27" s="1"/>
  <c r="Z27"/>
  <c r="AA27"/>
  <c r="AG27"/>
  <c r="AJ27" s="1"/>
  <c r="AH27"/>
  <c r="AI27"/>
  <c r="AO27"/>
  <c r="AR27" s="1"/>
  <c r="AP27"/>
  <c r="AQ27"/>
  <c r="AW27"/>
  <c r="AZ27" s="1"/>
  <c r="AX27"/>
  <c r="AY27"/>
  <c r="I28"/>
  <c r="L28" s="1"/>
  <c r="J28"/>
  <c r="K28"/>
  <c r="Q28"/>
  <c r="T28" s="1"/>
  <c r="R28"/>
  <c r="S28"/>
  <c r="Y28"/>
  <c r="AB28" s="1"/>
  <c r="Z28"/>
  <c r="AA28"/>
  <c r="AG28"/>
  <c r="AJ28" s="1"/>
  <c r="AH28"/>
  <c r="AI28"/>
  <c r="AO28"/>
  <c r="AR28" s="1"/>
  <c r="AP28"/>
  <c r="AQ28"/>
  <c r="AW28"/>
  <c r="AZ28" s="1"/>
  <c r="AX28"/>
  <c r="AY28"/>
  <c r="I29"/>
  <c r="L29" s="1"/>
  <c r="J29"/>
  <c r="K29"/>
  <c r="Q29"/>
  <c r="T29" s="1"/>
  <c r="R29"/>
  <c r="S29"/>
  <c r="Y29"/>
  <c r="AB29" s="1"/>
  <c r="Z29"/>
  <c r="AA29"/>
  <c r="AG29"/>
  <c r="AJ29" s="1"/>
  <c r="AH29"/>
  <c r="AI29"/>
  <c r="AO29"/>
  <c r="AR29" s="1"/>
  <c r="AP29"/>
  <c r="AQ29"/>
  <c r="AW29"/>
  <c r="AZ29" s="1"/>
  <c r="AX29"/>
  <c r="AY29"/>
  <c r="I30"/>
  <c r="L30" s="1"/>
  <c r="J30"/>
  <c r="K30"/>
  <c r="Q30"/>
  <c r="R30"/>
  <c r="S30"/>
  <c r="Y30"/>
  <c r="Z30"/>
  <c r="AA30"/>
  <c r="AG30"/>
  <c r="AJ30" s="1"/>
  <c r="AH30"/>
  <c r="AI30"/>
  <c r="AO30"/>
  <c r="AR30" s="1"/>
  <c r="AP30"/>
  <c r="AQ30"/>
  <c r="AW30"/>
  <c r="AZ30" s="1"/>
  <c r="AX30"/>
  <c r="AY30"/>
  <c r="E31"/>
  <c r="F31"/>
  <c r="G31"/>
  <c r="M31"/>
  <c r="M107" s="1"/>
  <c r="N31"/>
  <c r="O31"/>
  <c r="U31"/>
  <c r="V31"/>
  <c r="W31"/>
  <c r="AC31"/>
  <c r="AC107" s="1"/>
  <c r="AD31"/>
  <c r="AE31"/>
  <c r="AK31"/>
  <c r="AL31"/>
  <c r="AM31"/>
  <c r="AS31"/>
  <c r="AS107" s="1"/>
  <c r="AT31"/>
  <c r="AU31"/>
  <c r="I32"/>
  <c r="I31" s="1"/>
  <c r="J32"/>
  <c r="J31" s="1"/>
  <c r="K32"/>
  <c r="K31" s="1"/>
  <c r="AG32"/>
  <c r="AJ32" s="1"/>
  <c r="AJ31" s="1"/>
  <c r="AH32"/>
  <c r="AH31" s="1"/>
  <c r="AI32"/>
  <c r="AI31" s="1"/>
  <c r="AO32"/>
  <c r="AO31" s="1"/>
  <c r="AP32"/>
  <c r="AP31" s="1"/>
  <c r="AQ32"/>
  <c r="AQ31" s="1"/>
  <c r="AW32"/>
  <c r="AW31" s="1"/>
  <c r="AX32"/>
  <c r="AX31" s="1"/>
  <c r="AY32"/>
  <c r="AY31" s="1"/>
  <c r="I33"/>
  <c r="L33" s="1"/>
  <c r="J33"/>
  <c r="K33"/>
  <c r="Q33"/>
  <c r="R33"/>
  <c r="S33"/>
  <c r="Y33"/>
  <c r="Z33"/>
  <c r="AA33"/>
  <c r="AG33"/>
  <c r="AJ33" s="1"/>
  <c r="AH33"/>
  <c r="AI33"/>
  <c r="AO33"/>
  <c r="AR33" s="1"/>
  <c r="AP33"/>
  <c r="AQ33"/>
  <c r="AW33"/>
  <c r="AZ33" s="1"/>
  <c r="AX33"/>
  <c r="AY33"/>
  <c r="I34"/>
  <c r="L34" s="1"/>
  <c r="J34"/>
  <c r="K34"/>
  <c r="AG34"/>
  <c r="AJ34" s="1"/>
  <c r="AH34"/>
  <c r="AI34"/>
  <c r="AO34"/>
  <c r="AR34" s="1"/>
  <c r="AP34"/>
  <c r="AQ34"/>
  <c r="AW34"/>
  <c r="AZ34" s="1"/>
  <c r="AX34"/>
  <c r="AY34"/>
  <c r="I35"/>
  <c r="L35" s="1"/>
  <c r="J35"/>
  <c r="K35"/>
  <c r="Q35"/>
  <c r="R35"/>
  <c r="S35"/>
  <c r="Y35"/>
  <c r="Z35"/>
  <c r="AA35"/>
  <c r="AG35"/>
  <c r="AJ35" s="1"/>
  <c r="AH35"/>
  <c r="AI35"/>
  <c r="AO35"/>
  <c r="AR35" s="1"/>
  <c r="AP35"/>
  <c r="AQ35"/>
  <c r="AW35"/>
  <c r="AZ35" s="1"/>
  <c r="AX35"/>
  <c r="AY35"/>
  <c r="L36"/>
  <c r="T36"/>
  <c r="AB36"/>
  <c r="AJ36"/>
  <c r="AR36"/>
  <c r="AZ36"/>
  <c r="L37"/>
  <c r="T37"/>
  <c r="AB37"/>
  <c r="AJ37"/>
  <c r="AR37"/>
  <c r="AZ37"/>
  <c r="I38"/>
  <c r="L38" s="1"/>
  <c r="J38"/>
  <c r="K38"/>
  <c r="Q38"/>
  <c r="R38"/>
  <c r="S38"/>
  <c r="Y38"/>
  <c r="Z38"/>
  <c r="AA38"/>
  <c r="AG38"/>
  <c r="AJ38" s="1"/>
  <c r="AH38"/>
  <c r="AI38"/>
  <c r="AO38"/>
  <c r="AR38" s="1"/>
  <c r="AP38"/>
  <c r="AQ38"/>
  <c r="AW38"/>
  <c r="AZ38" s="1"/>
  <c r="AX38"/>
  <c r="AY38"/>
  <c r="I39"/>
  <c r="L39" s="1"/>
  <c r="J39"/>
  <c r="K39"/>
  <c r="Q39"/>
  <c r="R39"/>
  <c r="S39"/>
  <c r="Y39"/>
  <c r="Z39"/>
  <c r="AA39"/>
  <c r="AG39"/>
  <c r="AJ39" s="1"/>
  <c r="AH39"/>
  <c r="AI39"/>
  <c r="AO39"/>
  <c r="AR39" s="1"/>
  <c r="AP39"/>
  <c r="AQ39"/>
  <c r="AW39"/>
  <c r="AZ39" s="1"/>
  <c r="AX39"/>
  <c r="AY39"/>
  <c r="I40"/>
  <c r="L40" s="1"/>
  <c r="J40"/>
  <c r="K40"/>
  <c r="Q40"/>
  <c r="R40"/>
  <c r="S40"/>
  <c r="Y40"/>
  <c r="Z40"/>
  <c r="AA40"/>
  <c r="AG40"/>
  <c r="AJ40" s="1"/>
  <c r="AH40"/>
  <c r="AI40"/>
  <c r="AO40"/>
  <c r="AR40" s="1"/>
  <c r="AP40"/>
  <c r="AQ40"/>
  <c r="AW40"/>
  <c r="AZ40" s="1"/>
  <c r="AX40"/>
  <c r="AY40"/>
  <c r="I41"/>
  <c r="L41" s="1"/>
  <c r="J41"/>
  <c r="K41"/>
  <c r="Q41"/>
  <c r="R41"/>
  <c r="S41"/>
  <c r="Y41"/>
  <c r="Z41"/>
  <c r="AA41"/>
  <c r="AG41"/>
  <c r="AJ41" s="1"/>
  <c r="AH41"/>
  <c r="AI41"/>
  <c r="AO41"/>
  <c r="AR41" s="1"/>
  <c r="AP41"/>
  <c r="AQ41"/>
  <c r="AW41"/>
  <c r="AZ41" s="1"/>
  <c r="AX41"/>
  <c r="AY41"/>
  <c r="I42"/>
  <c r="L42" s="1"/>
  <c r="J42"/>
  <c r="K42"/>
  <c r="Q42"/>
  <c r="R42"/>
  <c r="S42"/>
  <c r="Y42"/>
  <c r="Z42"/>
  <c r="AA42"/>
  <c r="AG42"/>
  <c r="AJ42" s="1"/>
  <c r="AH42"/>
  <c r="AI42"/>
  <c r="AO42"/>
  <c r="AR42" s="1"/>
  <c r="AP42"/>
  <c r="AQ42"/>
  <c r="AW42"/>
  <c r="AZ42" s="1"/>
  <c r="AX42"/>
  <c r="AY42"/>
  <c r="I43"/>
  <c r="L43" s="1"/>
  <c r="J43"/>
  <c r="K43"/>
  <c r="Q43"/>
  <c r="T43" s="1"/>
  <c r="R43"/>
  <c r="S43"/>
  <c r="Y43"/>
  <c r="AB43" s="1"/>
  <c r="Z43"/>
  <c r="AA43"/>
  <c r="AG43"/>
  <c r="AJ43" s="1"/>
  <c r="AH43"/>
  <c r="AI43"/>
  <c r="AO43"/>
  <c r="AR43" s="1"/>
  <c r="AP43"/>
  <c r="AQ43"/>
  <c r="AW43"/>
  <c r="AZ43" s="1"/>
  <c r="AX43"/>
  <c r="AY43"/>
  <c r="I44"/>
  <c r="L44" s="1"/>
  <c r="J44"/>
  <c r="K44"/>
  <c r="AG44"/>
  <c r="AJ44" s="1"/>
  <c r="AH44"/>
  <c r="AI44"/>
  <c r="AO44"/>
  <c r="AR44" s="1"/>
  <c r="AP44"/>
  <c r="AQ44"/>
  <c r="AW44"/>
  <c r="AZ44" s="1"/>
  <c r="AX44"/>
  <c r="AY44"/>
  <c r="I45"/>
  <c r="L45" s="1"/>
  <c r="J45"/>
  <c r="K45"/>
  <c r="Q45"/>
  <c r="R45"/>
  <c r="S45"/>
  <c r="Y45"/>
  <c r="Z45"/>
  <c r="AA45"/>
  <c r="AG45"/>
  <c r="AJ45" s="1"/>
  <c r="AH45"/>
  <c r="AI45"/>
  <c r="AO45"/>
  <c r="AR45" s="1"/>
  <c r="AP45"/>
  <c r="AQ45"/>
  <c r="AW45"/>
  <c r="AZ45" s="1"/>
  <c r="AX45"/>
  <c r="AY45"/>
  <c r="I46"/>
  <c r="L46" s="1"/>
  <c r="J46"/>
  <c r="K46"/>
  <c r="Q46"/>
  <c r="R46"/>
  <c r="S46"/>
  <c r="Y46"/>
  <c r="Z46"/>
  <c r="AA46"/>
  <c r="AG46"/>
  <c r="AJ46" s="1"/>
  <c r="AH46"/>
  <c r="AI46"/>
  <c r="AO46"/>
  <c r="AR46" s="1"/>
  <c r="AP46"/>
  <c r="AQ46"/>
  <c r="AW46"/>
  <c r="AZ46" s="1"/>
  <c r="AX46"/>
  <c r="AY46"/>
  <c r="I47"/>
  <c r="L47" s="1"/>
  <c r="J47"/>
  <c r="K47"/>
  <c r="Q47"/>
  <c r="R47"/>
  <c r="S47"/>
  <c r="Y47"/>
  <c r="Z47"/>
  <c r="AA47"/>
  <c r="AG47"/>
  <c r="AJ47" s="1"/>
  <c r="AH47"/>
  <c r="AI47"/>
  <c r="AO47"/>
  <c r="AR47" s="1"/>
  <c r="AP47"/>
  <c r="AQ47"/>
  <c r="AW47"/>
  <c r="AZ47" s="1"/>
  <c r="AX47"/>
  <c r="AY47"/>
  <c r="I48"/>
  <c r="L48" s="1"/>
  <c r="J48"/>
  <c r="K48"/>
  <c r="Q48"/>
  <c r="R48"/>
  <c r="S48"/>
  <c r="Y48"/>
  <c r="Z48"/>
  <c r="AA48"/>
  <c r="AG48"/>
  <c r="AJ48" s="1"/>
  <c r="AH48"/>
  <c r="AI48"/>
  <c r="AO48"/>
  <c r="AR48" s="1"/>
  <c r="AP48"/>
  <c r="AQ48"/>
  <c r="AW48"/>
  <c r="AZ48" s="1"/>
  <c r="AX48"/>
  <c r="AY48"/>
  <c r="I49"/>
  <c r="L49" s="1"/>
  <c r="J49"/>
  <c r="K49"/>
  <c r="Q49"/>
  <c r="R49"/>
  <c r="S49"/>
  <c r="Y49"/>
  <c r="Z49"/>
  <c r="AA49"/>
  <c r="AG49"/>
  <c r="AJ49" s="1"/>
  <c r="AH49"/>
  <c r="AI49"/>
  <c r="AO49"/>
  <c r="AR49" s="1"/>
  <c r="AP49"/>
  <c r="AQ49"/>
  <c r="AW49"/>
  <c r="AZ49" s="1"/>
  <c r="AX49"/>
  <c r="AY49"/>
  <c r="I50"/>
  <c r="L50" s="1"/>
  <c r="J50"/>
  <c r="K50"/>
  <c r="Q50"/>
  <c r="R50"/>
  <c r="S50"/>
  <c r="Y50"/>
  <c r="Z50"/>
  <c r="AA50"/>
  <c r="AG50"/>
  <c r="AJ50" s="1"/>
  <c r="AH50"/>
  <c r="AI50"/>
  <c r="AO50"/>
  <c r="AR50" s="1"/>
  <c r="AP50"/>
  <c r="AQ50"/>
  <c r="AW50"/>
  <c r="AZ50" s="1"/>
  <c r="AX50"/>
  <c r="AY50"/>
  <c r="C51"/>
  <c r="I51"/>
  <c r="L51" s="1"/>
  <c r="J51"/>
  <c r="K51"/>
  <c r="AG51"/>
  <c r="AJ51" s="1"/>
  <c r="AH51"/>
  <c r="AI51"/>
  <c r="AO51"/>
  <c r="AR51" s="1"/>
  <c r="AP51"/>
  <c r="AQ51"/>
  <c r="AW51"/>
  <c r="AZ51" s="1"/>
  <c r="AX51"/>
  <c r="AY51"/>
  <c r="C52"/>
  <c r="I52"/>
  <c r="L52" s="1"/>
  <c r="J52"/>
  <c r="K52"/>
  <c r="Q52"/>
  <c r="R52"/>
  <c r="S52"/>
  <c r="Y52"/>
  <c r="Z52"/>
  <c r="AA52"/>
  <c r="AG52"/>
  <c r="AJ52" s="1"/>
  <c r="AH52"/>
  <c r="AI52"/>
  <c r="AO52"/>
  <c r="AR52" s="1"/>
  <c r="AP52"/>
  <c r="AQ52"/>
  <c r="AW52"/>
  <c r="AZ52" s="1"/>
  <c r="AX52"/>
  <c r="AY52"/>
  <c r="C53"/>
  <c r="I53"/>
  <c r="L53" s="1"/>
  <c r="J53"/>
  <c r="K53"/>
  <c r="Q53"/>
  <c r="R53"/>
  <c r="S53"/>
  <c r="Y53"/>
  <c r="Z53"/>
  <c r="AA53"/>
  <c r="AG53"/>
  <c r="AJ53" s="1"/>
  <c r="AH53"/>
  <c r="AI53"/>
  <c r="AO53"/>
  <c r="AR53" s="1"/>
  <c r="AP53"/>
  <c r="AQ53"/>
  <c r="AW53"/>
  <c r="AZ53" s="1"/>
  <c r="AX53"/>
  <c r="AY53"/>
  <c r="E54"/>
  <c r="F54"/>
  <c r="G54"/>
  <c r="M54"/>
  <c r="N54"/>
  <c r="O54"/>
  <c r="U54"/>
  <c r="V54"/>
  <c r="W54"/>
  <c r="AC54"/>
  <c r="AD54"/>
  <c r="AE54"/>
  <c r="AK54"/>
  <c r="AL54"/>
  <c r="AM54"/>
  <c r="AS54"/>
  <c r="AT54"/>
  <c r="AU54"/>
  <c r="I55"/>
  <c r="L55" s="1"/>
  <c r="L54" s="1"/>
  <c r="J55"/>
  <c r="J54" s="1"/>
  <c r="K55"/>
  <c r="K54" s="1"/>
  <c r="Q55"/>
  <c r="R55"/>
  <c r="S55"/>
  <c r="Y55"/>
  <c r="Z55"/>
  <c r="AA55"/>
  <c r="AG55"/>
  <c r="AG54" s="1"/>
  <c r="AH55"/>
  <c r="AH54" s="1"/>
  <c r="AI55"/>
  <c r="AI54" s="1"/>
  <c r="AO55"/>
  <c r="AO54" s="1"/>
  <c r="AP55"/>
  <c r="AP54" s="1"/>
  <c r="AQ55"/>
  <c r="AQ54" s="1"/>
  <c r="AW55"/>
  <c r="AZ55" s="1"/>
  <c r="AZ54" s="1"/>
  <c r="AX55"/>
  <c r="AX54" s="1"/>
  <c r="AY55"/>
  <c r="AY54" s="1"/>
  <c r="I56"/>
  <c r="L56" s="1"/>
  <c r="J56"/>
  <c r="K56"/>
  <c r="Q56"/>
  <c r="R56"/>
  <c r="S56"/>
  <c r="Y56"/>
  <c r="Z56"/>
  <c r="AA56"/>
  <c r="AG56"/>
  <c r="AJ56" s="1"/>
  <c r="AH56"/>
  <c r="AI56"/>
  <c r="AO56"/>
  <c r="AR56" s="1"/>
  <c r="AP56"/>
  <c r="AQ56"/>
  <c r="AW56"/>
  <c r="AZ56" s="1"/>
  <c r="AX56"/>
  <c r="AY56"/>
  <c r="I57"/>
  <c r="L57" s="1"/>
  <c r="J57"/>
  <c r="K57"/>
  <c r="AG57"/>
  <c r="AJ57" s="1"/>
  <c r="AH57"/>
  <c r="AI57"/>
  <c r="AO57"/>
  <c r="AR57" s="1"/>
  <c r="AP57"/>
  <c r="AQ57"/>
  <c r="AW57"/>
  <c r="AZ57" s="1"/>
  <c r="AX57"/>
  <c r="AY57"/>
  <c r="I58"/>
  <c r="L58" s="1"/>
  <c r="J58"/>
  <c r="K58"/>
  <c r="Q58"/>
  <c r="R58"/>
  <c r="S58"/>
  <c r="Y58"/>
  <c r="Z58"/>
  <c r="AA58"/>
  <c r="AG58"/>
  <c r="AJ58" s="1"/>
  <c r="AH58"/>
  <c r="AI58"/>
  <c r="AO58"/>
  <c r="AR58" s="1"/>
  <c r="AP58"/>
  <c r="AQ58"/>
  <c r="AW58"/>
  <c r="AZ58" s="1"/>
  <c r="AX58"/>
  <c r="AY58"/>
  <c r="L59"/>
  <c r="T59"/>
  <c r="AB59"/>
  <c r="AJ59"/>
  <c r="AR59"/>
  <c r="AZ59"/>
  <c r="L60"/>
  <c r="T60"/>
  <c r="AB60"/>
  <c r="AJ60"/>
  <c r="AR60"/>
  <c r="AZ60"/>
  <c r="I61"/>
  <c r="L61" s="1"/>
  <c r="J61"/>
  <c r="K61"/>
  <c r="Q61"/>
  <c r="R61"/>
  <c r="S61"/>
  <c r="Y61"/>
  <c r="Z61"/>
  <c r="AA61"/>
  <c r="AG61"/>
  <c r="AJ61" s="1"/>
  <c r="AH61"/>
  <c r="AI61"/>
  <c r="AO61"/>
  <c r="AR61" s="1"/>
  <c r="AP61"/>
  <c r="AQ61"/>
  <c r="AW61"/>
  <c r="AZ61" s="1"/>
  <c r="AX61"/>
  <c r="AY61"/>
  <c r="I62"/>
  <c r="L62" s="1"/>
  <c r="J62"/>
  <c r="K62"/>
  <c r="Q62"/>
  <c r="R62"/>
  <c r="S62"/>
  <c r="Y62"/>
  <c r="Z62"/>
  <c r="AA62"/>
  <c r="AG62"/>
  <c r="AJ62" s="1"/>
  <c r="AH62"/>
  <c r="AI62"/>
  <c r="AO62"/>
  <c r="AR62" s="1"/>
  <c r="AP62"/>
  <c r="AQ62"/>
  <c r="AW62"/>
  <c r="AZ62" s="1"/>
  <c r="AX62"/>
  <c r="AY62"/>
  <c r="I63"/>
  <c r="L63" s="1"/>
  <c r="J63"/>
  <c r="K63"/>
  <c r="Q63"/>
  <c r="R63"/>
  <c r="S63"/>
  <c r="Y63"/>
  <c r="Z63"/>
  <c r="AA63"/>
  <c r="AG63"/>
  <c r="AJ63" s="1"/>
  <c r="AH63"/>
  <c r="AI63"/>
  <c r="AO63"/>
  <c r="AR63" s="1"/>
  <c r="AP63"/>
  <c r="AQ63"/>
  <c r="AW63"/>
  <c r="AZ63" s="1"/>
  <c r="AX63"/>
  <c r="AY63"/>
  <c r="I64"/>
  <c r="L64" s="1"/>
  <c r="J64"/>
  <c r="K64"/>
  <c r="Q64"/>
  <c r="R64"/>
  <c r="S64"/>
  <c r="Y64"/>
  <c r="Z64"/>
  <c r="AA64"/>
  <c r="AG64"/>
  <c r="AJ64" s="1"/>
  <c r="AH64"/>
  <c r="AI64"/>
  <c r="AO64"/>
  <c r="AR64" s="1"/>
  <c r="AP64"/>
  <c r="AQ64"/>
  <c r="AW64"/>
  <c r="AZ64" s="1"/>
  <c r="AX64"/>
  <c r="AY64"/>
  <c r="I65"/>
  <c r="L65" s="1"/>
  <c r="J65"/>
  <c r="K65"/>
  <c r="Q65"/>
  <c r="R65"/>
  <c r="S65"/>
  <c r="Y65"/>
  <c r="Z65"/>
  <c r="AA65"/>
  <c r="AG65"/>
  <c r="AJ65" s="1"/>
  <c r="AH65"/>
  <c r="AI65"/>
  <c r="AO65"/>
  <c r="AR65" s="1"/>
  <c r="AP65"/>
  <c r="AQ65"/>
  <c r="AW65"/>
  <c r="AZ65" s="1"/>
  <c r="AX65"/>
  <c r="AY65"/>
  <c r="I66"/>
  <c r="L66" s="1"/>
  <c r="J66"/>
  <c r="K66"/>
  <c r="AG66"/>
  <c r="AJ66" s="1"/>
  <c r="AH66"/>
  <c r="AI66"/>
  <c r="AO66"/>
  <c r="AR66" s="1"/>
  <c r="AP66"/>
  <c r="AQ66"/>
  <c r="AW66"/>
  <c r="AZ66" s="1"/>
  <c r="AX66"/>
  <c r="AY66"/>
  <c r="I67"/>
  <c r="L67" s="1"/>
  <c r="J67"/>
  <c r="K67"/>
  <c r="Q67"/>
  <c r="R67"/>
  <c r="S67"/>
  <c r="Y67"/>
  <c r="Z67"/>
  <c r="AA67"/>
  <c r="AG67"/>
  <c r="AJ67" s="1"/>
  <c r="AH67"/>
  <c r="AI67"/>
  <c r="AO67"/>
  <c r="AR67" s="1"/>
  <c r="AP67"/>
  <c r="AQ67"/>
  <c r="AW67"/>
  <c r="AZ67" s="1"/>
  <c r="AX67"/>
  <c r="AY67"/>
  <c r="I68"/>
  <c r="L68" s="1"/>
  <c r="J68"/>
  <c r="K68"/>
  <c r="Q68"/>
  <c r="R68"/>
  <c r="S68"/>
  <c r="Y68"/>
  <c r="Z68"/>
  <c r="AA68"/>
  <c r="AG68"/>
  <c r="AJ68" s="1"/>
  <c r="AH68"/>
  <c r="AI68"/>
  <c r="AO68"/>
  <c r="AR68" s="1"/>
  <c r="AP68"/>
  <c r="AQ68"/>
  <c r="AW68"/>
  <c r="AZ68" s="1"/>
  <c r="AX68"/>
  <c r="AY68"/>
  <c r="I69"/>
  <c r="L69" s="1"/>
  <c r="J69"/>
  <c r="K69"/>
  <c r="AG69"/>
  <c r="AJ69" s="1"/>
  <c r="AH69"/>
  <c r="AI69"/>
  <c r="AO69"/>
  <c r="AR69" s="1"/>
  <c r="AP69"/>
  <c r="AQ69"/>
  <c r="AW69"/>
  <c r="AZ69" s="1"/>
  <c r="AX69"/>
  <c r="AY69"/>
  <c r="I70"/>
  <c r="L70" s="1"/>
  <c r="J70"/>
  <c r="K70"/>
  <c r="Q70"/>
  <c r="R70"/>
  <c r="S70"/>
  <c r="Y70"/>
  <c r="Z70"/>
  <c r="AA70"/>
  <c r="AG70"/>
  <c r="AJ70" s="1"/>
  <c r="AH70"/>
  <c r="AI70"/>
  <c r="AO70"/>
  <c r="AR70" s="1"/>
  <c r="AP70"/>
  <c r="AQ70"/>
  <c r="AW70"/>
  <c r="AZ70" s="1"/>
  <c r="AX70"/>
  <c r="AY70"/>
  <c r="I71"/>
  <c r="L71" s="1"/>
  <c r="J71"/>
  <c r="K71"/>
  <c r="Q71"/>
  <c r="R71"/>
  <c r="S71"/>
  <c r="Y71"/>
  <c r="Z71"/>
  <c r="AA71"/>
  <c r="AG71"/>
  <c r="AJ71" s="1"/>
  <c r="AH71"/>
  <c r="AI71"/>
  <c r="AO71"/>
  <c r="AR71" s="1"/>
  <c r="AP71"/>
  <c r="AQ71"/>
  <c r="AW71"/>
  <c r="AZ71" s="1"/>
  <c r="AX71"/>
  <c r="AY71"/>
  <c r="I72"/>
  <c r="L72" s="1"/>
  <c r="J72"/>
  <c r="K72"/>
  <c r="AG72"/>
  <c r="AJ72" s="1"/>
  <c r="AH72"/>
  <c r="AI72"/>
  <c r="AO72"/>
  <c r="AR72" s="1"/>
  <c r="AP72"/>
  <c r="AQ72"/>
  <c r="AW72"/>
  <c r="AZ72" s="1"/>
  <c r="AX72"/>
  <c r="AY72"/>
  <c r="I73"/>
  <c r="L73" s="1"/>
  <c r="J73"/>
  <c r="K73"/>
  <c r="Q73"/>
  <c r="R73"/>
  <c r="S73"/>
  <c r="Y73"/>
  <c r="Z73"/>
  <c r="AA73"/>
  <c r="AG73"/>
  <c r="AJ73" s="1"/>
  <c r="AH73"/>
  <c r="AI73"/>
  <c r="AO73"/>
  <c r="AR73" s="1"/>
  <c r="AP73"/>
  <c r="AQ73"/>
  <c r="AW73"/>
  <c r="AZ73" s="1"/>
  <c r="AX73"/>
  <c r="AY73"/>
  <c r="C74"/>
  <c r="I74"/>
  <c r="L74" s="1"/>
  <c r="J74"/>
  <c r="K74"/>
  <c r="Q74"/>
  <c r="R74"/>
  <c r="S74"/>
  <c r="Y74"/>
  <c r="Z74"/>
  <c r="AA74"/>
  <c r="AG74"/>
  <c r="AJ74" s="1"/>
  <c r="AH74"/>
  <c r="AI74"/>
  <c r="AO74"/>
  <c r="AR74" s="1"/>
  <c r="AP74"/>
  <c r="AQ74"/>
  <c r="AW74"/>
  <c r="AZ74" s="1"/>
  <c r="AX74"/>
  <c r="AY74"/>
  <c r="C75"/>
  <c r="I75"/>
  <c r="L75" s="1"/>
  <c r="J75"/>
  <c r="K75"/>
  <c r="AG75"/>
  <c r="AJ75" s="1"/>
  <c r="AH75"/>
  <c r="AI75"/>
  <c r="AO75"/>
  <c r="AR75" s="1"/>
  <c r="AP75"/>
  <c r="AQ75"/>
  <c r="AW75"/>
  <c r="AZ75" s="1"/>
  <c r="AX75"/>
  <c r="AY75"/>
  <c r="C76"/>
  <c r="I76"/>
  <c r="L76" s="1"/>
  <c r="J76"/>
  <c r="K76"/>
  <c r="Q76"/>
  <c r="R76"/>
  <c r="S76"/>
  <c r="Y76"/>
  <c r="Z76"/>
  <c r="AA76"/>
  <c r="AG76"/>
  <c r="AJ76" s="1"/>
  <c r="AH76"/>
  <c r="AI76"/>
  <c r="AO76"/>
  <c r="AR76" s="1"/>
  <c r="AP76"/>
  <c r="AQ76"/>
  <c r="AW76"/>
  <c r="AZ76" s="1"/>
  <c r="AX76"/>
  <c r="AY76"/>
  <c r="C77"/>
  <c r="I77"/>
  <c r="L77" s="1"/>
  <c r="J77"/>
  <c r="K77"/>
  <c r="Q77"/>
  <c r="R77"/>
  <c r="S77"/>
  <c r="Y77"/>
  <c r="Z77"/>
  <c r="AA77"/>
  <c r="AG77"/>
  <c r="AJ77" s="1"/>
  <c r="AH77"/>
  <c r="AI77"/>
  <c r="AO77"/>
  <c r="AR77" s="1"/>
  <c r="AP77"/>
  <c r="AQ77"/>
  <c r="AW77"/>
  <c r="AZ77" s="1"/>
  <c r="AX77"/>
  <c r="AY77"/>
  <c r="C78"/>
  <c r="I78"/>
  <c r="L78" s="1"/>
  <c r="J78"/>
  <c r="K78"/>
  <c r="Q78"/>
  <c r="T78" s="1"/>
  <c r="R78"/>
  <c r="S78"/>
  <c r="Y78"/>
  <c r="AB78" s="1"/>
  <c r="Z78"/>
  <c r="AA78"/>
  <c r="AG78"/>
  <c r="AJ78" s="1"/>
  <c r="AH78"/>
  <c r="AI78"/>
  <c r="AO78"/>
  <c r="AR78" s="1"/>
  <c r="AP78"/>
  <c r="AQ78"/>
  <c r="AW78"/>
  <c r="AZ78" s="1"/>
  <c r="AX78"/>
  <c r="AY78"/>
  <c r="C79"/>
  <c r="I79"/>
  <c r="L79" s="1"/>
  <c r="J79"/>
  <c r="K79"/>
  <c r="Q79"/>
  <c r="R79"/>
  <c r="S79"/>
  <c r="Y79"/>
  <c r="Z79"/>
  <c r="AA79"/>
  <c r="AG79"/>
  <c r="AJ79" s="1"/>
  <c r="AH79"/>
  <c r="AI79"/>
  <c r="AO79"/>
  <c r="AR79" s="1"/>
  <c r="AP79"/>
  <c r="AQ79"/>
  <c r="AW79"/>
  <c r="AZ79" s="1"/>
  <c r="AX79"/>
  <c r="AY79"/>
  <c r="E80"/>
  <c r="F80"/>
  <c r="G80"/>
  <c r="M80"/>
  <c r="N80"/>
  <c r="O80"/>
  <c r="U80"/>
  <c r="V80"/>
  <c r="W80"/>
  <c r="AC80"/>
  <c r="AD80"/>
  <c r="AE80"/>
  <c r="AK80"/>
  <c r="AL80"/>
  <c r="AM80"/>
  <c r="AS80"/>
  <c r="AT80"/>
  <c r="AU80"/>
  <c r="I81"/>
  <c r="L81" s="1"/>
  <c r="L80" s="1"/>
  <c r="L107" s="1"/>
  <c r="J81"/>
  <c r="J80" s="1"/>
  <c r="J107" s="1"/>
  <c r="K81"/>
  <c r="K80" s="1"/>
  <c r="K107" s="1"/>
  <c r="Q81"/>
  <c r="R81"/>
  <c r="S81"/>
  <c r="Y81"/>
  <c r="Z81"/>
  <c r="AA81"/>
  <c r="AG81"/>
  <c r="AG80" s="1"/>
  <c r="AG107" s="1"/>
  <c r="AH81"/>
  <c r="AH80" s="1"/>
  <c r="AH107" s="1"/>
  <c r="AI81"/>
  <c r="AI80" s="1"/>
  <c r="AI107" s="1"/>
  <c r="AO81"/>
  <c r="AO80" s="1"/>
  <c r="AO107" s="1"/>
  <c r="AP81"/>
  <c r="AP80" s="1"/>
  <c r="AP107" s="1"/>
  <c r="AQ81"/>
  <c r="AQ80" s="1"/>
  <c r="AQ107" s="1"/>
  <c r="AW81"/>
  <c r="AW80" s="1"/>
  <c r="AW107" s="1"/>
  <c r="AX81"/>
  <c r="AX80" s="1"/>
  <c r="AX107" s="1"/>
  <c r="AY81"/>
  <c r="AY80" s="1"/>
  <c r="AY107" s="1"/>
  <c r="I82"/>
  <c r="L82" s="1"/>
  <c r="J82"/>
  <c r="K82"/>
  <c r="Q82"/>
  <c r="R82"/>
  <c r="S82"/>
  <c r="Y82"/>
  <c r="Z82"/>
  <c r="AA82"/>
  <c r="AG82"/>
  <c r="AJ82" s="1"/>
  <c r="AH82"/>
  <c r="AI82"/>
  <c r="AO82"/>
  <c r="AR82" s="1"/>
  <c r="AP82"/>
  <c r="AQ82"/>
  <c r="AW82"/>
  <c r="AZ82" s="1"/>
  <c r="AX82"/>
  <c r="AY82"/>
  <c r="I83"/>
  <c r="L83" s="1"/>
  <c r="J83"/>
  <c r="K83"/>
  <c r="Q83"/>
  <c r="T83" s="1"/>
  <c r="R83"/>
  <c r="S83"/>
  <c r="Y83"/>
  <c r="AB83" s="1"/>
  <c r="Z83"/>
  <c r="AA83"/>
  <c r="AG83"/>
  <c r="AJ83" s="1"/>
  <c r="AH83"/>
  <c r="AI83"/>
  <c r="AO83"/>
  <c r="AR83" s="1"/>
  <c r="AP83"/>
  <c r="AQ83"/>
  <c r="AW83"/>
  <c r="AZ83" s="1"/>
  <c r="AX83"/>
  <c r="AY83"/>
  <c r="I84"/>
  <c r="L84" s="1"/>
  <c r="J84"/>
  <c r="K84"/>
  <c r="AG84"/>
  <c r="AJ84" s="1"/>
  <c r="AH84"/>
  <c r="AI84"/>
  <c r="AO84"/>
  <c r="AR84" s="1"/>
  <c r="AP84"/>
  <c r="AQ84"/>
  <c r="AW84"/>
  <c r="AZ84" s="1"/>
  <c r="AX84"/>
  <c r="AY84"/>
  <c r="L85"/>
  <c r="T85"/>
  <c r="AB85"/>
  <c r="AJ85"/>
  <c r="AR85"/>
  <c r="AZ85"/>
  <c r="L86"/>
  <c r="T86"/>
  <c r="AB86"/>
  <c r="AJ86"/>
  <c r="AR86"/>
  <c r="AZ86"/>
  <c r="I87"/>
  <c r="L87" s="1"/>
  <c r="J87"/>
  <c r="K87"/>
  <c r="Q87"/>
  <c r="T87" s="1"/>
  <c r="R87"/>
  <c r="S87"/>
  <c r="Y87"/>
  <c r="AB87" s="1"/>
  <c r="Z87"/>
  <c r="AA87"/>
  <c r="AG87"/>
  <c r="AJ87" s="1"/>
  <c r="AH87"/>
  <c r="AI87"/>
  <c r="AO87"/>
  <c r="AR87" s="1"/>
  <c r="AP87"/>
  <c r="AQ87"/>
  <c r="AW87"/>
  <c r="AZ87" s="1"/>
  <c r="AX87"/>
  <c r="AY87"/>
  <c r="I88"/>
  <c r="L88" s="1"/>
  <c r="J88"/>
  <c r="K88"/>
  <c r="Q88"/>
  <c r="T88" s="1"/>
  <c r="R88"/>
  <c r="S88"/>
  <c r="Y88"/>
  <c r="AB88" s="1"/>
  <c r="Z88"/>
  <c r="AA88"/>
  <c r="AG88"/>
  <c r="AJ88" s="1"/>
  <c r="AH88"/>
  <c r="AI88"/>
  <c r="AO88"/>
  <c r="AR88" s="1"/>
  <c r="AP88"/>
  <c r="AQ88"/>
  <c r="AW88"/>
  <c r="AZ88" s="1"/>
  <c r="AX88"/>
  <c r="AY88"/>
  <c r="I89"/>
  <c r="L89" s="1"/>
  <c r="J89"/>
  <c r="K89"/>
  <c r="Q89"/>
  <c r="T89" s="1"/>
  <c r="R89"/>
  <c r="S89"/>
  <c r="Y89"/>
  <c r="AB89" s="1"/>
  <c r="Z89"/>
  <c r="AA89"/>
  <c r="AG89"/>
  <c r="AJ89" s="1"/>
  <c r="AH89"/>
  <c r="AI89"/>
  <c r="AO89"/>
  <c r="AR89" s="1"/>
  <c r="AP89"/>
  <c r="AQ89"/>
  <c r="AW89"/>
  <c r="AZ89" s="1"/>
  <c r="AX89"/>
  <c r="AY89"/>
  <c r="I90"/>
  <c r="L90" s="1"/>
  <c r="J90"/>
  <c r="K90"/>
  <c r="Q90"/>
  <c r="T90" s="1"/>
  <c r="R90"/>
  <c r="S90"/>
  <c r="Y90"/>
  <c r="AB90" s="1"/>
  <c r="Z90"/>
  <c r="AA90"/>
  <c r="AG90"/>
  <c r="AJ90" s="1"/>
  <c r="AH90"/>
  <c r="AI90"/>
  <c r="AO90"/>
  <c r="AR90" s="1"/>
  <c r="AP90"/>
  <c r="AQ90"/>
  <c r="AW90"/>
  <c r="AZ90" s="1"/>
  <c r="AX90"/>
  <c r="AY90"/>
  <c r="I91"/>
  <c r="L91" s="1"/>
  <c r="J91"/>
  <c r="K91"/>
  <c r="Q91"/>
  <c r="T91" s="1"/>
  <c r="R91"/>
  <c r="S91"/>
  <c r="Y91"/>
  <c r="AB91" s="1"/>
  <c r="Z91"/>
  <c r="AA91"/>
  <c r="AG91"/>
  <c r="AJ91" s="1"/>
  <c r="AH91"/>
  <c r="AI91"/>
  <c r="AO91"/>
  <c r="AR91" s="1"/>
  <c r="AP91"/>
  <c r="AQ91"/>
  <c r="AW91"/>
  <c r="AZ91" s="1"/>
  <c r="AX91"/>
  <c r="AY91"/>
  <c r="I92"/>
  <c r="L92" s="1"/>
  <c r="J92"/>
  <c r="K92"/>
  <c r="Q92"/>
  <c r="T92" s="1"/>
  <c r="R92"/>
  <c r="S92"/>
  <c r="Y92"/>
  <c r="AB92" s="1"/>
  <c r="Z92"/>
  <c r="AA92"/>
  <c r="AG92"/>
  <c r="AJ92" s="1"/>
  <c r="AH92"/>
  <c r="AI92"/>
  <c r="AO92"/>
  <c r="AR92" s="1"/>
  <c r="AP92"/>
  <c r="AQ92"/>
  <c r="AW92"/>
  <c r="AZ92" s="1"/>
  <c r="AX92"/>
  <c r="AY92"/>
  <c r="I93"/>
  <c r="L93" s="1"/>
  <c r="J93"/>
  <c r="K93"/>
  <c r="Q93"/>
  <c r="T93" s="1"/>
  <c r="R93"/>
  <c r="S93"/>
  <c r="Y93"/>
  <c r="AB93" s="1"/>
  <c r="Z93"/>
  <c r="AA93"/>
  <c r="AG93"/>
  <c r="AJ93" s="1"/>
  <c r="AH93"/>
  <c r="AI93"/>
  <c r="AO93"/>
  <c r="AR93" s="1"/>
  <c r="AP93"/>
  <c r="AQ93"/>
  <c r="AW93"/>
  <c r="AZ93" s="1"/>
  <c r="AX93"/>
  <c r="AY93"/>
  <c r="I94"/>
  <c r="L94" s="1"/>
  <c r="J94"/>
  <c r="K94"/>
  <c r="Q94"/>
  <c r="T94" s="1"/>
  <c r="R94"/>
  <c r="S94"/>
  <c r="Y94"/>
  <c r="AB94" s="1"/>
  <c r="Z94"/>
  <c r="AA94"/>
  <c r="AG94"/>
  <c r="AJ94" s="1"/>
  <c r="AH94"/>
  <c r="AI94"/>
  <c r="AO94"/>
  <c r="AR94" s="1"/>
  <c r="AP94"/>
  <c r="AQ94"/>
  <c r="AW94"/>
  <c r="AZ94" s="1"/>
  <c r="AX94"/>
  <c r="AY94"/>
  <c r="I95"/>
  <c r="L95" s="1"/>
  <c r="J95"/>
  <c r="K95"/>
  <c r="Q95"/>
  <c r="T95" s="1"/>
  <c r="R95"/>
  <c r="S95"/>
  <c r="Y95"/>
  <c r="AB95" s="1"/>
  <c r="Z95"/>
  <c r="AA95"/>
  <c r="AG95"/>
  <c r="AJ95" s="1"/>
  <c r="AH95"/>
  <c r="AI95"/>
  <c r="AO95"/>
  <c r="AR95" s="1"/>
  <c r="AP95"/>
  <c r="AQ95"/>
  <c r="AW95"/>
  <c r="AZ95" s="1"/>
  <c r="AX95"/>
  <c r="AY95"/>
  <c r="I96"/>
  <c r="L96" s="1"/>
  <c r="J96"/>
  <c r="K96"/>
  <c r="Q96"/>
  <c r="T96" s="1"/>
  <c r="R96"/>
  <c r="S96"/>
  <c r="Y96"/>
  <c r="AB96" s="1"/>
  <c r="Z96"/>
  <c r="AA96"/>
  <c r="AG96"/>
  <c r="AJ96" s="1"/>
  <c r="AH96"/>
  <c r="AI96"/>
  <c r="AO96"/>
  <c r="AR96" s="1"/>
  <c r="AP96"/>
  <c r="AQ96"/>
  <c r="AW96"/>
  <c r="AZ96" s="1"/>
  <c r="AX96"/>
  <c r="AY96"/>
  <c r="I97"/>
  <c r="L97" s="1"/>
  <c r="J97"/>
  <c r="K97"/>
  <c r="Q97"/>
  <c r="T97" s="1"/>
  <c r="R97"/>
  <c r="S97"/>
  <c r="Y97"/>
  <c r="AB97" s="1"/>
  <c r="Z97"/>
  <c r="AA97"/>
  <c r="AG97"/>
  <c r="AJ97" s="1"/>
  <c r="AH97"/>
  <c r="AI97"/>
  <c r="AO97"/>
  <c r="AR97" s="1"/>
  <c r="AP97"/>
  <c r="AQ97"/>
  <c r="AW97"/>
  <c r="AZ97" s="1"/>
  <c r="AX97"/>
  <c r="AY97"/>
  <c r="I98"/>
  <c r="L98" s="1"/>
  <c r="J98"/>
  <c r="K98"/>
  <c r="Q98"/>
  <c r="T98" s="1"/>
  <c r="R98"/>
  <c r="S98"/>
  <c r="Y98"/>
  <c r="AB98" s="1"/>
  <c r="Z98"/>
  <c r="AA98"/>
  <c r="AG98"/>
  <c r="AJ98" s="1"/>
  <c r="AH98"/>
  <c r="AI98"/>
  <c r="AO98"/>
  <c r="AR98" s="1"/>
  <c r="AP98"/>
  <c r="AQ98"/>
  <c r="AW98"/>
  <c r="AZ98" s="1"/>
  <c r="AX98"/>
  <c r="AY98"/>
  <c r="I99"/>
  <c r="L99" s="1"/>
  <c r="J99"/>
  <c r="K99"/>
  <c r="Q99"/>
  <c r="T99" s="1"/>
  <c r="R99"/>
  <c r="S99"/>
  <c r="Y99"/>
  <c r="AB99" s="1"/>
  <c r="Z99"/>
  <c r="AA99"/>
  <c r="AG99"/>
  <c r="AJ99" s="1"/>
  <c r="AH99"/>
  <c r="AI99"/>
  <c r="AO99"/>
  <c r="AR99" s="1"/>
  <c r="AP99"/>
  <c r="AQ99"/>
  <c r="AW99"/>
  <c r="AZ99" s="1"/>
  <c r="AX99"/>
  <c r="AY99"/>
  <c r="I100"/>
  <c r="L100" s="1"/>
  <c r="J100"/>
  <c r="K100"/>
  <c r="Q100"/>
  <c r="T100" s="1"/>
  <c r="R100"/>
  <c r="S100"/>
  <c r="Y100"/>
  <c r="AB100" s="1"/>
  <c r="Z100"/>
  <c r="AA100"/>
  <c r="AG100"/>
  <c r="AJ100" s="1"/>
  <c r="AH100"/>
  <c r="AI100"/>
  <c r="AO100"/>
  <c r="AR100" s="1"/>
  <c r="AP100"/>
  <c r="AQ100"/>
  <c r="AW100"/>
  <c r="AZ100" s="1"/>
  <c r="AX100"/>
  <c r="AY100"/>
  <c r="C101"/>
  <c r="I101"/>
  <c r="L101" s="1"/>
  <c r="J101"/>
  <c r="K101"/>
  <c r="Q101"/>
  <c r="T101" s="1"/>
  <c r="R101"/>
  <c r="S101"/>
  <c r="Y101"/>
  <c r="AB101" s="1"/>
  <c r="Z101"/>
  <c r="AA101"/>
  <c r="AG101"/>
  <c r="AJ101" s="1"/>
  <c r="AH101"/>
  <c r="AI101"/>
  <c r="AO101"/>
  <c r="AR101" s="1"/>
  <c r="AP101"/>
  <c r="AQ101"/>
  <c r="AW101"/>
  <c r="AZ101" s="1"/>
  <c r="AX101"/>
  <c r="AY101"/>
  <c r="C102"/>
  <c r="I102"/>
  <c r="L102" s="1"/>
  <c r="J102"/>
  <c r="K102"/>
  <c r="Q102"/>
  <c r="T102" s="1"/>
  <c r="R102"/>
  <c r="S102"/>
  <c r="Y102"/>
  <c r="AB102" s="1"/>
  <c r="Z102"/>
  <c r="AA102"/>
  <c r="AG102"/>
  <c r="AJ102" s="1"/>
  <c r="AH102"/>
  <c r="AI102"/>
  <c r="AO102"/>
  <c r="AR102" s="1"/>
  <c r="AP102"/>
  <c r="AQ102"/>
  <c r="AW102"/>
  <c r="AZ102" s="1"/>
  <c r="AX102"/>
  <c r="AY102"/>
  <c r="C103"/>
  <c r="I103"/>
  <c r="L103" s="1"/>
  <c r="J103"/>
  <c r="K103"/>
  <c r="Q103"/>
  <c r="T103" s="1"/>
  <c r="R103"/>
  <c r="S103"/>
  <c r="Y103"/>
  <c r="AB103" s="1"/>
  <c r="Z103"/>
  <c r="AA103"/>
  <c r="AG103"/>
  <c r="AJ103" s="1"/>
  <c r="AH103"/>
  <c r="AI103"/>
  <c r="AO103"/>
  <c r="AR103" s="1"/>
  <c r="AP103"/>
  <c r="AQ103"/>
  <c r="AW103"/>
  <c r="AZ103" s="1"/>
  <c r="AX103"/>
  <c r="AY103"/>
  <c r="C104"/>
  <c r="I104"/>
  <c r="L104" s="1"/>
  <c r="J104"/>
  <c r="K104"/>
  <c r="Q104"/>
  <c r="T104" s="1"/>
  <c r="R104"/>
  <c r="S104"/>
  <c r="Y104"/>
  <c r="AB104" s="1"/>
  <c r="Z104"/>
  <c r="AA104"/>
  <c r="AG104"/>
  <c r="AJ104" s="1"/>
  <c r="AH104"/>
  <c r="AI104"/>
  <c r="AO104"/>
  <c r="AR104" s="1"/>
  <c r="AP104"/>
  <c r="AQ104"/>
  <c r="AW104"/>
  <c r="AZ104" s="1"/>
  <c r="AX104"/>
  <c r="AY104"/>
  <c r="C105"/>
  <c r="I105"/>
  <c r="L105" s="1"/>
  <c r="J105"/>
  <c r="K105"/>
  <c r="Q105"/>
  <c r="T105" s="1"/>
  <c r="R105"/>
  <c r="S105"/>
  <c r="Y105"/>
  <c r="AB105" s="1"/>
  <c r="Z105"/>
  <c r="AA105"/>
  <c r="AG105"/>
  <c r="AJ105" s="1"/>
  <c r="AH105"/>
  <c r="AI105"/>
  <c r="AO105"/>
  <c r="AR105" s="1"/>
  <c r="AP105"/>
  <c r="AQ105"/>
  <c r="AW105"/>
  <c r="AZ105" s="1"/>
  <c r="AX105"/>
  <c r="AY105"/>
  <c r="C106"/>
  <c r="I106"/>
  <c r="L106" s="1"/>
  <c r="J106"/>
  <c r="K106"/>
  <c r="Q106"/>
  <c r="T106" s="1"/>
  <c r="R106"/>
  <c r="S106"/>
  <c r="Y106"/>
  <c r="AB106" s="1"/>
  <c r="Z106"/>
  <c r="AA106"/>
  <c r="AG106"/>
  <c r="AJ106" s="1"/>
  <c r="AH106"/>
  <c r="AI106"/>
  <c r="AO106"/>
  <c r="AR106" s="1"/>
  <c r="AP106"/>
  <c r="AQ106"/>
  <c r="AW106"/>
  <c r="AZ106" s="1"/>
  <c r="AX106"/>
  <c r="AY106"/>
  <c r="E107"/>
  <c r="F107"/>
  <c r="G107"/>
  <c r="O107"/>
  <c r="U107"/>
  <c r="V107"/>
  <c r="W107"/>
  <c r="AE107"/>
  <c r="AK107"/>
  <c r="AL107"/>
  <c r="AM107"/>
  <c r="AU107"/>
  <c r="D86" i="37"/>
  <c r="D87" s="1"/>
  <c r="E86"/>
  <c r="E87" s="1"/>
  <c r="E116"/>
  <c r="E117" s="1"/>
  <c r="L6" i="29"/>
  <c r="S6"/>
  <c r="M9"/>
  <c r="O9"/>
  <c r="P9"/>
  <c r="Q9"/>
  <c r="T9"/>
  <c r="V9"/>
  <c r="W9"/>
  <c r="X9"/>
  <c r="N15"/>
  <c r="Y15"/>
  <c r="N16"/>
  <c r="M20"/>
  <c r="O20"/>
  <c r="P20"/>
  <c r="Q20"/>
  <c r="T20"/>
  <c r="V20"/>
  <c r="W20"/>
  <c r="R34" i="35" s="1"/>
  <c r="X20" i="29"/>
  <c r="S34" i="35" s="1"/>
  <c r="Y34"/>
  <c r="Z34"/>
  <c r="Q44"/>
  <c r="R44"/>
  <c r="S44"/>
  <c r="Y44"/>
  <c r="AA44"/>
  <c r="T28" i="29"/>
  <c r="M35"/>
  <c r="O35"/>
  <c r="P35"/>
  <c r="Q35"/>
  <c r="T35"/>
  <c r="V35"/>
  <c r="Q51" i="35" s="1"/>
  <c r="W35" i="29"/>
  <c r="R51" i="35" s="1"/>
  <c r="X35" i="29"/>
  <c r="S51" i="35" s="1"/>
  <c r="Y51"/>
  <c r="AA51"/>
  <c r="M46" i="29"/>
  <c r="O46"/>
  <c r="P46"/>
  <c r="Q46"/>
  <c r="N53"/>
  <c r="Q57" i="35"/>
  <c r="R57"/>
  <c r="S57"/>
  <c r="Y57"/>
  <c r="Z57"/>
  <c r="AA57"/>
  <c r="M62" i="29"/>
  <c r="O62"/>
  <c r="P62"/>
  <c r="Q62"/>
  <c r="T62"/>
  <c r="T44" s="1"/>
  <c r="V62"/>
  <c r="W62"/>
  <c r="X62"/>
  <c r="Y66" i="35"/>
  <c r="Z66"/>
  <c r="AA66"/>
  <c r="M67" i="29"/>
  <c r="O67"/>
  <c r="P67"/>
  <c r="Q67"/>
  <c r="Q69" i="35"/>
  <c r="R69"/>
  <c r="S69"/>
  <c r="Y69"/>
  <c r="Z69"/>
  <c r="AA69"/>
  <c r="M72" i="29"/>
  <c r="O72"/>
  <c r="P72"/>
  <c r="Q72"/>
  <c r="T72"/>
  <c r="V72"/>
  <c r="W72"/>
  <c r="R75" i="35" s="1"/>
  <c r="X72" i="29"/>
  <c r="S75" i="35" s="1"/>
  <c r="Y75"/>
  <c r="AA75"/>
  <c r="R79" i="29"/>
  <c r="T81"/>
  <c r="M88"/>
  <c r="O88"/>
  <c r="P88"/>
  <c r="Q88"/>
  <c r="T88"/>
  <c r="V88"/>
  <c r="W88"/>
  <c r="X88"/>
  <c r="U90"/>
  <c r="Y90" s="1"/>
  <c r="V141" i="7"/>
  <c r="V154"/>
  <c r="V166"/>
  <c r="F7" i="56"/>
  <c r="G7"/>
  <c r="I6" i="24"/>
  <c r="J6"/>
  <c r="K6"/>
  <c r="L6"/>
  <c r="M6"/>
  <c r="F6" i="6"/>
  <c r="G6"/>
  <c r="G180"/>
  <c r="G190" s="1"/>
  <c r="G181"/>
  <c r="G184"/>
  <c r="G189"/>
  <c r="G193"/>
  <c r="G194"/>
  <c r="G351"/>
  <c r="G350" s="1"/>
  <c r="G352"/>
  <c r="G355"/>
  <c r="G360"/>
  <c r="G364"/>
  <c r="G365"/>
  <c r="G522"/>
  <c r="G532" s="1"/>
  <c r="G523"/>
  <c r="G526"/>
  <c r="G531"/>
  <c r="G535"/>
  <c r="G536"/>
  <c r="C121" i="39"/>
  <c r="E131"/>
  <c r="F131"/>
  <c r="G131"/>
  <c r="H131"/>
  <c r="E143"/>
  <c r="F143"/>
  <c r="G143"/>
  <c r="H143"/>
  <c r="E158"/>
  <c r="F158"/>
  <c r="G158"/>
  <c r="H158"/>
  <c r="I158"/>
  <c r="J158"/>
  <c r="K158"/>
  <c r="L158"/>
  <c r="M158"/>
  <c r="N158"/>
  <c r="O158"/>
  <c r="P158"/>
  <c r="E169"/>
  <c r="F169"/>
  <c r="G169"/>
  <c r="H169"/>
  <c r="F184"/>
  <c r="G184"/>
  <c r="H184"/>
  <c r="E193"/>
  <c r="C237"/>
  <c r="Q274"/>
  <c r="C354"/>
  <c r="Q357"/>
  <c r="Q358"/>
  <c r="Q359"/>
  <c r="Q360"/>
  <c r="E364"/>
  <c r="F364"/>
  <c r="G364"/>
  <c r="I364"/>
  <c r="K364"/>
  <c r="L364"/>
  <c r="M364"/>
  <c r="O364"/>
  <c r="P364"/>
  <c r="Q362"/>
  <c r="Q363"/>
  <c r="K46" i="24" s="1"/>
  <c r="J364" i="39"/>
  <c r="N364"/>
  <c r="Q365"/>
  <c r="Q366"/>
  <c r="E368"/>
  <c r="F368"/>
  <c r="G368"/>
  <c r="H368"/>
  <c r="I368"/>
  <c r="J368"/>
  <c r="K368"/>
  <c r="L368"/>
  <c r="M368"/>
  <c r="N368"/>
  <c r="O368"/>
  <c r="P368"/>
  <c r="Q369"/>
  <c r="E370"/>
  <c r="F370"/>
  <c r="G370"/>
  <c r="H370"/>
  <c r="I370"/>
  <c r="J370"/>
  <c r="K370"/>
  <c r="L370"/>
  <c r="M370"/>
  <c r="N370"/>
  <c r="O370"/>
  <c r="P370"/>
  <c r="Q371"/>
  <c r="Q372"/>
  <c r="Q373"/>
  <c r="Q374"/>
  <c r="Q375"/>
  <c r="Q376"/>
  <c r="E377"/>
  <c r="F377"/>
  <c r="G377"/>
  <c r="H377"/>
  <c r="I377"/>
  <c r="J377"/>
  <c r="K377"/>
  <c r="L377"/>
  <c r="M377"/>
  <c r="N377"/>
  <c r="O377"/>
  <c r="P377"/>
  <c r="Q379"/>
  <c r="Q380"/>
  <c r="Q381"/>
  <c r="Q382"/>
  <c r="Q383"/>
  <c r="Q384"/>
  <c r="E385"/>
  <c r="F385"/>
  <c r="G385"/>
  <c r="H385"/>
  <c r="I385"/>
  <c r="J385"/>
  <c r="K385"/>
  <c r="L385"/>
  <c r="M385"/>
  <c r="N385"/>
  <c r="O385"/>
  <c r="P385"/>
  <c r="Q386"/>
  <c r="Q387"/>
  <c r="Q388"/>
  <c r="Q389"/>
  <c r="Q391"/>
  <c r="E390"/>
  <c r="G390"/>
  <c r="H390"/>
  <c r="I390"/>
  <c r="J390"/>
  <c r="K390"/>
  <c r="L390"/>
  <c r="M390"/>
  <c r="N390"/>
  <c r="O390"/>
  <c r="P390"/>
  <c r="Q393"/>
  <c r="Q394"/>
  <c r="Q395"/>
  <c r="Q396"/>
  <c r="E398"/>
  <c r="F398"/>
  <c r="G398"/>
  <c r="H398"/>
  <c r="I398"/>
  <c r="J398"/>
  <c r="K398"/>
  <c r="L398"/>
  <c r="M398"/>
  <c r="N398"/>
  <c r="O398"/>
  <c r="P398"/>
  <c r="Q399"/>
  <c r="E400"/>
  <c r="F400"/>
  <c r="G400"/>
  <c r="H400"/>
  <c r="I400"/>
  <c r="J400"/>
  <c r="K400"/>
  <c r="L400"/>
  <c r="M400"/>
  <c r="N400"/>
  <c r="O400"/>
  <c r="P400"/>
  <c r="Q401"/>
  <c r="Q402"/>
  <c r="Q403"/>
  <c r="Q404"/>
  <c r="Q405"/>
  <c r="Q406"/>
  <c r="E407"/>
  <c r="F407"/>
  <c r="G407"/>
  <c r="H407"/>
  <c r="I407"/>
  <c r="J407"/>
  <c r="K407"/>
  <c r="L407"/>
  <c r="M407"/>
  <c r="N407"/>
  <c r="O407"/>
  <c r="P407"/>
  <c r="Q409"/>
  <c r="Q410"/>
  <c r="Q411"/>
  <c r="Q412"/>
  <c r="Q413"/>
  <c r="Q414"/>
  <c r="E415"/>
  <c r="F415"/>
  <c r="G415"/>
  <c r="H415"/>
  <c r="I415"/>
  <c r="J415"/>
  <c r="K415"/>
  <c r="L415"/>
  <c r="M415"/>
  <c r="N415"/>
  <c r="O415"/>
  <c r="P415"/>
  <c r="Q416"/>
  <c r="Q417"/>
  <c r="Q418"/>
  <c r="Q419"/>
  <c r="Q421"/>
  <c r="E420"/>
  <c r="F420"/>
  <c r="G420"/>
  <c r="H420"/>
  <c r="I420"/>
  <c r="J420"/>
  <c r="K420"/>
  <c r="L420"/>
  <c r="M420"/>
  <c r="N420"/>
  <c r="O420"/>
  <c r="P420"/>
  <c r="Q423"/>
  <c r="Q424"/>
  <c r="Q425"/>
  <c r="E427"/>
  <c r="F427"/>
  <c r="G427"/>
  <c r="H427"/>
  <c r="I427"/>
  <c r="J427"/>
  <c r="K427"/>
  <c r="L427"/>
  <c r="M427"/>
  <c r="N427"/>
  <c r="O427"/>
  <c r="P427"/>
  <c r="Q428"/>
  <c r="E429"/>
  <c r="F429"/>
  <c r="G429"/>
  <c r="H429"/>
  <c r="I429"/>
  <c r="J429"/>
  <c r="K429"/>
  <c r="L429"/>
  <c r="M429"/>
  <c r="N429"/>
  <c r="O429"/>
  <c r="P429"/>
  <c r="Q430"/>
  <c r="Q431"/>
  <c r="Q432"/>
  <c r="Q433"/>
  <c r="Q434"/>
  <c r="Q435"/>
  <c r="E436"/>
  <c r="F436"/>
  <c r="G436"/>
  <c r="H436"/>
  <c r="I436"/>
  <c r="J436"/>
  <c r="K436"/>
  <c r="L436"/>
  <c r="M436"/>
  <c r="N436"/>
  <c r="O436"/>
  <c r="P436"/>
  <c r="Q438"/>
  <c r="Q439"/>
  <c r="Q440"/>
  <c r="Q441"/>
  <c r="Q442"/>
  <c r="Q443"/>
  <c r="E444"/>
  <c r="F444"/>
  <c r="G444"/>
  <c r="H444"/>
  <c r="I444"/>
  <c r="J444"/>
  <c r="K444"/>
  <c r="L444"/>
  <c r="M444"/>
  <c r="N444"/>
  <c r="O444"/>
  <c r="P444"/>
  <c r="Q445"/>
  <c r="Q446"/>
  <c r="Q447"/>
  <c r="Q448"/>
  <c r="Q450"/>
  <c r="E449"/>
  <c r="F449"/>
  <c r="G449"/>
  <c r="H449"/>
  <c r="I449"/>
  <c r="J449"/>
  <c r="K449"/>
  <c r="L449"/>
  <c r="M449"/>
  <c r="N449"/>
  <c r="O449"/>
  <c r="P449"/>
  <c r="Q452"/>
  <c r="Q453"/>
  <c r="Q454"/>
  <c r="C488"/>
  <c r="Q527"/>
  <c r="C610"/>
  <c r="Q621"/>
  <c r="Q622"/>
  <c r="G7" i="22"/>
  <c r="H7"/>
  <c r="I7"/>
  <c r="J7"/>
  <c r="K7"/>
  <c r="L7"/>
  <c r="M7"/>
  <c r="N7"/>
  <c r="O7"/>
  <c r="P7"/>
  <c r="Q7"/>
  <c r="R7"/>
  <c r="O13"/>
  <c r="G16"/>
  <c r="G19" i="1" s="1"/>
  <c r="H16" i="22"/>
  <c r="H19" i="1" s="1"/>
  <c r="I16" i="22"/>
  <c r="J16"/>
  <c r="K16"/>
  <c r="L16"/>
  <c r="G7" i="5"/>
  <c r="H7"/>
  <c r="I7"/>
  <c r="J7"/>
  <c r="K7"/>
  <c r="L7"/>
  <c r="G7" i="4"/>
  <c r="H7"/>
  <c r="I7"/>
  <c r="J7"/>
  <c r="K7"/>
  <c r="L7"/>
  <c r="G11"/>
  <c r="H8" s="1"/>
  <c r="G20"/>
  <c r="H20"/>
  <c r="I20"/>
  <c r="J20"/>
  <c r="K20"/>
  <c r="L20"/>
  <c r="C16" i="32"/>
  <c r="H18"/>
  <c r="H20"/>
  <c r="F21"/>
  <c r="G21"/>
  <c r="C24"/>
  <c r="H26"/>
  <c r="H28"/>
  <c r="C21" i="33"/>
  <c r="F23"/>
  <c r="H23" s="1"/>
  <c r="G23"/>
  <c r="I23"/>
  <c r="F28"/>
  <c r="F32" s="1"/>
  <c r="G28"/>
  <c r="I28"/>
  <c r="C34"/>
  <c r="F36"/>
  <c r="H36" s="1"/>
  <c r="G36"/>
  <c r="I36"/>
  <c r="F41"/>
  <c r="H41" s="1"/>
  <c r="G41"/>
  <c r="I41"/>
  <c r="I10" i="60"/>
  <c r="S10" s="1"/>
  <c r="O10"/>
  <c r="P10"/>
  <c r="Q10"/>
  <c r="I11"/>
  <c r="S11" s="1"/>
  <c r="O11"/>
  <c r="P11"/>
  <c r="I12"/>
  <c r="S12" s="1"/>
  <c r="O12"/>
  <c r="Q12"/>
  <c r="I13"/>
  <c r="S13" s="1"/>
  <c r="O13"/>
  <c r="P13"/>
  <c r="I14"/>
  <c r="S14" s="1"/>
  <c r="O14"/>
  <c r="Q14"/>
  <c r="O15"/>
  <c r="P15"/>
  <c r="Q15"/>
  <c r="R15"/>
  <c r="S15"/>
  <c r="T15"/>
  <c r="U15"/>
  <c r="O16"/>
  <c r="P16"/>
  <c r="Q16"/>
  <c r="R16"/>
  <c r="S16"/>
  <c r="T16"/>
  <c r="U16"/>
  <c r="O17"/>
  <c r="P17"/>
  <c r="Q17"/>
  <c r="R17"/>
  <c r="S17"/>
  <c r="T17"/>
  <c r="U17"/>
  <c r="O18"/>
  <c r="P18"/>
  <c r="Q18"/>
  <c r="R18"/>
  <c r="S18"/>
  <c r="T18"/>
  <c r="U18"/>
  <c r="O19"/>
  <c r="P19"/>
  <c r="Q19"/>
  <c r="R19"/>
  <c r="S19"/>
  <c r="T19"/>
  <c r="U19"/>
  <c r="O20"/>
  <c r="P20"/>
  <c r="Q20"/>
  <c r="R20"/>
  <c r="S20"/>
  <c r="T20"/>
  <c r="U20"/>
  <c r="O21"/>
  <c r="P21"/>
  <c r="Q21"/>
  <c r="R21"/>
  <c r="S21"/>
  <c r="T21"/>
  <c r="U21"/>
  <c r="O22"/>
  <c r="P22"/>
  <c r="Q22"/>
  <c r="R22"/>
  <c r="S22"/>
  <c r="T22"/>
  <c r="U22"/>
  <c r="O23"/>
  <c r="P23"/>
  <c r="Q23"/>
  <c r="R23"/>
  <c r="S23"/>
  <c r="T23"/>
  <c r="U23"/>
  <c r="O24"/>
  <c r="P24"/>
  <c r="Q24"/>
  <c r="R24"/>
  <c r="S24"/>
  <c r="T24"/>
  <c r="U24"/>
  <c r="O25"/>
  <c r="P25"/>
  <c r="Q25"/>
  <c r="R25"/>
  <c r="S25"/>
  <c r="T25"/>
  <c r="U25"/>
  <c r="O26"/>
  <c r="P26"/>
  <c r="Q26"/>
  <c r="R26"/>
  <c r="S26"/>
  <c r="T26"/>
  <c r="U26"/>
  <c r="O27"/>
  <c r="P27"/>
  <c r="Q27"/>
  <c r="R27"/>
  <c r="S27"/>
  <c r="T27"/>
  <c r="U27"/>
  <c r="O28"/>
  <c r="P28"/>
  <c r="Q28"/>
  <c r="R28"/>
  <c r="S28"/>
  <c r="T28"/>
  <c r="U28"/>
  <c r="O29"/>
  <c r="P29"/>
  <c r="Q29"/>
  <c r="R29"/>
  <c r="S29"/>
  <c r="T29"/>
  <c r="U29"/>
  <c r="O30"/>
  <c r="P30"/>
  <c r="Q30"/>
  <c r="R30"/>
  <c r="S30"/>
  <c r="T30"/>
  <c r="U30"/>
  <c r="O31"/>
  <c r="P31"/>
  <c r="Q31"/>
  <c r="R31"/>
  <c r="S31"/>
  <c r="T31"/>
  <c r="U31"/>
  <c r="O32"/>
  <c r="P32"/>
  <c r="Q32"/>
  <c r="R32"/>
  <c r="S32"/>
  <c r="T32"/>
  <c r="U32"/>
  <c r="O33"/>
  <c r="P33"/>
  <c r="Q33"/>
  <c r="R33"/>
  <c r="S33"/>
  <c r="T33"/>
  <c r="U33"/>
  <c r="O34"/>
  <c r="P34"/>
  <c r="Q34"/>
  <c r="R34"/>
  <c r="S34"/>
  <c r="T34"/>
  <c r="U34"/>
  <c r="O35"/>
  <c r="P35"/>
  <c r="Q35"/>
  <c r="R35"/>
  <c r="S35"/>
  <c r="T35"/>
  <c r="U35"/>
  <c r="O36"/>
  <c r="P36"/>
  <c r="Q36"/>
  <c r="R36"/>
  <c r="S36"/>
  <c r="T36"/>
  <c r="U36"/>
  <c r="O37"/>
  <c r="P37"/>
  <c r="Q37"/>
  <c r="R37"/>
  <c r="S37"/>
  <c r="T37"/>
  <c r="U37"/>
  <c r="O38"/>
  <c r="P38"/>
  <c r="Q38"/>
  <c r="R38"/>
  <c r="S38"/>
  <c r="T38"/>
  <c r="U38"/>
  <c r="O39"/>
  <c r="P39"/>
  <c r="Q39"/>
  <c r="R39"/>
  <c r="S39"/>
  <c r="T39"/>
  <c r="U39"/>
  <c r="O40"/>
  <c r="P40"/>
  <c r="Q40"/>
  <c r="R40"/>
  <c r="S40"/>
  <c r="T40"/>
  <c r="U40"/>
  <c r="O41"/>
  <c r="P41"/>
  <c r="Q41"/>
  <c r="R41"/>
  <c r="S41"/>
  <c r="T41"/>
  <c r="U41"/>
  <c r="O42"/>
  <c r="P42"/>
  <c r="Q42"/>
  <c r="R42"/>
  <c r="S42"/>
  <c r="T42"/>
  <c r="U42"/>
  <c r="O43"/>
  <c r="P43"/>
  <c r="Q43"/>
  <c r="R43"/>
  <c r="S43"/>
  <c r="T43"/>
  <c r="U43"/>
  <c r="O44"/>
  <c r="P44"/>
  <c r="Q44"/>
  <c r="R44"/>
  <c r="S44"/>
  <c r="T44"/>
  <c r="U44"/>
  <c r="O45"/>
  <c r="P45"/>
  <c r="Q45"/>
  <c r="R45"/>
  <c r="S45"/>
  <c r="T45"/>
  <c r="U45"/>
  <c r="O46"/>
  <c r="P46"/>
  <c r="Q46"/>
  <c r="R46"/>
  <c r="S46"/>
  <c r="T46"/>
  <c r="U46"/>
  <c r="O47"/>
  <c r="P47"/>
  <c r="Q47"/>
  <c r="R47"/>
  <c r="S47"/>
  <c r="T47"/>
  <c r="U47"/>
  <c r="O48"/>
  <c r="P48"/>
  <c r="Q48"/>
  <c r="R48"/>
  <c r="S48"/>
  <c r="T48"/>
  <c r="U48"/>
  <c r="O49"/>
  <c r="P49"/>
  <c r="Q49"/>
  <c r="R49"/>
  <c r="S49"/>
  <c r="T49"/>
  <c r="U49"/>
  <c r="O50"/>
  <c r="P50"/>
  <c r="Q50"/>
  <c r="R50"/>
  <c r="S50"/>
  <c r="T50"/>
  <c r="U50"/>
  <c r="O51"/>
  <c r="P51"/>
  <c r="Q51"/>
  <c r="R51"/>
  <c r="S51"/>
  <c r="T51"/>
  <c r="U51"/>
  <c r="O52"/>
  <c r="P52"/>
  <c r="Q52"/>
  <c r="R52"/>
  <c r="S52"/>
  <c r="T52"/>
  <c r="U52"/>
  <c r="O53"/>
  <c r="P53"/>
  <c r="Q53"/>
  <c r="R53"/>
  <c r="S53"/>
  <c r="T53"/>
  <c r="U53"/>
  <c r="O54"/>
  <c r="P54"/>
  <c r="Q54"/>
  <c r="R54"/>
  <c r="S54"/>
  <c r="T54"/>
  <c r="U54"/>
  <c r="O55"/>
  <c r="P55"/>
  <c r="Q55"/>
  <c r="R55"/>
  <c r="S55"/>
  <c r="T55"/>
  <c r="U55"/>
  <c r="O56"/>
  <c r="P56"/>
  <c r="Q56"/>
  <c r="R56"/>
  <c r="S56"/>
  <c r="T56"/>
  <c r="U56"/>
  <c r="O57"/>
  <c r="P57"/>
  <c r="Q57"/>
  <c r="R57"/>
  <c r="S57"/>
  <c r="T57"/>
  <c r="U57"/>
  <c r="O58"/>
  <c r="P58"/>
  <c r="Q58"/>
  <c r="R58"/>
  <c r="S58"/>
  <c r="T58"/>
  <c r="U58"/>
  <c r="O59"/>
  <c r="P59"/>
  <c r="Q59"/>
  <c r="R59"/>
  <c r="S59"/>
  <c r="T59"/>
  <c r="U59"/>
  <c r="O60"/>
  <c r="P60"/>
  <c r="Q60"/>
  <c r="R60"/>
  <c r="S60"/>
  <c r="T60"/>
  <c r="U60"/>
  <c r="O61"/>
  <c r="P61"/>
  <c r="Q61"/>
  <c r="R61"/>
  <c r="S61"/>
  <c r="T61"/>
  <c r="U61"/>
  <c r="O62"/>
  <c r="P62"/>
  <c r="Q62"/>
  <c r="R62"/>
  <c r="S62"/>
  <c r="T62"/>
  <c r="U62"/>
  <c r="O63"/>
  <c r="P63"/>
  <c r="Q63"/>
  <c r="R63"/>
  <c r="S63"/>
  <c r="T63"/>
  <c r="U63"/>
  <c r="O64"/>
  <c r="P64"/>
  <c r="Q64"/>
  <c r="R64"/>
  <c r="S64"/>
  <c r="T64"/>
  <c r="U64"/>
  <c r="O65"/>
  <c r="P65"/>
  <c r="Q65"/>
  <c r="R65"/>
  <c r="S65"/>
  <c r="T65"/>
  <c r="U65"/>
  <c r="O66"/>
  <c r="P66"/>
  <c r="Q66"/>
  <c r="R66"/>
  <c r="S66"/>
  <c r="T66"/>
  <c r="U66"/>
  <c r="O67"/>
  <c r="P67"/>
  <c r="Q67"/>
  <c r="R67"/>
  <c r="S67"/>
  <c r="T67"/>
  <c r="U67"/>
  <c r="O68"/>
  <c r="P68"/>
  <c r="Q68"/>
  <c r="R68"/>
  <c r="S68"/>
  <c r="T68"/>
  <c r="U68"/>
  <c r="O69"/>
  <c r="P69"/>
  <c r="Q69"/>
  <c r="R69"/>
  <c r="S69"/>
  <c r="T69"/>
  <c r="U69"/>
  <c r="O70"/>
  <c r="P70"/>
  <c r="Q70"/>
  <c r="R70"/>
  <c r="S70"/>
  <c r="T70"/>
  <c r="U70"/>
  <c r="O71"/>
  <c r="P71"/>
  <c r="Q71"/>
  <c r="R71"/>
  <c r="S71"/>
  <c r="T71"/>
  <c r="U71"/>
  <c r="O72"/>
  <c r="P72"/>
  <c r="Q72"/>
  <c r="R72"/>
  <c r="S72"/>
  <c r="T72"/>
  <c r="U72"/>
  <c r="O73"/>
  <c r="P73"/>
  <c r="Q73"/>
  <c r="R73"/>
  <c r="S73"/>
  <c r="T73"/>
  <c r="U73"/>
  <c r="O74"/>
  <c r="P74"/>
  <c r="Q74"/>
  <c r="R74"/>
  <c r="S74"/>
  <c r="T74"/>
  <c r="U74"/>
  <c r="O75"/>
  <c r="P75"/>
  <c r="Q75"/>
  <c r="R75"/>
  <c r="S75"/>
  <c r="T75"/>
  <c r="U75"/>
  <c r="O76"/>
  <c r="P76"/>
  <c r="Q76"/>
  <c r="R76"/>
  <c r="S76"/>
  <c r="T76"/>
  <c r="U76"/>
  <c r="O77"/>
  <c r="P77"/>
  <c r="Q77"/>
  <c r="R77"/>
  <c r="S77"/>
  <c r="T77"/>
  <c r="U77"/>
  <c r="O78"/>
  <c r="P78"/>
  <c r="Q78"/>
  <c r="R78"/>
  <c r="S78"/>
  <c r="T78"/>
  <c r="U78"/>
  <c r="O79"/>
  <c r="P79"/>
  <c r="Q79"/>
  <c r="R79"/>
  <c r="S79"/>
  <c r="T79"/>
  <c r="U79"/>
  <c r="O80"/>
  <c r="P80"/>
  <c r="Q80"/>
  <c r="R80"/>
  <c r="S80"/>
  <c r="T80"/>
  <c r="U80"/>
  <c r="O81"/>
  <c r="P81"/>
  <c r="Q81"/>
  <c r="R81"/>
  <c r="S81"/>
  <c r="T81"/>
  <c r="U81"/>
  <c r="O82"/>
  <c r="P82"/>
  <c r="Q82"/>
  <c r="R82"/>
  <c r="S82"/>
  <c r="T82"/>
  <c r="U82"/>
  <c r="O83"/>
  <c r="P83"/>
  <c r="Q83"/>
  <c r="R83"/>
  <c r="S83"/>
  <c r="T83"/>
  <c r="U83"/>
  <c r="O84"/>
  <c r="P84"/>
  <c r="Q84"/>
  <c r="R84"/>
  <c r="S84"/>
  <c r="T84"/>
  <c r="U84"/>
  <c r="O85"/>
  <c r="P85"/>
  <c r="Q85"/>
  <c r="R85"/>
  <c r="S85"/>
  <c r="T85"/>
  <c r="U85"/>
  <c r="O86"/>
  <c r="P86"/>
  <c r="Q86"/>
  <c r="R86"/>
  <c r="S86"/>
  <c r="T86"/>
  <c r="U86"/>
  <c r="O87"/>
  <c r="P87"/>
  <c r="Q87"/>
  <c r="R87"/>
  <c r="S87"/>
  <c r="T87"/>
  <c r="U87"/>
  <c r="O88"/>
  <c r="P88"/>
  <c r="Q88"/>
  <c r="R88"/>
  <c r="S88"/>
  <c r="T88"/>
  <c r="U88"/>
  <c r="O89"/>
  <c r="P89"/>
  <c r="Q89"/>
  <c r="R89"/>
  <c r="S89"/>
  <c r="T89"/>
  <c r="U89"/>
  <c r="O90"/>
  <c r="P90"/>
  <c r="Q90"/>
  <c r="R90"/>
  <c r="S90"/>
  <c r="T90"/>
  <c r="U90"/>
  <c r="O91"/>
  <c r="P91"/>
  <c r="Q91"/>
  <c r="R91"/>
  <c r="S91"/>
  <c r="T91"/>
  <c r="U91"/>
  <c r="O92"/>
  <c r="P92"/>
  <c r="Q92"/>
  <c r="R92"/>
  <c r="S92"/>
  <c r="T92"/>
  <c r="U92"/>
  <c r="O93"/>
  <c r="P93"/>
  <c r="Q93"/>
  <c r="R93"/>
  <c r="S93"/>
  <c r="T93"/>
  <c r="U93"/>
  <c r="O94"/>
  <c r="P94"/>
  <c r="Q94"/>
  <c r="R94"/>
  <c r="S94"/>
  <c r="T94"/>
  <c r="U94"/>
  <c r="O95"/>
  <c r="P95"/>
  <c r="Q95"/>
  <c r="R95"/>
  <c r="S95"/>
  <c r="T95"/>
  <c r="U95"/>
  <c r="O96"/>
  <c r="P96"/>
  <c r="Q96"/>
  <c r="R96"/>
  <c r="S96"/>
  <c r="T96"/>
  <c r="U96"/>
  <c r="O97"/>
  <c r="P97"/>
  <c r="Q97"/>
  <c r="R97"/>
  <c r="S97"/>
  <c r="T97"/>
  <c r="U97"/>
  <c r="O98"/>
  <c r="P98"/>
  <c r="Q98"/>
  <c r="R98"/>
  <c r="S98"/>
  <c r="T98"/>
  <c r="U98"/>
  <c r="O99"/>
  <c r="P99"/>
  <c r="Q99"/>
  <c r="R99"/>
  <c r="S99"/>
  <c r="T99"/>
  <c r="U99"/>
  <c r="O100"/>
  <c r="P100"/>
  <c r="Q100"/>
  <c r="R100"/>
  <c r="S100"/>
  <c r="T100"/>
  <c r="U100"/>
  <c r="O101"/>
  <c r="P101"/>
  <c r="Q101"/>
  <c r="R101"/>
  <c r="S101"/>
  <c r="T101"/>
  <c r="U101"/>
  <c r="O102"/>
  <c r="P102"/>
  <c r="Q102"/>
  <c r="R102"/>
  <c r="S102"/>
  <c r="T102"/>
  <c r="U102"/>
  <c r="O103"/>
  <c r="P103"/>
  <c r="Q103"/>
  <c r="R103"/>
  <c r="S103"/>
  <c r="T103"/>
  <c r="U103"/>
  <c r="O104"/>
  <c r="P104"/>
  <c r="Q104"/>
  <c r="R104"/>
  <c r="S104"/>
  <c r="T104"/>
  <c r="U104"/>
  <c r="O105"/>
  <c r="P105"/>
  <c r="Q105"/>
  <c r="R105"/>
  <c r="S105"/>
  <c r="T105"/>
  <c r="U105"/>
  <c r="O106"/>
  <c r="P106"/>
  <c r="Q106"/>
  <c r="R106"/>
  <c r="S106"/>
  <c r="T106"/>
  <c r="U106"/>
  <c r="O107"/>
  <c r="P107"/>
  <c r="Q107"/>
  <c r="R107"/>
  <c r="S107"/>
  <c r="T107"/>
  <c r="U107"/>
  <c r="O108"/>
  <c r="P108"/>
  <c r="Q108"/>
  <c r="R108"/>
  <c r="S108"/>
  <c r="T108"/>
  <c r="U108"/>
  <c r="O109"/>
  <c r="P109"/>
  <c r="Q109"/>
  <c r="R109"/>
  <c r="S109"/>
  <c r="T109"/>
  <c r="U109"/>
  <c r="O110"/>
  <c r="P110"/>
  <c r="Q110"/>
  <c r="R110"/>
  <c r="S110"/>
  <c r="T110"/>
  <c r="U110"/>
  <c r="O111"/>
  <c r="P111"/>
  <c r="Q111"/>
  <c r="R111"/>
  <c r="S111"/>
  <c r="T111"/>
  <c r="U111"/>
  <c r="O112"/>
  <c r="P112"/>
  <c r="Q112"/>
  <c r="R112"/>
  <c r="S112"/>
  <c r="T112"/>
  <c r="U112"/>
  <c r="O113"/>
  <c r="P113"/>
  <c r="Q113"/>
  <c r="R113"/>
  <c r="S113"/>
  <c r="T113"/>
  <c r="U113"/>
  <c r="O114"/>
  <c r="P114"/>
  <c r="Q114"/>
  <c r="R114"/>
  <c r="S114"/>
  <c r="T114"/>
  <c r="U114"/>
  <c r="O115"/>
  <c r="P115"/>
  <c r="Q115"/>
  <c r="R115"/>
  <c r="S115"/>
  <c r="T115"/>
  <c r="U115"/>
  <c r="O116"/>
  <c r="P116"/>
  <c r="Q116"/>
  <c r="R116"/>
  <c r="S116"/>
  <c r="T116"/>
  <c r="U116"/>
  <c r="O117"/>
  <c r="P117"/>
  <c r="Q117"/>
  <c r="R117"/>
  <c r="S117"/>
  <c r="T117"/>
  <c r="U117"/>
  <c r="O118"/>
  <c r="P118"/>
  <c r="Q118"/>
  <c r="R118"/>
  <c r="S118"/>
  <c r="T118"/>
  <c r="U118"/>
  <c r="O119"/>
  <c r="P119"/>
  <c r="Q119"/>
  <c r="R119"/>
  <c r="S119"/>
  <c r="T119"/>
  <c r="U119"/>
  <c r="O120"/>
  <c r="P120"/>
  <c r="Q120"/>
  <c r="R120"/>
  <c r="S120"/>
  <c r="T120"/>
  <c r="U120"/>
  <c r="O121"/>
  <c r="P121"/>
  <c r="Q121"/>
  <c r="R121"/>
  <c r="S121"/>
  <c r="T121"/>
  <c r="U121"/>
  <c r="O122"/>
  <c r="P122"/>
  <c r="Q122"/>
  <c r="R122"/>
  <c r="S122"/>
  <c r="T122"/>
  <c r="U122"/>
  <c r="O123"/>
  <c r="P123"/>
  <c r="Q123"/>
  <c r="R123"/>
  <c r="S123"/>
  <c r="T123"/>
  <c r="U123"/>
  <c r="O124"/>
  <c r="P124"/>
  <c r="Q124"/>
  <c r="R124"/>
  <c r="S124"/>
  <c r="T124"/>
  <c r="U124"/>
  <c r="O125"/>
  <c r="P125"/>
  <c r="Q125"/>
  <c r="R125"/>
  <c r="S125"/>
  <c r="T125"/>
  <c r="U125"/>
  <c r="O126"/>
  <c r="P126"/>
  <c r="Q126"/>
  <c r="R126"/>
  <c r="S126"/>
  <c r="T126"/>
  <c r="U126"/>
  <c r="O127"/>
  <c r="P127"/>
  <c r="Q127"/>
  <c r="R127"/>
  <c r="S127"/>
  <c r="T127"/>
  <c r="U127"/>
  <c r="O128"/>
  <c r="P128"/>
  <c r="Q128"/>
  <c r="R128"/>
  <c r="S128"/>
  <c r="T128"/>
  <c r="U128"/>
  <c r="O129"/>
  <c r="P129"/>
  <c r="Q129"/>
  <c r="R129"/>
  <c r="S129"/>
  <c r="T129"/>
  <c r="U129"/>
  <c r="O130"/>
  <c r="P130"/>
  <c r="Q130"/>
  <c r="R130"/>
  <c r="S130"/>
  <c r="T130"/>
  <c r="U130"/>
  <c r="O131"/>
  <c r="P131"/>
  <c r="Q131"/>
  <c r="R131"/>
  <c r="S131"/>
  <c r="T131"/>
  <c r="U131"/>
  <c r="O132"/>
  <c r="P132"/>
  <c r="Q132"/>
  <c r="R132"/>
  <c r="S132"/>
  <c r="T132"/>
  <c r="U132"/>
  <c r="O133"/>
  <c r="P133"/>
  <c r="Q133"/>
  <c r="R133"/>
  <c r="S133"/>
  <c r="T133"/>
  <c r="U133"/>
  <c r="O134"/>
  <c r="P134"/>
  <c r="Q134"/>
  <c r="R134"/>
  <c r="S134"/>
  <c r="T134"/>
  <c r="U134"/>
  <c r="O135"/>
  <c r="P135"/>
  <c r="Q135"/>
  <c r="R135"/>
  <c r="S135"/>
  <c r="T135"/>
  <c r="U135"/>
  <c r="O136"/>
  <c r="P136"/>
  <c r="Q136"/>
  <c r="R136"/>
  <c r="S136"/>
  <c r="T136"/>
  <c r="U136"/>
  <c r="O137"/>
  <c r="P137"/>
  <c r="Q137"/>
  <c r="R137"/>
  <c r="S137"/>
  <c r="T137"/>
  <c r="U137"/>
  <c r="O138"/>
  <c r="P138"/>
  <c r="Q138"/>
  <c r="R138"/>
  <c r="S138"/>
  <c r="T138"/>
  <c r="U138"/>
  <c r="O139"/>
  <c r="P139"/>
  <c r="Q139"/>
  <c r="R139"/>
  <c r="S139"/>
  <c r="T139"/>
  <c r="U139"/>
  <c r="O140"/>
  <c r="P140"/>
  <c r="Q140"/>
  <c r="R140"/>
  <c r="S140"/>
  <c r="T140"/>
  <c r="U140"/>
  <c r="O141"/>
  <c r="P141"/>
  <c r="Q141"/>
  <c r="R141"/>
  <c r="S141"/>
  <c r="T141"/>
  <c r="U141"/>
  <c r="O142"/>
  <c r="P142"/>
  <c r="Q142"/>
  <c r="R142"/>
  <c r="S142"/>
  <c r="T142"/>
  <c r="U142"/>
  <c r="O143"/>
  <c r="P143"/>
  <c r="Q143"/>
  <c r="R143"/>
  <c r="S143"/>
  <c r="T143"/>
  <c r="U143"/>
  <c r="O144"/>
  <c r="P144"/>
  <c r="Q144"/>
  <c r="R144"/>
  <c r="S144"/>
  <c r="T144"/>
  <c r="U144"/>
  <c r="O145"/>
  <c r="P145"/>
  <c r="Q145"/>
  <c r="R145"/>
  <c r="S145"/>
  <c r="T145"/>
  <c r="U145"/>
  <c r="O146"/>
  <c r="P146"/>
  <c r="Q146"/>
  <c r="R146"/>
  <c r="S146"/>
  <c r="T146"/>
  <c r="U146"/>
  <c r="O147"/>
  <c r="P147"/>
  <c r="Q147"/>
  <c r="R147"/>
  <c r="S147"/>
  <c r="T147"/>
  <c r="U147"/>
  <c r="O148"/>
  <c r="P148"/>
  <c r="Q148"/>
  <c r="R148"/>
  <c r="S148"/>
  <c r="T148"/>
  <c r="U148"/>
  <c r="O149"/>
  <c r="P149"/>
  <c r="Q149"/>
  <c r="R149"/>
  <c r="S149"/>
  <c r="T149"/>
  <c r="U149"/>
  <c r="O150"/>
  <c r="P150"/>
  <c r="Q150"/>
  <c r="R150"/>
  <c r="S150"/>
  <c r="T150"/>
  <c r="U150"/>
  <c r="O151"/>
  <c r="P151"/>
  <c r="Q151"/>
  <c r="R151"/>
  <c r="S151"/>
  <c r="T151"/>
  <c r="U151"/>
  <c r="O152"/>
  <c r="P152"/>
  <c r="Q152"/>
  <c r="R152"/>
  <c r="S152"/>
  <c r="T152"/>
  <c r="U152"/>
  <c r="O153"/>
  <c r="P153"/>
  <c r="Q153"/>
  <c r="R153"/>
  <c r="S153"/>
  <c r="T153"/>
  <c r="U153"/>
  <c r="O154"/>
  <c r="P154"/>
  <c r="Q154"/>
  <c r="R154"/>
  <c r="S154"/>
  <c r="T154"/>
  <c r="U154"/>
  <c r="O155"/>
  <c r="P155"/>
  <c r="Q155"/>
  <c r="R155"/>
  <c r="S155"/>
  <c r="T155"/>
  <c r="U155"/>
  <c r="O156"/>
  <c r="P156"/>
  <c r="Q156"/>
  <c r="R156"/>
  <c r="S156"/>
  <c r="T156"/>
  <c r="U156"/>
  <c r="O157"/>
  <c r="P157"/>
  <c r="Q157"/>
  <c r="R157"/>
  <c r="S157"/>
  <c r="T157"/>
  <c r="U157"/>
  <c r="O158"/>
  <c r="P158"/>
  <c r="Q158"/>
  <c r="R158"/>
  <c r="S158"/>
  <c r="T158"/>
  <c r="U158"/>
  <c r="O159"/>
  <c r="P159"/>
  <c r="Q159"/>
  <c r="R159"/>
  <c r="S159"/>
  <c r="T159"/>
  <c r="U159"/>
  <c r="E160"/>
  <c r="G160"/>
  <c r="H160"/>
  <c r="I160"/>
  <c r="T160" s="1"/>
  <c r="J160"/>
  <c r="K160"/>
  <c r="L160"/>
  <c r="M160"/>
  <c r="N160"/>
  <c r="I161"/>
  <c r="T161" s="1"/>
  <c r="O161"/>
  <c r="I162"/>
  <c r="T162" s="1"/>
  <c r="O162"/>
  <c r="I163"/>
  <c r="T163" s="1"/>
  <c r="O163"/>
  <c r="I164"/>
  <c r="T164" s="1"/>
  <c r="O164"/>
  <c r="I165"/>
  <c r="T165" s="1"/>
  <c r="O165"/>
  <c r="O166"/>
  <c r="P166"/>
  <c r="Q166"/>
  <c r="R166"/>
  <c r="S166"/>
  <c r="T166"/>
  <c r="U166"/>
  <c r="O167"/>
  <c r="P167"/>
  <c r="Q167"/>
  <c r="R167"/>
  <c r="S167"/>
  <c r="T167"/>
  <c r="U167"/>
  <c r="O168"/>
  <c r="P168"/>
  <c r="Q168"/>
  <c r="R168"/>
  <c r="S168"/>
  <c r="T168"/>
  <c r="U168"/>
  <c r="O169"/>
  <c r="P169"/>
  <c r="Q169"/>
  <c r="R169"/>
  <c r="S169"/>
  <c r="T169"/>
  <c r="U169"/>
  <c r="O170"/>
  <c r="P170"/>
  <c r="Q170"/>
  <c r="R170"/>
  <c r="S170"/>
  <c r="T170"/>
  <c r="U170"/>
  <c r="O171"/>
  <c r="P171"/>
  <c r="Q171"/>
  <c r="R171"/>
  <c r="S171"/>
  <c r="T171"/>
  <c r="U171"/>
  <c r="O172"/>
  <c r="P172"/>
  <c r="Q172"/>
  <c r="R172"/>
  <c r="S172"/>
  <c r="T172"/>
  <c r="U172"/>
  <c r="O173"/>
  <c r="P173"/>
  <c r="Q173"/>
  <c r="R173"/>
  <c r="S173"/>
  <c r="T173"/>
  <c r="U173"/>
  <c r="O174"/>
  <c r="P174"/>
  <c r="Q174"/>
  <c r="R174"/>
  <c r="S174"/>
  <c r="T174"/>
  <c r="U174"/>
  <c r="O175"/>
  <c r="P175"/>
  <c r="Q175"/>
  <c r="R175"/>
  <c r="S175"/>
  <c r="T175"/>
  <c r="U175"/>
  <c r="O176"/>
  <c r="P176"/>
  <c r="Q176"/>
  <c r="R176"/>
  <c r="S176"/>
  <c r="T176"/>
  <c r="U176"/>
  <c r="O177"/>
  <c r="P177"/>
  <c r="Q177"/>
  <c r="R177"/>
  <c r="S177"/>
  <c r="T177"/>
  <c r="U177"/>
  <c r="O178"/>
  <c r="P178"/>
  <c r="Q178"/>
  <c r="R178"/>
  <c r="S178"/>
  <c r="T178"/>
  <c r="U178"/>
  <c r="O179"/>
  <c r="P179"/>
  <c r="Q179"/>
  <c r="R179"/>
  <c r="S179"/>
  <c r="T179"/>
  <c r="U179"/>
  <c r="O180"/>
  <c r="P180"/>
  <c r="Q180"/>
  <c r="R180"/>
  <c r="S180"/>
  <c r="T180"/>
  <c r="U180"/>
  <c r="O181"/>
  <c r="P181"/>
  <c r="Q181"/>
  <c r="R181"/>
  <c r="S181"/>
  <c r="T181"/>
  <c r="U181"/>
  <c r="O182"/>
  <c r="P182"/>
  <c r="Q182"/>
  <c r="R182"/>
  <c r="S182"/>
  <c r="T182"/>
  <c r="U182"/>
  <c r="O183"/>
  <c r="P183"/>
  <c r="Q183"/>
  <c r="R183"/>
  <c r="S183"/>
  <c r="T183"/>
  <c r="U183"/>
  <c r="O184"/>
  <c r="P184"/>
  <c r="Q184"/>
  <c r="R184"/>
  <c r="S184"/>
  <c r="T184"/>
  <c r="U184"/>
  <c r="O185"/>
  <c r="P185"/>
  <c r="Q185"/>
  <c r="R185"/>
  <c r="S185"/>
  <c r="T185"/>
  <c r="U185"/>
  <c r="O186"/>
  <c r="P186"/>
  <c r="Q186"/>
  <c r="R186"/>
  <c r="S186"/>
  <c r="T186"/>
  <c r="U186"/>
  <c r="O187"/>
  <c r="P187"/>
  <c r="Q187"/>
  <c r="R187"/>
  <c r="S187"/>
  <c r="T187"/>
  <c r="U187"/>
  <c r="O188"/>
  <c r="P188"/>
  <c r="Q188"/>
  <c r="R188"/>
  <c r="S188"/>
  <c r="T188"/>
  <c r="U188"/>
  <c r="O189"/>
  <c r="P189"/>
  <c r="Q189"/>
  <c r="R189"/>
  <c r="S189"/>
  <c r="T189"/>
  <c r="U189"/>
  <c r="O190"/>
  <c r="P190"/>
  <c r="Q190"/>
  <c r="R190"/>
  <c r="S190"/>
  <c r="T190"/>
  <c r="U190"/>
  <c r="O191"/>
  <c r="P191"/>
  <c r="Q191"/>
  <c r="R191"/>
  <c r="S191"/>
  <c r="T191"/>
  <c r="U191"/>
  <c r="O192"/>
  <c r="P192"/>
  <c r="Q192"/>
  <c r="R192"/>
  <c r="S192"/>
  <c r="T192"/>
  <c r="U192"/>
  <c r="O193"/>
  <c r="P193"/>
  <c r="Q193"/>
  <c r="R193"/>
  <c r="S193"/>
  <c r="T193"/>
  <c r="U193"/>
  <c r="O194"/>
  <c r="P194"/>
  <c r="Q194"/>
  <c r="R194"/>
  <c r="S194"/>
  <c r="T194"/>
  <c r="U194"/>
  <c r="O195"/>
  <c r="P195"/>
  <c r="Q195"/>
  <c r="R195"/>
  <c r="S195"/>
  <c r="T195"/>
  <c r="U195"/>
  <c r="O196"/>
  <c r="P196"/>
  <c r="Q196"/>
  <c r="R196"/>
  <c r="S196"/>
  <c r="T196"/>
  <c r="U196"/>
  <c r="O197"/>
  <c r="P197"/>
  <c r="Q197"/>
  <c r="R197"/>
  <c r="S197"/>
  <c r="T197"/>
  <c r="U197"/>
  <c r="O198"/>
  <c r="P198"/>
  <c r="Q198"/>
  <c r="R198"/>
  <c r="S198"/>
  <c r="T198"/>
  <c r="U198"/>
  <c r="O199"/>
  <c r="P199"/>
  <c r="Q199"/>
  <c r="R199"/>
  <c r="S199"/>
  <c r="T199"/>
  <c r="U199"/>
  <c r="O200"/>
  <c r="P200"/>
  <c r="Q200"/>
  <c r="R200"/>
  <c r="S200"/>
  <c r="T200"/>
  <c r="U200"/>
  <c r="O201"/>
  <c r="P201"/>
  <c r="Q201"/>
  <c r="R201"/>
  <c r="S201"/>
  <c r="T201"/>
  <c r="U201"/>
  <c r="O202"/>
  <c r="P202"/>
  <c r="Q202"/>
  <c r="R202"/>
  <c r="S202"/>
  <c r="T202"/>
  <c r="U202"/>
  <c r="O203"/>
  <c r="P203"/>
  <c r="Q203"/>
  <c r="R203"/>
  <c r="S203"/>
  <c r="T203"/>
  <c r="U203"/>
  <c r="O204"/>
  <c r="P204"/>
  <c r="Q204"/>
  <c r="R204"/>
  <c r="S204"/>
  <c r="T204"/>
  <c r="U204"/>
  <c r="O205"/>
  <c r="P205"/>
  <c r="Q205"/>
  <c r="R205"/>
  <c r="S205"/>
  <c r="T205"/>
  <c r="U205"/>
  <c r="O206"/>
  <c r="P206"/>
  <c r="Q206"/>
  <c r="R206"/>
  <c r="S206"/>
  <c r="T206"/>
  <c r="U206"/>
  <c r="O207"/>
  <c r="P207"/>
  <c r="Q207"/>
  <c r="R207"/>
  <c r="S207"/>
  <c r="T207"/>
  <c r="U207"/>
  <c r="O208"/>
  <c r="P208"/>
  <c r="Q208"/>
  <c r="R208"/>
  <c r="S208"/>
  <c r="T208"/>
  <c r="U208"/>
  <c r="O209"/>
  <c r="P209"/>
  <c r="Q209"/>
  <c r="R209"/>
  <c r="S209"/>
  <c r="T209"/>
  <c r="U209"/>
  <c r="O210"/>
  <c r="P210"/>
  <c r="Q210"/>
  <c r="R210"/>
  <c r="S210"/>
  <c r="T210"/>
  <c r="U210"/>
  <c r="O211"/>
  <c r="P211"/>
  <c r="Q211"/>
  <c r="R211"/>
  <c r="S211"/>
  <c r="T211"/>
  <c r="U211"/>
  <c r="O212"/>
  <c r="P212"/>
  <c r="Q212"/>
  <c r="R212"/>
  <c r="S212"/>
  <c r="T212"/>
  <c r="U212"/>
  <c r="O213"/>
  <c r="P213"/>
  <c r="Q213"/>
  <c r="R213"/>
  <c r="S213"/>
  <c r="T213"/>
  <c r="U213"/>
  <c r="O214"/>
  <c r="P214"/>
  <c r="Q214"/>
  <c r="R214"/>
  <c r="S214"/>
  <c r="T214"/>
  <c r="U214"/>
  <c r="O215"/>
  <c r="P215"/>
  <c r="Q215"/>
  <c r="R215"/>
  <c r="S215"/>
  <c r="T215"/>
  <c r="U215"/>
  <c r="O216"/>
  <c r="P216"/>
  <c r="Q216"/>
  <c r="R216"/>
  <c r="S216"/>
  <c r="T216"/>
  <c r="U216"/>
  <c r="O217"/>
  <c r="P217"/>
  <c r="Q217"/>
  <c r="R217"/>
  <c r="S217"/>
  <c r="T217"/>
  <c r="U217"/>
  <c r="O218"/>
  <c r="P218"/>
  <c r="Q218"/>
  <c r="R218"/>
  <c r="S218"/>
  <c r="T218"/>
  <c r="U218"/>
  <c r="O219"/>
  <c r="P219"/>
  <c r="Q219"/>
  <c r="R219"/>
  <c r="S219"/>
  <c r="T219"/>
  <c r="U219"/>
  <c r="O220"/>
  <c r="P220"/>
  <c r="Q220"/>
  <c r="R220"/>
  <c r="S220"/>
  <c r="T220"/>
  <c r="U220"/>
  <c r="O221"/>
  <c r="P221"/>
  <c r="Q221"/>
  <c r="R221"/>
  <c r="S221"/>
  <c r="T221"/>
  <c r="U221"/>
  <c r="O222"/>
  <c r="P222"/>
  <c r="Q222"/>
  <c r="R222"/>
  <c r="S222"/>
  <c r="T222"/>
  <c r="U222"/>
  <c r="O223"/>
  <c r="P223"/>
  <c r="Q223"/>
  <c r="R223"/>
  <c r="S223"/>
  <c r="T223"/>
  <c r="U223"/>
  <c r="O224"/>
  <c r="P224"/>
  <c r="Q224"/>
  <c r="R224"/>
  <c r="S224"/>
  <c r="T224"/>
  <c r="U224"/>
  <c r="O225"/>
  <c r="P225"/>
  <c r="Q225"/>
  <c r="R225"/>
  <c r="S225"/>
  <c r="T225"/>
  <c r="U225"/>
  <c r="O226"/>
  <c r="P226"/>
  <c r="Q226"/>
  <c r="R226"/>
  <c r="S226"/>
  <c r="T226"/>
  <c r="U226"/>
  <c r="O227"/>
  <c r="P227"/>
  <c r="Q227"/>
  <c r="R227"/>
  <c r="S227"/>
  <c r="T227"/>
  <c r="U227"/>
  <c r="O228"/>
  <c r="P228"/>
  <c r="Q228"/>
  <c r="R228"/>
  <c r="S228"/>
  <c r="T228"/>
  <c r="U228"/>
  <c r="O229"/>
  <c r="P229"/>
  <c r="Q229"/>
  <c r="R229"/>
  <c r="S229"/>
  <c r="T229"/>
  <c r="U229"/>
  <c r="O230"/>
  <c r="P230"/>
  <c r="Q230"/>
  <c r="R230"/>
  <c r="S230"/>
  <c r="T230"/>
  <c r="U230"/>
  <c r="O231"/>
  <c r="P231"/>
  <c r="Q231"/>
  <c r="R231"/>
  <c r="S231"/>
  <c r="T231"/>
  <c r="U231"/>
  <c r="O232"/>
  <c r="P232"/>
  <c r="Q232"/>
  <c r="R232"/>
  <c r="S232"/>
  <c r="T232"/>
  <c r="U232"/>
  <c r="O233"/>
  <c r="P233"/>
  <c r="Q233"/>
  <c r="R233"/>
  <c r="S233"/>
  <c r="T233"/>
  <c r="U233"/>
  <c r="O234"/>
  <c r="P234"/>
  <c r="Q234"/>
  <c r="R234"/>
  <c r="S234"/>
  <c r="T234"/>
  <c r="U234"/>
  <c r="O235"/>
  <c r="P235"/>
  <c r="Q235"/>
  <c r="R235"/>
  <c r="S235"/>
  <c r="T235"/>
  <c r="U235"/>
  <c r="O236"/>
  <c r="P236"/>
  <c r="Q236"/>
  <c r="R236"/>
  <c r="S236"/>
  <c r="T236"/>
  <c r="U236"/>
  <c r="O237"/>
  <c r="P237"/>
  <c r="Q237"/>
  <c r="R237"/>
  <c r="S237"/>
  <c r="T237"/>
  <c r="U237"/>
  <c r="O238"/>
  <c r="P238"/>
  <c r="Q238"/>
  <c r="R238"/>
  <c r="S238"/>
  <c r="T238"/>
  <c r="U238"/>
  <c r="O239"/>
  <c r="P239"/>
  <c r="Q239"/>
  <c r="R239"/>
  <c r="S239"/>
  <c r="T239"/>
  <c r="U239"/>
  <c r="O240"/>
  <c r="P240"/>
  <c r="Q240"/>
  <c r="R240"/>
  <c r="S240"/>
  <c r="T240"/>
  <c r="U240"/>
  <c r="O241"/>
  <c r="P241"/>
  <c r="Q241"/>
  <c r="R241"/>
  <c r="S241"/>
  <c r="T241"/>
  <c r="U241"/>
  <c r="O242"/>
  <c r="P242"/>
  <c r="Q242"/>
  <c r="R242"/>
  <c r="S242"/>
  <c r="T242"/>
  <c r="U242"/>
  <c r="O243"/>
  <c r="P243"/>
  <c r="Q243"/>
  <c r="R243"/>
  <c r="S243"/>
  <c r="T243"/>
  <c r="U243"/>
  <c r="O244"/>
  <c r="P244"/>
  <c r="Q244"/>
  <c r="R244"/>
  <c r="S244"/>
  <c r="T244"/>
  <c r="U244"/>
  <c r="O245"/>
  <c r="P245"/>
  <c r="Q245"/>
  <c r="R245"/>
  <c r="S245"/>
  <c r="T245"/>
  <c r="U245"/>
  <c r="O246"/>
  <c r="P246"/>
  <c r="Q246"/>
  <c r="R246"/>
  <c r="S246"/>
  <c r="T246"/>
  <c r="U246"/>
  <c r="O247"/>
  <c r="P247"/>
  <c r="Q247"/>
  <c r="R247"/>
  <c r="S247"/>
  <c r="T247"/>
  <c r="U247"/>
  <c r="O248"/>
  <c r="P248"/>
  <c r="Q248"/>
  <c r="R248"/>
  <c r="S248"/>
  <c r="T248"/>
  <c r="U248"/>
  <c r="O249"/>
  <c r="P249"/>
  <c r="Q249"/>
  <c r="R249"/>
  <c r="S249"/>
  <c r="T249"/>
  <c r="U249"/>
  <c r="O250"/>
  <c r="P250"/>
  <c r="Q250"/>
  <c r="R250"/>
  <c r="S250"/>
  <c r="T250"/>
  <c r="U250"/>
  <c r="O251"/>
  <c r="P251"/>
  <c r="Q251"/>
  <c r="R251"/>
  <c r="S251"/>
  <c r="T251"/>
  <c r="U251"/>
  <c r="O252"/>
  <c r="P252"/>
  <c r="Q252"/>
  <c r="R252"/>
  <c r="S252"/>
  <c r="T252"/>
  <c r="U252"/>
  <c r="O253"/>
  <c r="P253"/>
  <c r="Q253"/>
  <c r="R253"/>
  <c r="S253"/>
  <c r="T253"/>
  <c r="U253"/>
  <c r="O254"/>
  <c r="P254"/>
  <c r="Q254"/>
  <c r="R254"/>
  <c r="S254"/>
  <c r="T254"/>
  <c r="U254"/>
  <c r="O255"/>
  <c r="P255"/>
  <c r="Q255"/>
  <c r="R255"/>
  <c r="S255"/>
  <c r="T255"/>
  <c r="U255"/>
  <c r="O256"/>
  <c r="P256"/>
  <c r="Q256"/>
  <c r="R256"/>
  <c r="S256"/>
  <c r="T256"/>
  <c r="U256"/>
  <c r="O257"/>
  <c r="P257"/>
  <c r="Q257"/>
  <c r="R257"/>
  <c r="S257"/>
  <c r="T257"/>
  <c r="U257"/>
  <c r="O258"/>
  <c r="P258"/>
  <c r="Q258"/>
  <c r="R258"/>
  <c r="S258"/>
  <c r="T258"/>
  <c r="U258"/>
  <c r="O259"/>
  <c r="P259"/>
  <c r="Q259"/>
  <c r="R259"/>
  <c r="S259"/>
  <c r="T259"/>
  <c r="U259"/>
  <c r="O260"/>
  <c r="P260"/>
  <c r="Q260"/>
  <c r="R260"/>
  <c r="S260"/>
  <c r="T260"/>
  <c r="U260"/>
  <c r="O261"/>
  <c r="P261"/>
  <c r="Q261"/>
  <c r="R261"/>
  <c r="S261"/>
  <c r="T261"/>
  <c r="U261"/>
  <c r="O262"/>
  <c r="P262"/>
  <c r="Q262"/>
  <c r="R262"/>
  <c r="S262"/>
  <c r="T262"/>
  <c r="U262"/>
  <c r="O263"/>
  <c r="P263"/>
  <c r="Q263"/>
  <c r="R263"/>
  <c r="S263"/>
  <c r="T263"/>
  <c r="U263"/>
  <c r="O264"/>
  <c r="P264"/>
  <c r="Q264"/>
  <c r="R264"/>
  <c r="S264"/>
  <c r="T264"/>
  <c r="U264"/>
  <c r="O265"/>
  <c r="P265"/>
  <c r="Q265"/>
  <c r="R265"/>
  <c r="S265"/>
  <c r="T265"/>
  <c r="U265"/>
  <c r="O266"/>
  <c r="P266"/>
  <c r="Q266"/>
  <c r="R266"/>
  <c r="S266"/>
  <c r="T266"/>
  <c r="U266"/>
  <c r="O267"/>
  <c r="P267"/>
  <c r="Q267"/>
  <c r="R267"/>
  <c r="S267"/>
  <c r="T267"/>
  <c r="U267"/>
  <c r="O268"/>
  <c r="P268"/>
  <c r="Q268"/>
  <c r="R268"/>
  <c r="S268"/>
  <c r="T268"/>
  <c r="U268"/>
  <c r="O269"/>
  <c r="P269"/>
  <c r="Q269"/>
  <c r="R269"/>
  <c r="S269"/>
  <c r="T269"/>
  <c r="U269"/>
  <c r="O270"/>
  <c r="P270"/>
  <c r="Q270"/>
  <c r="R270"/>
  <c r="S270"/>
  <c r="T270"/>
  <c r="U270"/>
  <c r="O271"/>
  <c r="P271"/>
  <c r="Q271"/>
  <c r="R271"/>
  <c r="S271"/>
  <c r="T271"/>
  <c r="U271"/>
  <c r="O272"/>
  <c r="P272"/>
  <c r="Q272"/>
  <c r="R272"/>
  <c r="S272"/>
  <c r="T272"/>
  <c r="U272"/>
  <c r="O273"/>
  <c r="P273"/>
  <c r="Q273"/>
  <c r="R273"/>
  <c r="S273"/>
  <c r="T273"/>
  <c r="U273"/>
  <c r="O274"/>
  <c r="P274"/>
  <c r="Q274"/>
  <c r="R274"/>
  <c r="S274"/>
  <c r="T274"/>
  <c r="U274"/>
  <c r="O275"/>
  <c r="P275"/>
  <c r="Q275"/>
  <c r="R275"/>
  <c r="S275"/>
  <c r="T275"/>
  <c r="U275"/>
  <c r="O276"/>
  <c r="P276"/>
  <c r="Q276"/>
  <c r="R276"/>
  <c r="S276"/>
  <c r="T276"/>
  <c r="U276"/>
  <c r="O277"/>
  <c r="P277"/>
  <c r="Q277"/>
  <c r="R277"/>
  <c r="S277"/>
  <c r="T277"/>
  <c r="U277"/>
  <c r="O278"/>
  <c r="P278"/>
  <c r="Q278"/>
  <c r="R278"/>
  <c r="S278"/>
  <c r="T278"/>
  <c r="U278"/>
  <c r="O279"/>
  <c r="P279"/>
  <c r="Q279"/>
  <c r="R279"/>
  <c r="S279"/>
  <c r="T279"/>
  <c r="U279"/>
  <c r="O280"/>
  <c r="P280"/>
  <c r="Q280"/>
  <c r="R280"/>
  <c r="S280"/>
  <c r="T280"/>
  <c r="U280"/>
  <c r="O281"/>
  <c r="P281"/>
  <c r="Q281"/>
  <c r="R281"/>
  <c r="S281"/>
  <c r="T281"/>
  <c r="U281"/>
  <c r="O282"/>
  <c r="P282"/>
  <c r="Q282"/>
  <c r="R282"/>
  <c r="S282"/>
  <c r="T282"/>
  <c r="U282"/>
  <c r="O283"/>
  <c r="P283"/>
  <c r="Q283"/>
  <c r="R283"/>
  <c r="S283"/>
  <c r="T283"/>
  <c r="U283"/>
  <c r="O284"/>
  <c r="P284"/>
  <c r="Q284"/>
  <c r="R284"/>
  <c r="S284"/>
  <c r="T284"/>
  <c r="U284"/>
  <c r="O285"/>
  <c r="P285"/>
  <c r="Q285"/>
  <c r="R285"/>
  <c r="S285"/>
  <c r="T285"/>
  <c r="U285"/>
  <c r="O286"/>
  <c r="P286"/>
  <c r="Q286"/>
  <c r="R286"/>
  <c r="S286"/>
  <c r="T286"/>
  <c r="U286"/>
  <c r="O287"/>
  <c r="P287"/>
  <c r="Q287"/>
  <c r="R287"/>
  <c r="S287"/>
  <c r="T287"/>
  <c r="U287"/>
  <c r="O288"/>
  <c r="P288"/>
  <c r="Q288"/>
  <c r="R288"/>
  <c r="S288"/>
  <c r="T288"/>
  <c r="U288"/>
  <c r="O289"/>
  <c r="P289"/>
  <c r="Q289"/>
  <c r="R289"/>
  <c r="S289"/>
  <c r="T289"/>
  <c r="U289"/>
  <c r="O290"/>
  <c r="P290"/>
  <c r="Q290"/>
  <c r="R290"/>
  <c r="S290"/>
  <c r="T290"/>
  <c r="U290"/>
  <c r="O291"/>
  <c r="P291"/>
  <c r="Q291"/>
  <c r="R291"/>
  <c r="S291"/>
  <c r="T291"/>
  <c r="U291"/>
  <c r="O292"/>
  <c r="P292"/>
  <c r="Q292"/>
  <c r="R292"/>
  <c r="S292"/>
  <c r="T292"/>
  <c r="U292"/>
  <c r="O293"/>
  <c r="P293"/>
  <c r="Q293"/>
  <c r="R293"/>
  <c r="S293"/>
  <c r="T293"/>
  <c r="U293"/>
  <c r="O294"/>
  <c r="P294"/>
  <c r="Q294"/>
  <c r="R294"/>
  <c r="S294"/>
  <c r="T294"/>
  <c r="U294"/>
  <c r="O295"/>
  <c r="P295"/>
  <c r="Q295"/>
  <c r="R295"/>
  <c r="S295"/>
  <c r="T295"/>
  <c r="U295"/>
  <c r="O296"/>
  <c r="P296"/>
  <c r="Q296"/>
  <c r="R296"/>
  <c r="S296"/>
  <c r="T296"/>
  <c r="U296"/>
  <c r="O297"/>
  <c r="P297"/>
  <c r="Q297"/>
  <c r="R297"/>
  <c r="S297"/>
  <c r="T297"/>
  <c r="U297"/>
  <c r="O298"/>
  <c r="P298"/>
  <c r="Q298"/>
  <c r="R298"/>
  <c r="S298"/>
  <c r="T298"/>
  <c r="U298"/>
  <c r="O299"/>
  <c r="P299"/>
  <c r="Q299"/>
  <c r="R299"/>
  <c r="S299"/>
  <c r="T299"/>
  <c r="U299"/>
  <c r="O300"/>
  <c r="P300"/>
  <c r="Q300"/>
  <c r="R300"/>
  <c r="S300"/>
  <c r="T300"/>
  <c r="U300"/>
  <c r="O301"/>
  <c r="P301"/>
  <c r="Q301"/>
  <c r="R301"/>
  <c r="S301"/>
  <c r="T301"/>
  <c r="U301"/>
  <c r="O302"/>
  <c r="P302"/>
  <c r="Q302"/>
  <c r="R302"/>
  <c r="S302"/>
  <c r="T302"/>
  <c r="U302"/>
  <c r="O303"/>
  <c r="P303"/>
  <c r="Q303"/>
  <c r="R303"/>
  <c r="S303"/>
  <c r="T303"/>
  <c r="U303"/>
  <c r="O304"/>
  <c r="P304"/>
  <c r="Q304"/>
  <c r="R304"/>
  <c r="S304"/>
  <c r="T304"/>
  <c r="U304"/>
  <c r="O305"/>
  <c r="P305"/>
  <c r="Q305"/>
  <c r="R305"/>
  <c r="S305"/>
  <c r="T305"/>
  <c r="U305"/>
  <c r="O306"/>
  <c r="P306"/>
  <c r="Q306"/>
  <c r="R306"/>
  <c r="S306"/>
  <c r="T306"/>
  <c r="U306"/>
  <c r="O307"/>
  <c r="P307"/>
  <c r="Q307"/>
  <c r="R307"/>
  <c r="S307"/>
  <c r="T307"/>
  <c r="U307"/>
  <c r="O308"/>
  <c r="P308"/>
  <c r="Q308"/>
  <c r="R308"/>
  <c r="S308"/>
  <c r="T308"/>
  <c r="U308"/>
  <c r="O309"/>
  <c r="P309"/>
  <c r="Q309"/>
  <c r="R309"/>
  <c r="S309"/>
  <c r="T309"/>
  <c r="U309"/>
  <c r="O310"/>
  <c r="P310"/>
  <c r="Q310"/>
  <c r="R310"/>
  <c r="S310"/>
  <c r="T310"/>
  <c r="U310"/>
  <c r="E311"/>
  <c r="G311"/>
  <c r="H311"/>
  <c r="J311"/>
  <c r="K311"/>
  <c r="L311"/>
  <c r="M311"/>
  <c r="N311"/>
  <c r="O312"/>
  <c r="P312"/>
  <c r="Q312"/>
  <c r="R312"/>
  <c r="S312"/>
  <c r="T312"/>
  <c r="U312"/>
  <c r="O313"/>
  <c r="P313"/>
  <c r="Q313"/>
  <c r="R313"/>
  <c r="S313"/>
  <c r="T313"/>
  <c r="U313"/>
  <c r="O314"/>
  <c r="P314"/>
  <c r="Q314"/>
  <c r="R314"/>
  <c r="S314"/>
  <c r="T314"/>
  <c r="U314"/>
  <c r="O315"/>
  <c r="P315"/>
  <c r="Q315"/>
  <c r="R315"/>
  <c r="S315"/>
  <c r="T315"/>
  <c r="U315"/>
  <c r="O316"/>
  <c r="P316"/>
  <c r="Q316"/>
  <c r="R316"/>
  <c r="S316"/>
  <c r="T316"/>
  <c r="U316"/>
  <c r="O317"/>
  <c r="P317"/>
  <c r="Q317"/>
  <c r="R317"/>
  <c r="S317"/>
  <c r="T317"/>
  <c r="U317"/>
  <c r="O318"/>
  <c r="P318"/>
  <c r="Q318"/>
  <c r="R318"/>
  <c r="S318"/>
  <c r="T318"/>
  <c r="U318"/>
  <c r="O319"/>
  <c r="P319"/>
  <c r="Q319"/>
  <c r="R319"/>
  <c r="S319"/>
  <c r="T319"/>
  <c r="U319"/>
  <c r="O320"/>
  <c r="P320"/>
  <c r="Q320"/>
  <c r="R320"/>
  <c r="S320"/>
  <c r="T320"/>
  <c r="U320"/>
  <c r="O321"/>
  <c r="P321"/>
  <c r="Q321"/>
  <c r="R321"/>
  <c r="S321"/>
  <c r="T321"/>
  <c r="U321"/>
  <c r="O322"/>
  <c r="P322"/>
  <c r="Q322"/>
  <c r="R322"/>
  <c r="S322"/>
  <c r="T322"/>
  <c r="U322"/>
  <c r="O323"/>
  <c r="P323"/>
  <c r="Q323"/>
  <c r="R323"/>
  <c r="S323"/>
  <c r="T323"/>
  <c r="U323"/>
  <c r="O324"/>
  <c r="P324"/>
  <c r="Q324"/>
  <c r="R324"/>
  <c r="S324"/>
  <c r="T324"/>
  <c r="U324"/>
  <c r="O325"/>
  <c r="P325"/>
  <c r="Q325"/>
  <c r="R325"/>
  <c r="S325"/>
  <c r="T325"/>
  <c r="U325"/>
  <c r="O326"/>
  <c r="P326"/>
  <c r="Q326"/>
  <c r="R326"/>
  <c r="S326"/>
  <c r="T326"/>
  <c r="U326"/>
  <c r="O327"/>
  <c r="P327"/>
  <c r="Q327"/>
  <c r="R327"/>
  <c r="S327"/>
  <c r="T327"/>
  <c r="U327"/>
  <c r="O328"/>
  <c r="P328"/>
  <c r="Q328"/>
  <c r="R328"/>
  <c r="S328"/>
  <c r="T328"/>
  <c r="U328"/>
  <c r="O329"/>
  <c r="P329"/>
  <c r="Q329"/>
  <c r="R329"/>
  <c r="S329"/>
  <c r="T329"/>
  <c r="U329"/>
  <c r="O330"/>
  <c r="P330"/>
  <c r="Q330"/>
  <c r="R330"/>
  <c r="S330"/>
  <c r="T330"/>
  <c r="U330"/>
  <c r="O331"/>
  <c r="P331"/>
  <c r="Q331"/>
  <c r="R331"/>
  <c r="S331"/>
  <c r="T331"/>
  <c r="U331"/>
  <c r="O332"/>
  <c r="P332"/>
  <c r="Q332"/>
  <c r="R332"/>
  <c r="S332"/>
  <c r="T332"/>
  <c r="U332"/>
  <c r="O333"/>
  <c r="P333"/>
  <c r="Q333"/>
  <c r="R333"/>
  <c r="S333"/>
  <c r="T333"/>
  <c r="U333"/>
  <c r="O334"/>
  <c r="P334"/>
  <c r="Q334"/>
  <c r="R334"/>
  <c r="S334"/>
  <c r="T334"/>
  <c r="U334"/>
  <c r="O335"/>
  <c r="P335"/>
  <c r="Q335"/>
  <c r="R335"/>
  <c r="S335"/>
  <c r="T335"/>
  <c r="U335"/>
  <c r="O336"/>
  <c r="P336"/>
  <c r="Q336"/>
  <c r="R336"/>
  <c r="S336"/>
  <c r="T336"/>
  <c r="U336"/>
  <c r="O337"/>
  <c r="P337"/>
  <c r="Q337"/>
  <c r="R337"/>
  <c r="S337"/>
  <c r="T337"/>
  <c r="U337"/>
  <c r="O338"/>
  <c r="P338"/>
  <c r="Q338"/>
  <c r="R338"/>
  <c r="S338"/>
  <c r="T338"/>
  <c r="U338"/>
  <c r="O339"/>
  <c r="P339"/>
  <c r="Q339"/>
  <c r="R339"/>
  <c r="S339"/>
  <c r="T339"/>
  <c r="U339"/>
  <c r="O340"/>
  <c r="P340"/>
  <c r="Q340"/>
  <c r="R340"/>
  <c r="S340"/>
  <c r="T340"/>
  <c r="U340"/>
  <c r="O341"/>
  <c r="P341"/>
  <c r="Q341"/>
  <c r="R341"/>
  <c r="S341"/>
  <c r="T341"/>
  <c r="U341"/>
  <c r="O342"/>
  <c r="P342"/>
  <c r="Q342"/>
  <c r="R342"/>
  <c r="S342"/>
  <c r="T342"/>
  <c r="U342"/>
  <c r="O343"/>
  <c r="P343"/>
  <c r="Q343"/>
  <c r="R343"/>
  <c r="S343"/>
  <c r="T343"/>
  <c r="U343"/>
  <c r="O344"/>
  <c r="P344"/>
  <c r="Q344"/>
  <c r="R344"/>
  <c r="S344"/>
  <c r="T344"/>
  <c r="U344"/>
  <c r="O345"/>
  <c r="P345"/>
  <c r="Q345"/>
  <c r="R345"/>
  <c r="S345"/>
  <c r="T345"/>
  <c r="U345"/>
  <c r="O346"/>
  <c r="P346"/>
  <c r="Q346"/>
  <c r="R346"/>
  <c r="S346"/>
  <c r="T346"/>
  <c r="U346"/>
  <c r="O347"/>
  <c r="P347"/>
  <c r="Q347"/>
  <c r="R347"/>
  <c r="S347"/>
  <c r="T347"/>
  <c r="U347"/>
  <c r="O348"/>
  <c r="P348"/>
  <c r="Q348"/>
  <c r="R348"/>
  <c r="S348"/>
  <c r="T348"/>
  <c r="U348"/>
  <c r="O349"/>
  <c r="P349"/>
  <c r="Q349"/>
  <c r="R349"/>
  <c r="S349"/>
  <c r="T349"/>
  <c r="U349"/>
  <c r="O350"/>
  <c r="P350"/>
  <c r="Q350"/>
  <c r="R350"/>
  <c r="S350"/>
  <c r="T350"/>
  <c r="U350"/>
  <c r="O351"/>
  <c r="P351"/>
  <c r="Q351"/>
  <c r="R351"/>
  <c r="S351"/>
  <c r="T351"/>
  <c r="U351"/>
  <c r="O352"/>
  <c r="P352"/>
  <c r="Q352"/>
  <c r="R352"/>
  <c r="S352"/>
  <c r="T352"/>
  <c r="U352"/>
  <c r="O353"/>
  <c r="P353"/>
  <c r="Q353"/>
  <c r="R353"/>
  <c r="S353"/>
  <c r="T353"/>
  <c r="U353"/>
  <c r="O354"/>
  <c r="P354"/>
  <c r="Q354"/>
  <c r="R354"/>
  <c r="S354"/>
  <c r="T354"/>
  <c r="U354"/>
  <c r="O355"/>
  <c r="P355"/>
  <c r="Q355"/>
  <c r="R355"/>
  <c r="S355"/>
  <c r="T355"/>
  <c r="U355"/>
  <c r="O356"/>
  <c r="P356"/>
  <c r="Q356"/>
  <c r="R356"/>
  <c r="S356"/>
  <c r="T356"/>
  <c r="U356"/>
  <c r="O357"/>
  <c r="P357"/>
  <c r="Q357"/>
  <c r="R357"/>
  <c r="S357"/>
  <c r="T357"/>
  <c r="U357"/>
  <c r="O358"/>
  <c r="P358"/>
  <c r="Q358"/>
  <c r="R358"/>
  <c r="S358"/>
  <c r="T358"/>
  <c r="U358"/>
  <c r="O359"/>
  <c r="P359"/>
  <c r="Q359"/>
  <c r="R359"/>
  <c r="S359"/>
  <c r="T359"/>
  <c r="U359"/>
  <c r="O360"/>
  <c r="P360"/>
  <c r="Q360"/>
  <c r="R360"/>
  <c r="S360"/>
  <c r="T360"/>
  <c r="U360"/>
  <c r="O361"/>
  <c r="P361"/>
  <c r="Q361"/>
  <c r="R361"/>
  <c r="S361"/>
  <c r="T361"/>
  <c r="U361"/>
  <c r="O362"/>
  <c r="P362"/>
  <c r="Q362"/>
  <c r="R362"/>
  <c r="S362"/>
  <c r="T362"/>
  <c r="U362"/>
  <c r="O363"/>
  <c r="P363"/>
  <c r="Q363"/>
  <c r="R363"/>
  <c r="S363"/>
  <c r="T363"/>
  <c r="U363"/>
  <c r="O364"/>
  <c r="P364"/>
  <c r="Q364"/>
  <c r="R364"/>
  <c r="S364"/>
  <c r="T364"/>
  <c r="U364"/>
  <c r="O365"/>
  <c r="P365"/>
  <c r="Q365"/>
  <c r="R365"/>
  <c r="S365"/>
  <c r="T365"/>
  <c r="U365"/>
  <c r="O366"/>
  <c r="P366"/>
  <c r="Q366"/>
  <c r="R366"/>
  <c r="S366"/>
  <c r="T366"/>
  <c r="U366"/>
  <c r="O367"/>
  <c r="P367"/>
  <c r="Q367"/>
  <c r="R367"/>
  <c r="S367"/>
  <c r="T367"/>
  <c r="U367"/>
  <c r="O368"/>
  <c r="P368"/>
  <c r="Q368"/>
  <c r="R368"/>
  <c r="S368"/>
  <c r="T368"/>
  <c r="U368"/>
  <c r="O369"/>
  <c r="P369"/>
  <c r="Q369"/>
  <c r="R369"/>
  <c r="S369"/>
  <c r="T369"/>
  <c r="U369"/>
  <c r="O370"/>
  <c r="P370"/>
  <c r="Q370"/>
  <c r="R370"/>
  <c r="S370"/>
  <c r="T370"/>
  <c r="U370"/>
  <c r="O371"/>
  <c r="P371"/>
  <c r="Q371"/>
  <c r="R371"/>
  <c r="S371"/>
  <c r="T371"/>
  <c r="U371"/>
  <c r="O372"/>
  <c r="P372"/>
  <c r="Q372"/>
  <c r="R372"/>
  <c r="S372"/>
  <c r="T372"/>
  <c r="U372"/>
  <c r="O373"/>
  <c r="P373"/>
  <c r="Q373"/>
  <c r="R373"/>
  <c r="S373"/>
  <c r="T373"/>
  <c r="U373"/>
  <c r="O374"/>
  <c r="P374"/>
  <c r="Q374"/>
  <c r="R374"/>
  <c r="S374"/>
  <c r="T374"/>
  <c r="U374"/>
  <c r="O375"/>
  <c r="P375"/>
  <c r="Q375"/>
  <c r="R375"/>
  <c r="S375"/>
  <c r="T375"/>
  <c r="U375"/>
  <c r="O376"/>
  <c r="P376"/>
  <c r="Q376"/>
  <c r="R376"/>
  <c r="S376"/>
  <c r="T376"/>
  <c r="U376"/>
  <c r="O377"/>
  <c r="P377"/>
  <c r="Q377"/>
  <c r="R377"/>
  <c r="S377"/>
  <c r="T377"/>
  <c r="U377"/>
  <c r="O378"/>
  <c r="P378"/>
  <c r="Q378"/>
  <c r="R378"/>
  <c r="S378"/>
  <c r="T378"/>
  <c r="U378"/>
  <c r="O379"/>
  <c r="P379"/>
  <c r="Q379"/>
  <c r="R379"/>
  <c r="S379"/>
  <c r="T379"/>
  <c r="U379"/>
  <c r="O380"/>
  <c r="P380"/>
  <c r="Q380"/>
  <c r="R380"/>
  <c r="S380"/>
  <c r="T380"/>
  <c r="U380"/>
  <c r="O381"/>
  <c r="P381"/>
  <c r="Q381"/>
  <c r="R381"/>
  <c r="S381"/>
  <c r="T381"/>
  <c r="U381"/>
  <c r="O382"/>
  <c r="P382"/>
  <c r="Q382"/>
  <c r="R382"/>
  <c r="S382"/>
  <c r="T382"/>
  <c r="U382"/>
  <c r="O383"/>
  <c r="P383"/>
  <c r="Q383"/>
  <c r="R383"/>
  <c r="S383"/>
  <c r="T383"/>
  <c r="U383"/>
  <c r="O384"/>
  <c r="P384"/>
  <c r="Q384"/>
  <c r="R384"/>
  <c r="S384"/>
  <c r="T384"/>
  <c r="U384"/>
  <c r="O385"/>
  <c r="P385"/>
  <c r="Q385"/>
  <c r="R385"/>
  <c r="S385"/>
  <c r="T385"/>
  <c r="U385"/>
  <c r="O386"/>
  <c r="P386"/>
  <c r="Q386"/>
  <c r="R386"/>
  <c r="S386"/>
  <c r="T386"/>
  <c r="U386"/>
  <c r="O387"/>
  <c r="P387"/>
  <c r="Q387"/>
  <c r="R387"/>
  <c r="S387"/>
  <c r="T387"/>
  <c r="U387"/>
  <c r="O388"/>
  <c r="P388"/>
  <c r="Q388"/>
  <c r="R388"/>
  <c r="S388"/>
  <c r="T388"/>
  <c r="U388"/>
  <c r="O389"/>
  <c r="P389"/>
  <c r="Q389"/>
  <c r="R389"/>
  <c r="S389"/>
  <c r="T389"/>
  <c r="U389"/>
  <c r="O390"/>
  <c r="P390"/>
  <c r="Q390"/>
  <c r="R390"/>
  <c r="S390"/>
  <c r="T390"/>
  <c r="U390"/>
  <c r="O391"/>
  <c r="P391"/>
  <c r="Q391"/>
  <c r="R391"/>
  <c r="S391"/>
  <c r="T391"/>
  <c r="U391"/>
  <c r="O392"/>
  <c r="P392"/>
  <c r="Q392"/>
  <c r="R392"/>
  <c r="S392"/>
  <c r="T392"/>
  <c r="U392"/>
  <c r="O393"/>
  <c r="P393"/>
  <c r="Q393"/>
  <c r="R393"/>
  <c r="S393"/>
  <c r="T393"/>
  <c r="U393"/>
  <c r="O394"/>
  <c r="P394"/>
  <c r="Q394"/>
  <c r="R394"/>
  <c r="S394"/>
  <c r="T394"/>
  <c r="U394"/>
  <c r="O395"/>
  <c r="P395"/>
  <c r="Q395"/>
  <c r="R395"/>
  <c r="S395"/>
  <c r="T395"/>
  <c r="U395"/>
  <c r="O396"/>
  <c r="P396"/>
  <c r="Q396"/>
  <c r="R396"/>
  <c r="S396"/>
  <c r="T396"/>
  <c r="U396"/>
  <c r="O397"/>
  <c r="P397"/>
  <c r="Q397"/>
  <c r="R397"/>
  <c r="S397"/>
  <c r="T397"/>
  <c r="U397"/>
  <c r="O398"/>
  <c r="P398"/>
  <c r="Q398"/>
  <c r="R398"/>
  <c r="S398"/>
  <c r="T398"/>
  <c r="U398"/>
  <c r="O399"/>
  <c r="P399"/>
  <c r="Q399"/>
  <c r="R399"/>
  <c r="S399"/>
  <c r="T399"/>
  <c r="U399"/>
  <c r="O400"/>
  <c r="P400"/>
  <c r="Q400"/>
  <c r="R400"/>
  <c r="S400"/>
  <c r="T400"/>
  <c r="U400"/>
  <c r="O401"/>
  <c r="P401"/>
  <c r="Q401"/>
  <c r="R401"/>
  <c r="S401"/>
  <c r="T401"/>
  <c r="U401"/>
  <c r="O402"/>
  <c r="P402"/>
  <c r="Q402"/>
  <c r="R402"/>
  <c r="S402"/>
  <c r="T402"/>
  <c r="U402"/>
  <c r="O403"/>
  <c r="P403"/>
  <c r="Q403"/>
  <c r="R403"/>
  <c r="S403"/>
  <c r="T403"/>
  <c r="U403"/>
  <c r="O404"/>
  <c r="P404"/>
  <c r="Q404"/>
  <c r="R404"/>
  <c r="S404"/>
  <c r="T404"/>
  <c r="U404"/>
  <c r="O405"/>
  <c r="P405"/>
  <c r="Q405"/>
  <c r="R405"/>
  <c r="S405"/>
  <c r="T405"/>
  <c r="U405"/>
  <c r="O406"/>
  <c r="P406"/>
  <c r="Q406"/>
  <c r="R406"/>
  <c r="S406"/>
  <c r="T406"/>
  <c r="U406"/>
  <c r="O407"/>
  <c r="P407"/>
  <c r="Q407"/>
  <c r="R407"/>
  <c r="S407"/>
  <c r="T407"/>
  <c r="U407"/>
  <c r="O408"/>
  <c r="P408"/>
  <c r="Q408"/>
  <c r="R408"/>
  <c r="S408"/>
  <c r="T408"/>
  <c r="U408"/>
  <c r="O409"/>
  <c r="P409"/>
  <c r="Q409"/>
  <c r="R409"/>
  <c r="S409"/>
  <c r="T409"/>
  <c r="U409"/>
  <c r="O410"/>
  <c r="P410"/>
  <c r="Q410"/>
  <c r="R410"/>
  <c r="S410"/>
  <c r="T410"/>
  <c r="U410"/>
  <c r="O411"/>
  <c r="P411"/>
  <c r="Q411"/>
  <c r="R411"/>
  <c r="S411"/>
  <c r="T411"/>
  <c r="U411"/>
  <c r="O412"/>
  <c r="P412"/>
  <c r="Q412"/>
  <c r="R412"/>
  <c r="S412"/>
  <c r="T412"/>
  <c r="U412"/>
  <c r="O413"/>
  <c r="P413"/>
  <c r="Q413"/>
  <c r="R413"/>
  <c r="S413"/>
  <c r="T413"/>
  <c r="U413"/>
  <c r="O414"/>
  <c r="P414"/>
  <c r="Q414"/>
  <c r="R414"/>
  <c r="S414"/>
  <c r="T414"/>
  <c r="U414"/>
  <c r="O415"/>
  <c r="P415"/>
  <c r="Q415"/>
  <c r="R415"/>
  <c r="S415"/>
  <c r="T415"/>
  <c r="U415"/>
  <c r="O416"/>
  <c r="P416"/>
  <c r="Q416"/>
  <c r="R416"/>
  <c r="S416"/>
  <c r="T416"/>
  <c r="U416"/>
  <c r="O417"/>
  <c r="P417"/>
  <c r="Q417"/>
  <c r="R417"/>
  <c r="S417"/>
  <c r="T417"/>
  <c r="U417"/>
  <c r="O418"/>
  <c r="P418"/>
  <c r="Q418"/>
  <c r="R418"/>
  <c r="S418"/>
  <c r="T418"/>
  <c r="U418"/>
  <c r="O419"/>
  <c r="P419"/>
  <c r="Q419"/>
  <c r="R419"/>
  <c r="S419"/>
  <c r="T419"/>
  <c r="U419"/>
  <c r="O420"/>
  <c r="P420"/>
  <c r="Q420"/>
  <c r="R420"/>
  <c r="S420"/>
  <c r="T420"/>
  <c r="U420"/>
  <c r="O421"/>
  <c r="P421"/>
  <c r="Q421"/>
  <c r="R421"/>
  <c r="S421"/>
  <c r="T421"/>
  <c r="U421"/>
  <c r="O422"/>
  <c r="P422"/>
  <c r="Q422"/>
  <c r="R422"/>
  <c r="S422"/>
  <c r="T422"/>
  <c r="U422"/>
  <c r="O423"/>
  <c r="P423"/>
  <c r="Q423"/>
  <c r="R423"/>
  <c r="S423"/>
  <c r="T423"/>
  <c r="U423"/>
  <c r="O424"/>
  <c r="P424"/>
  <c r="Q424"/>
  <c r="R424"/>
  <c r="S424"/>
  <c r="T424"/>
  <c r="U424"/>
  <c r="O425"/>
  <c r="P425"/>
  <c r="Q425"/>
  <c r="R425"/>
  <c r="S425"/>
  <c r="T425"/>
  <c r="U425"/>
  <c r="O426"/>
  <c r="P426"/>
  <c r="Q426"/>
  <c r="R426"/>
  <c r="S426"/>
  <c r="T426"/>
  <c r="U426"/>
  <c r="O427"/>
  <c r="P427"/>
  <c r="Q427"/>
  <c r="R427"/>
  <c r="S427"/>
  <c r="T427"/>
  <c r="U427"/>
  <c r="O428"/>
  <c r="P428"/>
  <c r="Q428"/>
  <c r="R428"/>
  <c r="S428"/>
  <c r="T428"/>
  <c r="U428"/>
  <c r="O429"/>
  <c r="P429"/>
  <c r="Q429"/>
  <c r="R429"/>
  <c r="S429"/>
  <c r="T429"/>
  <c r="U429"/>
  <c r="O430"/>
  <c r="P430"/>
  <c r="Q430"/>
  <c r="R430"/>
  <c r="S430"/>
  <c r="T430"/>
  <c r="U430"/>
  <c r="O431"/>
  <c r="P431"/>
  <c r="Q431"/>
  <c r="R431"/>
  <c r="S431"/>
  <c r="T431"/>
  <c r="U431"/>
  <c r="O432"/>
  <c r="P432"/>
  <c r="Q432"/>
  <c r="R432"/>
  <c r="S432"/>
  <c r="T432"/>
  <c r="U432"/>
  <c r="O433"/>
  <c r="P433"/>
  <c r="Q433"/>
  <c r="R433"/>
  <c r="S433"/>
  <c r="T433"/>
  <c r="U433"/>
  <c r="O434"/>
  <c r="P434"/>
  <c r="Q434"/>
  <c r="R434"/>
  <c r="S434"/>
  <c r="T434"/>
  <c r="U434"/>
  <c r="O435"/>
  <c r="P435"/>
  <c r="Q435"/>
  <c r="R435"/>
  <c r="S435"/>
  <c r="T435"/>
  <c r="U435"/>
  <c r="O436"/>
  <c r="P436"/>
  <c r="Q436"/>
  <c r="R436"/>
  <c r="S436"/>
  <c r="T436"/>
  <c r="U436"/>
  <c r="O437"/>
  <c r="P437"/>
  <c r="Q437"/>
  <c r="R437"/>
  <c r="S437"/>
  <c r="T437"/>
  <c r="U437"/>
  <c r="O438"/>
  <c r="P438"/>
  <c r="Q438"/>
  <c r="R438"/>
  <c r="S438"/>
  <c r="T438"/>
  <c r="U438"/>
  <c r="O439"/>
  <c r="P439"/>
  <c r="Q439"/>
  <c r="R439"/>
  <c r="S439"/>
  <c r="T439"/>
  <c r="U439"/>
  <c r="O440"/>
  <c r="P440"/>
  <c r="Q440"/>
  <c r="R440"/>
  <c r="S440"/>
  <c r="T440"/>
  <c r="U440"/>
  <c r="O441"/>
  <c r="P441"/>
  <c r="Q441"/>
  <c r="R441"/>
  <c r="S441"/>
  <c r="T441"/>
  <c r="U441"/>
  <c r="O442"/>
  <c r="P442"/>
  <c r="Q442"/>
  <c r="R442"/>
  <c r="S442"/>
  <c r="T442"/>
  <c r="U442"/>
  <c r="O443"/>
  <c r="P443"/>
  <c r="Q443"/>
  <c r="R443"/>
  <c r="S443"/>
  <c r="T443"/>
  <c r="U443"/>
  <c r="O444"/>
  <c r="P444"/>
  <c r="Q444"/>
  <c r="R444"/>
  <c r="S444"/>
  <c r="T444"/>
  <c r="U444"/>
  <c r="O445"/>
  <c r="P445"/>
  <c r="Q445"/>
  <c r="R445"/>
  <c r="S445"/>
  <c r="T445"/>
  <c r="U445"/>
  <c r="O446"/>
  <c r="P446"/>
  <c r="Q446"/>
  <c r="R446"/>
  <c r="S446"/>
  <c r="T446"/>
  <c r="U446"/>
  <c r="O447"/>
  <c r="P447"/>
  <c r="Q447"/>
  <c r="R447"/>
  <c r="S447"/>
  <c r="T447"/>
  <c r="U447"/>
  <c r="O448"/>
  <c r="P448"/>
  <c r="Q448"/>
  <c r="R448"/>
  <c r="S448"/>
  <c r="T448"/>
  <c r="U448"/>
  <c r="O449"/>
  <c r="P449"/>
  <c r="Q449"/>
  <c r="R449"/>
  <c r="S449"/>
  <c r="T449"/>
  <c r="U449"/>
  <c r="O450"/>
  <c r="P450"/>
  <c r="Q450"/>
  <c r="R450"/>
  <c r="S450"/>
  <c r="T450"/>
  <c r="U450"/>
  <c r="O451"/>
  <c r="P451"/>
  <c r="Q451"/>
  <c r="R451"/>
  <c r="S451"/>
  <c r="T451"/>
  <c r="U451"/>
  <c r="O452"/>
  <c r="P452"/>
  <c r="Q452"/>
  <c r="R452"/>
  <c r="S452"/>
  <c r="T452"/>
  <c r="U452"/>
  <c r="O453"/>
  <c r="P453"/>
  <c r="Q453"/>
  <c r="R453"/>
  <c r="S453"/>
  <c r="T453"/>
  <c r="U453"/>
  <c r="O454"/>
  <c r="P454"/>
  <c r="Q454"/>
  <c r="R454"/>
  <c r="S454"/>
  <c r="T454"/>
  <c r="U454"/>
  <c r="O455"/>
  <c r="P455"/>
  <c r="Q455"/>
  <c r="R455"/>
  <c r="S455"/>
  <c r="T455"/>
  <c r="U455"/>
  <c r="O456"/>
  <c r="P456"/>
  <c r="Q456"/>
  <c r="R456"/>
  <c r="S456"/>
  <c r="T456"/>
  <c r="U456"/>
  <c r="O457"/>
  <c r="P457"/>
  <c r="Q457"/>
  <c r="R457"/>
  <c r="S457"/>
  <c r="T457"/>
  <c r="U457"/>
  <c r="O458"/>
  <c r="P458"/>
  <c r="Q458"/>
  <c r="R458"/>
  <c r="S458"/>
  <c r="T458"/>
  <c r="U458"/>
  <c r="O459"/>
  <c r="P459"/>
  <c r="Q459"/>
  <c r="R459"/>
  <c r="S459"/>
  <c r="T459"/>
  <c r="U459"/>
  <c r="O460"/>
  <c r="P460"/>
  <c r="Q460"/>
  <c r="R460"/>
  <c r="S460"/>
  <c r="T460"/>
  <c r="U460"/>
  <c r="O461"/>
  <c r="P461"/>
  <c r="Q461"/>
  <c r="R461"/>
  <c r="S461"/>
  <c r="T461"/>
  <c r="U461"/>
  <c r="E462"/>
  <c r="G462"/>
  <c r="H462"/>
  <c r="I462"/>
  <c r="S462" s="1"/>
  <c r="J462"/>
  <c r="K462"/>
  <c r="L462"/>
  <c r="M462"/>
  <c r="N462"/>
  <c r="P462"/>
  <c r="I463"/>
  <c r="S463" s="1"/>
  <c r="O463"/>
  <c r="O464"/>
  <c r="P464"/>
  <c r="Q464"/>
  <c r="R464"/>
  <c r="S464"/>
  <c r="T464"/>
  <c r="U464"/>
  <c r="O465"/>
  <c r="P465"/>
  <c r="Q465"/>
  <c r="R465"/>
  <c r="S465"/>
  <c r="T465"/>
  <c r="U465"/>
  <c r="O466"/>
  <c r="P466"/>
  <c r="Q466"/>
  <c r="R466"/>
  <c r="S466"/>
  <c r="T466"/>
  <c r="U466"/>
  <c r="O467"/>
  <c r="P467"/>
  <c r="Q467"/>
  <c r="R467"/>
  <c r="S467"/>
  <c r="T467"/>
  <c r="U467"/>
  <c r="O468"/>
  <c r="P468"/>
  <c r="Q468"/>
  <c r="R468"/>
  <c r="S468"/>
  <c r="T468"/>
  <c r="U468"/>
  <c r="O469"/>
  <c r="P469"/>
  <c r="Q469"/>
  <c r="R469"/>
  <c r="S469"/>
  <c r="T469"/>
  <c r="U469"/>
  <c r="O470"/>
  <c r="P470"/>
  <c r="Q470"/>
  <c r="R470"/>
  <c r="S470"/>
  <c r="T470"/>
  <c r="U470"/>
  <c r="O471"/>
  <c r="P471"/>
  <c r="Q471"/>
  <c r="R471"/>
  <c r="S471"/>
  <c r="T471"/>
  <c r="U471"/>
  <c r="O472"/>
  <c r="P472"/>
  <c r="Q472"/>
  <c r="R472"/>
  <c r="S472"/>
  <c r="T472"/>
  <c r="U472"/>
  <c r="O473"/>
  <c r="P473"/>
  <c r="Q473"/>
  <c r="R473"/>
  <c r="S473"/>
  <c r="T473"/>
  <c r="U473"/>
  <c r="O474"/>
  <c r="P474"/>
  <c r="Q474"/>
  <c r="R474"/>
  <c r="S474"/>
  <c r="T474"/>
  <c r="U474"/>
  <c r="O475"/>
  <c r="P475"/>
  <c r="Q475"/>
  <c r="R475"/>
  <c r="S475"/>
  <c r="T475"/>
  <c r="U475"/>
  <c r="O476"/>
  <c r="P476"/>
  <c r="Q476"/>
  <c r="R476"/>
  <c r="S476"/>
  <c r="T476"/>
  <c r="U476"/>
  <c r="O477"/>
  <c r="P477"/>
  <c r="Q477"/>
  <c r="R477"/>
  <c r="S477"/>
  <c r="T477"/>
  <c r="U477"/>
  <c r="O478"/>
  <c r="P478"/>
  <c r="Q478"/>
  <c r="R478"/>
  <c r="S478"/>
  <c r="T478"/>
  <c r="U478"/>
  <c r="O479"/>
  <c r="P479"/>
  <c r="Q479"/>
  <c r="R479"/>
  <c r="S479"/>
  <c r="T479"/>
  <c r="U479"/>
  <c r="O480"/>
  <c r="P480"/>
  <c r="Q480"/>
  <c r="R480"/>
  <c r="S480"/>
  <c r="T480"/>
  <c r="U480"/>
  <c r="O481"/>
  <c r="P481"/>
  <c r="Q481"/>
  <c r="R481"/>
  <c r="S481"/>
  <c r="T481"/>
  <c r="U481"/>
  <c r="O482"/>
  <c r="P482"/>
  <c r="Q482"/>
  <c r="R482"/>
  <c r="S482"/>
  <c r="T482"/>
  <c r="U482"/>
  <c r="O483"/>
  <c r="P483"/>
  <c r="Q483"/>
  <c r="R483"/>
  <c r="S483"/>
  <c r="T483"/>
  <c r="U483"/>
  <c r="O484"/>
  <c r="P484"/>
  <c r="Q484"/>
  <c r="R484"/>
  <c r="S484"/>
  <c r="T484"/>
  <c r="U484"/>
  <c r="O485"/>
  <c r="P485"/>
  <c r="Q485"/>
  <c r="R485"/>
  <c r="S485"/>
  <c r="T485"/>
  <c r="U485"/>
  <c r="O486"/>
  <c r="P486"/>
  <c r="Q486"/>
  <c r="R486"/>
  <c r="S486"/>
  <c r="T486"/>
  <c r="U486"/>
  <c r="O487"/>
  <c r="P487"/>
  <c r="Q487"/>
  <c r="R487"/>
  <c r="S487"/>
  <c r="T487"/>
  <c r="U487"/>
  <c r="O488"/>
  <c r="P488"/>
  <c r="Q488"/>
  <c r="R488"/>
  <c r="S488"/>
  <c r="T488"/>
  <c r="U488"/>
  <c r="O489"/>
  <c r="P489"/>
  <c r="Q489"/>
  <c r="R489"/>
  <c r="S489"/>
  <c r="T489"/>
  <c r="U489"/>
  <c r="O490"/>
  <c r="P490"/>
  <c r="Q490"/>
  <c r="R490"/>
  <c r="S490"/>
  <c r="T490"/>
  <c r="U490"/>
  <c r="O491"/>
  <c r="P491"/>
  <c r="Q491"/>
  <c r="R491"/>
  <c r="S491"/>
  <c r="T491"/>
  <c r="U491"/>
  <c r="O492"/>
  <c r="P492"/>
  <c r="Q492"/>
  <c r="R492"/>
  <c r="S492"/>
  <c r="T492"/>
  <c r="U492"/>
  <c r="O493"/>
  <c r="P493"/>
  <c r="Q493"/>
  <c r="R493"/>
  <c r="S493"/>
  <c r="T493"/>
  <c r="U493"/>
  <c r="O494"/>
  <c r="P494"/>
  <c r="Q494"/>
  <c r="R494"/>
  <c r="S494"/>
  <c r="T494"/>
  <c r="U494"/>
  <c r="O495"/>
  <c r="P495"/>
  <c r="Q495"/>
  <c r="R495"/>
  <c r="S495"/>
  <c r="T495"/>
  <c r="U495"/>
  <c r="O496"/>
  <c r="P496"/>
  <c r="Q496"/>
  <c r="R496"/>
  <c r="S496"/>
  <c r="T496"/>
  <c r="U496"/>
  <c r="O497"/>
  <c r="P497"/>
  <c r="Q497"/>
  <c r="R497"/>
  <c r="S497"/>
  <c r="T497"/>
  <c r="U497"/>
  <c r="O498"/>
  <c r="P498"/>
  <c r="Q498"/>
  <c r="R498"/>
  <c r="S498"/>
  <c r="T498"/>
  <c r="U498"/>
  <c r="O499"/>
  <c r="P499"/>
  <c r="Q499"/>
  <c r="R499"/>
  <c r="S499"/>
  <c r="T499"/>
  <c r="U499"/>
  <c r="O500"/>
  <c r="P500"/>
  <c r="Q500"/>
  <c r="R500"/>
  <c r="S500"/>
  <c r="T500"/>
  <c r="U500"/>
  <c r="O501"/>
  <c r="P501"/>
  <c r="Q501"/>
  <c r="R501"/>
  <c r="S501"/>
  <c r="T501"/>
  <c r="U501"/>
  <c r="O502"/>
  <c r="P502"/>
  <c r="Q502"/>
  <c r="R502"/>
  <c r="S502"/>
  <c r="T502"/>
  <c r="U502"/>
  <c r="O503"/>
  <c r="P503"/>
  <c r="Q503"/>
  <c r="R503"/>
  <c r="S503"/>
  <c r="T503"/>
  <c r="U503"/>
  <c r="O504"/>
  <c r="P504"/>
  <c r="Q504"/>
  <c r="R504"/>
  <c r="S504"/>
  <c r="T504"/>
  <c r="U504"/>
  <c r="O505"/>
  <c r="P505"/>
  <c r="Q505"/>
  <c r="R505"/>
  <c r="S505"/>
  <c r="T505"/>
  <c r="U505"/>
  <c r="O506"/>
  <c r="P506"/>
  <c r="Q506"/>
  <c r="R506"/>
  <c r="S506"/>
  <c r="T506"/>
  <c r="U506"/>
  <c r="O507"/>
  <c r="P507"/>
  <c r="Q507"/>
  <c r="R507"/>
  <c r="S507"/>
  <c r="T507"/>
  <c r="U507"/>
  <c r="O508"/>
  <c r="P508"/>
  <c r="Q508"/>
  <c r="R508"/>
  <c r="S508"/>
  <c r="T508"/>
  <c r="U508"/>
  <c r="O509"/>
  <c r="P509"/>
  <c r="Q509"/>
  <c r="R509"/>
  <c r="S509"/>
  <c r="T509"/>
  <c r="U509"/>
  <c r="O510"/>
  <c r="P510"/>
  <c r="Q510"/>
  <c r="R510"/>
  <c r="S510"/>
  <c r="T510"/>
  <c r="U510"/>
  <c r="O511"/>
  <c r="P511"/>
  <c r="Q511"/>
  <c r="R511"/>
  <c r="S511"/>
  <c r="T511"/>
  <c r="U511"/>
  <c r="O512"/>
  <c r="P512"/>
  <c r="Q512"/>
  <c r="R512"/>
  <c r="S512"/>
  <c r="T512"/>
  <c r="U512"/>
  <c r="O513"/>
  <c r="P513"/>
  <c r="Q513"/>
  <c r="R513"/>
  <c r="S513"/>
  <c r="T513"/>
  <c r="U513"/>
  <c r="O514"/>
  <c r="P514"/>
  <c r="Q514"/>
  <c r="R514"/>
  <c r="S514"/>
  <c r="T514"/>
  <c r="U514"/>
  <c r="O515"/>
  <c r="P515"/>
  <c r="Q515"/>
  <c r="R515"/>
  <c r="S515"/>
  <c r="T515"/>
  <c r="U515"/>
  <c r="O516"/>
  <c r="P516"/>
  <c r="Q516"/>
  <c r="R516"/>
  <c r="S516"/>
  <c r="T516"/>
  <c r="U516"/>
  <c r="O517"/>
  <c r="P517"/>
  <c r="Q517"/>
  <c r="R517"/>
  <c r="S517"/>
  <c r="T517"/>
  <c r="U517"/>
  <c r="O518"/>
  <c r="P518"/>
  <c r="Q518"/>
  <c r="R518"/>
  <c r="S518"/>
  <c r="T518"/>
  <c r="U518"/>
  <c r="O519"/>
  <c r="P519"/>
  <c r="Q519"/>
  <c r="R519"/>
  <c r="S519"/>
  <c r="T519"/>
  <c r="U519"/>
  <c r="O520"/>
  <c r="P520"/>
  <c r="Q520"/>
  <c r="R520"/>
  <c r="S520"/>
  <c r="T520"/>
  <c r="U520"/>
  <c r="O521"/>
  <c r="P521"/>
  <c r="Q521"/>
  <c r="R521"/>
  <c r="S521"/>
  <c r="T521"/>
  <c r="U521"/>
  <c r="O522"/>
  <c r="P522"/>
  <c r="Q522"/>
  <c r="R522"/>
  <c r="S522"/>
  <c r="T522"/>
  <c r="U522"/>
  <c r="O523"/>
  <c r="P523"/>
  <c r="Q523"/>
  <c r="R523"/>
  <c r="S523"/>
  <c r="T523"/>
  <c r="U523"/>
  <c r="O524"/>
  <c r="P524"/>
  <c r="Q524"/>
  <c r="R524"/>
  <c r="S524"/>
  <c r="T524"/>
  <c r="U524"/>
  <c r="O525"/>
  <c r="P525"/>
  <c r="Q525"/>
  <c r="R525"/>
  <c r="S525"/>
  <c r="T525"/>
  <c r="U525"/>
  <c r="O526"/>
  <c r="P526"/>
  <c r="Q526"/>
  <c r="R526"/>
  <c r="S526"/>
  <c r="T526"/>
  <c r="U526"/>
  <c r="O527"/>
  <c r="P527"/>
  <c r="Q527"/>
  <c r="R527"/>
  <c r="S527"/>
  <c r="T527"/>
  <c r="U527"/>
  <c r="O528"/>
  <c r="P528"/>
  <c r="Q528"/>
  <c r="R528"/>
  <c r="S528"/>
  <c r="T528"/>
  <c r="U528"/>
  <c r="O529"/>
  <c r="P529"/>
  <c r="Q529"/>
  <c r="R529"/>
  <c r="S529"/>
  <c r="T529"/>
  <c r="U529"/>
  <c r="O530"/>
  <c r="P530"/>
  <c r="Q530"/>
  <c r="R530"/>
  <c r="S530"/>
  <c r="T530"/>
  <c r="U530"/>
  <c r="O531"/>
  <c r="P531"/>
  <c r="Q531"/>
  <c r="R531"/>
  <c r="S531"/>
  <c r="T531"/>
  <c r="U531"/>
  <c r="O532"/>
  <c r="P532"/>
  <c r="Q532"/>
  <c r="R532"/>
  <c r="S532"/>
  <c r="T532"/>
  <c r="U532"/>
  <c r="O533"/>
  <c r="P533"/>
  <c r="Q533"/>
  <c r="R533"/>
  <c r="S533"/>
  <c r="T533"/>
  <c r="U533"/>
  <c r="O534"/>
  <c r="P534"/>
  <c r="Q534"/>
  <c r="R534"/>
  <c r="S534"/>
  <c r="T534"/>
  <c r="U534"/>
  <c r="O535"/>
  <c r="P535"/>
  <c r="Q535"/>
  <c r="R535"/>
  <c r="S535"/>
  <c r="T535"/>
  <c r="U535"/>
  <c r="O536"/>
  <c r="P536"/>
  <c r="Q536"/>
  <c r="R536"/>
  <c r="S536"/>
  <c r="T536"/>
  <c r="U536"/>
  <c r="O537"/>
  <c r="P537"/>
  <c r="Q537"/>
  <c r="R537"/>
  <c r="S537"/>
  <c r="T537"/>
  <c r="U537"/>
  <c r="O538"/>
  <c r="P538"/>
  <c r="Q538"/>
  <c r="R538"/>
  <c r="S538"/>
  <c r="T538"/>
  <c r="U538"/>
  <c r="O539"/>
  <c r="P539"/>
  <c r="Q539"/>
  <c r="R539"/>
  <c r="S539"/>
  <c r="T539"/>
  <c r="U539"/>
  <c r="O540"/>
  <c r="P540"/>
  <c r="Q540"/>
  <c r="R540"/>
  <c r="S540"/>
  <c r="T540"/>
  <c r="U540"/>
  <c r="O541"/>
  <c r="P541"/>
  <c r="Q541"/>
  <c r="R541"/>
  <c r="S541"/>
  <c r="T541"/>
  <c r="U541"/>
  <c r="O542"/>
  <c r="P542"/>
  <c r="Q542"/>
  <c r="R542"/>
  <c r="S542"/>
  <c r="T542"/>
  <c r="U542"/>
  <c r="O543"/>
  <c r="P543"/>
  <c r="Q543"/>
  <c r="R543"/>
  <c r="S543"/>
  <c r="T543"/>
  <c r="U543"/>
  <c r="O544"/>
  <c r="P544"/>
  <c r="Q544"/>
  <c r="R544"/>
  <c r="S544"/>
  <c r="T544"/>
  <c r="U544"/>
  <c r="O545"/>
  <c r="P545"/>
  <c r="Q545"/>
  <c r="R545"/>
  <c r="S545"/>
  <c r="T545"/>
  <c r="U545"/>
  <c r="O546"/>
  <c r="P546"/>
  <c r="Q546"/>
  <c r="R546"/>
  <c r="S546"/>
  <c r="T546"/>
  <c r="U546"/>
  <c r="O547"/>
  <c r="P547"/>
  <c r="Q547"/>
  <c r="R547"/>
  <c r="S547"/>
  <c r="T547"/>
  <c r="U547"/>
  <c r="O548"/>
  <c r="P548"/>
  <c r="Q548"/>
  <c r="R548"/>
  <c r="S548"/>
  <c r="T548"/>
  <c r="U548"/>
  <c r="O549"/>
  <c r="P549"/>
  <c r="Q549"/>
  <c r="R549"/>
  <c r="S549"/>
  <c r="T549"/>
  <c r="U549"/>
  <c r="O550"/>
  <c r="P550"/>
  <c r="Q550"/>
  <c r="R550"/>
  <c r="S550"/>
  <c r="T550"/>
  <c r="U550"/>
  <c r="O551"/>
  <c r="P551"/>
  <c r="Q551"/>
  <c r="R551"/>
  <c r="S551"/>
  <c r="T551"/>
  <c r="U551"/>
  <c r="O552"/>
  <c r="P552"/>
  <c r="Q552"/>
  <c r="R552"/>
  <c r="S552"/>
  <c r="T552"/>
  <c r="U552"/>
  <c r="O553"/>
  <c r="P553"/>
  <c r="Q553"/>
  <c r="R553"/>
  <c r="S553"/>
  <c r="T553"/>
  <c r="U553"/>
  <c r="O554"/>
  <c r="P554"/>
  <c r="Q554"/>
  <c r="R554"/>
  <c r="S554"/>
  <c r="T554"/>
  <c r="U554"/>
  <c r="O555"/>
  <c r="P555"/>
  <c r="Q555"/>
  <c r="R555"/>
  <c r="S555"/>
  <c r="T555"/>
  <c r="U555"/>
  <c r="O556"/>
  <c r="P556"/>
  <c r="Q556"/>
  <c r="R556"/>
  <c r="S556"/>
  <c r="T556"/>
  <c r="U556"/>
  <c r="O557"/>
  <c r="P557"/>
  <c r="Q557"/>
  <c r="R557"/>
  <c r="S557"/>
  <c r="T557"/>
  <c r="U557"/>
  <c r="O558"/>
  <c r="P558"/>
  <c r="Q558"/>
  <c r="R558"/>
  <c r="S558"/>
  <c r="T558"/>
  <c r="U558"/>
  <c r="O559"/>
  <c r="P559"/>
  <c r="Q559"/>
  <c r="R559"/>
  <c r="S559"/>
  <c r="T559"/>
  <c r="U559"/>
  <c r="O560"/>
  <c r="P560"/>
  <c r="Q560"/>
  <c r="R560"/>
  <c r="S560"/>
  <c r="T560"/>
  <c r="U560"/>
  <c r="O561"/>
  <c r="P561"/>
  <c r="Q561"/>
  <c r="R561"/>
  <c r="S561"/>
  <c r="T561"/>
  <c r="U561"/>
  <c r="O562"/>
  <c r="P562"/>
  <c r="Q562"/>
  <c r="R562"/>
  <c r="S562"/>
  <c r="T562"/>
  <c r="U562"/>
  <c r="O563"/>
  <c r="P563"/>
  <c r="Q563"/>
  <c r="R563"/>
  <c r="S563"/>
  <c r="T563"/>
  <c r="U563"/>
  <c r="O564"/>
  <c r="P564"/>
  <c r="Q564"/>
  <c r="R564"/>
  <c r="S564"/>
  <c r="T564"/>
  <c r="U564"/>
  <c r="O565"/>
  <c r="P565"/>
  <c r="Q565"/>
  <c r="R565"/>
  <c r="S565"/>
  <c r="T565"/>
  <c r="U565"/>
  <c r="O566"/>
  <c r="P566"/>
  <c r="Q566"/>
  <c r="R566"/>
  <c r="S566"/>
  <c r="T566"/>
  <c r="U566"/>
  <c r="O567"/>
  <c r="P567"/>
  <c r="Q567"/>
  <c r="R567"/>
  <c r="S567"/>
  <c r="T567"/>
  <c r="U567"/>
  <c r="O568"/>
  <c r="P568"/>
  <c r="Q568"/>
  <c r="R568"/>
  <c r="S568"/>
  <c r="T568"/>
  <c r="U568"/>
  <c r="O569"/>
  <c r="P569"/>
  <c r="Q569"/>
  <c r="R569"/>
  <c r="S569"/>
  <c r="T569"/>
  <c r="U569"/>
  <c r="O570"/>
  <c r="P570"/>
  <c r="Q570"/>
  <c r="R570"/>
  <c r="S570"/>
  <c r="T570"/>
  <c r="U570"/>
  <c r="O571"/>
  <c r="P571"/>
  <c r="Q571"/>
  <c r="R571"/>
  <c r="S571"/>
  <c r="T571"/>
  <c r="U571"/>
  <c r="O572"/>
  <c r="P572"/>
  <c r="Q572"/>
  <c r="R572"/>
  <c r="S572"/>
  <c r="T572"/>
  <c r="U572"/>
  <c r="O573"/>
  <c r="P573"/>
  <c r="Q573"/>
  <c r="R573"/>
  <c r="S573"/>
  <c r="T573"/>
  <c r="U573"/>
  <c r="O574"/>
  <c r="P574"/>
  <c r="Q574"/>
  <c r="R574"/>
  <c r="S574"/>
  <c r="T574"/>
  <c r="U574"/>
  <c r="O575"/>
  <c r="P575"/>
  <c r="Q575"/>
  <c r="R575"/>
  <c r="S575"/>
  <c r="T575"/>
  <c r="U575"/>
  <c r="O576"/>
  <c r="P576"/>
  <c r="Q576"/>
  <c r="R576"/>
  <c r="S576"/>
  <c r="T576"/>
  <c r="U576"/>
  <c r="O577"/>
  <c r="P577"/>
  <c r="Q577"/>
  <c r="R577"/>
  <c r="S577"/>
  <c r="T577"/>
  <c r="U577"/>
  <c r="O578"/>
  <c r="P578"/>
  <c r="Q578"/>
  <c r="R578"/>
  <c r="S578"/>
  <c r="T578"/>
  <c r="U578"/>
  <c r="O579"/>
  <c r="P579"/>
  <c r="Q579"/>
  <c r="R579"/>
  <c r="S579"/>
  <c r="T579"/>
  <c r="U579"/>
  <c r="O580"/>
  <c r="P580"/>
  <c r="Q580"/>
  <c r="R580"/>
  <c r="S580"/>
  <c r="T580"/>
  <c r="U580"/>
  <c r="O581"/>
  <c r="P581"/>
  <c r="Q581"/>
  <c r="R581"/>
  <c r="S581"/>
  <c r="T581"/>
  <c r="U581"/>
  <c r="O582"/>
  <c r="P582"/>
  <c r="Q582"/>
  <c r="R582"/>
  <c r="S582"/>
  <c r="T582"/>
  <c r="U582"/>
  <c r="O583"/>
  <c r="P583"/>
  <c r="Q583"/>
  <c r="R583"/>
  <c r="S583"/>
  <c r="T583"/>
  <c r="U583"/>
  <c r="O584"/>
  <c r="P584"/>
  <c r="Q584"/>
  <c r="R584"/>
  <c r="S584"/>
  <c r="T584"/>
  <c r="U584"/>
  <c r="O585"/>
  <c r="P585"/>
  <c r="Q585"/>
  <c r="R585"/>
  <c r="S585"/>
  <c r="T585"/>
  <c r="U585"/>
  <c r="O586"/>
  <c r="P586"/>
  <c r="Q586"/>
  <c r="R586"/>
  <c r="S586"/>
  <c r="T586"/>
  <c r="U586"/>
  <c r="O587"/>
  <c r="P587"/>
  <c r="Q587"/>
  <c r="R587"/>
  <c r="S587"/>
  <c r="T587"/>
  <c r="U587"/>
  <c r="O588"/>
  <c r="P588"/>
  <c r="Q588"/>
  <c r="R588"/>
  <c r="S588"/>
  <c r="T588"/>
  <c r="U588"/>
  <c r="O589"/>
  <c r="P589"/>
  <c r="Q589"/>
  <c r="R589"/>
  <c r="S589"/>
  <c r="T589"/>
  <c r="U589"/>
  <c r="O590"/>
  <c r="P590"/>
  <c r="Q590"/>
  <c r="R590"/>
  <c r="S590"/>
  <c r="T590"/>
  <c r="U590"/>
  <c r="O591"/>
  <c r="P591"/>
  <c r="Q591"/>
  <c r="R591"/>
  <c r="S591"/>
  <c r="T591"/>
  <c r="U591"/>
  <c r="O592"/>
  <c r="P592"/>
  <c r="Q592"/>
  <c r="R592"/>
  <c r="S592"/>
  <c r="T592"/>
  <c r="U592"/>
  <c r="O593"/>
  <c r="P593"/>
  <c r="Q593"/>
  <c r="R593"/>
  <c r="S593"/>
  <c r="T593"/>
  <c r="U593"/>
  <c r="O594"/>
  <c r="P594"/>
  <c r="Q594"/>
  <c r="R594"/>
  <c r="S594"/>
  <c r="T594"/>
  <c r="U594"/>
  <c r="O595"/>
  <c r="P595"/>
  <c r="Q595"/>
  <c r="R595"/>
  <c r="S595"/>
  <c r="T595"/>
  <c r="U595"/>
  <c r="O596"/>
  <c r="P596"/>
  <c r="Q596"/>
  <c r="R596"/>
  <c r="S596"/>
  <c r="T596"/>
  <c r="U596"/>
  <c r="O597"/>
  <c r="P597"/>
  <c r="Q597"/>
  <c r="R597"/>
  <c r="S597"/>
  <c r="T597"/>
  <c r="U597"/>
  <c r="O598"/>
  <c r="P598"/>
  <c r="Q598"/>
  <c r="R598"/>
  <c r="S598"/>
  <c r="T598"/>
  <c r="U598"/>
  <c r="O599"/>
  <c r="P599"/>
  <c r="Q599"/>
  <c r="R599"/>
  <c r="S599"/>
  <c r="T599"/>
  <c r="U599"/>
  <c r="O600"/>
  <c r="P600"/>
  <c r="Q600"/>
  <c r="R600"/>
  <c r="S600"/>
  <c r="T600"/>
  <c r="U600"/>
  <c r="O601"/>
  <c r="P601"/>
  <c r="Q601"/>
  <c r="R601"/>
  <c r="S601"/>
  <c r="T601"/>
  <c r="U601"/>
  <c r="O602"/>
  <c r="P602"/>
  <c r="Q602"/>
  <c r="R602"/>
  <c r="S602"/>
  <c r="T602"/>
  <c r="U602"/>
  <c r="O603"/>
  <c r="P603"/>
  <c r="Q603"/>
  <c r="R603"/>
  <c r="S603"/>
  <c r="T603"/>
  <c r="U603"/>
  <c r="O604"/>
  <c r="P604"/>
  <c r="Q604"/>
  <c r="R604"/>
  <c r="S604"/>
  <c r="T604"/>
  <c r="U604"/>
  <c r="O605"/>
  <c r="P605"/>
  <c r="Q605"/>
  <c r="R605"/>
  <c r="S605"/>
  <c r="T605"/>
  <c r="U605"/>
  <c r="O606"/>
  <c r="P606"/>
  <c r="Q606"/>
  <c r="R606"/>
  <c r="S606"/>
  <c r="T606"/>
  <c r="U606"/>
  <c r="O607"/>
  <c r="P607"/>
  <c r="Q607"/>
  <c r="R607"/>
  <c r="S607"/>
  <c r="T607"/>
  <c r="U607"/>
  <c r="O608"/>
  <c r="P608"/>
  <c r="Q608"/>
  <c r="R608"/>
  <c r="S608"/>
  <c r="T608"/>
  <c r="U608"/>
  <c r="O609"/>
  <c r="P609"/>
  <c r="Q609"/>
  <c r="R609"/>
  <c r="S609"/>
  <c r="T609"/>
  <c r="U609"/>
  <c r="O610"/>
  <c r="P610"/>
  <c r="Q610"/>
  <c r="R610"/>
  <c r="S610"/>
  <c r="T610"/>
  <c r="U610"/>
  <c r="O611"/>
  <c r="P611"/>
  <c r="Q611"/>
  <c r="R611"/>
  <c r="S611"/>
  <c r="T611"/>
  <c r="U611"/>
  <c r="O612"/>
  <c r="P612"/>
  <c r="Q612"/>
  <c r="R612"/>
  <c r="S612"/>
  <c r="T612"/>
  <c r="U612"/>
  <c r="E613"/>
  <c r="G613"/>
  <c r="H613"/>
  <c r="I613"/>
  <c r="T613" s="1"/>
  <c r="J613"/>
  <c r="K613"/>
  <c r="L613"/>
  <c r="M613"/>
  <c r="N613"/>
  <c r="O614"/>
  <c r="P614"/>
  <c r="Q614"/>
  <c r="R614"/>
  <c r="S614"/>
  <c r="T614"/>
  <c r="U614"/>
  <c r="O615"/>
  <c r="P615"/>
  <c r="Q615"/>
  <c r="R615"/>
  <c r="S615"/>
  <c r="T615"/>
  <c r="U615"/>
  <c r="O616"/>
  <c r="P616"/>
  <c r="Q616"/>
  <c r="R616"/>
  <c r="S616"/>
  <c r="T616"/>
  <c r="U616"/>
  <c r="O617"/>
  <c r="P617"/>
  <c r="Q617"/>
  <c r="R617"/>
  <c r="S617"/>
  <c r="T617"/>
  <c r="U617"/>
  <c r="O618"/>
  <c r="P618"/>
  <c r="Q618"/>
  <c r="R618"/>
  <c r="S618"/>
  <c r="T618"/>
  <c r="U618"/>
  <c r="O619"/>
  <c r="P619"/>
  <c r="Q619"/>
  <c r="R619"/>
  <c r="S619"/>
  <c r="T619"/>
  <c r="U619"/>
  <c r="O620"/>
  <c r="P620"/>
  <c r="Q620"/>
  <c r="R620"/>
  <c r="S620"/>
  <c r="T620"/>
  <c r="U620"/>
  <c r="O621"/>
  <c r="P621"/>
  <c r="Q621"/>
  <c r="R621"/>
  <c r="S621"/>
  <c r="T621"/>
  <c r="U621"/>
  <c r="O622"/>
  <c r="P622"/>
  <c r="Q622"/>
  <c r="R622"/>
  <c r="S622"/>
  <c r="T622"/>
  <c r="U622"/>
  <c r="O623"/>
  <c r="P623"/>
  <c r="Q623"/>
  <c r="R623"/>
  <c r="S623"/>
  <c r="T623"/>
  <c r="U623"/>
  <c r="O624"/>
  <c r="P624"/>
  <c r="Q624"/>
  <c r="R624"/>
  <c r="S624"/>
  <c r="T624"/>
  <c r="U624"/>
  <c r="O625"/>
  <c r="P625"/>
  <c r="Q625"/>
  <c r="R625"/>
  <c r="S625"/>
  <c r="T625"/>
  <c r="U625"/>
  <c r="O626"/>
  <c r="P626"/>
  <c r="Q626"/>
  <c r="R626"/>
  <c r="S626"/>
  <c r="T626"/>
  <c r="U626"/>
  <c r="O627"/>
  <c r="P627"/>
  <c r="Q627"/>
  <c r="R627"/>
  <c r="S627"/>
  <c r="T627"/>
  <c r="U627"/>
  <c r="O628"/>
  <c r="P628"/>
  <c r="Q628"/>
  <c r="R628"/>
  <c r="S628"/>
  <c r="T628"/>
  <c r="U628"/>
  <c r="O629"/>
  <c r="P629"/>
  <c r="Q629"/>
  <c r="R629"/>
  <c r="S629"/>
  <c r="T629"/>
  <c r="U629"/>
  <c r="O630"/>
  <c r="P630"/>
  <c r="Q630"/>
  <c r="R630"/>
  <c r="S630"/>
  <c r="T630"/>
  <c r="U630"/>
  <c r="O631"/>
  <c r="P631"/>
  <c r="Q631"/>
  <c r="R631"/>
  <c r="S631"/>
  <c r="T631"/>
  <c r="U631"/>
  <c r="O632"/>
  <c r="P632"/>
  <c r="Q632"/>
  <c r="R632"/>
  <c r="S632"/>
  <c r="T632"/>
  <c r="U632"/>
  <c r="O633"/>
  <c r="P633"/>
  <c r="Q633"/>
  <c r="R633"/>
  <c r="S633"/>
  <c r="T633"/>
  <c r="U633"/>
  <c r="O634"/>
  <c r="P634"/>
  <c r="Q634"/>
  <c r="R634"/>
  <c r="S634"/>
  <c r="T634"/>
  <c r="U634"/>
  <c r="O635"/>
  <c r="P635"/>
  <c r="Q635"/>
  <c r="R635"/>
  <c r="S635"/>
  <c r="T635"/>
  <c r="U635"/>
  <c r="O636"/>
  <c r="P636"/>
  <c r="Q636"/>
  <c r="R636"/>
  <c r="S636"/>
  <c r="T636"/>
  <c r="U636"/>
  <c r="O637"/>
  <c r="P637"/>
  <c r="Q637"/>
  <c r="R637"/>
  <c r="S637"/>
  <c r="T637"/>
  <c r="U637"/>
  <c r="O638"/>
  <c r="P638"/>
  <c r="Q638"/>
  <c r="R638"/>
  <c r="S638"/>
  <c r="T638"/>
  <c r="U638"/>
  <c r="O639"/>
  <c r="P639"/>
  <c r="Q639"/>
  <c r="R639"/>
  <c r="S639"/>
  <c r="T639"/>
  <c r="U639"/>
  <c r="O640"/>
  <c r="P640"/>
  <c r="Q640"/>
  <c r="R640"/>
  <c r="S640"/>
  <c r="T640"/>
  <c r="U640"/>
  <c r="O641"/>
  <c r="P641"/>
  <c r="Q641"/>
  <c r="R641"/>
  <c r="S641"/>
  <c r="T641"/>
  <c r="U641"/>
  <c r="O642"/>
  <c r="P642"/>
  <c r="Q642"/>
  <c r="R642"/>
  <c r="S642"/>
  <c r="T642"/>
  <c r="U642"/>
  <c r="O643"/>
  <c r="P643"/>
  <c r="Q643"/>
  <c r="R643"/>
  <c r="S643"/>
  <c r="T643"/>
  <c r="U643"/>
  <c r="O644"/>
  <c r="P644"/>
  <c r="Q644"/>
  <c r="R644"/>
  <c r="S644"/>
  <c r="T644"/>
  <c r="U644"/>
  <c r="O645"/>
  <c r="P645"/>
  <c r="Q645"/>
  <c r="R645"/>
  <c r="S645"/>
  <c r="T645"/>
  <c r="U645"/>
  <c r="O646"/>
  <c r="P646"/>
  <c r="Q646"/>
  <c r="R646"/>
  <c r="S646"/>
  <c r="T646"/>
  <c r="U646"/>
  <c r="O647"/>
  <c r="P647"/>
  <c r="Q647"/>
  <c r="R647"/>
  <c r="S647"/>
  <c r="T647"/>
  <c r="U647"/>
  <c r="O648"/>
  <c r="P648"/>
  <c r="Q648"/>
  <c r="R648"/>
  <c r="S648"/>
  <c r="T648"/>
  <c r="U648"/>
  <c r="O649"/>
  <c r="P649"/>
  <c r="Q649"/>
  <c r="R649"/>
  <c r="S649"/>
  <c r="T649"/>
  <c r="U649"/>
  <c r="O650"/>
  <c r="P650"/>
  <c r="Q650"/>
  <c r="R650"/>
  <c r="S650"/>
  <c r="T650"/>
  <c r="U650"/>
  <c r="O651"/>
  <c r="P651"/>
  <c r="Q651"/>
  <c r="R651"/>
  <c r="S651"/>
  <c r="T651"/>
  <c r="U651"/>
  <c r="O652"/>
  <c r="P652"/>
  <c r="Q652"/>
  <c r="R652"/>
  <c r="S652"/>
  <c r="T652"/>
  <c r="U652"/>
  <c r="O653"/>
  <c r="P653"/>
  <c r="Q653"/>
  <c r="R653"/>
  <c r="S653"/>
  <c r="T653"/>
  <c r="U653"/>
  <c r="O654"/>
  <c r="P654"/>
  <c r="Q654"/>
  <c r="R654"/>
  <c r="S654"/>
  <c r="T654"/>
  <c r="U654"/>
  <c r="O655"/>
  <c r="P655"/>
  <c r="Q655"/>
  <c r="R655"/>
  <c r="S655"/>
  <c r="T655"/>
  <c r="U655"/>
  <c r="O656"/>
  <c r="P656"/>
  <c r="Q656"/>
  <c r="R656"/>
  <c r="S656"/>
  <c r="T656"/>
  <c r="U656"/>
  <c r="O657"/>
  <c r="P657"/>
  <c r="Q657"/>
  <c r="R657"/>
  <c r="S657"/>
  <c r="T657"/>
  <c r="U657"/>
  <c r="O658"/>
  <c r="P658"/>
  <c r="Q658"/>
  <c r="R658"/>
  <c r="S658"/>
  <c r="T658"/>
  <c r="U658"/>
  <c r="O659"/>
  <c r="P659"/>
  <c r="Q659"/>
  <c r="R659"/>
  <c r="S659"/>
  <c r="T659"/>
  <c r="U659"/>
  <c r="O660"/>
  <c r="P660"/>
  <c r="Q660"/>
  <c r="R660"/>
  <c r="S660"/>
  <c r="T660"/>
  <c r="U660"/>
  <c r="O661"/>
  <c r="P661"/>
  <c r="Q661"/>
  <c r="R661"/>
  <c r="S661"/>
  <c r="T661"/>
  <c r="U661"/>
  <c r="O662"/>
  <c r="P662"/>
  <c r="Q662"/>
  <c r="R662"/>
  <c r="S662"/>
  <c r="T662"/>
  <c r="U662"/>
  <c r="O663"/>
  <c r="P663"/>
  <c r="Q663"/>
  <c r="R663"/>
  <c r="S663"/>
  <c r="T663"/>
  <c r="U663"/>
  <c r="O664"/>
  <c r="P664"/>
  <c r="Q664"/>
  <c r="R664"/>
  <c r="S664"/>
  <c r="T664"/>
  <c r="U664"/>
  <c r="O665"/>
  <c r="P665"/>
  <c r="Q665"/>
  <c r="R665"/>
  <c r="S665"/>
  <c r="T665"/>
  <c r="U665"/>
  <c r="O666"/>
  <c r="P666"/>
  <c r="Q666"/>
  <c r="R666"/>
  <c r="S666"/>
  <c r="T666"/>
  <c r="U666"/>
  <c r="O667"/>
  <c r="P667"/>
  <c r="Q667"/>
  <c r="R667"/>
  <c r="S667"/>
  <c r="T667"/>
  <c r="U667"/>
  <c r="O668"/>
  <c r="P668"/>
  <c r="Q668"/>
  <c r="R668"/>
  <c r="S668"/>
  <c r="T668"/>
  <c r="U668"/>
  <c r="O669"/>
  <c r="P669"/>
  <c r="Q669"/>
  <c r="R669"/>
  <c r="S669"/>
  <c r="T669"/>
  <c r="U669"/>
  <c r="O670"/>
  <c r="P670"/>
  <c r="Q670"/>
  <c r="R670"/>
  <c r="S670"/>
  <c r="T670"/>
  <c r="U670"/>
  <c r="O671"/>
  <c r="P671"/>
  <c r="Q671"/>
  <c r="R671"/>
  <c r="S671"/>
  <c r="T671"/>
  <c r="U671"/>
  <c r="O672"/>
  <c r="P672"/>
  <c r="Q672"/>
  <c r="R672"/>
  <c r="S672"/>
  <c r="T672"/>
  <c r="U672"/>
  <c r="O673"/>
  <c r="P673"/>
  <c r="Q673"/>
  <c r="R673"/>
  <c r="S673"/>
  <c r="T673"/>
  <c r="U673"/>
  <c r="O674"/>
  <c r="P674"/>
  <c r="Q674"/>
  <c r="R674"/>
  <c r="S674"/>
  <c r="T674"/>
  <c r="U674"/>
  <c r="O675"/>
  <c r="P675"/>
  <c r="Q675"/>
  <c r="R675"/>
  <c r="S675"/>
  <c r="T675"/>
  <c r="U675"/>
  <c r="O676"/>
  <c r="P676"/>
  <c r="Q676"/>
  <c r="R676"/>
  <c r="S676"/>
  <c r="T676"/>
  <c r="U676"/>
  <c r="O677"/>
  <c r="P677"/>
  <c r="Q677"/>
  <c r="R677"/>
  <c r="S677"/>
  <c r="T677"/>
  <c r="U677"/>
  <c r="O678"/>
  <c r="P678"/>
  <c r="Q678"/>
  <c r="R678"/>
  <c r="S678"/>
  <c r="T678"/>
  <c r="U678"/>
  <c r="O679"/>
  <c r="P679"/>
  <c r="Q679"/>
  <c r="R679"/>
  <c r="S679"/>
  <c r="T679"/>
  <c r="U679"/>
  <c r="O680"/>
  <c r="P680"/>
  <c r="Q680"/>
  <c r="R680"/>
  <c r="S680"/>
  <c r="T680"/>
  <c r="U680"/>
  <c r="O681"/>
  <c r="P681"/>
  <c r="Q681"/>
  <c r="R681"/>
  <c r="S681"/>
  <c r="T681"/>
  <c r="U681"/>
  <c r="O682"/>
  <c r="P682"/>
  <c r="Q682"/>
  <c r="R682"/>
  <c r="S682"/>
  <c r="T682"/>
  <c r="U682"/>
  <c r="O683"/>
  <c r="P683"/>
  <c r="Q683"/>
  <c r="R683"/>
  <c r="S683"/>
  <c r="T683"/>
  <c r="U683"/>
  <c r="O684"/>
  <c r="P684"/>
  <c r="Q684"/>
  <c r="R684"/>
  <c r="S684"/>
  <c r="T684"/>
  <c r="U684"/>
  <c r="O685"/>
  <c r="P685"/>
  <c r="Q685"/>
  <c r="R685"/>
  <c r="S685"/>
  <c r="T685"/>
  <c r="U685"/>
  <c r="O686"/>
  <c r="P686"/>
  <c r="Q686"/>
  <c r="R686"/>
  <c r="S686"/>
  <c r="T686"/>
  <c r="U686"/>
  <c r="O687"/>
  <c r="P687"/>
  <c r="Q687"/>
  <c r="R687"/>
  <c r="S687"/>
  <c r="T687"/>
  <c r="U687"/>
  <c r="O688"/>
  <c r="P688"/>
  <c r="Q688"/>
  <c r="R688"/>
  <c r="S688"/>
  <c r="T688"/>
  <c r="U688"/>
  <c r="O689"/>
  <c r="P689"/>
  <c r="Q689"/>
  <c r="R689"/>
  <c r="S689"/>
  <c r="T689"/>
  <c r="U689"/>
  <c r="O690"/>
  <c r="P690"/>
  <c r="Q690"/>
  <c r="R690"/>
  <c r="S690"/>
  <c r="T690"/>
  <c r="U690"/>
  <c r="O691"/>
  <c r="P691"/>
  <c r="Q691"/>
  <c r="R691"/>
  <c r="S691"/>
  <c r="T691"/>
  <c r="U691"/>
  <c r="O692"/>
  <c r="P692"/>
  <c r="Q692"/>
  <c r="R692"/>
  <c r="S692"/>
  <c r="T692"/>
  <c r="U692"/>
  <c r="O693"/>
  <c r="P693"/>
  <c r="Q693"/>
  <c r="R693"/>
  <c r="S693"/>
  <c r="T693"/>
  <c r="U693"/>
  <c r="O694"/>
  <c r="P694"/>
  <c r="Q694"/>
  <c r="R694"/>
  <c r="S694"/>
  <c r="T694"/>
  <c r="U694"/>
  <c r="O695"/>
  <c r="P695"/>
  <c r="Q695"/>
  <c r="R695"/>
  <c r="S695"/>
  <c r="T695"/>
  <c r="U695"/>
  <c r="O696"/>
  <c r="P696"/>
  <c r="Q696"/>
  <c r="R696"/>
  <c r="S696"/>
  <c r="T696"/>
  <c r="U696"/>
  <c r="O697"/>
  <c r="P697"/>
  <c r="Q697"/>
  <c r="R697"/>
  <c r="S697"/>
  <c r="T697"/>
  <c r="U697"/>
  <c r="O698"/>
  <c r="P698"/>
  <c r="Q698"/>
  <c r="R698"/>
  <c r="S698"/>
  <c r="T698"/>
  <c r="U698"/>
  <c r="O699"/>
  <c r="P699"/>
  <c r="Q699"/>
  <c r="R699"/>
  <c r="S699"/>
  <c r="T699"/>
  <c r="U699"/>
  <c r="O700"/>
  <c r="P700"/>
  <c r="Q700"/>
  <c r="R700"/>
  <c r="S700"/>
  <c r="T700"/>
  <c r="U700"/>
  <c r="O701"/>
  <c r="P701"/>
  <c r="Q701"/>
  <c r="R701"/>
  <c r="S701"/>
  <c r="T701"/>
  <c r="U701"/>
  <c r="O702"/>
  <c r="P702"/>
  <c r="Q702"/>
  <c r="R702"/>
  <c r="S702"/>
  <c r="T702"/>
  <c r="U702"/>
  <c r="O703"/>
  <c r="P703"/>
  <c r="Q703"/>
  <c r="R703"/>
  <c r="S703"/>
  <c r="T703"/>
  <c r="U703"/>
  <c r="O704"/>
  <c r="P704"/>
  <c r="Q704"/>
  <c r="R704"/>
  <c r="S704"/>
  <c r="T704"/>
  <c r="U704"/>
  <c r="O705"/>
  <c r="P705"/>
  <c r="Q705"/>
  <c r="R705"/>
  <c r="S705"/>
  <c r="T705"/>
  <c r="U705"/>
  <c r="O706"/>
  <c r="P706"/>
  <c r="Q706"/>
  <c r="R706"/>
  <c r="S706"/>
  <c r="T706"/>
  <c r="U706"/>
  <c r="O707"/>
  <c r="P707"/>
  <c r="Q707"/>
  <c r="R707"/>
  <c r="S707"/>
  <c r="T707"/>
  <c r="U707"/>
  <c r="O708"/>
  <c r="P708"/>
  <c r="Q708"/>
  <c r="R708"/>
  <c r="S708"/>
  <c r="T708"/>
  <c r="U708"/>
  <c r="O709"/>
  <c r="P709"/>
  <c r="Q709"/>
  <c r="R709"/>
  <c r="S709"/>
  <c r="T709"/>
  <c r="U709"/>
  <c r="O710"/>
  <c r="P710"/>
  <c r="Q710"/>
  <c r="R710"/>
  <c r="S710"/>
  <c r="T710"/>
  <c r="U710"/>
  <c r="O711"/>
  <c r="P711"/>
  <c r="Q711"/>
  <c r="R711"/>
  <c r="S711"/>
  <c r="T711"/>
  <c r="U711"/>
  <c r="O712"/>
  <c r="P712"/>
  <c r="Q712"/>
  <c r="R712"/>
  <c r="S712"/>
  <c r="T712"/>
  <c r="U712"/>
  <c r="O713"/>
  <c r="P713"/>
  <c r="Q713"/>
  <c r="R713"/>
  <c r="S713"/>
  <c r="T713"/>
  <c r="U713"/>
  <c r="O714"/>
  <c r="P714"/>
  <c r="Q714"/>
  <c r="R714"/>
  <c r="S714"/>
  <c r="T714"/>
  <c r="U714"/>
  <c r="O715"/>
  <c r="P715"/>
  <c r="Q715"/>
  <c r="R715"/>
  <c r="S715"/>
  <c r="T715"/>
  <c r="U715"/>
  <c r="O716"/>
  <c r="P716"/>
  <c r="Q716"/>
  <c r="R716"/>
  <c r="S716"/>
  <c r="T716"/>
  <c r="U716"/>
  <c r="O717"/>
  <c r="P717"/>
  <c r="Q717"/>
  <c r="R717"/>
  <c r="S717"/>
  <c r="T717"/>
  <c r="U717"/>
  <c r="O718"/>
  <c r="P718"/>
  <c r="Q718"/>
  <c r="R718"/>
  <c r="S718"/>
  <c r="T718"/>
  <c r="U718"/>
  <c r="O719"/>
  <c r="P719"/>
  <c r="Q719"/>
  <c r="R719"/>
  <c r="S719"/>
  <c r="T719"/>
  <c r="U719"/>
  <c r="O720"/>
  <c r="P720"/>
  <c r="Q720"/>
  <c r="R720"/>
  <c r="S720"/>
  <c r="T720"/>
  <c r="U720"/>
  <c r="O721"/>
  <c r="P721"/>
  <c r="Q721"/>
  <c r="R721"/>
  <c r="S721"/>
  <c r="T721"/>
  <c r="U721"/>
  <c r="O722"/>
  <c r="P722"/>
  <c r="Q722"/>
  <c r="R722"/>
  <c r="S722"/>
  <c r="T722"/>
  <c r="U722"/>
  <c r="O723"/>
  <c r="P723"/>
  <c r="Q723"/>
  <c r="R723"/>
  <c r="S723"/>
  <c r="T723"/>
  <c r="U723"/>
  <c r="O724"/>
  <c r="P724"/>
  <c r="Q724"/>
  <c r="R724"/>
  <c r="S724"/>
  <c r="T724"/>
  <c r="U724"/>
  <c r="O725"/>
  <c r="P725"/>
  <c r="Q725"/>
  <c r="R725"/>
  <c r="S725"/>
  <c r="T725"/>
  <c r="U725"/>
  <c r="O726"/>
  <c r="P726"/>
  <c r="Q726"/>
  <c r="R726"/>
  <c r="S726"/>
  <c r="T726"/>
  <c r="U726"/>
  <c r="O727"/>
  <c r="P727"/>
  <c r="Q727"/>
  <c r="R727"/>
  <c r="S727"/>
  <c r="T727"/>
  <c r="U727"/>
  <c r="O728"/>
  <c r="P728"/>
  <c r="Q728"/>
  <c r="R728"/>
  <c r="S728"/>
  <c r="T728"/>
  <c r="U728"/>
  <c r="O729"/>
  <c r="P729"/>
  <c r="Q729"/>
  <c r="R729"/>
  <c r="S729"/>
  <c r="T729"/>
  <c r="U729"/>
  <c r="O730"/>
  <c r="P730"/>
  <c r="Q730"/>
  <c r="R730"/>
  <c r="S730"/>
  <c r="T730"/>
  <c r="U730"/>
  <c r="O731"/>
  <c r="P731"/>
  <c r="Q731"/>
  <c r="R731"/>
  <c r="S731"/>
  <c r="T731"/>
  <c r="U731"/>
  <c r="O732"/>
  <c r="P732"/>
  <c r="Q732"/>
  <c r="R732"/>
  <c r="S732"/>
  <c r="T732"/>
  <c r="U732"/>
  <c r="O733"/>
  <c r="P733"/>
  <c r="Q733"/>
  <c r="R733"/>
  <c r="S733"/>
  <c r="T733"/>
  <c r="U733"/>
  <c r="O734"/>
  <c r="P734"/>
  <c r="Q734"/>
  <c r="R734"/>
  <c r="S734"/>
  <c r="T734"/>
  <c r="U734"/>
  <c r="O735"/>
  <c r="P735"/>
  <c r="Q735"/>
  <c r="R735"/>
  <c r="S735"/>
  <c r="T735"/>
  <c r="U735"/>
  <c r="O736"/>
  <c r="P736"/>
  <c r="Q736"/>
  <c r="R736"/>
  <c r="S736"/>
  <c r="T736"/>
  <c r="U736"/>
  <c r="O737"/>
  <c r="P737"/>
  <c r="Q737"/>
  <c r="R737"/>
  <c r="S737"/>
  <c r="T737"/>
  <c r="U737"/>
  <c r="O738"/>
  <c r="P738"/>
  <c r="Q738"/>
  <c r="R738"/>
  <c r="S738"/>
  <c r="T738"/>
  <c r="U738"/>
  <c r="O739"/>
  <c r="P739"/>
  <c r="Q739"/>
  <c r="R739"/>
  <c r="S739"/>
  <c r="T739"/>
  <c r="U739"/>
  <c r="O740"/>
  <c r="P740"/>
  <c r="Q740"/>
  <c r="R740"/>
  <c r="S740"/>
  <c r="T740"/>
  <c r="U740"/>
  <c r="O741"/>
  <c r="P741"/>
  <c r="Q741"/>
  <c r="R741"/>
  <c r="S741"/>
  <c r="T741"/>
  <c r="U741"/>
  <c r="O742"/>
  <c r="P742"/>
  <c r="Q742"/>
  <c r="R742"/>
  <c r="S742"/>
  <c r="T742"/>
  <c r="U742"/>
  <c r="O743"/>
  <c r="P743"/>
  <c r="Q743"/>
  <c r="R743"/>
  <c r="S743"/>
  <c r="T743"/>
  <c r="U743"/>
  <c r="O744"/>
  <c r="P744"/>
  <c r="Q744"/>
  <c r="R744"/>
  <c r="S744"/>
  <c r="T744"/>
  <c r="U744"/>
  <c r="O745"/>
  <c r="P745"/>
  <c r="Q745"/>
  <c r="R745"/>
  <c r="S745"/>
  <c r="T745"/>
  <c r="U745"/>
  <c r="O746"/>
  <c r="P746"/>
  <c r="Q746"/>
  <c r="R746"/>
  <c r="S746"/>
  <c r="T746"/>
  <c r="U746"/>
  <c r="O747"/>
  <c r="P747"/>
  <c r="Q747"/>
  <c r="R747"/>
  <c r="S747"/>
  <c r="T747"/>
  <c r="U747"/>
  <c r="O748"/>
  <c r="P748"/>
  <c r="Q748"/>
  <c r="R748"/>
  <c r="S748"/>
  <c r="T748"/>
  <c r="U748"/>
  <c r="O749"/>
  <c r="P749"/>
  <c r="Q749"/>
  <c r="R749"/>
  <c r="S749"/>
  <c r="T749"/>
  <c r="U749"/>
  <c r="O750"/>
  <c r="P750"/>
  <c r="Q750"/>
  <c r="R750"/>
  <c r="S750"/>
  <c r="T750"/>
  <c r="U750"/>
  <c r="O751"/>
  <c r="P751"/>
  <c r="Q751"/>
  <c r="R751"/>
  <c r="S751"/>
  <c r="T751"/>
  <c r="U751"/>
  <c r="O752"/>
  <c r="P752"/>
  <c r="Q752"/>
  <c r="R752"/>
  <c r="S752"/>
  <c r="T752"/>
  <c r="U752"/>
  <c r="O753"/>
  <c r="P753"/>
  <c r="Q753"/>
  <c r="R753"/>
  <c r="S753"/>
  <c r="T753"/>
  <c r="U753"/>
  <c r="O754"/>
  <c r="P754"/>
  <c r="Q754"/>
  <c r="R754"/>
  <c r="S754"/>
  <c r="T754"/>
  <c r="U754"/>
  <c r="O755"/>
  <c r="P755"/>
  <c r="Q755"/>
  <c r="R755"/>
  <c r="S755"/>
  <c r="T755"/>
  <c r="U755"/>
  <c r="O756"/>
  <c r="P756"/>
  <c r="Q756"/>
  <c r="R756"/>
  <c r="S756"/>
  <c r="T756"/>
  <c r="U756"/>
  <c r="O757"/>
  <c r="P757"/>
  <c r="Q757"/>
  <c r="R757"/>
  <c r="S757"/>
  <c r="T757"/>
  <c r="U757"/>
  <c r="O758"/>
  <c r="P758"/>
  <c r="Q758"/>
  <c r="R758"/>
  <c r="S758"/>
  <c r="T758"/>
  <c r="U758"/>
  <c r="O759"/>
  <c r="P759"/>
  <c r="Q759"/>
  <c r="R759"/>
  <c r="S759"/>
  <c r="T759"/>
  <c r="U759"/>
  <c r="O760"/>
  <c r="P760"/>
  <c r="Q760"/>
  <c r="R760"/>
  <c r="S760"/>
  <c r="T760"/>
  <c r="U760"/>
  <c r="O761"/>
  <c r="P761"/>
  <c r="Q761"/>
  <c r="R761"/>
  <c r="S761"/>
  <c r="T761"/>
  <c r="U761"/>
  <c r="O762"/>
  <c r="P762"/>
  <c r="Q762"/>
  <c r="R762"/>
  <c r="S762"/>
  <c r="T762"/>
  <c r="U762"/>
  <c r="O763"/>
  <c r="P763"/>
  <c r="Q763"/>
  <c r="R763"/>
  <c r="S763"/>
  <c r="T763"/>
  <c r="U763"/>
  <c r="E764"/>
  <c r="G764"/>
  <c r="H764"/>
  <c r="I764"/>
  <c r="U764" s="1"/>
  <c r="J764"/>
  <c r="K764"/>
  <c r="L764"/>
  <c r="M764"/>
  <c r="N764"/>
  <c r="Q764"/>
  <c r="S764"/>
  <c r="I765"/>
  <c r="U765" s="1"/>
  <c r="O765"/>
  <c r="I766"/>
  <c r="U766" s="1"/>
  <c r="O766"/>
  <c r="S766"/>
  <c r="T766"/>
  <c r="O767"/>
  <c r="P767"/>
  <c r="Q767"/>
  <c r="R767"/>
  <c r="S767"/>
  <c r="T767"/>
  <c r="U767"/>
  <c r="O768"/>
  <c r="P768"/>
  <c r="Q768"/>
  <c r="R768"/>
  <c r="S768"/>
  <c r="T768"/>
  <c r="U768"/>
  <c r="O769"/>
  <c r="P769"/>
  <c r="Q769"/>
  <c r="R769"/>
  <c r="S769"/>
  <c r="T769"/>
  <c r="U769"/>
  <c r="O770"/>
  <c r="P770"/>
  <c r="Q770"/>
  <c r="R770"/>
  <c r="S770"/>
  <c r="T770"/>
  <c r="U770"/>
  <c r="O771"/>
  <c r="P771"/>
  <c r="Q771"/>
  <c r="R771"/>
  <c r="S771"/>
  <c r="T771"/>
  <c r="U771"/>
  <c r="O772"/>
  <c r="P772"/>
  <c r="Q772"/>
  <c r="R772"/>
  <c r="S772"/>
  <c r="T772"/>
  <c r="U772"/>
  <c r="O773"/>
  <c r="P773"/>
  <c r="Q773"/>
  <c r="R773"/>
  <c r="S773"/>
  <c r="T773"/>
  <c r="U773"/>
  <c r="O774"/>
  <c r="P774"/>
  <c r="Q774"/>
  <c r="R774"/>
  <c r="S774"/>
  <c r="T774"/>
  <c r="U774"/>
  <c r="O775"/>
  <c r="P775"/>
  <c r="Q775"/>
  <c r="R775"/>
  <c r="S775"/>
  <c r="T775"/>
  <c r="U775"/>
  <c r="O776"/>
  <c r="P776"/>
  <c r="Q776"/>
  <c r="R776"/>
  <c r="S776"/>
  <c r="T776"/>
  <c r="U776"/>
  <c r="O777"/>
  <c r="P777"/>
  <c r="Q777"/>
  <c r="R777"/>
  <c r="S777"/>
  <c r="T777"/>
  <c r="U777"/>
  <c r="O778"/>
  <c r="P778"/>
  <c r="Q778"/>
  <c r="R778"/>
  <c r="S778"/>
  <c r="T778"/>
  <c r="U778"/>
  <c r="O779"/>
  <c r="P779"/>
  <c r="Q779"/>
  <c r="R779"/>
  <c r="S779"/>
  <c r="T779"/>
  <c r="U779"/>
  <c r="O780"/>
  <c r="P780"/>
  <c r="Q780"/>
  <c r="R780"/>
  <c r="S780"/>
  <c r="T780"/>
  <c r="U780"/>
  <c r="O781"/>
  <c r="P781"/>
  <c r="Q781"/>
  <c r="R781"/>
  <c r="S781"/>
  <c r="T781"/>
  <c r="U781"/>
  <c r="O782"/>
  <c r="P782"/>
  <c r="Q782"/>
  <c r="R782"/>
  <c r="S782"/>
  <c r="T782"/>
  <c r="U782"/>
  <c r="O783"/>
  <c r="P783"/>
  <c r="Q783"/>
  <c r="R783"/>
  <c r="S783"/>
  <c r="T783"/>
  <c r="U783"/>
  <c r="O784"/>
  <c r="P784"/>
  <c r="Q784"/>
  <c r="R784"/>
  <c r="S784"/>
  <c r="T784"/>
  <c r="U784"/>
  <c r="O785"/>
  <c r="P785"/>
  <c r="Q785"/>
  <c r="R785"/>
  <c r="S785"/>
  <c r="T785"/>
  <c r="U785"/>
  <c r="O786"/>
  <c r="P786"/>
  <c r="Q786"/>
  <c r="R786"/>
  <c r="S786"/>
  <c r="T786"/>
  <c r="U786"/>
  <c r="O787"/>
  <c r="P787"/>
  <c r="Q787"/>
  <c r="R787"/>
  <c r="S787"/>
  <c r="T787"/>
  <c r="U787"/>
  <c r="O788"/>
  <c r="P788"/>
  <c r="Q788"/>
  <c r="R788"/>
  <c r="S788"/>
  <c r="T788"/>
  <c r="U788"/>
  <c r="O789"/>
  <c r="P789"/>
  <c r="Q789"/>
  <c r="R789"/>
  <c r="S789"/>
  <c r="T789"/>
  <c r="U789"/>
  <c r="O790"/>
  <c r="P790"/>
  <c r="Q790"/>
  <c r="R790"/>
  <c r="S790"/>
  <c r="T790"/>
  <c r="U790"/>
  <c r="O791"/>
  <c r="P791"/>
  <c r="Q791"/>
  <c r="R791"/>
  <c r="S791"/>
  <c r="T791"/>
  <c r="U791"/>
  <c r="O792"/>
  <c r="P792"/>
  <c r="Q792"/>
  <c r="R792"/>
  <c r="S792"/>
  <c r="T792"/>
  <c r="U792"/>
  <c r="O793"/>
  <c r="P793"/>
  <c r="Q793"/>
  <c r="R793"/>
  <c r="S793"/>
  <c r="T793"/>
  <c r="U793"/>
  <c r="O794"/>
  <c r="P794"/>
  <c r="Q794"/>
  <c r="R794"/>
  <c r="S794"/>
  <c r="T794"/>
  <c r="U794"/>
  <c r="O795"/>
  <c r="P795"/>
  <c r="Q795"/>
  <c r="R795"/>
  <c r="S795"/>
  <c r="T795"/>
  <c r="U795"/>
  <c r="O796"/>
  <c r="P796"/>
  <c r="Q796"/>
  <c r="R796"/>
  <c r="S796"/>
  <c r="T796"/>
  <c r="U796"/>
  <c r="O797"/>
  <c r="P797"/>
  <c r="Q797"/>
  <c r="R797"/>
  <c r="S797"/>
  <c r="T797"/>
  <c r="U797"/>
  <c r="O798"/>
  <c r="P798"/>
  <c r="Q798"/>
  <c r="R798"/>
  <c r="S798"/>
  <c r="T798"/>
  <c r="U798"/>
  <c r="O799"/>
  <c r="P799"/>
  <c r="Q799"/>
  <c r="R799"/>
  <c r="S799"/>
  <c r="T799"/>
  <c r="U799"/>
  <c r="O800"/>
  <c r="P800"/>
  <c r="Q800"/>
  <c r="R800"/>
  <c r="S800"/>
  <c r="T800"/>
  <c r="U800"/>
  <c r="O801"/>
  <c r="P801"/>
  <c r="Q801"/>
  <c r="R801"/>
  <c r="S801"/>
  <c r="T801"/>
  <c r="U801"/>
  <c r="O802"/>
  <c r="P802"/>
  <c r="Q802"/>
  <c r="R802"/>
  <c r="S802"/>
  <c r="T802"/>
  <c r="U802"/>
  <c r="O803"/>
  <c r="P803"/>
  <c r="Q803"/>
  <c r="R803"/>
  <c r="S803"/>
  <c r="T803"/>
  <c r="U803"/>
  <c r="O804"/>
  <c r="P804"/>
  <c r="Q804"/>
  <c r="R804"/>
  <c r="S804"/>
  <c r="T804"/>
  <c r="U804"/>
  <c r="O805"/>
  <c r="P805"/>
  <c r="Q805"/>
  <c r="R805"/>
  <c r="S805"/>
  <c r="T805"/>
  <c r="U805"/>
  <c r="O806"/>
  <c r="P806"/>
  <c r="Q806"/>
  <c r="R806"/>
  <c r="S806"/>
  <c r="T806"/>
  <c r="U806"/>
  <c r="O807"/>
  <c r="P807"/>
  <c r="Q807"/>
  <c r="R807"/>
  <c r="S807"/>
  <c r="T807"/>
  <c r="U807"/>
  <c r="O808"/>
  <c r="P808"/>
  <c r="Q808"/>
  <c r="R808"/>
  <c r="S808"/>
  <c r="T808"/>
  <c r="U808"/>
  <c r="O809"/>
  <c r="P809"/>
  <c r="Q809"/>
  <c r="R809"/>
  <c r="S809"/>
  <c r="T809"/>
  <c r="U809"/>
  <c r="O810"/>
  <c r="P810"/>
  <c r="Q810"/>
  <c r="R810"/>
  <c r="S810"/>
  <c r="T810"/>
  <c r="U810"/>
  <c r="O811"/>
  <c r="P811"/>
  <c r="Q811"/>
  <c r="R811"/>
  <c r="S811"/>
  <c r="T811"/>
  <c r="U811"/>
  <c r="O812"/>
  <c r="P812"/>
  <c r="Q812"/>
  <c r="R812"/>
  <c r="S812"/>
  <c r="T812"/>
  <c r="U812"/>
  <c r="O813"/>
  <c r="P813"/>
  <c r="Q813"/>
  <c r="R813"/>
  <c r="S813"/>
  <c r="T813"/>
  <c r="U813"/>
  <c r="O814"/>
  <c r="P814"/>
  <c r="Q814"/>
  <c r="R814"/>
  <c r="S814"/>
  <c r="T814"/>
  <c r="U814"/>
  <c r="O815"/>
  <c r="P815"/>
  <c r="Q815"/>
  <c r="R815"/>
  <c r="S815"/>
  <c r="T815"/>
  <c r="U815"/>
  <c r="O816"/>
  <c r="P816"/>
  <c r="Q816"/>
  <c r="R816"/>
  <c r="S816"/>
  <c r="T816"/>
  <c r="U816"/>
  <c r="O817"/>
  <c r="P817"/>
  <c r="Q817"/>
  <c r="R817"/>
  <c r="S817"/>
  <c r="T817"/>
  <c r="U817"/>
  <c r="O818"/>
  <c r="P818"/>
  <c r="Q818"/>
  <c r="R818"/>
  <c r="S818"/>
  <c r="T818"/>
  <c r="U818"/>
  <c r="O819"/>
  <c r="P819"/>
  <c r="Q819"/>
  <c r="R819"/>
  <c r="S819"/>
  <c r="T819"/>
  <c r="U819"/>
  <c r="O820"/>
  <c r="P820"/>
  <c r="Q820"/>
  <c r="R820"/>
  <c r="S820"/>
  <c r="T820"/>
  <c r="U820"/>
  <c r="O821"/>
  <c r="P821"/>
  <c r="Q821"/>
  <c r="R821"/>
  <c r="S821"/>
  <c r="T821"/>
  <c r="U821"/>
  <c r="O822"/>
  <c r="P822"/>
  <c r="Q822"/>
  <c r="R822"/>
  <c r="S822"/>
  <c r="T822"/>
  <c r="U822"/>
  <c r="O823"/>
  <c r="P823"/>
  <c r="Q823"/>
  <c r="R823"/>
  <c r="S823"/>
  <c r="T823"/>
  <c r="U823"/>
  <c r="O824"/>
  <c r="P824"/>
  <c r="Q824"/>
  <c r="R824"/>
  <c r="S824"/>
  <c r="T824"/>
  <c r="U824"/>
  <c r="O825"/>
  <c r="P825"/>
  <c r="Q825"/>
  <c r="R825"/>
  <c r="S825"/>
  <c r="T825"/>
  <c r="U825"/>
  <c r="O826"/>
  <c r="P826"/>
  <c r="Q826"/>
  <c r="R826"/>
  <c r="S826"/>
  <c r="T826"/>
  <c r="U826"/>
  <c r="O827"/>
  <c r="P827"/>
  <c r="Q827"/>
  <c r="R827"/>
  <c r="S827"/>
  <c r="T827"/>
  <c r="U827"/>
  <c r="O828"/>
  <c r="P828"/>
  <c r="Q828"/>
  <c r="R828"/>
  <c r="S828"/>
  <c r="T828"/>
  <c r="U828"/>
  <c r="O829"/>
  <c r="P829"/>
  <c r="Q829"/>
  <c r="R829"/>
  <c r="S829"/>
  <c r="T829"/>
  <c r="U829"/>
  <c r="O830"/>
  <c r="P830"/>
  <c r="Q830"/>
  <c r="R830"/>
  <c r="S830"/>
  <c r="T830"/>
  <c r="U830"/>
  <c r="O831"/>
  <c r="P831"/>
  <c r="Q831"/>
  <c r="R831"/>
  <c r="S831"/>
  <c r="T831"/>
  <c r="U831"/>
  <c r="O832"/>
  <c r="P832"/>
  <c r="Q832"/>
  <c r="R832"/>
  <c r="S832"/>
  <c r="T832"/>
  <c r="U832"/>
  <c r="O833"/>
  <c r="P833"/>
  <c r="Q833"/>
  <c r="R833"/>
  <c r="S833"/>
  <c r="T833"/>
  <c r="U833"/>
  <c r="O834"/>
  <c r="P834"/>
  <c r="Q834"/>
  <c r="R834"/>
  <c r="S834"/>
  <c r="T834"/>
  <c r="U834"/>
  <c r="O835"/>
  <c r="P835"/>
  <c r="Q835"/>
  <c r="R835"/>
  <c r="S835"/>
  <c r="T835"/>
  <c r="U835"/>
  <c r="O836"/>
  <c r="P836"/>
  <c r="Q836"/>
  <c r="R836"/>
  <c r="S836"/>
  <c r="T836"/>
  <c r="U836"/>
  <c r="O837"/>
  <c r="P837"/>
  <c r="Q837"/>
  <c r="R837"/>
  <c r="S837"/>
  <c r="T837"/>
  <c r="U837"/>
  <c r="O838"/>
  <c r="P838"/>
  <c r="Q838"/>
  <c r="R838"/>
  <c r="S838"/>
  <c r="T838"/>
  <c r="U838"/>
  <c r="O839"/>
  <c r="P839"/>
  <c r="Q839"/>
  <c r="R839"/>
  <c r="S839"/>
  <c r="T839"/>
  <c r="U839"/>
  <c r="O840"/>
  <c r="P840"/>
  <c r="Q840"/>
  <c r="R840"/>
  <c r="S840"/>
  <c r="T840"/>
  <c r="U840"/>
  <c r="O841"/>
  <c r="P841"/>
  <c r="Q841"/>
  <c r="R841"/>
  <c r="S841"/>
  <c r="T841"/>
  <c r="U841"/>
  <c r="O842"/>
  <c r="P842"/>
  <c r="Q842"/>
  <c r="R842"/>
  <c r="S842"/>
  <c r="T842"/>
  <c r="U842"/>
  <c r="O843"/>
  <c r="P843"/>
  <c r="Q843"/>
  <c r="R843"/>
  <c r="S843"/>
  <c r="T843"/>
  <c r="U843"/>
  <c r="O844"/>
  <c r="P844"/>
  <c r="Q844"/>
  <c r="R844"/>
  <c r="S844"/>
  <c r="T844"/>
  <c r="U844"/>
  <c r="O845"/>
  <c r="P845"/>
  <c r="Q845"/>
  <c r="R845"/>
  <c r="S845"/>
  <c r="T845"/>
  <c r="U845"/>
  <c r="O846"/>
  <c r="P846"/>
  <c r="Q846"/>
  <c r="R846"/>
  <c r="S846"/>
  <c r="T846"/>
  <c r="U846"/>
  <c r="O847"/>
  <c r="P847"/>
  <c r="Q847"/>
  <c r="R847"/>
  <c r="S847"/>
  <c r="T847"/>
  <c r="U847"/>
  <c r="O848"/>
  <c r="P848"/>
  <c r="Q848"/>
  <c r="R848"/>
  <c r="S848"/>
  <c r="T848"/>
  <c r="U848"/>
  <c r="O849"/>
  <c r="P849"/>
  <c r="Q849"/>
  <c r="R849"/>
  <c r="S849"/>
  <c r="T849"/>
  <c r="U849"/>
  <c r="O850"/>
  <c r="P850"/>
  <c r="Q850"/>
  <c r="R850"/>
  <c r="S850"/>
  <c r="T850"/>
  <c r="U850"/>
  <c r="O851"/>
  <c r="P851"/>
  <c r="Q851"/>
  <c r="R851"/>
  <c r="S851"/>
  <c r="T851"/>
  <c r="U851"/>
  <c r="O852"/>
  <c r="P852"/>
  <c r="Q852"/>
  <c r="R852"/>
  <c r="S852"/>
  <c r="T852"/>
  <c r="U852"/>
  <c r="O853"/>
  <c r="P853"/>
  <c r="Q853"/>
  <c r="R853"/>
  <c r="S853"/>
  <c r="T853"/>
  <c r="U853"/>
  <c r="O854"/>
  <c r="P854"/>
  <c r="Q854"/>
  <c r="R854"/>
  <c r="S854"/>
  <c r="T854"/>
  <c r="U854"/>
  <c r="O855"/>
  <c r="P855"/>
  <c r="Q855"/>
  <c r="R855"/>
  <c r="S855"/>
  <c r="T855"/>
  <c r="U855"/>
  <c r="O856"/>
  <c r="P856"/>
  <c r="Q856"/>
  <c r="R856"/>
  <c r="S856"/>
  <c r="T856"/>
  <c r="U856"/>
  <c r="O857"/>
  <c r="P857"/>
  <c r="Q857"/>
  <c r="R857"/>
  <c r="S857"/>
  <c r="T857"/>
  <c r="U857"/>
  <c r="O858"/>
  <c r="P858"/>
  <c r="Q858"/>
  <c r="R858"/>
  <c r="S858"/>
  <c r="T858"/>
  <c r="U858"/>
  <c r="O859"/>
  <c r="P859"/>
  <c r="Q859"/>
  <c r="R859"/>
  <c r="S859"/>
  <c r="T859"/>
  <c r="U859"/>
  <c r="O860"/>
  <c r="P860"/>
  <c r="Q860"/>
  <c r="R860"/>
  <c r="S860"/>
  <c r="T860"/>
  <c r="U860"/>
  <c r="O861"/>
  <c r="P861"/>
  <c r="Q861"/>
  <c r="R861"/>
  <c r="S861"/>
  <c r="T861"/>
  <c r="U861"/>
  <c r="O862"/>
  <c r="P862"/>
  <c r="Q862"/>
  <c r="R862"/>
  <c r="S862"/>
  <c r="T862"/>
  <c r="U862"/>
  <c r="O863"/>
  <c r="P863"/>
  <c r="Q863"/>
  <c r="R863"/>
  <c r="S863"/>
  <c r="T863"/>
  <c r="U863"/>
  <c r="O864"/>
  <c r="P864"/>
  <c r="Q864"/>
  <c r="R864"/>
  <c r="S864"/>
  <c r="T864"/>
  <c r="U864"/>
  <c r="O865"/>
  <c r="P865"/>
  <c r="Q865"/>
  <c r="R865"/>
  <c r="S865"/>
  <c r="T865"/>
  <c r="U865"/>
  <c r="O866"/>
  <c r="P866"/>
  <c r="Q866"/>
  <c r="R866"/>
  <c r="S866"/>
  <c r="T866"/>
  <c r="U866"/>
  <c r="O867"/>
  <c r="P867"/>
  <c r="Q867"/>
  <c r="R867"/>
  <c r="S867"/>
  <c r="T867"/>
  <c r="U867"/>
  <c r="O868"/>
  <c r="P868"/>
  <c r="Q868"/>
  <c r="R868"/>
  <c r="S868"/>
  <c r="T868"/>
  <c r="U868"/>
  <c r="O869"/>
  <c r="P869"/>
  <c r="Q869"/>
  <c r="R869"/>
  <c r="S869"/>
  <c r="T869"/>
  <c r="U869"/>
  <c r="O870"/>
  <c r="P870"/>
  <c r="Q870"/>
  <c r="R870"/>
  <c r="S870"/>
  <c r="T870"/>
  <c r="U870"/>
  <c r="O871"/>
  <c r="P871"/>
  <c r="Q871"/>
  <c r="R871"/>
  <c r="S871"/>
  <c r="T871"/>
  <c r="U871"/>
  <c r="O872"/>
  <c r="P872"/>
  <c r="Q872"/>
  <c r="R872"/>
  <c r="S872"/>
  <c r="T872"/>
  <c r="U872"/>
  <c r="O873"/>
  <c r="P873"/>
  <c r="Q873"/>
  <c r="R873"/>
  <c r="S873"/>
  <c r="T873"/>
  <c r="U873"/>
  <c r="O874"/>
  <c r="P874"/>
  <c r="Q874"/>
  <c r="R874"/>
  <c r="S874"/>
  <c r="T874"/>
  <c r="U874"/>
  <c r="O875"/>
  <c r="P875"/>
  <c r="Q875"/>
  <c r="R875"/>
  <c r="S875"/>
  <c r="T875"/>
  <c r="U875"/>
  <c r="O876"/>
  <c r="P876"/>
  <c r="Q876"/>
  <c r="R876"/>
  <c r="S876"/>
  <c r="T876"/>
  <c r="U876"/>
  <c r="O877"/>
  <c r="P877"/>
  <c r="Q877"/>
  <c r="R877"/>
  <c r="S877"/>
  <c r="T877"/>
  <c r="U877"/>
  <c r="O878"/>
  <c r="P878"/>
  <c r="Q878"/>
  <c r="R878"/>
  <c r="S878"/>
  <c r="T878"/>
  <c r="U878"/>
  <c r="O879"/>
  <c r="P879"/>
  <c r="Q879"/>
  <c r="R879"/>
  <c r="S879"/>
  <c r="T879"/>
  <c r="U879"/>
  <c r="O880"/>
  <c r="P880"/>
  <c r="Q880"/>
  <c r="R880"/>
  <c r="S880"/>
  <c r="T880"/>
  <c r="U880"/>
  <c r="O881"/>
  <c r="P881"/>
  <c r="Q881"/>
  <c r="R881"/>
  <c r="S881"/>
  <c r="T881"/>
  <c r="U881"/>
  <c r="O882"/>
  <c r="P882"/>
  <c r="Q882"/>
  <c r="R882"/>
  <c r="S882"/>
  <c r="T882"/>
  <c r="U882"/>
  <c r="O883"/>
  <c r="P883"/>
  <c r="Q883"/>
  <c r="R883"/>
  <c r="S883"/>
  <c r="T883"/>
  <c r="U883"/>
  <c r="O884"/>
  <c r="P884"/>
  <c r="Q884"/>
  <c r="R884"/>
  <c r="S884"/>
  <c r="T884"/>
  <c r="U884"/>
  <c r="O885"/>
  <c r="P885"/>
  <c r="Q885"/>
  <c r="R885"/>
  <c r="S885"/>
  <c r="T885"/>
  <c r="U885"/>
  <c r="O886"/>
  <c r="P886"/>
  <c r="Q886"/>
  <c r="R886"/>
  <c r="S886"/>
  <c r="T886"/>
  <c r="U886"/>
  <c r="O887"/>
  <c r="P887"/>
  <c r="Q887"/>
  <c r="R887"/>
  <c r="S887"/>
  <c r="T887"/>
  <c r="U887"/>
  <c r="O888"/>
  <c r="P888"/>
  <c r="Q888"/>
  <c r="R888"/>
  <c r="S888"/>
  <c r="T888"/>
  <c r="U888"/>
  <c r="O889"/>
  <c r="P889"/>
  <c r="Q889"/>
  <c r="R889"/>
  <c r="S889"/>
  <c r="T889"/>
  <c r="U889"/>
  <c r="O890"/>
  <c r="P890"/>
  <c r="Q890"/>
  <c r="R890"/>
  <c r="S890"/>
  <c r="T890"/>
  <c r="U890"/>
  <c r="O891"/>
  <c r="P891"/>
  <c r="Q891"/>
  <c r="R891"/>
  <c r="S891"/>
  <c r="T891"/>
  <c r="U891"/>
  <c r="O892"/>
  <c r="P892"/>
  <c r="Q892"/>
  <c r="R892"/>
  <c r="S892"/>
  <c r="T892"/>
  <c r="U892"/>
  <c r="O893"/>
  <c r="P893"/>
  <c r="Q893"/>
  <c r="R893"/>
  <c r="S893"/>
  <c r="T893"/>
  <c r="U893"/>
  <c r="O894"/>
  <c r="P894"/>
  <c r="Q894"/>
  <c r="R894"/>
  <c r="S894"/>
  <c r="T894"/>
  <c r="U894"/>
  <c r="O895"/>
  <c r="P895"/>
  <c r="Q895"/>
  <c r="R895"/>
  <c r="S895"/>
  <c r="T895"/>
  <c r="U895"/>
  <c r="O896"/>
  <c r="P896"/>
  <c r="Q896"/>
  <c r="R896"/>
  <c r="S896"/>
  <c r="T896"/>
  <c r="U896"/>
  <c r="O897"/>
  <c r="P897"/>
  <c r="Q897"/>
  <c r="R897"/>
  <c r="S897"/>
  <c r="T897"/>
  <c r="U897"/>
  <c r="O898"/>
  <c r="P898"/>
  <c r="Q898"/>
  <c r="R898"/>
  <c r="S898"/>
  <c r="T898"/>
  <c r="U898"/>
  <c r="O899"/>
  <c r="P899"/>
  <c r="Q899"/>
  <c r="R899"/>
  <c r="S899"/>
  <c r="T899"/>
  <c r="U899"/>
  <c r="O900"/>
  <c r="P900"/>
  <c r="Q900"/>
  <c r="R900"/>
  <c r="S900"/>
  <c r="T900"/>
  <c r="U900"/>
  <c r="O901"/>
  <c r="P901"/>
  <c r="Q901"/>
  <c r="R901"/>
  <c r="S901"/>
  <c r="T901"/>
  <c r="U901"/>
  <c r="O902"/>
  <c r="P902"/>
  <c r="Q902"/>
  <c r="R902"/>
  <c r="S902"/>
  <c r="T902"/>
  <c r="U902"/>
  <c r="O903"/>
  <c r="P903"/>
  <c r="Q903"/>
  <c r="R903"/>
  <c r="S903"/>
  <c r="T903"/>
  <c r="U903"/>
  <c r="O904"/>
  <c r="P904"/>
  <c r="Q904"/>
  <c r="R904"/>
  <c r="S904"/>
  <c r="T904"/>
  <c r="U904"/>
  <c r="O905"/>
  <c r="P905"/>
  <c r="Q905"/>
  <c r="R905"/>
  <c r="S905"/>
  <c r="T905"/>
  <c r="U905"/>
  <c r="O906"/>
  <c r="P906"/>
  <c r="Q906"/>
  <c r="R906"/>
  <c r="S906"/>
  <c r="T906"/>
  <c r="U906"/>
  <c r="O907"/>
  <c r="P907"/>
  <c r="Q907"/>
  <c r="R907"/>
  <c r="S907"/>
  <c r="T907"/>
  <c r="U907"/>
  <c r="O908"/>
  <c r="P908"/>
  <c r="Q908"/>
  <c r="R908"/>
  <c r="S908"/>
  <c r="T908"/>
  <c r="U908"/>
  <c r="O909"/>
  <c r="P909"/>
  <c r="Q909"/>
  <c r="R909"/>
  <c r="S909"/>
  <c r="T909"/>
  <c r="U909"/>
  <c r="O910"/>
  <c r="P910"/>
  <c r="Q910"/>
  <c r="R910"/>
  <c r="S910"/>
  <c r="T910"/>
  <c r="U910"/>
  <c r="O911"/>
  <c r="P911"/>
  <c r="Q911"/>
  <c r="R911"/>
  <c r="S911"/>
  <c r="T911"/>
  <c r="U911"/>
  <c r="O912"/>
  <c r="P912"/>
  <c r="Q912"/>
  <c r="R912"/>
  <c r="S912"/>
  <c r="T912"/>
  <c r="U912"/>
  <c r="O913"/>
  <c r="P913"/>
  <c r="Q913"/>
  <c r="R913"/>
  <c r="S913"/>
  <c r="T913"/>
  <c r="U913"/>
  <c r="O914"/>
  <c r="P914"/>
  <c r="Q914"/>
  <c r="R914"/>
  <c r="S914"/>
  <c r="T914"/>
  <c r="U914"/>
  <c r="E915"/>
  <c r="G915"/>
  <c r="H915"/>
  <c r="I915"/>
  <c r="U915" s="1"/>
  <c r="J915"/>
  <c r="K915"/>
  <c r="L915"/>
  <c r="M915"/>
  <c r="N915"/>
  <c r="P915"/>
  <c r="R915"/>
  <c r="S915"/>
  <c r="T915"/>
  <c r="I916"/>
  <c r="Q916" s="1"/>
  <c r="O916"/>
  <c r="P916"/>
  <c r="U916"/>
  <c r="O917"/>
  <c r="P917"/>
  <c r="Q917"/>
  <c r="R917"/>
  <c r="S917"/>
  <c r="T917"/>
  <c r="U917"/>
  <c r="O918"/>
  <c r="P918"/>
  <c r="Q918"/>
  <c r="R918"/>
  <c r="S918"/>
  <c r="T918"/>
  <c r="U918"/>
  <c r="O919"/>
  <c r="P919"/>
  <c r="Q919"/>
  <c r="R919"/>
  <c r="S919"/>
  <c r="T919"/>
  <c r="U919"/>
  <c r="O920"/>
  <c r="P920"/>
  <c r="Q920"/>
  <c r="R920"/>
  <c r="S920"/>
  <c r="T920"/>
  <c r="U920"/>
  <c r="O921"/>
  <c r="P921"/>
  <c r="Q921"/>
  <c r="R921"/>
  <c r="S921"/>
  <c r="T921"/>
  <c r="U921"/>
  <c r="O922"/>
  <c r="P922"/>
  <c r="Q922"/>
  <c r="R922"/>
  <c r="S922"/>
  <c r="T922"/>
  <c r="U922"/>
  <c r="O923"/>
  <c r="P923"/>
  <c r="Q923"/>
  <c r="R923"/>
  <c r="S923"/>
  <c r="T923"/>
  <c r="U923"/>
  <c r="O924"/>
  <c r="P924"/>
  <c r="Q924"/>
  <c r="R924"/>
  <c r="S924"/>
  <c r="T924"/>
  <c r="U924"/>
  <c r="O925"/>
  <c r="P925"/>
  <c r="Q925"/>
  <c r="R925"/>
  <c r="S925"/>
  <c r="T925"/>
  <c r="U925"/>
  <c r="O926"/>
  <c r="P926"/>
  <c r="Q926"/>
  <c r="R926"/>
  <c r="S926"/>
  <c r="T926"/>
  <c r="U926"/>
  <c r="O927"/>
  <c r="P927"/>
  <c r="Q927"/>
  <c r="R927"/>
  <c r="S927"/>
  <c r="T927"/>
  <c r="U927"/>
  <c r="O928"/>
  <c r="P928"/>
  <c r="Q928"/>
  <c r="R928"/>
  <c r="S928"/>
  <c r="T928"/>
  <c r="U928"/>
  <c r="O929"/>
  <c r="P929"/>
  <c r="Q929"/>
  <c r="R929"/>
  <c r="S929"/>
  <c r="T929"/>
  <c r="U929"/>
  <c r="O930"/>
  <c r="P930"/>
  <c r="Q930"/>
  <c r="R930"/>
  <c r="S930"/>
  <c r="T930"/>
  <c r="U930"/>
  <c r="O931"/>
  <c r="P931"/>
  <c r="Q931"/>
  <c r="R931"/>
  <c r="S931"/>
  <c r="T931"/>
  <c r="U931"/>
  <c r="O932"/>
  <c r="P932"/>
  <c r="Q932"/>
  <c r="R932"/>
  <c r="S932"/>
  <c r="T932"/>
  <c r="U932"/>
  <c r="O933"/>
  <c r="P933"/>
  <c r="Q933"/>
  <c r="R933"/>
  <c r="S933"/>
  <c r="T933"/>
  <c r="U933"/>
  <c r="O934"/>
  <c r="P934"/>
  <c r="Q934"/>
  <c r="R934"/>
  <c r="S934"/>
  <c r="T934"/>
  <c r="U934"/>
  <c r="O935"/>
  <c r="P935"/>
  <c r="Q935"/>
  <c r="R935"/>
  <c r="S935"/>
  <c r="T935"/>
  <c r="U935"/>
  <c r="O936"/>
  <c r="P936"/>
  <c r="Q936"/>
  <c r="R936"/>
  <c r="S936"/>
  <c r="T936"/>
  <c r="U936"/>
  <c r="O937"/>
  <c r="P937"/>
  <c r="Q937"/>
  <c r="R937"/>
  <c r="S937"/>
  <c r="T937"/>
  <c r="U937"/>
  <c r="O938"/>
  <c r="P938"/>
  <c r="Q938"/>
  <c r="R938"/>
  <c r="S938"/>
  <c r="T938"/>
  <c r="U938"/>
  <c r="O939"/>
  <c r="P939"/>
  <c r="Q939"/>
  <c r="R939"/>
  <c r="S939"/>
  <c r="T939"/>
  <c r="U939"/>
  <c r="O940"/>
  <c r="P940"/>
  <c r="Q940"/>
  <c r="R940"/>
  <c r="S940"/>
  <c r="T940"/>
  <c r="U940"/>
  <c r="O941"/>
  <c r="P941"/>
  <c r="Q941"/>
  <c r="R941"/>
  <c r="S941"/>
  <c r="T941"/>
  <c r="U941"/>
  <c r="O942"/>
  <c r="P942"/>
  <c r="Q942"/>
  <c r="R942"/>
  <c r="S942"/>
  <c r="T942"/>
  <c r="U942"/>
  <c r="O943"/>
  <c r="P943"/>
  <c r="Q943"/>
  <c r="R943"/>
  <c r="S943"/>
  <c r="T943"/>
  <c r="U943"/>
  <c r="O944"/>
  <c r="P944"/>
  <c r="Q944"/>
  <c r="R944"/>
  <c r="S944"/>
  <c r="T944"/>
  <c r="U944"/>
  <c r="O945"/>
  <c r="P945"/>
  <c r="Q945"/>
  <c r="R945"/>
  <c r="S945"/>
  <c r="T945"/>
  <c r="U945"/>
  <c r="O946"/>
  <c r="P946"/>
  <c r="Q946"/>
  <c r="R946"/>
  <c r="S946"/>
  <c r="T946"/>
  <c r="U946"/>
  <c r="O947"/>
  <c r="P947"/>
  <c r="Q947"/>
  <c r="R947"/>
  <c r="S947"/>
  <c r="T947"/>
  <c r="U947"/>
  <c r="O948"/>
  <c r="P948"/>
  <c r="Q948"/>
  <c r="R948"/>
  <c r="S948"/>
  <c r="T948"/>
  <c r="U948"/>
  <c r="O949"/>
  <c r="P949"/>
  <c r="Q949"/>
  <c r="R949"/>
  <c r="S949"/>
  <c r="T949"/>
  <c r="U949"/>
  <c r="O950"/>
  <c r="P950"/>
  <c r="Q950"/>
  <c r="R950"/>
  <c r="S950"/>
  <c r="T950"/>
  <c r="U950"/>
  <c r="O951"/>
  <c r="P951"/>
  <c r="Q951"/>
  <c r="R951"/>
  <c r="S951"/>
  <c r="T951"/>
  <c r="U951"/>
  <c r="O952"/>
  <c r="P952"/>
  <c r="Q952"/>
  <c r="R952"/>
  <c r="S952"/>
  <c r="T952"/>
  <c r="U952"/>
  <c r="O953"/>
  <c r="P953"/>
  <c r="Q953"/>
  <c r="R953"/>
  <c r="S953"/>
  <c r="T953"/>
  <c r="U953"/>
  <c r="O954"/>
  <c r="P954"/>
  <c r="Q954"/>
  <c r="R954"/>
  <c r="S954"/>
  <c r="T954"/>
  <c r="U954"/>
  <c r="O955"/>
  <c r="P955"/>
  <c r="Q955"/>
  <c r="R955"/>
  <c r="S955"/>
  <c r="T955"/>
  <c r="U955"/>
  <c r="O956"/>
  <c r="P956"/>
  <c r="Q956"/>
  <c r="R956"/>
  <c r="S956"/>
  <c r="T956"/>
  <c r="U956"/>
  <c r="O957"/>
  <c r="P957"/>
  <c r="Q957"/>
  <c r="R957"/>
  <c r="S957"/>
  <c r="T957"/>
  <c r="U957"/>
  <c r="O958"/>
  <c r="P958"/>
  <c r="Q958"/>
  <c r="R958"/>
  <c r="S958"/>
  <c r="T958"/>
  <c r="U958"/>
  <c r="O959"/>
  <c r="P959"/>
  <c r="Q959"/>
  <c r="R959"/>
  <c r="S959"/>
  <c r="T959"/>
  <c r="U959"/>
  <c r="O960"/>
  <c r="P960"/>
  <c r="Q960"/>
  <c r="R960"/>
  <c r="S960"/>
  <c r="T960"/>
  <c r="U960"/>
  <c r="E961"/>
  <c r="G961"/>
  <c r="H961"/>
  <c r="H1114" s="1"/>
  <c r="I961"/>
  <c r="U961" s="1"/>
  <c r="J961"/>
  <c r="K961"/>
  <c r="L961"/>
  <c r="M961"/>
  <c r="N961"/>
  <c r="S961"/>
  <c r="I962"/>
  <c r="U962" s="1"/>
  <c r="O962"/>
  <c r="S962"/>
  <c r="I963"/>
  <c r="U963" s="1"/>
  <c r="O963"/>
  <c r="I964"/>
  <c r="U964" s="1"/>
  <c r="O964"/>
  <c r="S964"/>
  <c r="I965"/>
  <c r="U965" s="1"/>
  <c r="O965"/>
  <c r="O966"/>
  <c r="P966"/>
  <c r="Q966"/>
  <c r="R966"/>
  <c r="S966"/>
  <c r="T966"/>
  <c r="U966"/>
  <c r="O967"/>
  <c r="P967"/>
  <c r="Q967"/>
  <c r="R967"/>
  <c r="S967"/>
  <c r="T967"/>
  <c r="U967"/>
  <c r="O968"/>
  <c r="P968"/>
  <c r="Q968"/>
  <c r="R968"/>
  <c r="S968"/>
  <c r="T968"/>
  <c r="U968"/>
  <c r="O969"/>
  <c r="P969"/>
  <c r="Q969"/>
  <c r="R969"/>
  <c r="S969"/>
  <c r="T969"/>
  <c r="U969"/>
  <c r="O970"/>
  <c r="P970"/>
  <c r="Q970"/>
  <c r="R970"/>
  <c r="S970"/>
  <c r="T970"/>
  <c r="U970"/>
  <c r="O971"/>
  <c r="P971"/>
  <c r="Q971"/>
  <c r="R971"/>
  <c r="S971"/>
  <c r="T971"/>
  <c r="U971"/>
  <c r="O972"/>
  <c r="P972"/>
  <c r="Q972"/>
  <c r="R972"/>
  <c r="S972"/>
  <c r="T972"/>
  <c r="U972"/>
  <c r="O973"/>
  <c r="P973"/>
  <c r="Q973"/>
  <c r="R973"/>
  <c r="S973"/>
  <c r="T973"/>
  <c r="U973"/>
  <c r="O974"/>
  <c r="P974"/>
  <c r="Q974"/>
  <c r="R974"/>
  <c r="S974"/>
  <c r="T974"/>
  <c r="U974"/>
  <c r="O975"/>
  <c r="P975"/>
  <c r="Q975"/>
  <c r="R975"/>
  <c r="S975"/>
  <c r="T975"/>
  <c r="U975"/>
  <c r="O976"/>
  <c r="P976"/>
  <c r="Q976"/>
  <c r="R976"/>
  <c r="S976"/>
  <c r="T976"/>
  <c r="U976"/>
  <c r="O977"/>
  <c r="P977"/>
  <c r="Q977"/>
  <c r="R977"/>
  <c r="S977"/>
  <c r="T977"/>
  <c r="U977"/>
  <c r="O978"/>
  <c r="P978"/>
  <c r="Q978"/>
  <c r="R978"/>
  <c r="S978"/>
  <c r="T978"/>
  <c r="U978"/>
  <c r="O979"/>
  <c r="P979"/>
  <c r="Q979"/>
  <c r="R979"/>
  <c r="S979"/>
  <c r="T979"/>
  <c r="U979"/>
  <c r="O980"/>
  <c r="P980"/>
  <c r="Q980"/>
  <c r="R980"/>
  <c r="S980"/>
  <c r="T980"/>
  <c r="U980"/>
  <c r="O981"/>
  <c r="P981"/>
  <c r="Q981"/>
  <c r="R981"/>
  <c r="S981"/>
  <c r="T981"/>
  <c r="U981"/>
  <c r="O982"/>
  <c r="P982"/>
  <c r="Q982"/>
  <c r="R982"/>
  <c r="S982"/>
  <c r="T982"/>
  <c r="U982"/>
  <c r="O983"/>
  <c r="P983"/>
  <c r="Q983"/>
  <c r="R983"/>
  <c r="S983"/>
  <c r="T983"/>
  <c r="U983"/>
  <c r="O984"/>
  <c r="P984"/>
  <c r="Q984"/>
  <c r="R984"/>
  <c r="S984"/>
  <c r="T984"/>
  <c r="U984"/>
  <c r="O985"/>
  <c r="P985"/>
  <c r="Q985"/>
  <c r="R985"/>
  <c r="S985"/>
  <c r="T985"/>
  <c r="U985"/>
  <c r="O986"/>
  <c r="P986"/>
  <c r="Q986"/>
  <c r="R986"/>
  <c r="S986"/>
  <c r="T986"/>
  <c r="U986"/>
  <c r="O987"/>
  <c r="P987"/>
  <c r="Q987"/>
  <c r="R987"/>
  <c r="S987"/>
  <c r="T987"/>
  <c r="U987"/>
  <c r="O988"/>
  <c r="P988"/>
  <c r="Q988"/>
  <c r="R988"/>
  <c r="S988"/>
  <c r="T988"/>
  <c r="U988"/>
  <c r="O989"/>
  <c r="P989"/>
  <c r="Q989"/>
  <c r="R989"/>
  <c r="S989"/>
  <c r="T989"/>
  <c r="U989"/>
  <c r="O990"/>
  <c r="P990"/>
  <c r="Q990"/>
  <c r="R990"/>
  <c r="S990"/>
  <c r="T990"/>
  <c r="U990"/>
  <c r="O991"/>
  <c r="P991"/>
  <c r="Q991"/>
  <c r="R991"/>
  <c r="S991"/>
  <c r="T991"/>
  <c r="U991"/>
  <c r="O992"/>
  <c r="P992"/>
  <c r="Q992"/>
  <c r="R992"/>
  <c r="S992"/>
  <c r="T992"/>
  <c r="U992"/>
  <c r="O993"/>
  <c r="P993"/>
  <c r="Q993"/>
  <c r="R993"/>
  <c r="S993"/>
  <c r="T993"/>
  <c r="U993"/>
  <c r="O994"/>
  <c r="P994"/>
  <c r="Q994"/>
  <c r="R994"/>
  <c r="S994"/>
  <c r="T994"/>
  <c r="U994"/>
  <c r="O995"/>
  <c r="P995"/>
  <c r="Q995"/>
  <c r="R995"/>
  <c r="S995"/>
  <c r="T995"/>
  <c r="U995"/>
  <c r="O996"/>
  <c r="P996"/>
  <c r="Q996"/>
  <c r="R996"/>
  <c r="S996"/>
  <c r="T996"/>
  <c r="U996"/>
  <c r="O997"/>
  <c r="P997"/>
  <c r="Q997"/>
  <c r="R997"/>
  <c r="S997"/>
  <c r="T997"/>
  <c r="U997"/>
  <c r="O998"/>
  <c r="P998"/>
  <c r="Q998"/>
  <c r="R998"/>
  <c r="S998"/>
  <c r="T998"/>
  <c r="U998"/>
  <c r="O999"/>
  <c r="P999"/>
  <c r="Q999"/>
  <c r="R999"/>
  <c r="S999"/>
  <c r="T999"/>
  <c r="U999"/>
  <c r="O1000"/>
  <c r="P1000"/>
  <c r="Q1000"/>
  <c r="R1000"/>
  <c r="S1000"/>
  <c r="T1000"/>
  <c r="U1000"/>
  <c r="O1001"/>
  <c r="P1001"/>
  <c r="Q1001"/>
  <c r="R1001"/>
  <c r="S1001"/>
  <c r="T1001"/>
  <c r="U1001"/>
  <c r="O1002"/>
  <c r="P1002"/>
  <c r="Q1002"/>
  <c r="R1002"/>
  <c r="S1002"/>
  <c r="T1002"/>
  <c r="U1002"/>
  <c r="O1003"/>
  <c r="P1003"/>
  <c r="Q1003"/>
  <c r="R1003"/>
  <c r="S1003"/>
  <c r="T1003"/>
  <c r="U1003"/>
  <c r="O1004"/>
  <c r="P1004"/>
  <c r="Q1004"/>
  <c r="R1004"/>
  <c r="S1004"/>
  <c r="T1004"/>
  <c r="U1004"/>
  <c r="O1005"/>
  <c r="P1005"/>
  <c r="Q1005"/>
  <c r="R1005"/>
  <c r="S1005"/>
  <c r="T1005"/>
  <c r="U1005"/>
  <c r="O1006"/>
  <c r="P1006"/>
  <c r="Q1006"/>
  <c r="R1006"/>
  <c r="S1006"/>
  <c r="T1006"/>
  <c r="U1006"/>
  <c r="O1007"/>
  <c r="P1007"/>
  <c r="Q1007"/>
  <c r="R1007"/>
  <c r="S1007"/>
  <c r="T1007"/>
  <c r="U1007"/>
  <c r="O1008"/>
  <c r="P1008"/>
  <c r="Q1008"/>
  <c r="R1008"/>
  <c r="S1008"/>
  <c r="T1008"/>
  <c r="U1008"/>
  <c r="O1009"/>
  <c r="P1009"/>
  <c r="Q1009"/>
  <c r="R1009"/>
  <c r="S1009"/>
  <c r="T1009"/>
  <c r="U1009"/>
  <c r="O1010"/>
  <c r="P1010"/>
  <c r="Q1010"/>
  <c r="R1010"/>
  <c r="S1010"/>
  <c r="T1010"/>
  <c r="U1010"/>
  <c r="O1011"/>
  <c r="P1011"/>
  <c r="Q1011"/>
  <c r="R1011"/>
  <c r="S1011"/>
  <c r="T1011"/>
  <c r="U1011"/>
  <c r="O1012"/>
  <c r="P1012"/>
  <c r="Q1012"/>
  <c r="R1012"/>
  <c r="S1012"/>
  <c r="T1012"/>
  <c r="U1012"/>
  <c r="O1013"/>
  <c r="P1013"/>
  <c r="Q1013"/>
  <c r="R1013"/>
  <c r="S1013"/>
  <c r="T1013"/>
  <c r="U1013"/>
  <c r="O1014"/>
  <c r="P1014"/>
  <c r="Q1014"/>
  <c r="R1014"/>
  <c r="S1014"/>
  <c r="T1014"/>
  <c r="U1014"/>
  <c r="O1015"/>
  <c r="P1015"/>
  <c r="Q1015"/>
  <c r="R1015"/>
  <c r="S1015"/>
  <c r="T1015"/>
  <c r="U1015"/>
  <c r="O1016"/>
  <c r="P1016"/>
  <c r="Q1016"/>
  <c r="R1016"/>
  <c r="S1016"/>
  <c r="T1016"/>
  <c r="U1016"/>
  <c r="O1017"/>
  <c r="P1017"/>
  <c r="Q1017"/>
  <c r="R1017"/>
  <c r="S1017"/>
  <c r="T1017"/>
  <c r="U1017"/>
  <c r="O1018"/>
  <c r="P1018"/>
  <c r="Q1018"/>
  <c r="R1018"/>
  <c r="S1018"/>
  <c r="T1018"/>
  <c r="U1018"/>
  <c r="O1019"/>
  <c r="P1019"/>
  <c r="Q1019"/>
  <c r="R1019"/>
  <c r="S1019"/>
  <c r="T1019"/>
  <c r="U1019"/>
  <c r="O1020"/>
  <c r="P1020"/>
  <c r="Q1020"/>
  <c r="R1020"/>
  <c r="S1020"/>
  <c r="T1020"/>
  <c r="U1020"/>
  <c r="O1021"/>
  <c r="P1021"/>
  <c r="Q1021"/>
  <c r="R1021"/>
  <c r="S1021"/>
  <c r="T1021"/>
  <c r="U1021"/>
  <c r="O1022"/>
  <c r="P1022"/>
  <c r="Q1022"/>
  <c r="R1022"/>
  <c r="S1022"/>
  <c r="T1022"/>
  <c r="U1022"/>
  <c r="O1023"/>
  <c r="P1023"/>
  <c r="Q1023"/>
  <c r="R1023"/>
  <c r="S1023"/>
  <c r="T1023"/>
  <c r="U1023"/>
  <c r="O1024"/>
  <c r="P1024"/>
  <c r="Q1024"/>
  <c r="R1024"/>
  <c r="S1024"/>
  <c r="T1024"/>
  <c r="U1024"/>
  <c r="O1025"/>
  <c r="P1025"/>
  <c r="Q1025"/>
  <c r="R1025"/>
  <c r="S1025"/>
  <c r="T1025"/>
  <c r="U1025"/>
  <c r="O1026"/>
  <c r="P1026"/>
  <c r="Q1026"/>
  <c r="R1026"/>
  <c r="S1026"/>
  <c r="T1026"/>
  <c r="U1026"/>
  <c r="O1027"/>
  <c r="P1027"/>
  <c r="Q1027"/>
  <c r="R1027"/>
  <c r="S1027"/>
  <c r="T1027"/>
  <c r="U1027"/>
  <c r="O1028"/>
  <c r="P1028"/>
  <c r="Q1028"/>
  <c r="R1028"/>
  <c r="S1028"/>
  <c r="T1028"/>
  <c r="U1028"/>
  <c r="O1029"/>
  <c r="P1029"/>
  <c r="Q1029"/>
  <c r="R1029"/>
  <c r="S1029"/>
  <c r="T1029"/>
  <c r="U1029"/>
  <c r="O1030"/>
  <c r="P1030"/>
  <c r="Q1030"/>
  <c r="R1030"/>
  <c r="S1030"/>
  <c r="T1030"/>
  <c r="U1030"/>
  <c r="O1031"/>
  <c r="P1031"/>
  <c r="Q1031"/>
  <c r="R1031"/>
  <c r="S1031"/>
  <c r="T1031"/>
  <c r="U1031"/>
  <c r="O1032"/>
  <c r="P1032"/>
  <c r="Q1032"/>
  <c r="R1032"/>
  <c r="S1032"/>
  <c r="T1032"/>
  <c r="U1032"/>
  <c r="O1033"/>
  <c r="P1033"/>
  <c r="Q1033"/>
  <c r="R1033"/>
  <c r="S1033"/>
  <c r="T1033"/>
  <c r="U1033"/>
  <c r="O1034"/>
  <c r="P1034"/>
  <c r="Q1034"/>
  <c r="R1034"/>
  <c r="S1034"/>
  <c r="T1034"/>
  <c r="U1034"/>
  <c r="O1035"/>
  <c r="P1035"/>
  <c r="Q1035"/>
  <c r="R1035"/>
  <c r="S1035"/>
  <c r="T1035"/>
  <c r="U1035"/>
  <c r="O1036"/>
  <c r="P1036"/>
  <c r="Q1036"/>
  <c r="R1036"/>
  <c r="S1036"/>
  <c r="T1036"/>
  <c r="U1036"/>
  <c r="O1037"/>
  <c r="P1037"/>
  <c r="Q1037"/>
  <c r="R1037"/>
  <c r="S1037"/>
  <c r="T1037"/>
  <c r="U1037"/>
  <c r="O1038"/>
  <c r="P1038"/>
  <c r="Q1038"/>
  <c r="R1038"/>
  <c r="S1038"/>
  <c r="T1038"/>
  <c r="U1038"/>
  <c r="O1039"/>
  <c r="P1039"/>
  <c r="Q1039"/>
  <c r="R1039"/>
  <c r="S1039"/>
  <c r="T1039"/>
  <c r="U1039"/>
  <c r="O1040"/>
  <c r="P1040"/>
  <c r="Q1040"/>
  <c r="R1040"/>
  <c r="S1040"/>
  <c r="T1040"/>
  <c r="U1040"/>
  <c r="O1041"/>
  <c r="P1041"/>
  <c r="Q1041"/>
  <c r="R1041"/>
  <c r="S1041"/>
  <c r="T1041"/>
  <c r="U1041"/>
  <c r="O1042"/>
  <c r="P1042"/>
  <c r="Q1042"/>
  <c r="R1042"/>
  <c r="S1042"/>
  <c r="T1042"/>
  <c r="U1042"/>
  <c r="O1043"/>
  <c r="P1043"/>
  <c r="Q1043"/>
  <c r="R1043"/>
  <c r="S1043"/>
  <c r="T1043"/>
  <c r="U1043"/>
  <c r="O1044"/>
  <c r="P1044"/>
  <c r="Q1044"/>
  <c r="R1044"/>
  <c r="S1044"/>
  <c r="T1044"/>
  <c r="U1044"/>
  <c r="O1045"/>
  <c r="P1045"/>
  <c r="Q1045"/>
  <c r="R1045"/>
  <c r="S1045"/>
  <c r="T1045"/>
  <c r="U1045"/>
  <c r="O1046"/>
  <c r="P1046"/>
  <c r="Q1046"/>
  <c r="R1046"/>
  <c r="S1046"/>
  <c r="T1046"/>
  <c r="U1046"/>
  <c r="O1047"/>
  <c r="P1047"/>
  <c r="Q1047"/>
  <c r="R1047"/>
  <c r="S1047"/>
  <c r="T1047"/>
  <c r="U1047"/>
  <c r="O1048"/>
  <c r="P1048"/>
  <c r="Q1048"/>
  <c r="R1048"/>
  <c r="S1048"/>
  <c r="T1048"/>
  <c r="U1048"/>
  <c r="O1049"/>
  <c r="P1049"/>
  <c r="Q1049"/>
  <c r="R1049"/>
  <c r="S1049"/>
  <c r="T1049"/>
  <c r="U1049"/>
  <c r="O1050"/>
  <c r="P1050"/>
  <c r="Q1050"/>
  <c r="R1050"/>
  <c r="S1050"/>
  <c r="T1050"/>
  <c r="U1050"/>
  <c r="O1051"/>
  <c r="P1051"/>
  <c r="Q1051"/>
  <c r="R1051"/>
  <c r="S1051"/>
  <c r="T1051"/>
  <c r="U1051"/>
  <c r="O1052"/>
  <c r="P1052"/>
  <c r="Q1052"/>
  <c r="R1052"/>
  <c r="S1052"/>
  <c r="T1052"/>
  <c r="U1052"/>
  <c r="O1053"/>
  <c r="P1053"/>
  <c r="Q1053"/>
  <c r="R1053"/>
  <c r="S1053"/>
  <c r="T1053"/>
  <c r="U1053"/>
  <c r="O1054"/>
  <c r="P1054"/>
  <c r="Q1054"/>
  <c r="R1054"/>
  <c r="S1054"/>
  <c r="T1054"/>
  <c r="U1054"/>
  <c r="O1055"/>
  <c r="P1055"/>
  <c r="Q1055"/>
  <c r="R1055"/>
  <c r="S1055"/>
  <c r="T1055"/>
  <c r="U1055"/>
  <c r="O1056"/>
  <c r="P1056"/>
  <c r="Q1056"/>
  <c r="R1056"/>
  <c r="S1056"/>
  <c r="T1056"/>
  <c r="U1056"/>
  <c r="O1057"/>
  <c r="P1057"/>
  <c r="Q1057"/>
  <c r="R1057"/>
  <c r="S1057"/>
  <c r="T1057"/>
  <c r="U1057"/>
  <c r="O1058"/>
  <c r="P1058"/>
  <c r="Q1058"/>
  <c r="R1058"/>
  <c r="S1058"/>
  <c r="T1058"/>
  <c r="U1058"/>
  <c r="O1059"/>
  <c r="P1059"/>
  <c r="Q1059"/>
  <c r="R1059"/>
  <c r="S1059"/>
  <c r="T1059"/>
  <c r="U1059"/>
  <c r="O1060"/>
  <c r="P1060"/>
  <c r="Q1060"/>
  <c r="R1060"/>
  <c r="S1060"/>
  <c r="T1060"/>
  <c r="U1060"/>
  <c r="O1061"/>
  <c r="P1061"/>
  <c r="Q1061"/>
  <c r="R1061"/>
  <c r="S1061"/>
  <c r="T1061"/>
  <c r="U1061"/>
  <c r="O1062"/>
  <c r="P1062"/>
  <c r="Q1062"/>
  <c r="R1062"/>
  <c r="S1062"/>
  <c r="T1062"/>
  <c r="U1062"/>
  <c r="O1063"/>
  <c r="P1063"/>
  <c r="Q1063"/>
  <c r="R1063"/>
  <c r="S1063"/>
  <c r="T1063"/>
  <c r="U1063"/>
  <c r="O1064"/>
  <c r="P1064"/>
  <c r="Q1064"/>
  <c r="R1064"/>
  <c r="S1064"/>
  <c r="T1064"/>
  <c r="U1064"/>
  <c r="O1065"/>
  <c r="P1065"/>
  <c r="Q1065"/>
  <c r="R1065"/>
  <c r="S1065"/>
  <c r="T1065"/>
  <c r="U1065"/>
  <c r="O1066"/>
  <c r="P1066"/>
  <c r="Q1066"/>
  <c r="R1066"/>
  <c r="S1066"/>
  <c r="T1066"/>
  <c r="U1066"/>
  <c r="O1067"/>
  <c r="P1067"/>
  <c r="Q1067"/>
  <c r="R1067"/>
  <c r="S1067"/>
  <c r="T1067"/>
  <c r="U1067"/>
  <c r="O1068"/>
  <c r="P1068"/>
  <c r="Q1068"/>
  <c r="R1068"/>
  <c r="S1068"/>
  <c r="T1068"/>
  <c r="U1068"/>
  <c r="O1069"/>
  <c r="P1069"/>
  <c r="Q1069"/>
  <c r="R1069"/>
  <c r="S1069"/>
  <c r="T1069"/>
  <c r="U1069"/>
  <c r="O1070"/>
  <c r="P1070"/>
  <c r="Q1070"/>
  <c r="R1070"/>
  <c r="S1070"/>
  <c r="T1070"/>
  <c r="U1070"/>
  <c r="O1071"/>
  <c r="P1071"/>
  <c r="Q1071"/>
  <c r="R1071"/>
  <c r="S1071"/>
  <c r="T1071"/>
  <c r="U1071"/>
  <c r="O1072"/>
  <c r="P1072"/>
  <c r="Q1072"/>
  <c r="R1072"/>
  <c r="S1072"/>
  <c r="T1072"/>
  <c r="U1072"/>
  <c r="O1073"/>
  <c r="P1073"/>
  <c r="Q1073"/>
  <c r="R1073"/>
  <c r="S1073"/>
  <c r="T1073"/>
  <c r="U1073"/>
  <c r="O1074"/>
  <c r="P1074"/>
  <c r="Q1074"/>
  <c r="R1074"/>
  <c r="S1074"/>
  <c r="T1074"/>
  <c r="U1074"/>
  <c r="O1075"/>
  <c r="P1075"/>
  <c r="Q1075"/>
  <c r="R1075"/>
  <c r="S1075"/>
  <c r="T1075"/>
  <c r="U1075"/>
  <c r="O1076"/>
  <c r="P1076"/>
  <c r="Q1076"/>
  <c r="R1076"/>
  <c r="S1076"/>
  <c r="T1076"/>
  <c r="U1076"/>
  <c r="O1077"/>
  <c r="P1077"/>
  <c r="Q1077"/>
  <c r="R1077"/>
  <c r="S1077"/>
  <c r="T1077"/>
  <c r="U1077"/>
  <c r="O1078"/>
  <c r="P1078"/>
  <c r="Q1078"/>
  <c r="R1078"/>
  <c r="S1078"/>
  <c r="T1078"/>
  <c r="U1078"/>
  <c r="O1079"/>
  <c r="P1079"/>
  <c r="Q1079"/>
  <c r="R1079"/>
  <c r="S1079"/>
  <c r="T1079"/>
  <c r="U1079"/>
  <c r="O1080"/>
  <c r="P1080"/>
  <c r="Q1080"/>
  <c r="R1080"/>
  <c r="S1080"/>
  <c r="T1080"/>
  <c r="U1080"/>
  <c r="O1081"/>
  <c r="P1081"/>
  <c r="Q1081"/>
  <c r="R1081"/>
  <c r="S1081"/>
  <c r="T1081"/>
  <c r="U1081"/>
  <c r="O1082"/>
  <c r="P1082"/>
  <c r="Q1082"/>
  <c r="R1082"/>
  <c r="S1082"/>
  <c r="T1082"/>
  <c r="U1082"/>
  <c r="O1083"/>
  <c r="P1083"/>
  <c r="Q1083"/>
  <c r="R1083"/>
  <c r="S1083"/>
  <c r="T1083"/>
  <c r="U1083"/>
  <c r="O1084"/>
  <c r="P1084"/>
  <c r="Q1084"/>
  <c r="R1084"/>
  <c r="S1084"/>
  <c r="T1084"/>
  <c r="U1084"/>
  <c r="O1085"/>
  <c r="P1085"/>
  <c r="Q1085"/>
  <c r="R1085"/>
  <c r="S1085"/>
  <c r="T1085"/>
  <c r="U1085"/>
  <c r="O1086"/>
  <c r="P1086"/>
  <c r="Q1086"/>
  <c r="R1086"/>
  <c r="S1086"/>
  <c r="T1086"/>
  <c r="U1086"/>
  <c r="O1087"/>
  <c r="P1087"/>
  <c r="Q1087"/>
  <c r="R1087"/>
  <c r="S1087"/>
  <c r="T1087"/>
  <c r="U1087"/>
  <c r="O1088"/>
  <c r="P1088"/>
  <c r="Q1088"/>
  <c r="R1088"/>
  <c r="S1088"/>
  <c r="T1088"/>
  <c r="U1088"/>
  <c r="O1089"/>
  <c r="P1089"/>
  <c r="Q1089"/>
  <c r="R1089"/>
  <c r="S1089"/>
  <c r="T1089"/>
  <c r="U1089"/>
  <c r="O1090"/>
  <c r="P1090"/>
  <c r="Q1090"/>
  <c r="R1090"/>
  <c r="S1090"/>
  <c r="T1090"/>
  <c r="U1090"/>
  <c r="O1091"/>
  <c r="P1091"/>
  <c r="Q1091"/>
  <c r="R1091"/>
  <c r="S1091"/>
  <c r="T1091"/>
  <c r="U1091"/>
  <c r="O1092"/>
  <c r="P1092"/>
  <c r="Q1092"/>
  <c r="R1092"/>
  <c r="S1092"/>
  <c r="T1092"/>
  <c r="U1092"/>
  <c r="O1093"/>
  <c r="P1093"/>
  <c r="Q1093"/>
  <c r="R1093"/>
  <c r="S1093"/>
  <c r="T1093"/>
  <c r="U1093"/>
  <c r="O1094"/>
  <c r="P1094"/>
  <c r="Q1094"/>
  <c r="R1094"/>
  <c r="S1094"/>
  <c r="T1094"/>
  <c r="U1094"/>
  <c r="O1095"/>
  <c r="P1095"/>
  <c r="Q1095"/>
  <c r="R1095"/>
  <c r="S1095"/>
  <c r="T1095"/>
  <c r="U1095"/>
  <c r="O1096"/>
  <c r="P1096"/>
  <c r="Q1096"/>
  <c r="R1096"/>
  <c r="S1096"/>
  <c r="T1096"/>
  <c r="U1096"/>
  <c r="O1097"/>
  <c r="P1097"/>
  <c r="Q1097"/>
  <c r="R1097"/>
  <c r="S1097"/>
  <c r="T1097"/>
  <c r="U1097"/>
  <c r="O1098"/>
  <c r="P1098"/>
  <c r="Q1098"/>
  <c r="R1098"/>
  <c r="S1098"/>
  <c r="T1098"/>
  <c r="U1098"/>
  <c r="O1099"/>
  <c r="P1099"/>
  <c r="Q1099"/>
  <c r="R1099"/>
  <c r="S1099"/>
  <c r="T1099"/>
  <c r="U1099"/>
  <c r="O1100"/>
  <c r="P1100"/>
  <c r="Q1100"/>
  <c r="R1100"/>
  <c r="S1100"/>
  <c r="T1100"/>
  <c r="U1100"/>
  <c r="O1101"/>
  <c r="P1101"/>
  <c r="Q1101"/>
  <c r="R1101"/>
  <c r="S1101"/>
  <c r="T1101"/>
  <c r="U1101"/>
  <c r="O1102"/>
  <c r="P1102"/>
  <c r="Q1102"/>
  <c r="R1102"/>
  <c r="S1102"/>
  <c r="T1102"/>
  <c r="U1102"/>
  <c r="O1103"/>
  <c r="P1103"/>
  <c r="Q1103"/>
  <c r="R1103"/>
  <c r="S1103"/>
  <c r="T1103"/>
  <c r="U1103"/>
  <c r="O1104"/>
  <c r="P1104"/>
  <c r="Q1104"/>
  <c r="R1104"/>
  <c r="S1104"/>
  <c r="T1104"/>
  <c r="U1104"/>
  <c r="O1105"/>
  <c r="P1105"/>
  <c r="Q1105"/>
  <c r="R1105"/>
  <c r="S1105"/>
  <c r="T1105"/>
  <c r="U1105"/>
  <c r="O1106"/>
  <c r="P1106"/>
  <c r="Q1106"/>
  <c r="R1106"/>
  <c r="S1106"/>
  <c r="T1106"/>
  <c r="U1106"/>
  <c r="O1107"/>
  <c r="P1107"/>
  <c r="Q1107"/>
  <c r="R1107"/>
  <c r="S1107"/>
  <c r="T1107"/>
  <c r="U1107"/>
  <c r="O1108"/>
  <c r="P1108"/>
  <c r="Q1108"/>
  <c r="R1108"/>
  <c r="S1108"/>
  <c r="T1108"/>
  <c r="U1108"/>
  <c r="O1109"/>
  <c r="P1109"/>
  <c r="Q1109"/>
  <c r="R1109"/>
  <c r="S1109"/>
  <c r="T1109"/>
  <c r="U1109"/>
  <c r="O1110"/>
  <c r="P1110"/>
  <c r="Q1110"/>
  <c r="R1110"/>
  <c r="S1110"/>
  <c r="T1110"/>
  <c r="U1110"/>
  <c r="O1111"/>
  <c r="P1111"/>
  <c r="Q1111"/>
  <c r="R1111"/>
  <c r="S1111"/>
  <c r="T1111"/>
  <c r="U1111"/>
  <c r="E1112"/>
  <c r="G1112"/>
  <c r="G1114" s="1"/>
  <c r="H1112"/>
  <c r="J1112"/>
  <c r="K1112"/>
  <c r="K1114" s="1"/>
  <c r="L1112"/>
  <c r="M1112"/>
  <c r="N1112"/>
  <c r="M1114"/>
  <c r="P74" i="34"/>
  <c r="Q74"/>
  <c r="R74"/>
  <c r="S74"/>
  <c r="T74"/>
  <c r="U74"/>
  <c r="V74"/>
  <c r="P75"/>
  <c r="Q75"/>
  <c r="R75"/>
  <c r="S75"/>
  <c r="T75"/>
  <c r="U75"/>
  <c r="V75"/>
  <c r="P76"/>
  <c r="Q76"/>
  <c r="R76"/>
  <c r="S76"/>
  <c r="T76"/>
  <c r="U76"/>
  <c r="V76"/>
  <c r="P77"/>
  <c r="Q77"/>
  <c r="R77"/>
  <c r="S77"/>
  <c r="T77"/>
  <c r="U77"/>
  <c r="V77"/>
  <c r="P78"/>
  <c r="Q78"/>
  <c r="R78"/>
  <c r="S78"/>
  <c r="T78"/>
  <c r="U78"/>
  <c r="V78"/>
  <c r="P79"/>
  <c r="Q79"/>
  <c r="R79"/>
  <c r="S79"/>
  <c r="T79"/>
  <c r="U79"/>
  <c r="V79"/>
  <c r="P80"/>
  <c r="Q80"/>
  <c r="R80"/>
  <c r="S80"/>
  <c r="T80"/>
  <c r="U80"/>
  <c r="V80"/>
  <c r="P81"/>
  <c r="Q81"/>
  <c r="R81"/>
  <c r="S81"/>
  <c r="T81"/>
  <c r="U81"/>
  <c r="V81"/>
  <c r="P82"/>
  <c r="Q82"/>
  <c r="R82"/>
  <c r="S82"/>
  <c r="T82"/>
  <c r="U82"/>
  <c r="V82"/>
  <c r="P83"/>
  <c r="Q83"/>
  <c r="R83"/>
  <c r="S83"/>
  <c r="T83"/>
  <c r="U83"/>
  <c r="V83"/>
  <c r="P84"/>
  <c r="Q84"/>
  <c r="R84"/>
  <c r="S84"/>
  <c r="T84"/>
  <c r="U84"/>
  <c r="V84"/>
  <c r="P85"/>
  <c r="Q85"/>
  <c r="R85"/>
  <c r="S85"/>
  <c r="T85"/>
  <c r="U85"/>
  <c r="V85"/>
  <c r="P86"/>
  <c r="Q86"/>
  <c r="R86"/>
  <c r="S86"/>
  <c r="T86"/>
  <c r="U86"/>
  <c r="V86"/>
  <c r="P87"/>
  <c r="Q87"/>
  <c r="R87"/>
  <c r="S87"/>
  <c r="T87"/>
  <c r="U87"/>
  <c r="V87"/>
  <c r="P88"/>
  <c r="Q88"/>
  <c r="R88"/>
  <c r="S88"/>
  <c r="T88"/>
  <c r="U88"/>
  <c r="V88"/>
  <c r="P89"/>
  <c r="Q89"/>
  <c r="R89"/>
  <c r="S89"/>
  <c r="T89"/>
  <c r="U89"/>
  <c r="V89"/>
  <c r="P90"/>
  <c r="Q90"/>
  <c r="R90"/>
  <c r="S90"/>
  <c r="T90"/>
  <c r="U90"/>
  <c r="V90"/>
  <c r="P91"/>
  <c r="Q91"/>
  <c r="R91"/>
  <c r="S91"/>
  <c r="T91"/>
  <c r="U91"/>
  <c r="V91"/>
  <c r="P92"/>
  <c r="Q92"/>
  <c r="R92"/>
  <c r="S92"/>
  <c r="T92"/>
  <c r="U92"/>
  <c r="V92"/>
  <c r="P93"/>
  <c r="Q93"/>
  <c r="R93"/>
  <c r="S93"/>
  <c r="T93"/>
  <c r="U93"/>
  <c r="V93"/>
  <c r="P94"/>
  <c r="Q94"/>
  <c r="R94"/>
  <c r="S94"/>
  <c r="T94"/>
  <c r="U94"/>
  <c r="V94"/>
  <c r="P95"/>
  <c r="Q95"/>
  <c r="R95"/>
  <c r="S95"/>
  <c r="T95"/>
  <c r="U95"/>
  <c r="V95"/>
  <c r="P96"/>
  <c r="Q96"/>
  <c r="R96"/>
  <c r="S96"/>
  <c r="T96"/>
  <c r="U96"/>
  <c r="V96"/>
  <c r="F97"/>
  <c r="H97"/>
  <c r="J97"/>
  <c r="U97" s="1"/>
  <c r="K97"/>
  <c r="L97"/>
  <c r="M97"/>
  <c r="N97"/>
  <c r="O97"/>
  <c r="P98"/>
  <c r="Q98"/>
  <c r="R98"/>
  <c r="S98"/>
  <c r="T98"/>
  <c r="U98"/>
  <c r="V98"/>
  <c r="P99"/>
  <c r="Q99"/>
  <c r="R99"/>
  <c r="S99"/>
  <c r="T99"/>
  <c r="U99"/>
  <c r="V99"/>
  <c r="P100"/>
  <c r="Q100"/>
  <c r="R100"/>
  <c r="S100"/>
  <c r="T100"/>
  <c r="U100"/>
  <c r="V100"/>
  <c r="P101"/>
  <c r="Q101"/>
  <c r="R101"/>
  <c r="S101"/>
  <c r="T101"/>
  <c r="U101"/>
  <c r="V101"/>
  <c r="P102"/>
  <c r="Q102"/>
  <c r="R102"/>
  <c r="S102"/>
  <c r="T102"/>
  <c r="U102"/>
  <c r="V102"/>
  <c r="P103"/>
  <c r="Q103"/>
  <c r="R103"/>
  <c r="S103"/>
  <c r="T103"/>
  <c r="U103"/>
  <c r="V103"/>
  <c r="P104"/>
  <c r="Q104"/>
  <c r="R104"/>
  <c r="S104"/>
  <c r="T104"/>
  <c r="U104"/>
  <c r="V104"/>
  <c r="P105"/>
  <c r="Q105"/>
  <c r="R105"/>
  <c r="S105"/>
  <c r="T105"/>
  <c r="U105"/>
  <c r="V105"/>
  <c r="P106"/>
  <c r="Q106"/>
  <c r="R106"/>
  <c r="S106"/>
  <c r="T106"/>
  <c r="U106"/>
  <c r="V106"/>
  <c r="P107"/>
  <c r="Q107"/>
  <c r="R107"/>
  <c r="S107"/>
  <c r="T107"/>
  <c r="U107"/>
  <c r="V107"/>
  <c r="P108"/>
  <c r="Q108"/>
  <c r="R108"/>
  <c r="S108"/>
  <c r="T108"/>
  <c r="U108"/>
  <c r="V108"/>
  <c r="P109"/>
  <c r="Q109"/>
  <c r="R109"/>
  <c r="S109"/>
  <c r="T109"/>
  <c r="U109"/>
  <c r="V109"/>
  <c r="P110"/>
  <c r="Q110"/>
  <c r="R110"/>
  <c r="S110"/>
  <c r="T110"/>
  <c r="U110"/>
  <c r="V110"/>
  <c r="P111"/>
  <c r="Q111"/>
  <c r="R111"/>
  <c r="S111"/>
  <c r="T111"/>
  <c r="U111"/>
  <c r="V111"/>
  <c r="P112"/>
  <c r="Q112"/>
  <c r="R112"/>
  <c r="S112"/>
  <c r="T112"/>
  <c r="U112"/>
  <c r="V112"/>
  <c r="P113"/>
  <c r="Q113"/>
  <c r="R113"/>
  <c r="S113"/>
  <c r="T113"/>
  <c r="U113"/>
  <c r="V113"/>
  <c r="P114"/>
  <c r="Q114"/>
  <c r="R114"/>
  <c r="S114"/>
  <c r="T114"/>
  <c r="U114"/>
  <c r="V114"/>
  <c r="P115"/>
  <c r="Q115"/>
  <c r="R115"/>
  <c r="S115"/>
  <c r="T115"/>
  <c r="U115"/>
  <c r="V115"/>
  <c r="Q116"/>
  <c r="R116"/>
  <c r="S116"/>
  <c r="T116"/>
  <c r="U116"/>
  <c r="V116"/>
  <c r="P117"/>
  <c r="Q117"/>
  <c r="R117"/>
  <c r="S117"/>
  <c r="T117"/>
  <c r="U117"/>
  <c r="V117"/>
  <c r="P118"/>
  <c r="Q118"/>
  <c r="R118"/>
  <c r="S118"/>
  <c r="T118"/>
  <c r="U118"/>
  <c r="V118"/>
  <c r="P119"/>
  <c r="Q119"/>
  <c r="R119"/>
  <c r="S119"/>
  <c r="T119"/>
  <c r="U119"/>
  <c r="V119"/>
  <c r="P120"/>
  <c r="Q120"/>
  <c r="R120"/>
  <c r="S120"/>
  <c r="T120"/>
  <c r="U120"/>
  <c r="V120"/>
  <c r="Q121"/>
  <c r="R121"/>
  <c r="S121"/>
  <c r="T121"/>
  <c r="U121"/>
  <c r="V121"/>
  <c r="P122"/>
  <c r="Q122"/>
  <c r="R122"/>
  <c r="S122"/>
  <c r="T122"/>
  <c r="U122"/>
  <c r="V122"/>
  <c r="P123"/>
  <c r="Q123"/>
  <c r="R123"/>
  <c r="S123"/>
  <c r="T123"/>
  <c r="U123"/>
  <c r="V123"/>
  <c r="P124"/>
  <c r="Q124"/>
  <c r="R124"/>
  <c r="S124"/>
  <c r="T124"/>
  <c r="U124"/>
  <c r="V124"/>
  <c r="F125"/>
  <c r="F126" s="1"/>
  <c r="H125"/>
  <c r="J125"/>
  <c r="R125" s="1"/>
  <c r="K125"/>
  <c r="L125"/>
  <c r="L126" s="1"/>
  <c r="M125"/>
  <c r="N125"/>
  <c r="O125"/>
  <c r="P127"/>
  <c r="Q127"/>
  <c r="R127"/>
  <c r="S127"/>
  <c r="T127"/>
  <c r="U127"/>
  <c r="V127"/>
  <c r="P128"/>
  <c r="Q128"/>
  <c r="R128"/>
  <c r="S128"/>
  <c r="T128"/>
  <c r="U128"/>
  <c r="V128"/>
  <c r="Q129"/>
  <c r="R129"/>
  <c r="S129"/>
  <c r="T129"/>
  <c r="U129"/>
  <c r="V129"/>
  <c r="Q130"/>
  <c r="R130"/>
  <c r="S130"/>
  <c r="T130"/>
  <c r="U130"/>
  <c r="V130"/>
  <c r="G29" i="32"/>
  <c r="C42" i="45"/>
  <c r="I49"/>
  <c r="L49" s="1"/>
  <c r="L59" s="1"/>
  <c r="G11" i="1" s="1"/>
  <c r="I50" i="45"/>
  <c r="L50" s="1"/>
  <c r="G59"/>
  <c r="J59"/>
  <c r="M59"/>
  <c r="O59"/>
  <c r="D74"/>
  <c r="F74"/>
  <c r="G74"/>
  <c r="I74"/>
  <c r="J74"/>
  <c r="L74"/>
  <c r="M74"/>
  <c r="O74"/>
  <c r="C79"/>
  <c r="F85"/>
  <c r="I85"/>
  <c r="F86"/>
  <c r="I86"/>
  <c r="F87"/>
  <c r="D91"/>
  <c r="G91"/>
  <c r="J91"/>
  <c r="L91"/>
  <c r="M91"/>
  <c r="O91"/>
  <c r="D97"/>
  <c r="F97"/>
  <c r="G97"/>
  <c r="I97"/>
  <c r="J97"/>
  <c r="L97"/>
  <c r="M97"/>
  <c r="O97"/>
  <c r="C17" i="44"/>
  <c r="G20"/>
  <c r="I20" s="1"/>
  <c r="G22"/>
  <c r="E22"/>
  <c r="H22"/>
  <c r="F23"/>
  <c r="J23" s="1"/>
  <c r="I23"/>
  <c r="F24"/>
  <c r="J24" s="1"/>
  <c r="C29"/>
  <c r="F35"/>
  <c r="I35"/>
  <c r="F36"/>
  <c r="J36" s="1"/>
  <c r="I36"/>
  <c r="C28" i="43"/>
  <c r="F34"/>
  <c r="F38" s="1"/>
  <c r="I34"/>
  <c r="D38"/>
  <c r="G38"/>
  <c r="J38"/>
  <c r="L38"/>
  <c r="M38"/>
  <c r="D53"/>
  <c r="F53"/>
  <c r="G53"/>
  <c r="I53"/>
  <c r="J53"/>
  <c r="L53"/>
  <c r="M53"/>
  <c r="O53"/>
  <c r="L55"/>
  <c r="C57"/>
  <c r="J67"/>
  <c r="L67"/>
  <c r="M67"/>
  <c r="D82"/>
  <c r="F82"/>
  <c r="G82"/>
  <c r="G84" s="1"/>
  <c r="I82"/>
  <c r="J82"/>
  <c r="L82"/>
  <c r="M82"/>
  <c r="O82"/>
  <c r="G7" i="1"/>
  <c r="H7"/>
  <c r="I7"/>
  <c r="J7"/>
  <c r="K7"/>
  <c r="L7"/>
  <c r="J551" i="39"/>
  <c r="I529"/>
  <c r="I555"/>
  <c r="H529"/>
  <c r="H555"/>
  <c r="G555"/>
  <c r="F555"/>
  <c r="E555"/>
  <c r="G551"/>
  <c r="F551"/>
  <c r="G529"/>
  <c r="F529"/>
  <c r="N551"/>
  <c r="K651"/>
  <c r="G699"/>
  <c r="K673"/>
  <c r="I677"/>
  <c r="L551"/>
  <c r="N555"/>
  <c r="P673"/>
  <c r="P551"/>
  <c r="J673"/>
  <c r="O555"/>
  <c r="K677"/>
  <c r="N673"/>
  <c r="G677"/>
  <c r="E673"/>
  <c r="P677"/>
  <c r="P577"/>
  <c r="P555"/>
  <c r="H673"/>
  <c r="J677"/>
  <c r="L555"/>
  <c r="E677"/>
  <c r="K555"/>
  <c r="O699"/>
  <c r="K529"/>
  <c r="N677"/>
  <c r="M677"/>
  <c r="L699"/>
  <c r="M651"/>
  <c r="O677"/>
  <c r="F699"/>
  <c r="N699"/>
  <c r="F673"/>
  <c r="M529"/>
  <c r="L677"/>
  <c r="N577"/>
  <c r="F651"/>
  <c r="H677"/>
  <c r="O626"/>
  <c r="L651"/>
  <c r="N651"/>
  <c r="J651"/>
  <c r="O529"/>
  <c r="H651"/>
  <c r="I651"/>
  <c r="N529"/>
  <c r="E651"/>
  <c r="O651"/>
  <c r="P651"/>
  <c r="P529"/>
  <c r="J668"/>
  <c r="J624"/>
  <c r="O624"/>
  <c r="H624"/>
  <c r="I624"/>
  <c r="N624"/>
  <c r="P624"/>
  <c r="M624"/>
  <c r="F624"/>
  <c r="L624"/>
  <c r="K624"/>
  <c r="F653"/>
  <c r="L646"/>
  <c r="G646"/>
  <c r="M646"/>
  <c r="H646"/>
  <c r="P646"/>
  <c r="D116" i="37"/>
  <c r="D117" s="1"/>
  <c r="M694" i="39"/>
  <c r="M555"/>
  <c r="G577"/>
  <c r="E551"/>
  <c r="H577"/>
  <c r="AA34" i="35"/>
  <c r="AW10"/>
  <c r="X18" i="29"/>
  <c r="S32" i="35" s="1"/>
  <c r="Q75"/>
  <c r="AR32"/>
  <c r="AR31" s="1"/>
  <c r="L32"/>
  <c r="L31" s="1"/>
  <c r="Q34"/>
  <c r="AG10"/>
  <c r="Y32"/>
  <c r="Z44"/>
  <c r="I10"/>
  <c r="Z75"/>
  <c r="H364" i="39"/>
  <c r="K577"/>
  <c r="O646"/>
  <c r="E529"/>
  <c r="G651"/>
  <c r="L529"/>
  <c r="J529"/>
  <c r="J646"/>
  <c r="E624"/>
  <c r="G624"/>
  <c r="L653"/>
  <c r="F546"/>
  <c r="E641"/>
  <c r="J577"/>
  <c r="E577"/>
  <c r="K557"/>
  <c r="G694"/>
  <c r="J555"/>
  <c r="H21" i="32" l="1"/>
  <c r="Q613" i="60"/>
  <c r="E1114"/>
  <c r="R613"/>
  <c r="G45" i="33"/>
  <c r="AR55" i="35"/>
  <c r="AR54" s="1"/>
  <c r="J1114" i="60"/>
  <c r="Q915"/>
  <c r="Q462"/>
  <c r="I1112"/>
  <c r="T965"/>
  <c r="T765"/>
  <c r="N126" i="34"/>
  <c r="I54" i="35"/>
  <c r="N1114" i="60"/>
  <c r="S965"/>
  <c r="T963"/>
  <c r="S765"/>
  <c r="Q463"/>
  <c r="I311"/>
  <c r="Q162"/>
  <c r="S963"/>
  <c r="T961"/>
  <c r="O915"/>
  <c r="P463"/>
  <c r="Q164"/>
  <c r="G55" i="43"/>
  <c r="L84"/>
  <c r="J55"/>
  <c r="D99" i="45"/>
  <c r="I91"/>
  <c r="I99" s="1"/>
  <c r="M99"/>
  <c r="L99"/>
  <c r="J99"/>
  <c r="I38" i="43"/>
  <c r="I55" s="1"/>
  <c r="O34"/>
  <c r="O38" s="1"/>
  <c r="G9" i="1" s="1"/>
  <c r="R66" i="35"/>
  <c r="W44" i="29"/>
  <c r="Q66" i="35"/>
  <c r="V44" i="29"/>
  <c r="S66" i="35"/>
  <c r="X44" i="29"/>
  <c r="F10" i="14"/>
  <c r="G9" i="15" s="1"/>
  <c r="G10" i="14"/>
  <c r="H9" i="15" s="1"/>
  <c r="D55" i="43"/>
  <c r="J84"/>
  <c r="M84"/>
  <c r="M55"/>
  <c r="AA72" i="35"/>
  <c r="W18" i="29"/>
  <c r="R32" i="35" s="1"/>
  <c r="J426" i="39"/>
  <c r="P397"/>
  <c r="H397"/>
  <c r="L397"/>
  <c r="N367"/>
  <c r="G367"/>
  <c r="F397"/>
  <c r="G527" i="6"/>
  <c r="G525" s="1"/>
  <c r="M426" i="39"/>
  <c r="G12" i="4"/>
  <c r="G14" s="1"/>
  <c r="G17" i="1" s="1"/>
  <c r="F88" i="45"/>
  <c r="F91" s="1"/>
  <c r="I22" i="44"/>
  <c r="F45" i="33"/>
  <c r="J76" i="45"/>
  <c r="L76"/>
  <c r="F55" i="43"/>
  <c r="H28" i="33"/>
  <c r="M126" i="34"/>
  <c r="U125"/>
  <c r="O126"/>
  <c r="H126"/>
  <c r="K126"/>
  <c r="O99" i="45"/>
  <c r="O76"/>
  <c r="Q125" i="34"/>
  <c r="P961" i="60"/>
  <c r="S916"/>
  <c r="O764"/>
  <c r="U613"/>
  <c r="R165"/>
  <c r="R163"/>
  <c r="R161"/>
  <c r="S125" i="34"/>
  <c r="Q961" i="60"/>
  <c r="T916"/>
  <c r="P311"/>
  <c r="P14"/>
  <c r="P12"/>
  <c r="I45" i="33"/>
  <c r="H10" i="15" s="1"/>
  <c r="I32" i="33"/>
  <c r="J35" i="44"/>
  <c r="I59" i="45"/>
  <c r="I76" s="1"/>
  <c r="G99"/>
  <c r="I1114" i="60"/>
  <c r="P1112"/>
  <c r="Q160"/>
  <c r="G76" i="45"/>
  <c r="J126" i="34"/>
  <c r="V126" s="1"/>
  <c r="R97"/>
  <c r="Q1112" i="60"/>
  <c r="O961"/>
  <c r="P764"/>
  <c r="P613"/>
  <c r="O311"/>
  <c r="R164"/>
  <c r="R162"/>
  <c r="R160"/>
  <c r="L1114"/>
  <c r="I397" i="39"/>
  <c r="S1112" i="60"/>
  <c r="O1112"/>
  <c r="O462"/>
  <c r="O160"/>
  <c r="Q13"/>
  <c r="Q11"/>
  <c r="M76" i="45"/>
  <c r="U1112" i="60"/>
  <c r="T964"/>
  <c r="T962"/>
  <c r="R916"/>
  <c r="T764"/>
  <c r="S613"/>
  <c r="O613"/>
  <c r="Q165"/>
  <c r="Q163"/>
  <c r="Q161"/>
  <c r="G32" i="33"/>
  <c r="AB75" i="35"/>
  <c r="O44" i="29"/>
  <c r="P18"/>
  <c r="V18"/>
  <c r="Q32" i="35" s="1"/>
  <c r="Q31" s="1"/>
  <c r="O70" i="29"/>
  <c r="W70"/>
  <c r="P44"/>
  <c r="Z51" i="35"/>
  <c r="Q44" i="29"/>
  <c r="T70"/>
  <c r="M70"/>
  <c r="M18"/>
  <c r="V70"/>
  <c r="P70"/>
  <c r="AB34" i="35"/>
  <c r="X70" i="29"/>
  <c r="Q70"/>
  <c r="Q18"/>
  <c r="M44"/>
  <c r="O18"/>
  <c r="T51" i="35"/>
  <c r="V155" i="7"/>
  <c r="H27" i="32"/>
  <c r="Q436" i="39"/>
  <c r="P426"/>
  <c r="H426"/>
  <c r="E426"/>
  <c r="M397"/>
  <c r="Q400"/>
  <c r="Q398"/>
  <c r="Q392"/>
  <c r="G160"/>
  <c r="K367"/>
  <c r="M367"/>
  <c r="Q370"/>
  <c r="Q364"/>
  <c r="K44" i="24" s="1"/>
  <c r="K34" s="1"/>
  <c r="K42" s="1"/>
  <c r="K48" s="1"/>
  <c r="K50" s="1"/>
  <c r="T66" i="35"/>
  <c r="T57"/>
  <c r="AR81"/>
  <c r="AR80" s="1"/>
  <c r="AR107" s="1"/>
  <c r="Y80"/>
  <c r="Y107" s="1"/>
  <c r="T58"/>
  <c r="T33"/>
  <c r="AB13"/>
  <c r="T11"/>
  <c r="AB67"/>
  <c r="T68"/>
  <c r="I80"/>
  <c r="I107" s="1"/>
  <c r="T76"/>
  <c r="AB68"/>
  <c r="AB64"/>
  <c r="AB74"/>
  <c r="Y10"/>
  <c r="AB73"/>
  <c r="Y31"/>
  <c r="AB58"/>
  <c r="AB55"/>
  <c r="Z80"/>
  <c r="Z107" s="1"/>
  <c r="AB44"/>
  <c r="R31"/>
  <c r="AB57"/>
  <c r="AB39"/>
  <c r="AB35"/>
  <c r="T13"/>
  <c r="F660" i="39"/>
  <c r="H660"/>
  <c r="F620"/>
  <c r="P660"/>
  <c r="H633"/>
  <c r="O633"/>
  <c r="G660"/>
  <c r="F633"/>
  <c r="N620"/>
  <c r="J660"/>
  <c r="P633"/>
  <c r="K633"/>
  <c r="J633"/>
  <c r="L633"/>
  <c r="I660"/>
  <c r="K660"/>
  <c r="N660"/>
  <c r="O660"/>
  <c r="G633"/>
  <c r="L660"/>
  <c r="N633"/>
  <c r="I633"/>
  <c r="M660"/>
  <c r="E660"/>
  <c r="M633"/>
  <c r="P694"/>
  <c r="L673"/>
  <c r="J557"/>
  <c r="K538"/>
  <c r="O572"/>
  <c r="I626"/>
  <c r="I426"/>
  <c r="Q449"/>
  <c r="F390"/>
  <c r="E184"/>
  <c r="Q429"/>
  <c r="K397"/>
  <c r="Q407"/>
  <c r="Q377"/>
  <c r="E367"/>
  <c r="H679"/>
  <c r="Q451"/>
  <c r="O426"/>
  <c r="K426"/>
  <c r="Q427"/>
  <c r="Q368"/>
  <c r="G134"/>
  <c r="Q422"/>
  <c r="Q385"/>
  <c r="E160"/>
  <c r="E134"/>
  <c r="E397"/>
  <c r="O397"/>
  <c r="J367"/>
  <c r="F134"/>
  <c r="Q444"/>
  <c r="Q415"/>
  <c r="P367"/>
  <c r="H160"/>
  <c r="Q158"/>
  <c r="Q420"/>
  <c r="L426"/>
  <c r="H367"/>
  <c r="H134"/>
  <c r="T71" i="35"/>
  <c r="AB65"/>
  <c r="AB63"/>
  <c r="AW54"/>
  <c r="AB49"/>
  <c r="AB45"/>
  <c r="AA10"/>
  <c r="AB71"/>
  <c r="T56"/>
  <c r="T47"/>
  <c r="AB11"/>
  <c r="AB62"/>
  <c r="AB46"/>
  <c r="S31"/>
  <c r="T34"/>
  <c r="Z54"/>
  <c r="AO10"/>
  <c r="T70"/>
  <c r="AB56"/>
  <c r="AB51"/>
  <c r="AB70"/>
  <c r="T61"/>
  <c r="T49"/>
  <c r="T45"/>
  <c r="T42"/>
  <c r="T38"/>
  <c r="S54"/>
  <c r="AB77"/>
  <c r="T74"/>
  <c r="T63"/>
  <c r="AB61"/>
  <c r="T77"/>
  <c r="AJ55"/>
  <c r="AJ54" s="1"/>
  <c r="G534" i="6"/>
  <c r="G529" s="1"/>
  <c r="Q80" i="35"/>
  <c r="Q107" s="1"/>
  <c r="T79"/>
  <c r="T73"/>
  <c r="T62"/>
  <c r="T53"/>
  <c r="AB12"/>
  <c r="F22" i="44"/>
  <c r="T69" i="35"/>
  <c r="AB42"/>
  <c r="AB38"/>
  <c r="T52"/>
  <c r="T67"/>
  <c r="AB53"/>
  <c r="T65"/>
  <c r="AB52"/>
  <c r="T12"/>
  <c r="T44"/>
  <c r="T64"/>
  <c r="I577" i="39"/>
  <c r="E538"/>
  <c r="N531"/>
  <c r="K653"/>
  <c r="E694"/>
  <c r="Q563"/>
  <c r="K694"/>
  <c r="N538"/>
  <c r="Q494"/>
  <c r="I551"/>
  <c r="O551"/>
  <c r="K564"/>
  <c r="G620"/>
  <c r="F626"/>
  <c r="E531"/>
  <c r="F694"/>
  <c r="K646"/>
  <c r="P679"/>
  <c r="Q664"/>
  <c r="Q541"/>
  <c r="O531"/>
  <c r="Q656"/>
  <c r="P572"/>
  <c r="M538"/>
  <c r="K572"/>
  <c r="Q567"/>
  <c r="O577"/>
  <c r="G679"/>
  <c r="E668"/>
  <c r="L572"/>
  <c r="L679"/>
  <c r="G653"/>
  <c r="M557"/>
  <c r="N653"/>
  <c r="I679"/>
  <c r="Q570"/>
  <c r="I653"/>
  <c r="Q561"/>
  <c r="Q571"/>
  <c r="Q619"/>
  <c r="M46" i="24" s="1"/>
  <c r="Q657" i="39"/>
  <c r="H620"/>
  <c r="E557"/>
  <c r="P538"/>
  <c r="H668"/>
  <c r="O673"/>
  <c r="G546"/>
  <c r="Q663"/>
  <c r="H694"/>
  <c r="L538"/>
  <c r="P620"/>
  <c r="H641"/>
  <c r="K531"/>
  <c r="P557"/>
  <c r="Q507"/>
  <c r="M546"/>
  <c r="O641"/>
  <c r="O564"/>
  <c r="H626"/>
  <c r="Q680"/>
  <c r="Q654"/>
  <c r="L694"/>
  <c r="Q658"/>
  <c r="M531"/>
  <c r="L546"/>
  <c r="O694"/>
  <c r="K668"/>
  <c r="L620"/>
  <c r="Q491"/>
  <c r="P531"/>
  <c r="J694"/>
  <c r="Q672"/>
  <c r="N641"/>
  <c r="G673"/>
  <c r="K641"/>
  <c r="Q637"/>
  <c r="Q493"/>
  <c r="Q508"/>
  <c r="Q532"/>
  <c r="Q542"/>
  <c r="Q545"/>
  <c r="F557"/>
  <c r="Q562"/>
  <c r="Q569"/>
  <c r="Q573"/>
  <c r="F577"/>
  <c r="H531"/>
  <c r="H546"/>
  <c r="O557"/>
  <c r="M620"/>
  <c r="Q505"/>
  <c r="Q515"/>
  <c r="Q521"/>
  <c r="I538"/>
  <c r="I546"/>
  <c r="I572"/>
  <c r="Q648"/>
  <c r="I646"/>
  <c r="I620"/>
  <c r="F641"/>
  <c r="K699"/>
  <c r="Q698"/>
  <c r="E626"/>
  <c r="L626"/>
  <c r="N546"/>
  <c r="E679"/>
  <c r="Q549"/>
  <c r="Q544"/>
  <c r="G531"/>
  <c r="M572"/>
  <c r="P564"/>
  <c r="Q632"/>
  <c r="G626"/>
  <c r="J531"/>
  <c r="Q553"/>
  <c r="Q529"/>
  <c r="Q497"/>
  <c r="L46" i="24" s="1"/>
  <c r="Q625" i="39"/>
  <c r="Q556"/>
  <c r="Q617"/>
  <c r="Q683"/>
  <c r="Q700"/>
  <c r="Q655"/>
  <c r="N557"/>
  <c r="I694"/>
  <c r="I557"/>
  <c r="I564"/>
  <c r="Q575"/>
  <c r="N564"/>
  <c r="Q688"/>
  <c r="P641"/>
  <c r="M673"/>
  <c r="M577"/>
  <c r="Q684"/>
  <c r="Q558"/>
  <c r="Q643"/>
  <c r="O679"/>
  <c r="J564"/>
  <c r="J572"/>
  <c r="L577"/>
  <c r="Q675"/>
  <c r="Q701"/>
  <c r="Q535"/>
  <c r="Q566"/>
  <c r="Q547"/>
  <c r="Q689"/>
  <c r="Q568"/>
  <c r="H653"/>
  <c r="Q645"/>
  <c r="M641"/>
  <c r="Q630"/>
  <c r="M551"/>
  <c r="I673"/>
  <c r="I699"/>
  <c r="M699"/>
  <c r="Q697"/>
  <c r="E699"/>
  <c r="I531"/>
  <c r="E646"/>
  <c r="O653"/>
  <c r="P653"/>
  <c r="Q666"/>
  <c r="O620"/>
  <c r="Q614"/>
  <c r="Q678"/>
  <c r="F538"/>
  <c r="Q662"/>
  <c r="M653"/>
  <c r="F679"/>
  <c r="K679"/>
  <c r="O538"/>
  <c r="F668"/>
  <c r="K546"/>
  <c r="L641"/>
  <c r="G641"/>
  <c r="Q629"/>
  <c r="M626"/>
  <c r="J626"/>
  <c r="Q693"/>
  <c r="K551"/>
  <c r="Q696"/>
  <c r="P626"/>
  <c r="Q550"/>
  <c r="G668"/>
  <c r="Q574"/>
  <c r="Q695"/>
  <c r="L557"/>
  <c r="Q685"/>
  <c r="Q506"/>
  <c r="Q627"/>
  <c r="Q578"/>
  <c r="Q647"/>
  <c r="F531"/>
  <c r="Q552"/>
  <c r="Q674"/>
  <c r="Q682"/>
  <c r="M679"/>
  <c r="Q537"/>
  <c r="Q644"/>
  <c r="F564"/>
  <c r="H572"/>
  <c r="G538"/>
  <c r="Q516"/>
  <c r="Q514"/>
  <c r="F677"/>
  <c r="Q677" s="1"/>
  <c r="E572"/>
  <c r="O546"/>
  <c r="Q534"/>
  <c r="Q518"/>
  <c r="Q613"/>
  <c r="J679"/>
  <c r="P546"/>
  <c r="I668"/>
  <c r="I641"/>
  <c r="Q510"/>
  <c r="Q631"/>
  <c r="Q530"/>
  <c r="Q513"/>
  <c r="Q548"/>
  <c r="N646"/>
  <c r="F646"/>
  <c r="N679"/>
  <c r="Q525"/>
  <c r="Q642"/>
  <c r="K620"/>
  <c r="J699"/>
  <c r="N694"/>
  <c r="H699"/>
  <c r="G557"/>
  <c r="H557"/>
  <c r="J538"/>
  <c r="J546"/>
  <c r="Q652"/>
  <c r="Q517"/>
  <c r="Q522"/>
  <c r="E633"/>
  <c r="E653"/>
  <c r="Q659"/>
  <c r="Q555"/>
  <c r="Q560"/>
  <c r="G572"/>
  <c r="Q543"/>
  <c r="Q671"/>
  <c r="Q520"/>
  <c r="Q503"/>
  <c r="Q495"/>
  <c r="J641"/>
  <c r="P699"/>
  <c r="F572"/>
  <c r="H551"/>
  <c r="Q502"/>
  <c r="Q651"/>
  <c r="Q624"/>
  <c r="Q576"/>
  <c r="Q533"/>
  <c r="Q540"/>
  <c r="G564"/>
  <c r="Q579"/>
  <c r="Q670"/>
  <c r="Q492"/>
  <c r="H538"/>
  <c r="L564"/>
  <c r="Q616"/>
  <c r="L531"/>
  <c r="E564"/>
  <c r="Q690"/>
  <c r="Q559"/>
  <c r="Q636"/>
  <c r="Q509"/>
  <c r="Q526"/>
  <c r="M564"/>
  <c r="J653"/>
  <c r="N626"/>
  <c r="Q681"/>
  <c r="Q667"/>
  <c r="J620"/>
  <c r="Q628"/>
  <c r="K626"/>
  <c r="N572"/>
  <c r="Q523"/>
  <c r="Q536"/>
  <c r="H564"/>
  <c r="Q692"/>
  <c r="E546"/>
  <c r="P97" i="34"/>
  <c r="T125"/>
  <c r="V125"/>
  <c r="V97"/>
  <c r="S97"/>
  <c r="F99" i="45"/>
  <c r="AA54" i="35"/>
  <c r="Q97" i="34"/>
  <c r="P125"/>
  <c r="F59" i="45"/>
  <c r="F76" s="1"/>
  <c r="S126" i="34"/>
  <c r="T97"/>
  <c r="J22" i="44"/>
  <c r="U126" i="34"/>
  <c r="G34" i="44"/>
  <c r="I34" s="1"/>
  <c r="T75" i="35"/>
  <c r="T463" i="60"/>
  <c r="T462"/>
  <c r="U165"/>
  <c r="U164"/>
  <c r="U163"/>
  <c r="U162"/>
  <c r="U161"/>
  <c r="U160"/>
  <c r="T14"/>
  <c r="T13"/>
  <c r="T12"/>
  <c r="T11"/>
  <c r="T10"/>
  <c r="N397" i="39"/>
  <c r="P965" i="60"/>
  <c r="P964"/>
  <c r="P963"/>
  <c r="P962"/>
  <c r="P766"/>
  <c r="P765"/>
  <c r="U463"/>
  <c r="U462"/>
  <c r="U14"/>
  <c r="U13"/>
  <c r="U12"/>
  <c r="U11"/>
  <c r="U10"/>
  <c r="O367" i="39"/>
  <c r="Q965" i="60"/>
  <c r="Q964"/>
  <c r="Q963"/>
  <c r="Q962"/>
  <c r="Q766"/>
  <c r="Q765"/>
  <c r="N426" i="39"/>
  <c r="H11" i="4"/>
  <c r="R965" i="60"/>
  <c r="R964"/>
  <c r="R963"/>
  <c r="R962"/>
  <c r="R961"/>
  <c r="R766"/>
  <c r="R765"/>
  <c r="R764"/>
  <c r="P165"/>
  <c r="P164"/>
  <c r="P163"/>
  <c r="P162"/>
  <c r="P161"/>
  <c r="P160"/>
  <c r="L367" i="39"/>
  <c r="I367"/>
  <c r="AB69" i="35"/>
  <c r="R463" i="60"/>
  <c r="R462"/>
  <c r="S165"/>
  <c r="S164"/>
  <c r="S163"/>
  <c r="S162"/>
  <c r="S161"/>
  <c r="S160"/>
  <c r="R14"/>
  <c r="R13"/>
  <c r="R12"/>
  <c r="R11"/>
  <c r="R10"/>
  <c r="G426" i="39"/>
  <c r="J397"/>
  <c r="T18" i="29"/>
  <c r="T17" s="1"/>
  <c r="AB81" i="35"/>
  <c r="AB76"/>
  <c r="T48"/>
  <c r="T41"/>
  <c r="AG31"/>
  <c r="AB47"/>
  <c r="AB40"/>
  <c r="AB33"/>
  <c r="T15"/>
  <c r="AA80"/>
  <c r="AA107" s="1"/>
  <c r="F426" i="39"/>
  <c r="G397"/>
  <c r="AB82" i="35"/>
  <c r="AB48"/>
  <c r="AB41"/>
  <c r="T30"/>
  <c r="T14"/>
  <c r="F160" i="39"/>
  <c r="T50" i="35"/>
  <c r="T46"/>
  <c r="T39"/>
  <c r="T35"/>
  <c r="AB15"/>
  <c r="Q10"/>
  <c r="AB66"/>
  <c r="R10"/>
  <c r="Q361" i="39"/>
  <c r="T82" i="35"/>
  <c r="T55"/>
  <c r="T40"/>
  <c r="AB30"/>
  <c r="AB14"/>
  <c r="Z10"/>
  <c r="S10"/>
  <c r="R80"/>
  <c r="R107" s="1"/>
  <c r="S80"/>
  <c r="S107" s="1"/>
  <c r="AB79"/>
  <c r="AB50"/>
  <c r="F19" i="17"/>
  <c r="G19"/>
  <c r="Z532" i="13" s="1"/>
  <c r="F63" i="43"/>
  <c r="D67"/>
  <c r="D84" s="1"/>
  <c r="G185" i="6"/>
  <c r="G183" s="1"/>
  <c r="G192"/>
  <c r="G179"/>
  <c r="I63" i="43"/>
  <c r="T81" i="35"/>
  <c r="G361" i="6"/>
  <c r="D59" i="45"/>
  <c r="D76" s="1"/>
  <c r="AZ81" i="35"/>
  <c r="AZ80" s="1"/>
  <c r="AZ107" s="1"/>
  <c r="AZ32"/>
  <c r="AZ31" s="1"/>
  <c r="AJ81"/>
  <c r="AJ80" s="1"/>
  <c r="AJ107" s="1"/>
  <c r="F20" i="44"/>
  <c r="J20" s="1"/>
  <c r="T32" i="35" l="1"/>
  <c r="T31" s="1"/>
  <c r="P126" i="34"/>
  <c r="G21" i="4"/>
  <c r="T1112" i="60"/>
  <c r="R1112"/>
  <c r="O55" i="43"/>
  <c r="S311" i="60"/>
  <c r="Q311"/>
  <c r="R311"/>
  <c r="T311"/>
  <c r="U311"/>
  <c r="H9" i="1"/>
  <c r="F67" i="43"/>
  <c r="F84" s="1"/>
  <c r="O63"/>
  <c r="O67" s="1"/>
  <c r="R126" i="34"/>
  <c r="T126"/>
  <c r="Q126"/>
  <c r="G10" i="1"/>
  <c r="H10" s="1"/>
  <c r="I67" i="43"/>
  <c r="I84" s="1"/>
  <c r="F34" i="44"/>
  <c r="J34" s="1"/>
  <c r="W17" i="29"/>
  <c r="W122" s="1"/>
  <c r="R84" i="35" s="1"/>
  <c r="V17" i="29"/>
  <c r="X17"/>
  <c r="Q17"/>
  <c r="Q122" s="1"/>
  <c r="P17"/>
  <c r="P122" s="1"/>
  <c r="O17"/>
  <c r="O122" s="1"/>
  <c r="R72" i="35"/>
  <c r="R54" s="1"/>
  <c r="S72"/>
  <c r="Z72"/>
  <c r="Z84"/>
  <c r="Q72"/>
  <c r="Q54" s="1"/>
  <c r="V122" i="29"/>
  <c r="Q84" i="35" s="1"/>
  <c r="T122" i="29"/>
  <c r="M17"/>
  <c r="M122" s="1"/>
  <c r="G233" i="39"/>
  <c r="G234" s="1"/>
  <c r="H233"/>
  <c r="H234" s="1"/>
  <c r="F233"/>
  <c r="F234" s="1"/>
  <c r="E233"/>
  <c r="E234" s="1"/>
  <c r="G537" i="6"/>
  <c r="N528" i="39"/>
  <c r="P528"/>
  <c r="Q426"/>
  <c r="K57" i="24" s="1"/>
  <c r="F528" i="39"/>
  <c r="T1114" i="60"/>
  <c r="U1114"/>
  <c r="S1114"/>
  <c r="R1114"/>
  <c r="Q1114"/>
  <c r="P1114"/>
  <c r="K18" i="30"/>
  <c r="O1114" i="60"/>
  <c r="F650" i="39"/>
  <c r="K650"/>
  <c r="L676"/>
  <c r="Y72" i="35"/>
  <c r="Y84"/>
  <c r="Z32"/>
  <c r="Z31" s="1"/>
  <c r="X122" i="29"/>
  <c r="S84" i="35" s="1"/>
  <c r="AB80"/>
  <c r="AB107" s="1"/>
  <c r="F29" i="32"/>
  <c r="H29" s="1"/>
  <c r="H623" i="39"/>
  <c r="AB10" i="35"/>
  <c r="T54"/>
  <c r="T80"/>
  <c r="T107" s="1"/>
  <c r="N676" i="39"/>
  <c r="P554"/>
  <c r="M554"/>
  <c r="F623"/>
  <c r="I528"/>
  <c r="O623"/>
  <c r="L528"/>
  <c r="Q551"/>
  <c r="G676"/>
  <c r="F367"/>
  <c r="Q367" s="1"/>
  <c r="Q390"/>
  <c r="G528"/>
  <c r="T10" i="35"/>
  <c r="K554" i="39"/>
  <c r="K528"/>
  <c r="M528"/>
  <c r="N623"/>
  <c r="L623"/>
  <c r="G650"/>
  <c r="L554"/>
  <c r="F554"/>
  <c r="J623"/>
  <c r="O554"/>
  <c r="Q577"/>
  <c r="O676"/>
  <c r="H650"/>
  <c r="H676"/>
  <c r="G554"/>
  <c r="Q694"/>
  <c r="H554"/>
  <c r="H528"/>
  <c r="Q557"/>
  <c r="K676"/>
  <c r="N554"/>
  <c r="J554"/>
  <c r="P623"/>
  <c r="M623"/>
  <c r="Q673"/>
  <c r="I676"/>
  <c r="I554"/>
  <c r="F676"/>
  <c r="M676"/>
  <c r="Q524"/>
  <c r="J650"/>
  <c r="P676"/>
  <c r="Q504"/>
  <c r="E650"/>
  <c r="Q646"/>
  <c r="J676"/>
  <c r="O528"/>
  <c r="E623"/>
  <c r="Q641"/>
  <c r="J528"/>
  <c r="G623"/>
  <c r="Q699"/>
  <c r="Q653"/>
  <c r="Q511"/>
  <c r="Q538"/>
  <c r="Q626"/>
  <c r="Q498"/>
  <c r="L44" i="24" s="1"/>
  <c r="I650" i="39"/>
  <c r="Q679"/>
  <c r="I623"/>
  <c r="Q618"/>
  <c r="Q496"/>
  <c r="Q660"/>
  <c r="Q686"/>
  <c r="Q633"/>
  <c r="Q572"/>
  <c r="K623"/>
  <c r="E676"/>
  <c r="Q519"/>
  <c r="E554"/>
  <c r="Q564"/>
  <c r="Q531"/>
  <c r="Q546"/>
  <c r="E528"/>
  <c r="H12" i="4"/>
  <c r="AA32" i="35"/>
  <c r="AA84"/>
  <c r="Q397" i="39"/>
  <c r="G32" i="44"/>
  <c r="I32" s="1"/>
  <c r="F32"/>
  <c r="G363" i="6"/>
  <c r="G356"/>
  <c r="G354" s="1"/>
  <c r="G195"/>
  <c r="G187"/>
  <c r="O84" i="43" l="1"/>
  <c r="T72" i="35"/>
  <c r="AB84"/>
  <c r="G15" i="1"/>
  <c r="L34" i="24"/>
  <c r="T84" i="35"/>
  <c r="Y54"/>
  <c r="AB72"/>
  <c r="AB54" s="1"/>
  <c r="F728" i="39"/>
  <c r="F729" s="1"/>
  <c r="I728"/>
  <c r="I729" s="1"/>
  <c r="H728"/>
  <c r="H729" s="1"/>
  <c r="G728"/>
  <c r="G729" s="1"/>
  <c r="J728"/>
  <c r="J729" s="1"/>
  <c r="E728"/>
  <c r="K728"/>
  <c r="K729" s="1"/>
  <c r="Q501"/>
  <c r="L32" i="24" s="1"/>
  <c r="Q554" i="39"/>
  <c r="L57" i="24" s="1"/>
  <c r="Q623" i="39"/>
  <c r="Q528"/>
  <c r="L13" i="24" s="1"/>
  <c r="Q676" i="39"/>
  <c r="K13" i="24"/>
  <c r="AB32" i="35"/>
  <c r="AB31" s="1"/>
  <c r="AA31"/>
  <c r="J32" i="44"/>
  <c r="H21" i="4"/>
  <c r="H14"/>
  <c r="H17" i="1" s="1"/>
  <c r="K32" i="24"/>
  <c r="K15" s="1"/>
  <c r="G366" i="6"/>
  <c r="G358"/>
  <c r="I21" i="4" l="1"/>
  <c r="I14"/>
  <c r="H15" i="1"/>
  <c r="K24" i="24"/>
  <c r="K30" s="1"/>
  <c r="K36" s="1"/>
  <c r="K38" s="1"/>
  <c r="K9"/>
  <c r="L15"/>
  <c r="L9" s="1"/>
  <c r="M57"/>
  <c r="L42"/>
  <c r="L48" s="1"/>
  <c r="L50" s="1"/>
  <c r="M32"/>
  <c r="K55"/>
  <c r="L55"/>
  <c r="J21" i="4" l="1"/>
  <c r="J14"/>
  <c r="L24" i="24"/>
  <c r="L30" s="1"/>
  <c r="L36" s="1"/>
  <c r="L38" s="1"/>
  <c r="L53"/>
  <c r="L17"/>
  <c r="L19" s="1"/>
  <c r="K17"/>
  <c r="K19" s="1"/>
  <c r="K53"/>
  <c r="K59" l="1"/>
  <c r="L59"/>
  <c r="K21" i="4" l="1"/>
  <c r="K14"/>
  <c r="K62" i="24"/>
  <c r="K64"/>
  <c r="L62"/>
  <c r="L64"/>
  <c r="L21" i="4" l="1"/>
  <c r="L14"/>
  <c r="Q798" i="39" l="1"/>
  <c r="N57" i="24" l="1"/>
  <c r="Q615" i="39" l="1"/>
  <c r="E620"/>
  <c r="Q620" s="1"/>
  <c r="E729" l="1"/>
  <c r="M44" i="24"/>
  <c r="M34" s="1"/>
  <c r="M15" s="1"/>
  <c r="G789" i="39" l="1"/>
  <c r="G771" s="1"/>
  <c r="G851" s="1"/>
  <c r="G852" s="1"/>
  <c r="P789" l="1"/>
  <c r="P771" s="1"/>
  <c r="P851" s="1"/>
  <c r="P852" s="1"/>
  <c r="O668"/>
  <c r="O650" s="1"/>
  <c r="O728" s="1"/>
  <c r="O729" s="1"/>
  <c r="P668"/>
  <c r="P650" s="1"/>
  <c r="P728" s="1"/>
  <c r="P729" s="1"/>
  <c r="M789"/>
  <c r="M771" s="1"/>
  <c r="M851" s="1"/>
  <c r="M852" s="1"/>
  <c r="H789"/>
  <c r="H771" s="1"/>
  <c r="H851" s="1"/>
  <c r="H852" s="1"/>
  <c r="N789"/>
  <c r="N771" s="1"/>
  <c r="N851" s="1"/>
  <c r="N852" s="1"/>
  <c r="M668"/>
  <c r="M650" s="1"/>
  <c r="M728" s="1"/>
  <c r="M729" s="1"/>
  <c r="K789"/>
  <c r="K771" s="1"/>
  <c r="K851" s="1"/>
  <c r="K852" s="1"/>
  <c r="N668"/>
  <c r="N650" s="1"/>
  <c r="N728" s="1"/>
  <c r="N729" s="1"/>
  <c r="F789"/>
  <c r="F771" s="1"/>
  <c r="F851" s="1"/>
  <c r="F852" s="1"/>
  <c r="L789"/>
  <c r="L771" s="1"/>
  <c r="L851" s="1"/>
  <c r="L852" s="1"/>
  <c r="O789"/>
  <c r="O771" s="1"/>
  <c r="O851" s="1"/>
  <c r="O852" s="1"/>
  <c r="I789"/>
  <c r="I771" s="1"/>
  <c r="I851" s="1"/>
  <c r="I852" s="1"/>
  <c r="J789"/>
  <c r="J771" s="1"/>
  <c r="J851" s="1"/>
  <c r="J852" s="1"/>
  <c r="Q790" l="1"/>
  <c r="E789"/>
  <c r="L668"/>
  <c r="Q669"/>
  <c r="Q789" l="1"/>
  <c r="E771"/>
  <c r="Q668"/>
  <c r="L650"/>
  <c r="E851" l="1"/>
  <c r="E852" s="1"/>
  <c r="Q771"/>
  <c r="Q650"/>
  <c r="L728"/>
  <c r="Q852" l="1"/>
  <c r="N13" i="24"/>
  <c r="Q851" i="39"/>
  <c r="L729"/>
  <c r="Q729" s="1"/>
  <c r="Q728"/>
  <c r="M13" i="24"/>
  <c r="M9" l="1"/>
  <c r="N9"/>
  <c r="N55"/>
  <c r="M55"/>
  <c r="N53" l="1"/>
  <c r="N17"/>
  <c r="N19" s="1"/>
  <c r="N59" l="1"/>
  <c r="N62" l="1"/>
  <c r="N64"/>
  <c r="M42" l="1"/>
  <c r="M48" s="1"/>
  <c r="M50" s="1"/>
  <c r="M24" l="1"/>
  <c r="M30" s="1"/>
  <c r="M36" s="1"/>
  <c r="M38" s="1"/>
  <c r="M53" l="1"/>
  <c r="M17"/>
  <c r="M19" s="1"/>
  <c r="M59" l="1"/>
  <c r="M62" l="1"/>
  <c r="M64"/>
  <c r="J354" i="13" l="1"/>
  <c r="O222"/>
  <c r="O216" l="1"/>
  <c r="O215" s="1"/>
  <c r="O226" s="1"/>
  <c r="O354" s="1"/>
  <c r="Q290" l="1"/>
  <c r="Q284"/>
  <c r="Q288" l="1"/>
  <c r="C353"/>
  <c r="Q283"/>
  <c r="Q261" l="1"/>
  <c r="Q353" s="1"/>
  <c r="N19" i="39" l="1"/>
  <c r="N204" i="13" l="1"/>
  <c r="N382"/>
  <c r="S204" l="1"/>
  <c r="U204" s="1"/>
  <c r="S382"/>
  <c r="U382" s="1"/>
  <c r="H28" i="67"/>
  <c r="L19" i="39"/>
  <c r="M19"/>
  <c r="O19"/>
  <c r="P19"/>
  <c r="K21"/>
  <c r="L21"/>
  <c r="M21"/>
  <c r="N21"/>
  <c r="O21"/>
  <c r="P21"/>
  <c r="K22"/>
  <c r="L22"/>
  <c r="M22"/>
  <c r="N22"/>
  <c r="O22"/>
  <c r="P22"/>
  <c r="K23"/>
  <c r="L23"/>
  <c r="M23"/>
  <c r="N23"/>
  <c r="O23"/>
  <c r="P23"/>
  <c r="K24"/>
  <c r="L24"/>
  <c r="M24"/>
  <c r="N24"/>
  <c r="O24"/>
  <c r="P24"/>
  <c r="K25"/>
  <c r="L25"/>
  <c r="M25"/>
  <c r="N25"/>
  <c r="O25"/>
  <c r="P25"/>
  <c r="K26"/>
  <c r="L26"/>
  <c r="M26"/>
  <c r="N26"/>
  <c r="O26"/>
  <c r="P26"/>
  <c r="J26"/>
  <c r="I26"/>
  <c r="H26"/>
  <c r="G26"/>
  <c r="F26"/>
  <c r="E26"/>
  <c r="J25"/>
  <c r="I25"/>
  <c r="H25"/>
  <c r="G25"/>
  <c r="F25"/>
  <c r="E25"/>
  <c r="J24"/>
  <c r="I24"/>
  <c r="H24"/>
  <c r="G24"/>
  <c r="F24"/>
  <c r="E24"/>
  <c r="J23"/>
  <c r="I23"/>
  <c r="H23"/>
  <c r="G23"/>
  <c r="F23"/>
  <c r="E23"/>
  <c r="J22"/>
  <c r="I22"/>
  <c r="H22"/>
  <c r="G22"/>
  <c r="F22"/>
  <c r="E22"/>
  <c r="J21"/>
  <c r="I21"/>
  <c r="H21"/>
  <c r="G21"/>
  <c r="F21"/>
  <c r="E21"/>
  <c r="J19"/>
  <c r="I19"/>
  <c r="H19"/>
  <c r="G19"/>
  <c r="F19"/>
  <c r="N28" i="67" l="1"/>
  <c r="S28" s="1"/>
  <c r="G20" i="39"/>
  <c r="Q25"/>
  <c r="K27"/>
  <c r="Q24"/>
  <c r="Q34"/>
  <c r="J20"/>
  <c r="I20"/>
  <c r="Q23"/>
  <c r="H20"/>
  <c r="Q26"/>
  <c r="Q32"/>
  <c r="F20"/>
  <c r="Q21"/>
  <c r="E20"/>
  <c r="K20"/>
  <c r="E19"/>
  <c r="Q30"/>
  <c r="L27"/>
  <c r="L20"/>
  <c r="J27"/>
  <c r="M27"/>
  <c r="M20"/>
  <c r="Q29"/>
  <c r="K19"/>
  <c r="I27"/>
  <c r="Q33"/>
  <c r="N27"/>
  <c r="N20"/>
  <c r="H27"/>
  <c r="O27"/>
  <c r="O20"/>
  <c r="G27"/>
  <c r="Q22"/>
  <c r="P27"/>
  <c r="P20"/>
  <c r="F27"/>
  <c r="K10"/>
  <c r="K8"/>
  <c r="J8"/>
  <c r="E9"/>
  <c r="J18" l="1"/>
  <c r="J117" s="1"/>
  <c r="U28" i="67"/>
  <c r="G30" i="30" s="1"/>
  <c r="K30" s="1"/>
  <c r="E30"/>
  <c r="K18" i="39"/>
  <c r="K117" s="1"/>
  <c r="G18"/>
  <c r="G117" s="1"/>
  <c r="I18"/>
  <c r="I117" s="1"/>
  <c r="F18"/>
  <c r="F117" s="1"/>
  <c r="N18"/>
  <c r="N117" s="1"/>
  <c r="H18"/>
  <c r="H117" s="1"/>
  <c r="M18"/>
  <c r="M117" s="1"/>
  <c r="O18"/>
  <c r="O117" s="1"/>
  <c r="P18"/>
  <c r="P117" s="1"/>
  <c r="L8"/>
  <c r="P10"/>
  <c r="N11"/>
  <c r="I10"/>
  <c r="G9"/>
  <c r="I11"/>
  <c r="G8"/>
  <c r="G10"/>
  <c r="M8"/>
  <c r="O9"/>
  <c r="O11"/>
  <c r="K12"/>
  <c r="Q20"/>
  <c r="I12"/>
  <c r="E10"/>
  <c r="N8"/>
  <c r="P9"/>
  <c r="P11"/>
  <c r="I9"/>
  <c r="J11"/>
  <c r="O8"/>
  <c r="F10"/>
  <c r="H10"/>
  <c r="H9"/>
  <c r="F9"/>
  <c r="P8"/>
  <c r="L9"/>
  <c r="L10"/>
  <c r="Q31"/>
  <c r="E27"/>
  <c r="Q27" s="1"/>
  <c r="G11"/>
  <c r="E11"/>
  <c r="F12"/>
  <c r="J9"/>
  <c r="F8"/>
  <c r="H8"/>
  <c r="J10"/>
  <c r="M9"/>
  <c r="M10"/>
  <c r="O12"/>
  <c r="N9"/>
  <c r="N10"/>
  <c r="H11"/>
  <c r="Q19"/>
  <c r="L18"/>
  <c r="L117" s="1"/>
  <c r="I8"/>
  <c r="E8"/>
  <c r="F11"/>
  <c r="O10"/>
  <c r="M11"/>
  <c r="L11"/>
  <c r="K9"/>
  <c r="K11"/>
  <c r="I15" l="1"/>
  <c r="I118" s="1"/>
  <c r="H12"/>
  <c r="H15" s="1"/>
  <c r="H118" s="1"/>
  <c r="Q14"/>
  <c r="H46" i="24" s="1"/>
  <c r="L12" i="39"/>
  <c r="L15" s="1"/>
  <c r="L118" s="1"/>
  <c r="M12"/>
  <c r="M15" s="1"/>
  <c r="M118" s="1"/>
  <c r="Q9"/>
  <c r="K15"/>
  <c r="K118" s="1"/>
  <c r="Q11"/>
  <c r="N12"/>
  <c r="N15" s="1"/>
  <c r="N118" s="1"/>
  <c r="Q10"/>
  <c r="E12"/>
  <c r="Q13"/>
  <c r="G12"/>
  <c r="G15" s="1"/>
  <c r="G118" s="1"/>
  <c r="O15"/>
  <c r="O118" s="1"/>
  <c r="Q8"/>
  <c r="F15"/>
  <c r="F118" s="1"/>
  <c r="E18"/>
  <c r="P12"/>
  <c r="P15" s="1"/>
  <c r="P118" s="1"/>
  <c r="J12"/>
  <c r="J15" s="1"/>
  <c r="J118" s="1"/>
  <c r="H44" i="24" l="1"/>
  <c r="Q12" i="39"/>
  <c r="Q18"/>
  <c r="H32" i="24" s="1"/>
  <c r="E117" i="39"/>
  <c r="E15"/>
  <c r="Q15" s="1"/>
  <c r="H34" i="24" l="1"/>
  <c r="H15" s="1"/>
  <c r="H9" s="1"/>
  <c r="E9" i="6"/>
  <c r="E8" s="1"/>
  <c r="H55" i="24"/>
  <c r="H66" s="1"/>
  <c r="E118" i="39"/>
  <c r="Q118" s="1"/>
  <c r="Q117"/>
  <c r="H42" i="24" l="1"/>
  <c r="H48" s="1"/>
  <c r="H50" s="1"/>
  <c r="H24"/>
  <c r="H30" s="1"/>
  <c r="H36" s="1"/>
  <c r="H38" s="1"/>
  <c r="H53" l="1"/>
  <c r="H67" s="1"/>
  <c r="H69" s="1"/>
  <c r="H17"/>
  <c r="H19" s="1"/>
  <c r="H59" l="1"/>
  <c r="E13" i="6" s="1"/>
  <c r="E19" s="1"/>
  <c r="E14" s="1"/>
  <c r="E12" l="1"/>
  <c r="E21"/>
  <c r="H64" i="24"/>
  <c r="H62"/>
  <c r="E18" i="6" s="1"/>
  <c r="E16" l="1"/>
  <c r="E24"/>
  <c r="I131" i="39" l="1"/>
  <c r="I136" l="1"/>
  <c r="J136"/>
  <c r="J143" l="1"/>
  <c r="I143" l="1"/>
  <c r="Q146" l="1"/>
  <c r="Q145"/>
  <c r="Q147"/>
  <c r="N241" i="13"/>
  <c r="N243" l="1"/>
  <c r="S243" s="1"/>
  <c r="U243" s="1"/>
  <c r="N242"/>
  <c r="S242" s="1"/>
  <c r="U242" s="1"/>
  <c r="AA242" s="1"/>
  <c r="N245" l="1"/>
  <c r="S245" s="1"/>
  <c r="U245" s="1"/>
  <c r="AA245" s="1"/>
  <c r="Q262" i="39"/>
  <c r="N421" i="13"/>
  <c r="N420"/>
  <c r="S241"/>
  <c r="N419"/>
  <c r="N247" l="1"/>
  <c r="S247" s="1"/>
  <c r="U247" s="1"/>
  <c r="AA247" s="1"/>
  <c r="N246"/>
  <c r="S246" s="1"/>
  <c r="L30" i="29" s="1"/>
  <c r="N30" s="1"/>
  <c r="R30" s="1"/>
  <c r="H65" i="67"/>
  <c r="S421" i="13"/>
  <c r="U421" s="1"/>
  <c r="H67" i="67"/>
  <c r="S420" i="13"/>
  <c r="U420" s="1"/>
  <c r="AA420" s="1"/>
  <c r="H66" i="67"/>
  <c r="Q261" i="39"/>
  <c r="Q263"/>
  <c r="N425" i="13"/>
  <c r="N424"/>
  <c r="U241"/>
  <c r="L29" i="29"/>
  <c r="N423" i="13"/>
  <c r="L31" i="29" l="1"/>
  <c r="N31" s="1"/>
  <c r="R31" s="1"/>
  <c r="U246" i="13"/>
  <c r="AA246" s="1"/>
  <c r="N65" i="67"/>
  <c r="S65" s="1"/>
  <c r="E67" i="30" s="1"/>
  <c r="S423" i="13"/>
  <c r="U423" s="1"/>
  <c r="AA423" s="1"/>
  <c r="H69" i="67"/>
  <c r="N67"/>
  <c r="S67" s="1"/>
  <c r="S425" i="13"/>
  <c r="U425" s="1"/>
  <c r="AA425" s="1"/>
  <c r="H71" i="67"/>
  <c r="N66"/>
  <c r="S66" s="1"/>
  <c r="S424" i="13"/>
  <c r="U424" s="1"/>
  <c r="AA424" s="1"/>
  <c r="H70" i="67"/>
  <c r="AA241" i="13"/>
  <c r="N29" i="29"/>
  <c r="S419" i="13"/>
  <c r="S31" i="29" l="1"/>
  <c r="U31" s="1"/>
  <c r="U66" i="67"/>
  <c r="E68" i="30"/>
  <c r="U67" i="67"/>
  <c r="G69" i="30" s="1"/>
  <c r="K69" s="1"/>
  <c r="E69"/>
  <c r="L28" i="29"/>
  <c r="N28" s="1"/>
  <c r="R28" s="1"/>
  <c r="N71" i="67"/>
  <c r="S71" s="1"/>
  <c r="U65"/>
  <c r="G67" i="30" s="1"/>
  <c r="N70" i="67"/>
  <c r="S70" s="1"/>
  <c r="S30" i="29"/>
  <c r="U30" s="1"/>
  <c r="Y30" s="1"/>
  <c r="N69" i="67"/>
  <c r="S69" s="1"/>
  <c r="R29" i="29"/>
  <c r="S29"/>
  <c r="U419" i="13"/>
  <c r="U70" i="67" l="1"/>
  <c r="E72" i="30"/>
  <c r="AA66" i="67"/>
  <c r="G68" i="30"/>
  <c r="K68" s="1"/>
  <c r="U69" i="67"/>
  <c r="E71" i="30"/>
  <c r="U71" i="67"/>
  <c r="E73" i="30"/>
  <c r="K67"/>
  <c r="AA65" i="67"/>
  <c r="AA419" i="13"/>
  <c r="S28" i="29"/>
  <c r="U28" s="1"/>
  <c r="Y28" s="1"/>
  <c r="U29"/>
  <c r="AA70" i="67" l="1"/>
  <c r="G72" i="30"/>
  <c r="K72" s="1"/>
  <c r="AA69" i="67"/>
  <c r="G71" i="30"/>
  <c r="AA71" i="67"/>
  <c r="G73" i="30"/>
  <c r="K73" s="1"/>
  <c r="Y29" i="29"/>
  <c r="K71" i="30" l="1"/>
  <c r="I151" i="39" l="1"/>
  <c r="J151" l="1"/>
  <c r="I155" l="1"/>
  <c r="J155"/>
  <c r="J134" s="1"/>
  <c r="I134" l="1"/>
  <c r="I162" l="1"/>
  <c r="J162" l="1"/>
  <c r="J169" l="1"/>
  <c r="I169"/>
  <c r="Q172" l="1"/>
  <c r="Q173"/>
  <c r="Q171"/>
  <c r="N273" i="13"/>
  <c r="N274" l="1"/>
  <c r="S274" s="1"/>
  <c r="U274" s="1"/>
  <c r="AA274" s="1"/>
  <c r="N275"/>
  <c r="S275" s="1"/>
  <c r="U275" s="1"/>
  <c r="N277" l="1"/>
  <c r="S277" s="1"/>
  <c r="U277" s="1"/>
  <c r="AA277" s="1"/>
  <c r="N278"/>
  <c r="S278" s="1"/>
  <c r="U278" s="1"/>
  <c r="AA278" s="1"/>
  <c r="N452"/>
  <c r="Q288" i="39"/>
  <c r="S273" i="13"/>
  <c r="N453"/>
  <c r="N451"/>
  <c r="N279" l="1"/>
  <c r="S279" s="1"/>
  <c r="L58" i="29" s="1"/>
  <c r="N58" s="1"/>
  <c r="R58" s="1"/>
  <c r="H97" i="67"/>
  <c r="N97" s="1"/>
  <c r="L57" i="29"/>
  <c r="N57" s="1"/>
  <c r="R57" s="1"/>
  <c r="S452" i="13"/>
  <c r="U452" s="1"/>
  <c r="AA452" s="1"/>
  <c r="H98" i="67"/>
  <c r="S453" i="13"/>
  <c r="U453" s="1"/>
  <c r="H99" i="67"/>
  <c r="U273" i="13"/>
  <c r="L56" i="29"/>
  <c r="N457" i="13"/>
  <c r="Q287" i="39"/>
  <c r="Q289"/>
  <c r="N456" i="13"/>
  <c r="N455"/>
  <c r="U279" l="1"/>
  <c r="AA279" s="1"/>
  <c r="N98" i="67"/>
  <c r="S98" s="1"/>
  <c r="S456" i="13"/>
  <c r="U456" s="1"/>
  <c r="AA456" s="1"/>
  <c r="H102" i="67"/>
  <c r="S455" i="13"/>
  <c r="U455" s="1"/>
  <c r="AA455" s="1"/>
  <c r="H101" i="67"/>
  <c r="S97"/>
  <c r="E99" i="30" s="1"/>
  <c r="N99" i="67"/>
  <c r="S99" s="1"/>
  <c r="S457" i="13"/>
  <c r="U457" s="1"/>
  <c r="AA457" s="1"/>
  <c r="H103" i="67"/>
  <c r="AA273" i="13"/>
  <c r="N56" i="29"/>
  <c r="L55"/>
  <c r="N55" s="1"/>
  <c r="R55" s="1"/>
  <c r="S451" i="13"/>
  <c r="U99" i="67" l="1"/>
  <c r="G101" i="30" s="1"/>
  <c r="K101" s="1"/>
  <c r="E101"/>
  <c r="U98" i="67"/>
  <c r="E100" i="30"/>
  <c r="N102" i="67"/>
  <c r="S102" s="1"/>
  <c r="U97"/>
  <c r="G99" i="30" s="1"/>
  <c r="K99" s="1"/>
  <c r="S58" i="29"/>
  <c r="U58" s="1"/>
  <c r="N103" i="67"/>
  <c r="S103" s="1"/>
  <c r="N101"/>
  <c r="S101" s="1"/>
  <c r="S57" i="29"/>
  <c r="U57" s="1"/>
  <c r="Y57" s="1"/>
  <c r="S56"/>
  <c r="U451" i="13"/>
  <c r="R56" i="29"/>
  <c r="AA98" i="67" l="1"/>
  <c r="G100" i="30"/>
  <c r="U102" i="67"/>
  <c r="E104" i="30"/>
  <c r="U103" i="67"/>
  <c r="E105" i="30"/>
  <c r="U101" i="67"/>
  <c r="E103" i="30"/>
  <c r="AA97" i="67"/>
  <c r="S55" i="29"/>
  <c r="U55" s="1"/>
  <c r="Y55" s="1"/>
  <c r="U56"/>
  <c r="AA451" i="13"/>
  <c r="K100" i="30" l="1"/>
  <c r="AA102" i="67"/>
  <c r="G104" i="30"/>
  <c r="K104" s="1"/>
  <c r="AA103" i="67"/>
  <c r="G105" i="30"/>
  <c r="K105" s="1"/>
  <c r="AA101" i="67"/>
  <c r="G103" i="30"/>
  <c r="K103" s="1"/>
  <c r="Y56" i="29"/>
  <c r="J177" i="39" l="1"/>
  <c r="I177"/>
  <c r="J181" l="1"/>
  <c r="J160" s="1"/>
  <c r="I181" l="1"/>
  <c r="I160" l="1"/>
  <c r="J186" l="1"/>
  <c r="I186"/>
  <c r="J193" l="1"/>
  <c r="I193"/>
  <c r="I201" l="1"/>
  <c r="J201" l="1"/>
  <c r="J206" l="1"/>
  <c r="J184" s="1"/>
  <c r="I206" l="1"/>
  <c r="I184" l="1"/>
  <c r="J211" l="1"/>
  <c r="I211"/>
  <c r="I218" l="1"/>
  <c r="J218"/>
  <c r="I226" l="1"/>
  <c r="J226" l="1"/>
  <c r="J209" l="1"/>
  <c r="J230"/>
  <c r="J233" l="1"/>
  <c r="I230"/>
  <c r="I209" s="1"/>
  <c r="I233" l="1"/>
  <c r="I234" l="1"/>
  <c r="N365" i="13" l="1"/>
  <c r="N369"/>
  <c r="N367"/>
  <c r="N366"/>
  <c r="N364"/>
  <c r="H10" i="67" l="1"/>
  <c r="H15"/>
  <c r="H11"/>
  <c r="H13"/>
  <c r="H12"/>
  <c r="Q240" i="39"/>
  <c r="N368" i="13"/>
  <c r="N10" i="67" l="1"/>
  <c r="AG10"/>
  <c r="N15"/>
  <c r="N11"/>
  <c r="N363" i="13"/>
  <c r="N362" s="1"/>
  <c r="H14" i="67"/>
  <c r="N13"/>
  <c r="N12"/>
  <c r="H363" i="13"/>
  <c r="H362" s="1"/>
  <c r="N191"/>
  <c r="N186"/>
  <c r="N190"/>
  <c r="N189"/>
  <c r="N188"/>
  <c r="N187"/>
  <c r="N14" i="67" l="1"/>
  <c r="H9"/>
  <c r="H8" s="1"/>
  <c r="Q124" i="39"/>
  <c r="H185" i="13"/>
  <c r="H184" s="1"/>
  <c r="N9" i="67" l="1"/>
  <c r="N8" s="1"/>
  <c r="N185" i="13"/>
  <c r="N184" s="1"/>
  <c r="N379" l="1"/>
  <c r="S379" l="1"/>
  <c r="U379" s="1"/>
  <c r="H25" i="67"/>
  <c r="N25" l="1"/>
  <c r="S25" s="1"/>
  <c r="N378" i="13"/>
  <c r="N377"/>
  <c r="N381"/>
  <c r="N375"/>
  <c r="N380"/>
  <c r="N373"/>
  <c r="U25" i="67" l="1"/>
  <c r="G27" i="30" s="1"/>
  <c r="K27" s="1"/>
  <c r="E27"/>
  <c r="H19" i="67"/>
  <c r="N19" s="1"/>
  <c r="S375" i="13"/>
  <c r="U375" s="1"/>
  <c r="H21" i="67"/>
  <c r="S380" i="13"/>
  <c r="U380" s="1"/>
  <c r="H26" i="67"/>
  <c r="S378" i="13"/>
  <c r="U378" s="1"/>
  <c r="H24" i="67"/>
  <c r="S377" i="13"/>
  <c r="U377" s="1"/>
  <c r="H23" i="67"/>
  <c r="S381" i="13"/>
  <c r="U381" s="1"/>
  <c r="H27" i="67"/>
  <c r="Q241" i="39"/>
  <c r="N201" i="13"/>
  <c r="N376"/>
  <c r="N374"/>
  <c r="N203"/>
  <c r="S203" l="1"/>
  <c r="U203" s="1"/>
  <c r="S201"/>
  <c r="U201" s="1"/>
  <c r="N21" i="67"/>
  <c r="S21" s="1"/>
  <c r="S19"/>
  <c r="E21" i="30" s="1"/>
  <c r="S374" i="13"/>
  <c r="U374" s="1"/>
  <c r="H20" i="67"/>
  <c r="N24"/>
  <c r="S24" s="1"/>
  <c r="N27"/>
  <c r="S27" s="1"/>
  <c r="N23"/>
  <c r="S23" s="1"/>
  <c r="N26"/>
  <c r="S26" s="1"/>
  <c r="S376" i="13"/>
  <c r="U376" s="1"/>
  <c r="H22" i="67"/>
  <c r="H372" i="13"/>
  <c r="H371" s="1"/>
  <c r="S373"/>
  <c r="N197"/>
  <c r="N196"/>
  <c r="N199"/>
  <c r="N195"/>
  <c r="N200"/>
  <c r="N202"/>
  <c r="N198"/>
  <c r="U26" i="67" l="1"/>
  <c r="G28" i="30" s="1"/>
  <c r="K28" s="1"/>
  <c r="E28"/>
  <c r="U23" i="67"/>
  <c r="G25" i="30" s="1"/>
  <c r="K25" s="1"/>
  <c r="E25"/>
  <c r="U24" i="67"/>
  <c r="G26" i="30" s="1"/>
  <c r="K26" s="1"/>
  <c r="E26"/>
  <c r="U21" i="67"/>
  <c r="G23" i="30" s="1"/>
  <c r="E23"/>
  <c r="U27" i="67"/>
  <c r="G29" i="30" s="1"/>
  <c r="K29" s="1"/>
  <c r="E29"/>
  <c r="S200" i="13"/>
  <c r="U200" s="1"/>
  <c r="S199"/>
  <c r="U199" s="1"/>
  <c r="S198"/>
  <c r="U198" s="1"/>
  <c r="N372"/>
  <c r="N371" s="1"/>
  <c r="S197"/>
  <c r="U197" s="1"/>
  <c r="S202"/>
  <c r="U202" s="1"/>
  <c r="S196"/>
  <c r="U196" s="1"/>
  <c r="N22" i="67"/>
  <c r="S22" s="1"/>
  <c r="N20"/>
  <c r="H18"/>
  <c r="H17" s="1"/>
  <c r="U19"/>
  <c r="G21" i="30" s="1"/>
  <c r="K21" s="1"/>
  <c r="Q125" i="39"/>
  <c r="S372" i="13"/>
  <c r="S371" s="1"/>
  <c r="S11" i="29" s="1"/>
  <c r="U11" s="1"/>
  <c r="Y11" s="1"/>
  <c r="U373" i="13"/>
  <c r="H194"/>
  <c r="H193" s="1"/>
  <c r="U22" i="67" l="1"/>
  <c r="G24" i="30" s="1"/>
  <c r="K24" s="1"/>
  <c r="E24"/>
  <c r="K23"/>
  <c r="S20" i="67"/>
  <c r="E22" i="30" s="1"/>
  <c r="N18" i="67"/>
  <c r="N17" s="1"/>
  <c r="U372" i="13"/>
  <c r="U371" s="1"/>
  <c r="S195"/>
  <c r="N194"/>
  <c r="N193" s="1"/>
  <c r="E20" i="30" l="1"/>
  <c r="E19" s="1"/>
  <c r="U20" i="67"/>
  <c r="G22" i="30" s="1"/>
  <c r="S18" i="67"/>
  <c r="S17" s="1"/>
  <c r="U195" i="13"/>
  <c r="S194"/>
  <c r="S193" s="1"/>
  <c r="L11" i="29" s="1"/>
  <c r="N11" s="1"/>
  <c r="R11" s="1"/>
  <c r="K22" i="30" l="1"/>
  <c r="K20" s="1"/>
  <c r="K19" s="1"/>
  <c r="G20"/>
  <c r="G19" s="1"/>
  <c r="U18" i="67"/>
  <c r="U17" s="1"/>
  <c r="U194" i="13"/>
  <c r="U193" s="1"/>
  <c r="N386" l="1"/>
  <c r="N385"/>
  <c r="N384"/>
  <c r="H30" i="67" l="1"/>
  <c r="N30" s="1"/>
  <c r="S386" i="13"/>
  <c r="U386" s="1"/>
  <c r="H32" i="67"/>
  <c r="S385" i="13"/>
  <c r="U385" s="1"/>
  <c r="H31" i="67"/>
  <c r="H383" i="13"/>
  <c r="Q242" i="39"/>
  <c r="H29" i="67" l="1"/>
  <c r="N32"/>
  <c r="S32" s="1"/>
  <c r="S30"/>
  <c r="E32" i="30" s="1"/>
  <c r="N31" i="67"/>
  <c r="S31" s="1"/>
  <c r="S384" i="13"/>
  <c r="N383"/>
  <c r="N206"/>
  <c r="N208"/>
  <c r="U32" i="67" l="1"/>
  <c r="G34" i="30" s="1"/>
  <c r="K34" s="1"/>
  <c r="E34"/>
  <c r="U31" i="67"/>
  <c r="G33" i="30" s="1"/>
  <c r="K33" s="1"/>
  <c r="E33"/>
  <c r="S208" i="13"/>
  <c r="U208" s="1"/>
  <c r="S29" i="67"/>
  <c r="U30"/>
  <c r="G32" i="30" s="1"/>
  <c r="N29" i="67"/>
  <c r="Q126" i="39"/>
  <c r="N207" i="13"/>
  <c r="U384"/>
  <c r="S383"/>
  <c r="S12" i="29" s="1"/>
  <c r="U12" s="1"/>
  <c r="Y12" s="1"/>
  <c r="E31" i="30" l="1"/>
  <c r="G31"/>
  <c r="K32"/>
  <c r="K31" s="1"/>
  <c r="S207" i="13"/>
  <c r="U207" s="1"/>
  <c r="U29" i="67"/>
  <c r="U383" i="13"/>
  <c r="S206"/>
  <c r="H205"/>
  <c r="N205" l="1"/>
  <c r="U206"/>
  <c r="S205"/>
  <c r="L12" i="29" s="1"/>
  <c r="N12" s="1"/>
  <c r="R12" s="1"/>
  <c r="U205" i="13" l="1"/>
  <c r="N389" l="1"/>
  <c r="S389" l="1"/>
  <c r="U389" s="1"/>
  <c r="H35" i="67"/>
  <c r="N210" i="13"/>
  <c r="S210" l="1"/>
  <c r="U210" s="1"/>
  <c r="N35" i="67"/>
  <c r="S35" s="1"/>
  <c r="N211" i="13"/>
  <c r="U35" i="67" l="1"/>
  <c r="G37" i="30" s="1"/>
  <c r="K37" s="1"/>
  <c r="E37"/>
  <c r="S211" i="13"/>
  <c r="U211" s="1"/>
  <c r="N392" l="1"/>
  <c r="N391"/>
  <c r="H37" i="67" l="1"/>
  <c r="S392" i="13"/>
  <c r="U392" s="1"/>
  <c r="H38" i="67"/>
  <c r="H390" i="13"/>
  <c r="N37" i="67" l="1"/>
  <c r="S37" s="1"/>
  <c r="E39" i="30" s="1"/>
  <c r="N38" i="67"/>
  <c r="S38" s="1"/>
  <c r="H36"/>
  <c r="N390" i="13"/>
  <c r="S391"/>
  <c r="N213"/>
  <c r="Q127" i="39"/>
  <c r="N214" i="13"/>
  <c r="U38" i="67" l="1"/>
  <c r="G40" i="30" s="1"/>
  <c r="K40" s="1"/>
  <c r="E40"/>
  <c r="E38" s="1"/>
  <c r="N36" i="67"/>
  <c r="S214" i="13"/>
  <c r="U214" s="1"/>
  <c r="S36" i="67"/>
  <c r="U37"/>
  <c r="G39" i="30" s="1"/>
  <c r="U391" i="13"/>
  <c r="S390"/>
  <c r="H212"/>
  <c r="H209" s="1"/>
  <c r="G38" i="30" l="1"/>
  <c r="K39"/>
  <c r="K38" s="1"/>
  <c r="U36" i="67"/>
  <c r="U390" i="13"/>
  <c r="N212"/>
  <c r="N209" s="1"/>
  <c r="S213"/>
  <c r="U213" l="1"/>
  <c r="S212"/>
  <c r="S209" s="1"/>
  <c r="L13" i="29" s="1"/>
  <c r="N13" s="1"/>
  <c r="R13" s="1"/>
  <c r="U212" i="13" l="1"/>
  <c r="U209" s="1"/>
  <c r="J131" i="39" l="1"/>
  <c r="J234" s="1"/>
  <c r="H220" i="13" l="1"/>
  <c r="H221"/>
  <c r="H222"/>
  <c r="N222" s="1"/>
  <c r="H219"/>
  <c r="N219" s="1"/>
  <c r="H218"/>
  <c r="H217"/>
  <c r="N217" s="1"/>
  <c r="N220" l="1"/>
  <c r="S220" s="1"/>
  <c r="U220" s="1"/>
  <c r="AA220" s="1"/>
  <c r="N221"/>
  <c r="S221" s="1"/>
  <c r="U221" s="1"/>
  <c r="AA221" s="1"/>
  <c r="N218"/>
  <c r="S218" s="1"/>
  <c r="U218" s="1"/>
  <c r="AA218" s="1"/>
  <c r="S222"/>
  <c r="U222" s="1"/>
  <c r="S219"/>
  <c r="U219" s="1"/>
  <c r="H216"/>
  <c r="Q130" i="39"/>
  <c r="I46" i="24" s="1"/>
  <c r="N216" i="13" l="1"/>
  <c r="S217"/>
  <c r="U217" l="1"/>
  <c r="S216"/>
  <c r="U216" l="1"/>
  <c r="N402" l="1"/>
  <c r="H48" i="67" l="1"/>
  <c r="N403" i="13"/>
  <c r="P131" i="39"/>
  <c r="L131"/>
  <c r="O131"/>
  <c r="N225" i="13"/>
  <c r="M131" i="39"/>
  <c r="S225" i="13" l="1"/>
  <c r="U225" s="1"/>
  <c r="N48" i="67"/>
  <c r="S48" s="1"/>
  <c r="E50" i="30" s="1"/>
  <c r="S403" i="13"/>
  <c r="U403" s="1"/>
  <c r="H49" i="67"/>
  <c r="Q245" i="39"/>
  <c r="H401" i="13"/>
  <c r="S402"/>
  <c r="N224"/>
  <c r="U48" i="67" l="1"/>
  <c r="G50" i="30" s="1"/>
  <c r="N49" i="67"/>
  <c r="H47"/>
  <c r="N401" i="13"/>
  <c r="H223"/>
  <c r="H215" s="1"/>
  <c r="H226" s="1"/>
  <c r="U402"/>
  <c r="S401"/>
  <c r="N131" i="39"/>
  <c r="K50" i="30" l="1"/>
  <c r="S49" i="67"/>
  <c r="E51" i="30" s="1"/>
  <c r="E49" s="1"/>
  <c r="N47" i="67"/>
  <c r="S224" i="13"/>
  <c r="N223"/>
  <c r="N215" s="1"/>
  <c r="N226" s="1"/>
  <c r="Q129" i="39"/>
  <c r="I44" i="24" s="1"/>
  <c r="K131" i="39"/>
  <c r="Q131" s="1"/>
  <c r="F9" i="66" s="1"/>
  <c r="Q128" i="39"/>
  <c r="U401" i="13"/>
  <c r="I34" i="24" l="1"/>
  <c r="I42" s="1"/>
  <c r="I48" s="1"/>
  <c r="I50" s="1"/>
  <c r="U49" i="67"/>
  <c r="G51" i="30" s="1"/>
  <c r="S47" i="67"/>
  <c r="U224" i="13"/>
  <c r="S223"/>
  <c r="S215" s="1"/>
  <c r="K51" i="30" l="1"/>
  <c r="K49" s="1"/>
  <c r="G49"/>
  <c r="U47" i="67"/>
  <c r="U223" i="13"/>
  <c r="U215" s="1"/>
  <c r="L14" i="29"/>
  <c r="N14" l="1"/>
  <c r="R14" l="1"/>
  <c r="Q251" i="39" l="1"/>
  <c r="N408" i="13"/>
  <c r="S408" l="1"/>
  <c r="S19" i="29" s="1"/>
  <c r="U19" s="1"/>
  <c r="Y19" s="1"/>
  <c r="H54" i="67"/>
  <c r="N54" l="1"/>
  <c r="U408" i="13"/>
  <c r="Q135" i="39"/>
  <c r="N230" i="13"/>
  <c r="S230" l="1"/>
  <c r="U230" s="1"/>
  <c r="S54" i="67"/>
  <c r="E56" i="30" s="1"/>
  <c r="L19" i="29" l="1"/>
  <c r="N19" s="1"/>
  <c r="R19" s="1"/>
  <c r="U54" i="67"/>
  <c r="G56" i="30" s="1"/>
  <c r="K56" l="1"/>
  <c r="N412" i="13" l="1"/>
  <c r="Q255" i="39"/>
  <c r="Q139"/>
  <c r="S412" i="13" l="1"/>
  <c r="U412" s="1"/>
  <c r="H58" i="67"/>
  <c r="Q254" i="39"/>
  <c r="Q253"/>
  <c r="Q258"/>
  <c r="Q256"/>
  <c r="N234" i="13"/>
  <c r="N415"/>
  <c r="N413"/>
  <c r="N411"/>
  <c r="N410"/>
  <c r="S234" l="1"/>
  <c r="U234" s="1"/>
  <c r="H56" i="67"/>
  <c r="N56" s="1"/>
  <c r="S413" i="13"/>
  <c r="U413" s="1"/>
  <c r="H59" i="67"/>
  <c r="S23" i="29"/>
  <c r="U23" s="1"/>
  <c r="Y23" s="1"/>
  <c r="N58" i="67"/>
  <c r="S58" s="1"/>
  <c r="S415" i="13"/>
  <c r="S26" i="29" s="1"/>
  <c r="U26" s="1"/>
  <c r="Y26" s="1"/>
  <c r="H61" i="67"/>
  <c r="S411" i="13"/>
  <c r="U411" s="1"/>
  <c r="H57" i="67"/>
  <c r="Q138" i="39"/>
  <c r="Q140" l="1"/>
  <c r="U415" i="13"/>
  <c r="U58" i="67"/>
  <c r="G60" i="30" s="1"/>
  <c r="E60"/>
  <c r="S22" i="29"/>
  <c r="U22" s="1"/>
  <c r="Y22" s="1"/>
  <c r="L23"/>
  <c r="N23" s="1"/>
  <c r="R23" s="1"/>
  <c r="N57" i="67"/>
  <c r="S57" s="1"/>
  <c r="N59"/>
  <c r="S59" s="1"/>
  <c r="N61"/>
  <c r="S61" s="1"/>
  <c r="S24" i="29"/>
  <c r="U24" s="1"/>
  <c r="Y24" s="1"/>
  <c r="S56" i="67"/>
  <c r="E58" i="30" s="1"/>
  <c r="Q142" i="39"/>
  <c r="S410" i="13"/>
  <c r="Q137" i="39"/>
  <c r="N233" i="13"/>
  <c r="N237"/>
  <c r="N235"/>
  <c r="N232"/>
  <c r="U59" i="67" l="1"/>
  <c r="G61" i="30" s="1"/>
  <c r="K61" s="1"/>
  <c r="E61"/>
  <c r="K60"/>
  <c r="U61" i="67"/>
  <c r="G63" i="30" s="1"/>
  <c r="K63" s="1"/>
  <c r="E63"/>
  <c r="U57" i="67"/>
  <c r="G59" i="30" s="1"/>
  <c r="K59" s="1"/>
  <c r="E59"/>
  <c r="S237" i="13"/>
  <c r="U237" s="1"/>
  <c r="S233"/>
  <c r="U233" s="1"/>
  <c r="S235"/>
  <c r="U235" s="1"/>
  <c r="U56" i="67"/>
  <c r="G58" i="30" s="1"/>
  <c r="K58" s="1"/>
  <c r="S21" i="29"/>
  <c r="U410" i="13"/>
  <c r="L22" i="29" l="1"/>
  <c r="N22" s="1"/>
  <c r="R22" s="1"/>
  <c r="L24"/>
  <c r="N24" s="1"/>
  <c r="R24" s="1"/>
  <c r="L26"/>
  <c r="N26" s="1"/>
  <c r="R26" s="1"/>
  <c r="U21"/>
  <c r="S232" i="13"/>
  <c r="Y21" i="29" l="1"/>
  <c r="U232" i="13"/>
  <c r="L21" i="29"/>
  <c r="N21" l="1"/>
  <c r="R21" l="1"/>
  <c r="L259" i="39" l="1"/>
  <c r="H259"/>
  <c r="M259"/>
  <c r="N259"/>
  <c r="K259"/>
  <c r="I259"/>
  <c r="J259"/>
  <c r="O259"/>
  <c r="P259"/>
  <c r="Q266"/>
  <c r="N428" i="13"/>
  <c r="S428" l="1"/>
  <c r="S34" i="29" s="1"/>
  <c r="U34" s="1"/>
  <c r="Y34" s="1"/>
  <c r="H74" i="67"/>
  <c r="G259" i="39"/>
  <c r="Q265" l="1"/>
  <c r="U428" i="13"/>
  <c r="N74" i="67"/>
  <c r="S74" s="1"/>
  <c r="F259" i="39"/>
  <c r="E259"/>
  <c r="Q264"/>
  <c r="N426" i="13"/>
  <c r="N427"/>
  <c r="Q150" i="39"/>
  <c r="P143"/>
  <c r="N143"/>
  <c r="O143"/>
  <c r="U74" i="67" l="1"/>
  <c r="G76" i="30" s="1"/>
  <c r="K76" s="1"/>
  <c r="E76"/>
  <c r="H72" i="67"/>
  <c r="S427" i="13"/>
  <c r="U427" s="1"/>
  <c r="H73" i="67"/>
  <c r="Q259" i="39"/>
  <c r="H417" i="13"/>
  <c r="L143" i="39"/>
  <c r="N250" i="13"/>
  <c r="M143" i="39"/>
  <c r="Q149"/>
  <c r="N72" i="67" l="1"/>
  <c r="S72" s="1"/>
  <c r="E74" i="30" s="1"/>
  <c r="H416" i="13"/>
  <c r="S250"/>
  <c r="U250" s="1"/>
  <c r="S33" i="29"/>
  <c r="U33" s="1"/>
  <c r="Y33" s="1"/>
  <c r="N73" i="67"/>
  <c r="S73" s="1"/>
  <c r="H62"/>
  <c r="K143" i="39"/>
  <c r="Q148"/>
  <c r="S426" i="13"/>
  <c r="N417"/>
  <c r="N416" s="1"/>
  <c r="N249"/>
  <c r="N248"/>
  <c r="U73" i="67" l="1"/>
  <c r="G75" i="30" s="1"/>
  <c r="K75" s="1"/>
  <c r="E75"/>
  <c r="E64" s="1"/>
  <c r="S249" i="13"/>
  <c r="U249" s="1"/>
  <c r="L34" i="29"/>
  <c r="N34" s="1"/>
  <c r="R34" s="1"/>
  <c r="U72" i="67"/>
  <c r="G74" i="30" s="1"/>
  <c r="S62" i="67"/>
  <c r="N62"/>
  <c r="Q143" i="39"/>
  <c r="U426" i="13"/>
  <c r="S32" i="29"/>
  <c r="S417" i="13"/>
  <c r="S416" s="1"/>
  <c r="H239"/>
  <c r="K74" i="30" l="1"/>
  <c r="K64" s="1"/>
  <c r="G64"/>
  <c r="H238" i="13"/>
  <c r="L33" i="29"/>
  <c r="N33" s="1"/>
  <c r="R33" s="1"/>
  <c r="AA72" i="67"/>
  <c r="U62"/>
  <c r="AA426" i="13"/>
  <c r="U417"/>
  <c r="U416" s="1"/>
  <c r="U32" i="29"/>
  <c r="S27"/>
  <c r="N239" i="13"/>
  <c r="N238" s="1"/>
  <c r="S248"/>
  <c r="Y32" i="29" l="1"/>
  <c r="Y27" s="1"/>
  <c r="U27"/>
  <c r="S239" i="13"/>
  <c r="S238" s="1"/>
  <c r="L32" i="29"/>
  <c r="U248" i="13"/>
  <c r="L27" i="29" l="1"/>
  <c r="N32"/>
  <c r="U239" i="13"/>
  <c r="U238" s="1"/>
  <c r="AA248"/>
  <c r="N27" i="29" l="1"/>
  <c r="R32"/>
  <c r="R27" s="1"/>
  <c r="N267" i="39" l="1"/>
  <c r="M267"/>
  <c r="L267"/>
  <c r="P267"/>
  <c r="O267"/>
  <c r="K267"/>
  <c r="G267" l="1"/>
  <c r="J267"/>
  <c r="Q270" l="1"/>
  <c r="H267"/>
  <c r="Q269"/>
  <c r="F267"/>
  <c r="Q268"/>
  <c r="E267"/>
  <c r="I267"/>
  <c r="N431" i="13"/>
  <c r="N432"/>
  <c r="N433"/>
  <c r="N430"/>
  <c r="H76" i="67" l="1"/>
  <c r="S431" i="13"/>
  <c r="S37" i="29" s="1"/>
  <c r="U37" s="1"/>
  <c r="Y37" s="1"/>
  <c r="H77" i="67"/>
  <c r="S432" i="13"/>
  <c r="U432" s="1"/>
  <c r="H78" i="67"/>
  <c r="S433" i="13"/>
  <c r="S39" i="29" s="1"/>
  <c r="U39" s="1"/>
  <c r="Y39" s="1"/>
  <c r="H79" i="67"/>
  <c r="H429" i="13"/>
  <c r="Q267" i="39"/>
  <c r="P151"/>
  <c r="O151"/>
  <c r="M151"/>
  <c r="L151"/>
  <c r="U433" i="13" l="1"/>
  <c r="N76" i="67"/>
  <c r="S76" s="1"/>
  <c r="E78" i="30" s="1"/>
  <c r="S38" i="29"/>
  <c r="U38" s="1"/>
  <c r="Y38" s="1"/>
  <c r="N79" i="67"/>
  <c r="S79" s="1"/>
  <c r="N78"/>
  <c r="S78" s="1"/>
  <c r="H75"/>
  <c r="U431" i="13"/>
  <c r="N77" i="67"/>
  <c r="S77" s="1"/>
  <c r="S430" i="13"/>
  <c r="N429"/>
  <c r="K151" i="39"/>
  <c r="Q152"/>
  <c r="N151"/>
  <c r="N253" i="13"/>
  <c r="N254"/>
  <c r="N255"/>
  <c r="N252"/>
  <c r="U78" i="67" l="1"/>
  <c r="G80" i="30" s="1"/>
  <c r="K80" s="1"/>
  <c r="E80"/>
  <c r="U79" i="67"/>
  <c r="G81" i="30" s="1"/>
  <c r="E81"/>
  <c r="U77" i="67"/>
  <c r="G79" i="30" s="1"/>
  <c r="K79" s="1"/>
  <c r="E79"/>
  <c r="S253" i="13"/>
  <c r="U253" s="1"/>
  <c r="S254"/>
  <c r="L38" i="29" s="1"/>
  <c r="N38" s="1"/>
  <c r="R38" s="1"/>
  <c r="S255" i="13"/>
  <c r="L39" i="29" s="1"/>
  <c r="N39" s="1"/>
  <c r="R39" s="1"/>
  <c r="U76" i="67"/>
  <c r="G78" i="30" s="1"/>
  <c r="K78" s="1"/>
  <c r="S75" i="67"/>
  <c r="N75"/>
  <c r="S429" i="13"/>
  <c r="S36" i="29"/>
  <c r="U430" i="13"/>
  <c r="Q151" i="39"/>
  <c r="H251" i="13"/>
  <c r="E77" i="30" l="1"/>
  <c r="G77"/>
  <c r="K81"/>
  <c r="K77" s="1"/>
  <c r="U255" i="13"/>
  <c r="L37" i="29"/>
  <c r="N37" s="1"/>
  <c r="R37" s="1"/>
  <c r="U254" i="13"/>
  <c r="U75" i="67"/>
  <c r="U429" i="13"/>
  <c r="N251"/>
  <c r="S252"/>
  <c r="S35" i="29"/>
  <c r="U36"/>
  <c r="S251" i="13" l="1"/>
  <c r="U252"/>
  <c r="L36" i="29"/>
  <c r="U35"/>
  <c r="Y36"/>
  <c r="Y35" s="1"/>
  <c r="U251" i="13" l="1"/>
  <c r="L35" i="29"/>
  <c r="N36"/>
  <c r="N35" l="1"/>
  <c r="R36"/>
  <c r="R35" s="1"/>
  <c r="O271" i="39" l="1"/>
  <c r="K271"/>
  <c r="P271"/>
  <c r="L271"/>
  <c r="M271"/>
  <c r="N271"/>
  <c r="J271" l="1"/>
  <c r="G271"/>
  <c r="I271"/>
  <c r="H271"/>
  <c r="F271" l="1"/>
  <c r="E271"/>
  <c r="Q272"/>
  <c r="Q273"/>
  <c r="N436" i="13"/>
  <c r="N435"/>
  <c r="H81" i="67" l="1"/>
  <c r="S436" i="13"/>
  <c r="S42" i="29" s="1"/>
  <c r="U42" s="1"/>
  <c r="Y42" s="1"/>
  <c r="H82" i="67"/>
  <c r="Q271" i="39"/>
  <c r="H434" i="13"/>
  <c r="O155" i="39"/>
  <c r="L155"/>
  <c r="N155"/>
  <c r="P155"/>
  <c r="M155"/>
  <c r="N81" i="67" l="1"/>
  <c r="S81" s="1"/>
  <c r="E83" i="30" s="1"/>
  <c r="N82" i="67"/>
  <c r="S82" s="1"/>
  <c r="U436" i="13"/>
  <c r="H80" i="67"/>
  <c r="Q157" i="39"/>
  <c r="N434" i="13"/>
  <c r="S435"/>
  <c r="K155" i="39"/>
  <c r="Q156"/>
  <c r="N257" i="13"/>
  <c r="N258"/>
  <c r="U82" i="67" l="1"/>
  <c r="G84" i="30" s="1"/>
  <c r="K84" s="1"/>
  <c r="E84"/>
  <c r="E82" s="1"/>
  <c r="S258" i="13"/>
  <c r="U258" s="1"/>
  <c r="S80" i="67"/>
  <c r="U81"/>
  <c r="G83" i="30" s="1"/>
  <c r="N80" i="67"/>
  <c r="S434" i="13"/>
  <c r="U435"/>
  <c r="S41" i="29"/>
  <c r="Q155" i="39"/>
  <c r="H256" i="13"/>
  <c r="G82" i="30" l="1"/>
  <c r="K83"/>
  <c r="K82" s="1"/>
  <c r="L42" i="29"/>
  <c r="N42" s="1"/>
  <c r="R42" s="1"/>
  <c r="U80" i="67"/>
  <c r="N256" i="13"/>
  <c r="S257"/>
  <c r="U434"/>
  <c r="S40" i="29"/>
  <c r="U41"/>
  <c r="S256" i="13" l="1"/>
  <c r="L41" i="29"/>
  <c r="U257" i="13"/>
  <c r="U40" i="29"/>
  <c r="Y41"/>
  <c r="Y40" s="1"/>
  <c r="U256" i="13" l="1"/>
  <c r="L40" i="29"/>
  <c r="N41"/>
  <c r="N40" l="1"/>
  <c r="R41"/>
  <c r="R40" s="1"/>
  <c r="Q277" i="39" l="1"/>
  <c r="N440" i="13"/>
  <c r="S440" l="1"/>
  <c r="U440" s="1"/>
  <c r="H86" i="67"/>
  <c r="N86" l="1"/>
  <c r="S45" i="29"/>
  <c r="U45" s="1"/>
  <c r="Y45" s="1"/>
  <c r="Q161" i="39"/>
  <c r="N262" i="13"/>
  <c r="S262" l="1"/>
  <c r="U262" s="1"/>
  <c r="S86" i="67"/>
  <c r="E88" i="30" s="1"/>
  <c r="L45" i="29" l="1"/>
  <c r="N45" s="1"/>
  <c r="R45" s="1"/>
  <c r="U86" i="67"/>
  <c r="G88" i="30" s="1"/>
  <c r="K88" l="1"/>
  <c r="Q284" i="39"/>
  <c r="P278"/>
  <c r="L278"/>
  <c r="N278"/>
  <c r="K278"/>
  <c r="O278"/>
  <c r="Q279"/>
  <c r="M278"/>
  <c r="N447" i="13"/>
  <c r="H88" i="67" l="1"/>
  <c r="N88" s="1"/>
  <c r="S447" i="13"/>
  <c r="U447" s="1"/>
  <c r="H93" i="67"/>
  <c r="J278" i="39"/>
  <c r="G278"/>
  <c r="S88" i="67" l="1"/>
  <c r="E90" i="30" s="1"/>
  <c r="N93" i="67"/>
  <c r="S93" s="1"/>
  <c r="S52" i="29"/>
  <c r="U52" s="1"/>
  <c r="Y52" s="1"/>
  <c r="Q281" i="39"/>
  <c r="F278"/>
  <c r="H278"/>
  <c r="S442" i="13"/>
  <c r="Q280" i="39"/>
  <c r="E278"/>
  <c r="I278"/>
  <c r="Q283"/>
  <c r="Q282"/>
  <c r="Q163"/>
  <c r="N444" i="13"/>
  <c r="N446"/>
  <c r="N445"/>
  <c r="N264"/>
  <c r="U93" i="67" l="1"/>
  <c r="G95" i="30" s="1"/>
  <c r="K95" s="1"/>
  <c r="E95"/>
  <c r="H89" i="67"/>
  <c r="N89" s="1"/>
  <c r="S446" i="13"/>
  <c r="S51" i="29" s="1"/>
  <c r="U51" s="1"/>
  <c r="Y51" s="1"/>
  <c r="H92" i="67"/>
  <c r="S444" i="13"/>
  <c r="S49" i="29" s="1"/>
  <c r="U49" s="1"/>
  <c r="Y49" s="1"/>
  <c r="H90" i="67"/>
  <c r="U88"/>
  <c r="G90" i="30" s="1"/>
  <c r="S445" i="13"/>
  <c r="U445" s="1"/>
  <c r="H91" i="67"/>
  <c r="Q168" i="39"/>
  <c r="S47" i="29"/>
  <c r="U442" i="13"/>
  <c r="H441"/>
  <c r="Q278" i="39"/>
  <c r="N269" i="13"/>
  <c r="O162" i="39"/>
  <c r="L162"/>
  <c r="M162"/>
  <c r="P162"/>
  <c r="Q165"/>
  <c r="Q167" l="1"/>
  <c r="K90" i="30"/>
  <c r="S50" i="29"/>
  <c r="U50" s="1"/>
  <c r="Y50" s="1"/>
  <c r="S269" i="13"/>
  <c r="L52" i="29" s="1"/>
  <c r="N52" s="1"/>
  <c r="R52" s="1"/>
  <c r="S89" i="67"/>
  <c r="E91" i="30" s="1"/>
  <c r="N92" i="67"/>
  <c r="S92" s="1"/>
  <c r="N90"/>
  <c r="S90" s="1"/>
  <c r="U446" i="13"/>
  <c r="N91" i="67"/>
  <c r="S91" s="1"/>
  <c r="H87"/>
  <c r="U444" i="13"/>
  <c r="S264"/>
  <c r="U47" i="29"/>
  <c r="Q164" i="39"/>
  <c r="K162"/>
  <c r="N162"/>
  <c r="S443" i="13"/>
  <c r="N441"/>
  <c r="Q166" i="39"/>
  <c r="N267" i="13"/>
  <c r="N268"/>
  <c r="N266"/>
  <c r="N265"/>
  <c r="U92" i="67" l="1"/>
  <c r="G94" i="30" s="1"/>
  <c r="K94" s="1"/>
  <c r="E94"/>
  <c r="U90" i="67"/>
  <c r="G92" i="30" s="1"/>
  <c r="K92" s="1"/>
  <c r="E92"/>
  <c r="U91" i="67"/>
  <c r="G93" i="30" s="1"/>
  <c r="K93" s="1"/>
  <c r="E93"/>
  <c r="U269" i="13"/>
  <c r="S267"/>
  <c r="L50" i="29" s="1"/>
  <c r="N50" s="1"/>
  <c r="R50" s="1"/>
  <c r="S268" i="13"/>
  <c r="L51" i="29" s="1"/>
  <c r="N51" s="1"/>
  <c r="R51" s="1"/>
  <c r="S266" i="13"/>
  <c r="U266" s="1"/>
  <c r="N87" i="67"/>
  <c r="U89"/>
  <c r="G91" i="30" s="1"/>
  <c r="S87" i="67"/>
  <c r="U264" i="13"/>
  <c r="L47" i="29"/>
  <c r="H263" i="13"/>
  <c r="S48" i="29"/>
  <c r="U443" i="13"/>
  <c r="S441"/>
  <c r="Y47" i="29"/>
  <c r="Q162" i="39"/>
  <c r="E89" i="30" l="1"/>
  <c r="K91"/>
  <c r="K89" s="1"/>
  <c r="G89"/>
  <c r="L49" i="29"/>
  <c r="N49" s="1"/>
  <c r="R49" s="1"/>
  <c r="U267" i="13"/>
  <c r="U268"/>
  <c r="U87" i="67"/>
  <c r="N47" i="29"/>
  <c r="S265" i="13"/>
  <c r="N263"/>
  <c r="U441"/>
  <c r="U48" i="29"/>
  <c r="U46" s="1"/>
  <c r="S46"/>
  <c r="Y48" l="1"/>
  <c r="Y46" s="1"/>
  <c r="R47"/>
  <c r="L48"/>
  <c r="U265" i="13"/>
  <c r="S263"/>
  <c r="N48" i="29" l="1"/>
  <c r="L46"/>
  <c r="U263" i="13"/>
  <c r="R48" i="29" l="1"/>
  <c r="R46" s="1"/>
  <c r="N46"/>
  <c r="P285" i="39" l="1"/>
  <c r="L285"/>
  <c r="Q290"/>
  <c r="M285"/>
  <c r="K285"/>
  <c r="O285"/>
  <c r="N285"/>
  <c r="J285"/>
  <c r="G285"/>
  <c r="N458" i="13"/>
  <c r="H104" i="67" l="1"/>
  <c r="H449" i="13"/>
  <c r="H285" i="39"/>
  <c r="I285"/>
  <c r="N104" i="67" l="1"/>
  <c r="S104" s="1"/>
  <c r="E106" i="30" s="1"/>
  <c r="S458" i="13"/>
  <c r="N449"/>
  <c r="Q291" i="39"/>
  <c r="E285"/>
  <c r="Q292"/>
  <c r="N459" i="13"/>
  <c r="N460"/>
  <c r="U104" i="67" l="1"/>
  <c r="G106" i="30" s="1"/>
  <c r="S459" i="13"/>
  <c r="S60" i="29" s="1"/>
  <c r="U60" s="1"/>
  <c r="Y60" s="1"/>
  <c r="H105" i="67"/>
  <c r="S460" i="13"/>
  <c r="S61" i="29" s="1"/>
  <c r="U61" s="1"/>
  <c r="Y61" s="1"/>
  <c r="H106" i="67"/>
  <c r="F285" i="39"/>
  <c r="Q285" s="1"/>
  <c r="U458" i="13"/>
  <c r="S59" i="29"/>
  <c r="S449" i="13"/>
  <c r="H448"/>
  <c r="Q174" i="39"/>
  <c r="L169"/>
  <c r="M169"/>
  <c r="P169"/>
  <c r="O169"/>
  <c r="Q176"/>
  <c r="N169"/>
  <c r="N280" i="13"/>
  <c r="K106" i="30" l="1"/>
  <c r="U459" i="13"/>
  <c r="S448"/>
  <c r="N448"/>
  <c r="AA104" i="67"/>
  <c r="N106"/>
  <c r="S106" s="1"/>
  <c r="N105"/>
  <c r="H94"/>
  <c r="U460" i="13"/>
  <c r="AA458"/>
  <c r="U449"/>
  <c r="U59" i="29"/>
  <c r="U54" s="1"/>
  <c r="S54"/>
  <c r="Q175" i="39"/>
  <c r="H271" i="13"/>
  <c r="K169" i="39"/>
  <c r="N282" i="13"/>
  <c r="N281"/>
  <c r="U106" i="67" l="1"/>
  <c r="G108" i="30" s="1"/>
  <c r="K108" s="1"/>
  <c r="E108"/>
  <c r="S282" i="13"/>
  <c r="L61" i="29" s="1"/>
  <c r="N61" s="1"/>
  <c r="R61" s="1"/>
  <c r="S281" i="13"/>
  <c r="L60" i="29" s="1"/>
  <c r="N60" s="1"/>
  <c r="R60" s="1"/>
  <c r="U448" i="13"/>
  <c r="S105" i="67"/>
  <c r="E107" i="30" s="1"/>
  <c r="N94" i="67"/>
  <c r="H270" i="13"/>
  <c r="Y59" i="29"/>
  <c r="Y54" s="1"/>
  <c r="S280" i="13"/>
  <c r="N271"/>
  <c r="Q169" i="39"/>
  <c r="E96" i="30" l="1"/>
  <c r="U281" i="13"/>
  <c r="U282"/>
  <c r="N270"/>
  <c r="U105" i="67"/>
  <c r="G107" i="30" s="1"/>
  <c r="S94" i="67"/>
  <c r="S271" i="13"/>
  <c r="S270" s="1"/>
  <c r="L59" i="29"/>
  <c r="U280" i="13"/>
  <c r="K107" i="30" l="1"/>
  <c r="K96" s="1"/>
  <c r="G96"/>
  <c r="U94" i="67"/>
  <c r="N59" i="29"/>
  <c r="L54"/>
  <c r="AA280" i="13"/>
  <c r="U271"/>
  <c r="U270" s="1"/>
  <c r="R59" i="29" l="1"/>
  <c r="R54" s="1"/>
  <c r="N54"/>
  <c r="P293" i="39" l="1"/>
  <c r="O293" l="1"/>
  <c r="M293"/>
  <c r="K293"/>
  <c r="N293"/>
  <c r="L293"/>
  <c r="N465" i="13"/>
  <c r="S465" l="1"/>
  <c r="S66" i="29" s="1"/>
  <c r="U66" s="1"/>
  <c r="Y66" s="1"/>
  <c r="H111" i="67"/>
  <c r="G293" i="39"/>
  <c r="J293"/>
  <c r="N111" i="67" l="1"/>
  <c r="S111" s="1"/>
  <c r="U465" i="13"/>
  <c r="F293" i="39"/>
  <c r="H293"/>
  <c r="I293"/>
  <c r="E293"/>
  <c r="Q294"/>
  <c r="Q296"/>
  <c r="N464" i="13"/>
  <c r="N463"/>
  <c r="N462"/>
  <c r="U111" i="67" l="1"/>
  <c r="G113" i="30" s="1"/>
  <c r="K113" s="1"/>
  <c r="E113"/>
  <c r="H108" i="67"/>
  <c r="S463" i="13"/>
  <c r="S64" i="29" s="1"/>
  <c r="U64" s="1"/>
  <c r="Y64" s="1"/>
  <c r="H109" i="67"/>
  <c r="S464" i="13"/>
  <c r="U464" s="1"/>
  <c r="H110" i="67"/>
  <c r="Q293" i="39"/>
  <c r="H461" i="13"/>
  <c r="M177" i="39"/>
  <c r="L177"/>
  <c r="O177"/>
  <c r="P177"/>
  <c r="H107" i="67" l="1"/>
  <c r="N287" i="13"/>
  <c r="S287" s="1"/>
  <c r="U287" s="1"/>
  <c r="N108" i="67"/>
  <c r="S108" s="1"/>
  <c r="E110" i="30" s="1"/>
  <c r="Q180" i="39"/>
  <c r="U463" i="13"/>
  <c r="N109" i="67"/>
  <c r="S109" s="1"/>
  <c r="N110"/>
  <c r="S110" s="1"/>
  <c r="S65" i="29"/>
  <c r="U65" s="1"/>
  <c r="Y65" s="1"/>
  <c r="N177" i="39"/>
  <c r="K177"/>
  <c r="Q178"/>
  <c r="N461" i="13"/>
  <c r="S462"/>
  <c r="Q179" i="39"/>
  <c r="U109" i="67" l="1"/>
  <c r="G111" i="30" s="1"/>
  <c r="K111" s="1"/>
  <c r="E111"/>
  <c r="U110" i="67"/>
  <c r="G112" i="30" s="1"/>
  <c r="E112"/>
  <c r="L66" i="29"/>
  <c r="N66" s="1"/>
  <c r="R66" s="1"/>
  <c r="N107" i="67"/>
  <c r="N286" i="13"/>
  <c r="S286" s="1"/>
  <c r="L65" i="29" s="1"/>
  <c r="N65" s="1"/>
  <c r="R65" s="1"/>
  <c r="N285" i="13"/>
  <c r="S285" s="1"/>
  <c r="U285" s="1"/>
  <c r="U108" i="67"/>
  <c r="G110" i="30" s="1"/>
  <c r="K110" s="1"/>
  <c r="S107" i="67"/>
  <c r="S63" i="29"/>
  <c r="S461" i="13"/>
  <c r="U462"/>
  <c r="Q177" i="39"/>
  <c r="N284" i="13"/>
  <c r="H283"/>
  <c r="E109" i="30" l="1"/>
  <c r="G109"/>
  <c r="K112"/>
  <c r="K109" s="1"/>
  <c r="U286" i="13"/>
  <c r="L64" i="29"/>
  <c r="N64" s="1"/>
  <c r="R64" s="1"/>
  <c r="U107" i="67"/>
  <c r="S62" i="29"/>
  <c r="U63"/>
  <c r="U461" i="13"/>
  <c r="N283"/>
  <c r="S284"/>
  <c r="Y63" i="29" l="1"/>
  <c r="Y62" s="1"/>
  <c r="U62"/>
  <c r="S283" i="13"/>
  <c r="L63" i="29"/>
  <c r="U284" i="13"/>
  <c r="L62" i="29" l="1"/>
  <c r="N63"/>
  <c r="U283" i="13"/>
  <c r="N62" i="29" l="1"/>
  <c r="R63"/>
  <c r="R62" s="1"/>
  <c r="K297" i="39" l="1"/>
  <c r="K276" s="1"/>
  <c r="L297"/>
  <c r="L276" s="1"/>
  <c r="I297"/>
  <c r="I276" s="1"/>
  <c r="J297"/>
  <c r="J276" s="1"/>
  <c r="N297"/>
  <c r="N276" s="1"/>
  <c r="H297"/>
  <c r="H276" s="1"/>
  <c r="O297"/>
  <c r="O276" s="1"/>
  <c r="P297"/>
  <c r="P276" s="1"/>
  <c r="M297"/>
  <c r="M276" s="1"/>
  <c r="G297" l="1"/>
  <c r="G276" s="1"/>
  <c r="F297" l="1"/>
  <c r="F276" s="1"/>
  <c r="E297"/>
  <c r="Q298"/>
  <c r="Q299"/>
  <c r="N468" i="13"/>
  <c r="P181" i="39"/>
  <c r="P160" s="1"/>
  <c r="O181"/>
  <c r="O160" s="1"/>
  <c r="N181"/>
  <c r="N160" s="1"/>
  <c r="N467" i="13"/>
  <c r="H113" i="67" l="1"/>
  <c r="S468" i="13"/>
  <c r="U468" s="1"/>
  <c r="H114" i="67"/>
  <c r="Q297" i="39"/>
  <c r="E276"/>
  <c r="H466" i="13"/>
  <c r="H439" s="1"/>
  <c r="M181" i="39"/>
  <c r="M160" s="1"/>
  <c r="L181"/>
  <c r="L160" s="1"/>
  <c r="H112" i="67" l="1"/>
  <c r="H85" s="1"/>
  <c r="N113"/>
  <c r="S69" i="29"/>
  <c r="U69" s="1"/>
  <c r="Y69" s="1"/>
  <c r="N114" i="67"/>
  <c r="S114" s="1"/>
  <c r="Q182" i="39"/>
  <c r="Q276"/>
  <c r="I12" i="66" s="1"/>
  <c r="N466" i="13"/>
  <c r="N439" s="1"/>
  <c r="S467"/>
  <c r="U114" i="67" l="1"/>
  <c r="G116" i="30" s="1"/>
  <c r="K116" s="1"/>
  <c r="E116"/>
  <c r="N112" i="67"/>
  <c r="N85" s="1"/>
  <c r="S113"/>
  <c r="N289" i="13"/>
  <c r="S466"/>
  <c r="S439" s="1"/>
  <c r="S68" i="29"/>
  <c r="U467" i="13"/>
  <c r="J13" i="24"/>
  <c r="U113" i="67" l="1"/>
  <c r="G115" i="30" s="1"/>
  <c r="E115"/>
  <c r="E114" s="1"/>
  <c r="E87" s="1"/>
  <c r="S112" i="67"/>
  <c r="S85" s="1"/>
  <c r="U466" i="13"/>
  <c r="S289"/>
  <c r="S67" i="29"/>
  <c r="S44" s="1"/>
  <c r="U68"/>
  <c r="U439" i="13" l="1"/>
  <c r="G114" i="30"/>
  <c r="K115"/>
  <c r="K114" s="1"/>
  <c r="K87" s="1"/>
  <c r="U112" i="67"/>
  <c r="U85" s="1"/>
  <c r="U67" i="29"/>
  <c r="U44" s="1"/>
  <c r="Y68"/>
  <c r="Y67" s="1"/>
  <c r="Y44" s="1"/>
  <c r="L68"/>
  <c r="U289" i="13"/>
  <c r="G87" i="30" l="1"/>
  <c r="N68" i="29"/>
  <c r="R68" l="1"/>
  <c r="Q301" i="39" l="1"/>
  <c r="N471" i="13"/>
  <c r="S471" l="1"/>
  <c r="U471" s="1"/>
  <c r="S71" i="29" l="1"/>
  <c r="U71" s="1"/>
  <c r="Y71" s="1"/>
  <c r="Q185" i="39"/>
  <c r="N293" i="13" l="1"/>
  <c r="S293" s="1"/>
  <c r="U293" s="1"/>
  <c r="L71" i="29" l="1"/>
  <c r="N71" s="1"/>
  <c r="R71" s="1"/>
  <c r="M302" i="39" l="1"/>
  <c r="N302"/>
  <c r="P302"/>
  <c r="O302"/>
  <c r="L302"/>
  <c r="K302"/>
  <c r="G302" l="1"/>
  <c r="J302"/>
  <c r="H302"/>
  <c r="I302"/>
  <c r="Q305" l="1"/>
  <c r="Q306"/>
  <c r="F302"/>
  <c r="E302"/>
  <c r="Q303"/>
  <c r="Q304"/>
  <c r="Q308"/>
  <c r="Q307"/>
  <c r="N475" i="13"/>
  <c r="N476"/>
  <c r="N478"/>
  <c r="N477"/>
  <c r="N474"/>
  <c r="N473"/>
  <c r="H119" i="67" l="1"/>
  <c r="N119" s="1"/>
  <c r="S478" i="13"/>
  <c r="S78" i="29" s="1"/>
  <c r="U78" s="1"/>
  <c r="Y78" s="1"/>
  <c r="H124" i="67"/>
  <c r="S475" i="13"/>
  <c r="U475" s="1"/>
  <c r="H121" i="67"/>
  <c r="S476" i="13"/>
  <c r="S76" i="29" s="1"/>
  <c r="U76" s="1"/>
  <c r="Y76" s="1"/>
  <c r="H122" i="67"/>
  <c r="S477" i="13"/>
  <c r="U477" s="1"/>
  <c r="H123" i="67"/>
  <c r="S474" i="13"/>
  <c r="U474" s="1"/>
  <c r="H120" i="67"/>
  <c r="Q302" i="39"/>
  <c r="H472" i="13"/>
  <c r="M186" i="39"/>
  <c r="Q191"/>
  <c r="L186"/>
  <c r="Q189"/>
  <c r="O186"/>
  <c r="P186"/>
  <c r="Q192"/>
  <c r="Q190"/>
  <c r="N186"/>
  <c r="U476" i="13" l="1"/>
  <c r="S75" i="29"/>
  <c r="U75" s="1"/>
  <c r="Y75" s="1"/>
  <c r="H118" i="67"/>
  <c r="U478" i="13"/>
  <c r="S119" i="67"/>
  <c r="E121" i="30" s="1"/>
  <c r="N123" i="67"/>
  <c r="S123" s="1"/>
  <c r="N124"/>
  <c r="S124" s="1"/>
  <c r="S77" i="29"/>
  <c r="U77" s="1"/>
  <c r="Y77" s="1"/>
  <c r="N121" i="67"/>
  <c r="S121" s="1"/>
  <c r="S74" i="29"/>
  <c r="U74" s="1"/>
  <c r="Y74" s="1"/>
  <c r="N122" i="67"/>
  <c r="S122" s="1"/>
  <c r="N120"/>
  <c r="S120" s="1"/>
  <c r="Q188" i="39"/>
  <c r="N472" i="13"/>
  <c r="S473"/>
  <c r="Q187" i="39"/>
  <c r="K186"/>
  <c r="U121" i="67" l="1"/>
  <c r="G123" i="30" s="1"/>
  <c r="K123" s="1"/>
  <c r="E123"/>
  <c r="U123" i="67"/>
  <c r="G125" i="30" s="1"/>
  <c r="K125" s="1"/>
  <c r="E125"/>
  <c r="U122" i="67"/>
  <c r="G124" i="30" s="1"/>
  <c r="K124" s="1"/>
  <c r="E124"/>
  <c r="U124" i="67"/>
  <c r="G126" i="30" s="1"/>
  <c r="K126" s="1"/>
  <c r="E126"/>
  <c r="U120" i="67"/>
  <c r="G122" i="30" s="1"/>
  <c r="K122" s="1"/>
  <c r="E122"/>
  <c r="N296" i="13"/>
  <c r="S296" s="1"/>
  <c r="U296" s="1"/>
  <c r="N299"/>
  <c r="S299" s="1"/>
  <c r="U299" s="1"/>
  <c r="N297"/>
  <c r="S297" s="1"/>
  <c r="U297" s="1"/>
  <c r="N298"/>
  <c r="S298" s="1"/>
  <c r="U298" s="1"/>
  <c r="N300"/>
  <c r="S300" s="1"/>
  <c r="U300" s="1"/>
  <c r="N118" i="67"/>
  <c r="S118"/>
  <c r="U119"/>
  <c r="G121" i="30" s="1"/>
  <c r="N295" i="13"/>
  <c r="H294"/>
  <c r="S73" i="29"/>
  <c r="S472" i="13"/>
  <c r="U473"/>
  <c r="Q186" i="39"/>
  <c r="E120" i="30" l="1"/>
  <c r="G120"/>
  <c r="K121"/>
  <c r="K120" s="1"/>
  <c r="L76" i="29"/>
  <c r="N76" s="1"/>
  <c r="R76" s="1"/>
  <c r="L77"/>
  <c r="N77" s="1"/>
  <c r="R77" s="1"/>
  <c r="L78"/>
  <c r="N78" s="1"/>
  <c r="R78" s="1"/>
  <c r="L74"/>
  <c r="N74" s="1"/>
  <c r="R74" s="1"/>
  <c r="L75"/>
  <c r="N75" s="1"/>
  <c r="R75" s="1"/>
  <c r="U118" i="67"/>
  <c r="U472" i="13"/>
  <c r="N294"/>
  <c r="S295"/>
  <c r="U73" i="29"/>
  <c r="S72"/>
  <c r="U295" i="13" l="1"/>
  <c r="L73" i="29"/>
  <c r="S294" i="13"/>
  <c r="Y73" i="29"/>
  <c r="Y72" s="1"/>
  <c r="U72"/>
  <c r="U294" i="13" l="1"/>
  <c r="N73" i="29"/>
  <c r="L72"/>
  <c r="R73" l="1"/>
  <c r="R72" s="1"/>
  <c r="N72"/>
  <c r="Q315" i="39" l="1"/>
  <c r="Q314"/>
  <c r="N489" i="13"/>
  <c r="N490"/>
  <c r="H135" i="67" l="1"/>
  <c r="S490" i="13"/>
  <c r="S86" i="29" s="1"/>
  <c r="U86" s="1"/>
  <c r="Y86" s="1"/>
  <c r="H136" i="67"/>
  <c r="Q199" i="39"/>
  <c r="N135" i="67" l="1"/>
  <c r="S135" s="1"/>
  <c r="N136"/>
  <c r="S136" s="1"/>
  <c r="U490" i="13"/>
  <c r="S489"/>
  <c r="Q198" i="39"/>
  <c r="N312" i="13"/>
  <c r="U136" i="67" l="1"/>
  <c r="G138" i="30" s="1"/>
  <c r="K138" s="1"/>
  <c r="E138"/>
  <c r="U135" i="67"/>
  <c r="E137" i="30"/>
  <c r="S312" i="13"/>
  <c r="U312" s="1"/>
  <c r="S85" i="29"/>
  <c r="U85" s="1"/>
  <c r="U489" i="13"/>
  <c r="N311"/>
  <c r="AA135" i="67" l="1"/>
  <c r="G137" i="30"/>
  <c r="K137" s="1"/>
  <c r="L86" i="29"/>
  <c r="N86" s="1"/>
  <c r="R86" s="1"/>
  <c r="S311" i="13"/>
  <c r="AA489"/>
  <c r="Y85" i="29" l="1"/>
  <c r="U311" i="13"/>
  <c r="L85" i="29"/>
  <c r="AA311" i="13" l="1"/>
  <c r="N85" i="29"/>
  <c r="R85" l="1"/>
  <c r="N495" i="13" l="1"/>
  <c r="S495" l="1"/>
  <c r="U495" s="1"/>
  <c r="H141" i="67"/>
  <c r="N141" l="1"/>
  <c r="S141" s="1"/>
  <c r="S91" i="29"/>
  <c r="U91" s="1"/>
  <c r="Y91" s="1"/>
  <c r="Q204" i="39"/>
  <c r="Q318"/>
  <c r="N317" i="13"/>
  <c r="N493"/>
  <c r="U141" i="67" l="1"/>
  <c r="G143" i="30" s="1"/>
  <c r="K143" s="1"/>
  <c r="E143"/>
  <c r="H139" i="67"/>
  <c r="N139" s="1"/>
  <c r="S317" i="13"/>
  <c r="L91" i="29" s="1"/>
  <c r="N91" s="1"/>
  <c r="R91" s="1"/>
  <c r="P201" i="39"/>
  <c r="O201"/>
  <c r="L201"/>
  <c r="Q203"/>
  <c r="M201"/>
  <c r="U317" i="13" l="1"/>
  <c r="S139" i="67"/>
  <c r="E141" i="30" s="1"/>
  <c r="N201" i="39"/>
  <c r="Q202"/>
  <c r="S493" i="13"/>
  <c r="N316"/>
  <c r="N315"/>
  <c r="S316" l="1"/>
  <c r="U316" s="1"/>
  <c r="U139" i="67"/>
  <c r="G141" i="30" s="1"/>
  <c r="S89" i="29"/>
  <c r="U493" i="13"/>
  <c r="K141" i="30" l="1"/>
  <c r="L90" i="29"/>
  <c r="N90" s="1"/>
  <c r="R90" s="1"/>
  <c r="U89"/>
  <c r="S315" i="13"/>
  <c r="Y89" i="29" l="1"/>
  <c r="L89"/>
  <c r="U315" i="13"/>
  <c r="N89" i="29" l="1"/>
  <c r="R89" l="1"/>
  <c r="L322" i="39" l="1"/>
  <c r="M322"/>
  <c r="P322"/>
  <c r="N322"/>
  <c r="O322"/>
  <c r="K322"/>
  <c r="H322" l="1"/>
  <c r="J322"/>
  <c r="I322"/>
  <c r="G322" l="1"/>
  <c r="F322"/>
  <c r="Q324"/>
  <c r="Q323"/>
  <c r="E322"/>
  <c r="N499" i="13"/>
  <c r="N498"/>
  <c r="H144" i="67" l="1"/>
  <c r="S499" i="13"/>
  <c r="U499" s="1"/>
  <c r="H145" i="67"/>
  <c r="Q322" i="39"/>
  <c r="H497" i="13"/>
  <c r="P206" i="39"/>
  <c r="O206"/>
  <c r="N206"/>
  <c r="N144" i="67" l="1"/>
  <c r="H143"/>
  <c r="S95" i="29"/>
  <c r="U95" s="1"/>
  <c r="Y95" s="1"/>
  <c r="N145" i="67"/>
  <c r="S145" s="1"/>
  <c r="N497" i="13"/>
  <c r="S498"/>
  <c r="K206" i="39"/>
  <c r="Q207"/>
  <c r="L206"/>
  <c r="Q208"/>
  <c r="M206"/>
  <c r="N321" i="13"/>
  <c r="N320"/>
  <c r="N143" i="67" l="1"/>
  <c r="U145"/>
  <c r="G147" i="30" s="1"/>
  <c r="K147" s="1"/>
  <c r="E147"/>
  <c r="S321" i="13"/>
  <c r="L95" i="29" s="1"/>
  <c r="N95" s="1"/>
  <c r="R95" s="1"/>
  <c r="S144" i="67"/>
  <c r="S94" i="29"/>
  <c r="S497" i="13"/>
  <c r="U498"/>
  <c r="H319"/>
  <c r="Q206" i="39"/>
  <c r="U144" i="67" l="1"/>
  <c r="G146" i="30" s="1"/>
  <c r="E146"/>
  <c r="E145" s="1"/>
  <c r="U321" i="13"/>
  <c r="S143" i="67"/>
  <c r="U94" i="29"/>
  <c r="S93"/>
  <c r="U497" i="13"/>
  <c r="S320"/>
  <c r="N319"/>
  <c r="G145" i="30" l="1"/>
  <c r="K146"/>
  <c r="K145" s="1"/>
  <c r="U143" i="67"/>
  <c r="L94" i="29"/>
  <c r="S319" i="13"/>
  <c r="U320"/>
  <c r="U93" i="29"/>
  <c r="Y94"/>
  <c r="Y93" s="1"/>
  <c r="U319" i="13" l="1"/>
  <c r="N94" i="29"/>
  <c r="L93"/>
  <c r="R94" l="1"/>
  <c r="R93" s="1"/>
  <c r="N93"/>
  <c r="Q326" i="39" l="1"/>
  <c r="N502" i="13"/>
  <c r="S502" l="1"/>
  <c r="S97" i="29" s="1"/>
  <c r="U97" s="1"/>
  <c r="Y97" s="1"/>
  <c r="H148" i="67"/>
  <c r="U502" i="13" l="1"/>
  <c r="N148" i="67"/>
  <c r="Q210" i="39"/>
  <c r="N324" i="13"/>
  <c r="S324" l="1"/>
  <c r="U324" s="1"/>
  <c r="S148" i="67"/>
  <c r="E150" i="30" s="1"/>
  <c r="L97" i="29" l="1"/>
  <c r="N97" s="1"/>
  <c r="R97" s="1"/>
  <c r="U148" i="67"/>
  <c r="G150" i="30" s="1"/>
  <c r="K150" l="1"/>
  <c r="Q214" i="39"/>
  <c r="Q330"/>
  <c r="N328" i="13"/>
  <c r="N506"/>
  <c r="S328" l="1"/>
  <c r="U328" s="1"/>
  <c r="S506"/>
  <c r="U506" s="1"/>
  <c r="H152" i="67"/>
  <c r="L101" i="29" l="1"/>
  <c r="N101" s="1"/>
  <c r="R101" s="1"/>
  <c r="N152" i="67"/>
  <c r="S152" s="1"/>
  <c r="S101" i="29"/>
  <c r="U101" s="1"/>
  <c r="Y101" s="1"/>
  <c r="Q332" i="39"/>
  <c r="Q331"/>
  <c r="Q333"/>
  <c r="N508" i="13"/>
  <c r="N507"/>
  <c r="N509"/>
  <c r="U152" i="67" l="1"/>
  <c r="G154" i="30" s="1"/>
  <c r="K154" s="1"/>
  <c r="E154"/>
  <c r="S507" i="13"/>
  <c r="U507" s="1"/>
  <c r="H153" i="67"/>
  <c r="S509" i="13"/>
  <c r="U509" s="1"/>
  <c r="H155" i="67"/>
  <c r="S508" i="13"/>
  <c r="S103" i="29" s="1"/>
  <c r="U103" s="1"/>
  <c r="Y103" s="1"/>
  <c r="H154" i="67"/>
  <c r="Q213" i="39"/>
  <c r="N327" i="13"/>
  <c r="L211" i="39"/>
  <c r="M211"/>
  <c r="O211"/>
  <c r="P211"/>
  <c r="Q215"/>
  <c r="S327" i="13" l="1"/>
  <c r="L100" i="29" s="1"/>
  <c r="N100" s="1"/>
  <c r="R100" s="1"/>
  <c r="U508" i="13"/>
  <c r="N153" i="67"/>
  <c r="S153" s="1"/>
  <c r="N154"/>
  <c r="S154" s="1"/>
  <c r="N155"/>
  <c r="S155" s="1"/>
  <c r="S104" i="29"/>
  <c r="U104" s="1"/>
  <c r="Y104" s="1"/>
  <c r="S102"/>
  <c r="U102" s="1"/>
  <c r="Y102" s="1"/>
  <c r="Q217" i="39"/>
  <c r="Q216"/>
  <c r="N211"/>
  <c r="N331" i="13"/>
  <c r="N330"/>
  <c r="N329"/>
  <c r="U154" i="67" l="1"/>
  <c r="G156" i="30" s="1"/>
  <c r="K156" s="1"/>
  <c r="E156"/>
  <c r="U153" i="67"/>
  <c r="G155" i="30" s="1"/>
  <c r="E155"/>
  <c r="U155" i="67"/>
  <c r="G157" i="30" s="1"/>
  <c r="K157" s="1"/>
  <c r="E157"/>
  <c r="S331" i="13"/>
  <c r="L104" i="29" s="1"/>
  <c r="N104" s="1"/>
  <c r="R104" s="1"/>
  <c r="U327" i="13"/>
  <c r="S330"/>
  <c r="L103" i="29" s="1"/>
  <c r="N103" s="1"/>
  <c r="R103" s="1"/>
  <c r="S329" i="13"/>
  <c r="U329" s="1"/>
  <c r="K155" i="30" l="1"/>
  <c r="L102" i="29"/>
  <c r="N102" s="1"/>
  <c r="R102" s="1"/>
  <c r="U330" i="13"/>
  <c r="U331"/>
  <c r="Q221" i="39" l="1"/>
  <c r="Q220"/>
  <c r="Q222"/>
  <c r="N335" i="13"/>
  <c r="N336" l="1"/>
  <c r="S336" s="1"/>
  <c r="U336" s="1"/>
  <c r="AA336" s="1"/>
  <c r="N337"/>
  <c r="S337" s="1"/>
  <c r="U337" s="1"/>
  <c r="G334" i="39"/>
  <c r="J334"/>
  <c r="Q340" l="1"/>
  <c r="M334"/>
  <c r="N340" i="13"/>
  <c r="S340" s="1"/>
  <c r="N339"/>
  <c r="S339" s="1"/>
  <c r="U339" s="1"/>
  <c r="AA339" s="1"/>
  <c r="N341"/>
  <c r="S341" s="1"/>
  <c r="U341" s="1"/>
  <c r="AA341" s="1"/>
  <c r="I334" i="39"/>
  <c r="N334"/>
  <c r="F334"/>
  <c r="H334"/>
  <c r="S335" i="13"/>
  <c r="Q341" i="39"/>
  <c r="Q338"/>
  <c r="L334"/>
  <c r="Q337"/>
  <c r="Q339"/>
  <c r="E334"/>
  <c r="O334"/>
  <c r="K334"/>
  <c r="Q336"/>
  <c r="P334"/>
  <c r="N515" i="13"/>
  <c r="N520"/>
  <c r="N521"/>
  <c r="N522"/>
  <c r="N513"/>
  <c r="U340" l="1"/>
  <c r="AA340" s="1"/>
  <c r="L109" i="29"/>
  <c r="N109" s="1"/>
  <c r="R109" s="1"/>
  <c r="H159" i="67"/>
  <c r="L110" i="29"/>
  <c r="N110" s="1"/>
  <c r="S515" i="13"/>
  <c r="U515" s="1"/>
  <c r="H161" i="67"/>
  <c r="S521" i="13"/>
  <c r="S112" i="29" s="1"/>
  <c r="U112" s="1"/>
  <c r="Y112" s="1"/>
  <c r="H167" i="67"/>
  <c r="S520" i="13"/>
  <c r="U520" s="1"/>
  <c r="AA520" s="1"/>
  <c r="H166" i="67"/>
  <c r="S522" i="13"/>
  <c r="S113" i="29" s="1"/>
  <c r="U113" s="1"/>
  <c r="Y113" s="1"/>
  <c r="H168" i="67"/>
  <c r="L108" i="29"/>
  <c r="U335" i="13"/>
  <c r="Q334" i="39"/>
  <c r="N514" i="13"/>
  <c r="Q224" i="39"/>
  <c r="N517" i="13"/>
  <c r="N159" i="67" l="1"/>
  <c r="S159" s="1"/>
  <c r="E161" i="30" s="1"/>
  <c r="U522" i="13"/>
  <c r="U521"/>
  <c r="N161" i="67"/>
  <c r="S161" s="1"/>
  <c r="Q225" i="39"/>
  <c r="N166" i="67"/>
  <c r="S166" s="1"/>
  <c r="N167"/>
  <c r="S167" s="1"/>
  <c r="S517" i="13"/>
  <c r="U517" s="1"/>
  <c r="AA517" s="1"/>
  <c r="H163" i="67"/>
  <c r="S111" i="29"/>
  <c r="U111" s="1"/>
  <c r="Y111" s="1"/>
  <c r="S514" i="13"/>
  <c r="U514" s="1"/>
  <c r="AA514" s="1"/>
  <c r="H160" i="67"/>
  <c r="N168"/>
  <c r="S168" s="1"/>
  <c r="L107" i="29"/>
  <c r="N107" s="1"/>
  <c r="R107" s="1"/>
  <c r="N108"/>
  <c r="P218" i="39"/>
  <c r="O218"/>
  <c r="N519" i="13"/>
  <c r="AA335"/>
  <c r="Q223" i="39"/>
  <c r="N218"/>
  <c r="N518" i="13"/>
  <c r="K218" i="39"/>
  <c r="L218"/>
  <c r="S513" i="13"/>
  <c r="M218" i="39"/>
  <c r="N343" i="13"/>
  <c r="N342"/>
  <c r="N344"/>
  <c r="U166" i="67" l="1"/>
  <c r="E168" i="30"/>
  <c r="U161" i="67"/>
  <c r="G163" i="30" s="1"/>
  <c r="K163" s="1"/>
  <c r="E163"/>
  <c r="U168" i="67"/>
  <c r="G170" i="30" s="1"/>
  <c r="K170" s="1"/>
  <c r="E170"/>
  <c r="U167" i="67"/>
  <c r="G169" i="30" s="1"/>
  <c r="K169" s="1"/>
  <c r="E169"/>
  <c r="S343" i="13"/>
  <c r="L112" i="29" s="1"/>
  <c r="N112" s="1"/>
  <c r="R112" s="1"/>
  <c r="S344" i="13"/>
  <c r="U344" s="1"/>
  <c r="U159" i="67"/>
  <c r="G161" i="30" s="1"/>
  <c r="N160" i="67"/>
  <c r="N163"/>
  <c r="S163" s="1"/>
  <c r="S518" i="13"/>
  <c r="U518" s="1"/>
  <c r="AA518" s="1"/>
  <c r="H164" i="67"/>
  <c r="S519" i="13"/>
  <c r="U519" s="1"/>
  <c r="AA519" s="1"/>
  <c r="H165" i="67"/>
  <c r="H333" i="13"/>
  <c r="R108" i="29"/>
  <c r="H511" i="13"/>
  <c r="Q218" i="39"/>
  <c r="U513" i="13"/>
  <c r="S108" i="29"/>
  <c r="AA166" i="67" l="1"/>
  <c r="G168" i="30"/>
  <c r="K168" s="1"/>
  <c r="K161"/>
  <c r="S109" i="29"/>
  <c r="U109" s="1"/>
  <c r="Y109" s="1"/>
  <c r="U163" i="67"/>
  <c r="E165" i="30"/>
  <c r="H332" i="13"/>
  <c r="U343"/>
  <c r="H510"/>
  <c r="L113" i="29"/>
  <c r="N113" s="1"/>
  <c r="R113" s="1"/>
  <c r="H156" i="67"/>
  <c r="S511" i="13"/>
  <c r="S510" s="1"/>
  <c r="S110" i="29"/>
  <c r="U110" s="1"/>
  <c r="N511" i="13"/>
  <c r="N510" s="1"/>
  <c r="S160" i="67"/>
  <c r="E162" i="30" s="1"/>
  <c r="N165" i="67"/>
  <c r="S165" s="1"/>
  <c r="N164"/>
  <c r="S164" s="1"/>
  <c r="AA159"/>
  <c r="AA513" i="13"/>
  <c r="U511"/>
  <c r="U510" s="1"/>
  <c r="S342"/>
  <c r="N333"/>
  <c r="N332" s="1"/>
  <c r="U108" i="29"/>
  <c r="AA163" i="67" l="1"/>
  <c r="G165" i="30"/>
  <c r="K165" s="1"/>
  <c r="U165" i="67"/>
  <c r="E167" i="30"/>
  <c r="U164" i="67"/>
  <c r="E166" i="30"/>
  <c r="N156" i="67"/>
  <c r="U160"/>
  <c r="G162" i="30" s="1"/>
  <c r="S156" i="67"/>
  <c r="S107" i="29"/>
  <c r="U107" s="1"/>
  <c r="Y107" s="1"/>
  <c r="S106"/>
  <c r="L111"/>
  <c r="U342" i="13"/>
  <c r="S333"/>
  <c r="S332" s="1"/>
  <c r="Y108" i="29"/>
  <c r="Y106" s="1"/>
  <c r="U106"/>
  <c r="E158" i="30" l="1"/>
  <c r="K162"/>
  <c r="AA165" i="67"/>
  <c r="G167" i="30"/>
  <c r="K167" s="1"/>
  <c r="AA164" i="67"/>
  <c r="G166" i="30"/>
  <c r="K166" s="1"/>
  <c r="AA160" i="67"/>
  <c r="U156"/>
  <c r="N111" i="29"/>
  <c r="L106"/>
  <c r="AA342" i="13"/>
  <c r="U333"/>
  <c r="U332" s="1"/>
  <c r="K158" i="30" l="1"/>
  <c r="G158"/>
  <c r="R111" i="29"/>
  <c r="R106" s="1"/>
  <c r="N106"/>
  <c r="N342" i="39" l="1"/>
  <c r="O342"/>
  <c r="P342"/>
  <c r="K342"/>
  <c r="M342"/>
  <c r="L342"/>
  <c r="J342" l="1"/>
  <c r="F342" l="1"/>
  <c r="E342"/>
  <c r="Q343"/>
  <c r="Q346"/>
  <c r="Q345"/>
  <c r="H342"/>
  <c r="Q344"/>
  <c r="G342"/>
  <c r="I342"/>
  <c r="N527" i="13"/>
  <c r="N524"/>
  <c r="N526"/>
  <c r="H170" i="67" l="1"/>
  <c r="S526" i="13"/>
  <c r="S117" i="29" s="1"/>
  <c r="U117" s="1"/>
  <c r="Y117" s="1"/>
  <c r="H172" i="67"/>
  <c r="S527" i="13"/>
  <c r="S118" i="29" s="1"/>
  <c r="U118" s="1"/>
  <c r="Y118" s="1"/>
  <c r="H173" i="67"/>
  <c r="P226" i="39"/>
  <c r="Q342"/>
  <c r="H523" i="13"/>
  <c r="O226" i="39"/>
  <c r="L226"/>
  <c r="M226"/>
  <c r="U527" i="13" l="1"/>
  <c r="N170" i="67"/>
  <c r="S170" s="1"/>
  <c r="E172" i="30" s="1"/>
  <c r="N172" i="67"/>
  <c r="S172" s="1"/>
  <c r="U526" i="13"/>
  <c r="N173" i="67"/>
  <c r="S173" s="1"/>
  <c r="H169"/>
  <c r="N226" i="39"/>
  <c r="Q228"/>
  <c r="S524" i="13"/>
  <c r="N523"/>
  <c r="Q227" i="39"/>
  <c r="K226"/>
  <c r="N347" i="13"/>
  <c r="N348"/>
  <c r="N346"/>
  <c r="N349"/>
  <c r="U172" i="67" l="1"/>
  <c r="G174" i="30" s="1"/>
  <c r="K174" s="1"/>
  <c r="E174"/>
  <c r="U173" i="67"/>
  <c r="G175" i="30" s="1"/>
  <c r="K175" s="1"/>
  <c r="E175"/>
  <c r="S348" i="13"/>
  <c r="U348" s="1"/>
  <c r="S349"/>
  <c r="U349" s="1"/>
  <c r="S347"/>
  <c r="U347" s="1"/>
  <c r="S169" i="67"/>
  <c r="U170"/>
  <c r="G172" i="30" s="1"/>
  <c r="N169" i="67"/>
  <c r="S115" i="29"/>
  <c r="S523" i="13"/>
  <c r="U524"/>
  <c r="Q226" i="39"/>
  <c r="H345" i="13"/>
  <c r="E171" i="30" l="1"/>
  <c r="G171"/>
  <c r="K172"/>
  <c r="K171" s="1"/>
  <c r="L116" i="29"/>
  <c r="N116" s="1"/>
  <c r="R116" s="1"/>
  <c r="L117"/>
  <c r="N117" s="1"/>
  <c r="R117" s="1"/>
  <c r="L118"/>
  <c r="N118" s="1"/>
  <c r="R118" s="1"/>
  <c r="U169" i="67"/>
  <c r="U115" i="29"/>
  <c r="S114"/>
  <c r="U523" i="13"/>
  <c r="N345"/>
  <c r="S346"/>
  <c r="Y115" i="29" l="1"/>
  <c r="Y114" s="1"/>
  <c r="U114"/>
  <c r="L115"/>
  <c r="S345" i="13"/>
  <c r="U346"/>
  <c r="L114" i="29" l="1"/>
  <c r="N115"/>
  <c r="U345" i="13"/>
  <c r="N114" i="29" l="1"/>
  <c r="R115"/>
  <c r="R114" s="1"/>
  <c r="M347" i="39" l="1"/>
  <c r="L347"/>
  <c r="N347"/>
  <c r="O347"/>
  <c r="P347"/>
  <c r="J347" l="1"/>
  <c r="F347"/>
  <c r="H347"/>
  <c r="G347"/>
  <c r="I347"/>
  <c r="E347" l="1"/>
  <c r="Q348"/>
  <c r="N529" i="13"/>
  <c r="H175" i="67" l="1"/>
  <c r="N230" i="39"/>
  <c r="N209" s="1"/>
  <c r="M230"/>
  <c r="M209" s="1"/>
  <c r="O230"/>
  <c r="O209" s="1"/>
  <c r="L230"/>
  <c r="L209" s="1"/>
  <c r="P230"/>
  <c r="P209" s="1"/>
  <c r="N175" i="67" l="1"/>
  <c r="S175" s="1"/>
  <c r="E177" i="30" s="1"/>
  <c r="Q231" i="39"/>
  <c r="S529" i="13"/>
  <c r="N351"/>
  <c r="U175" i="67" l="1"/>
  <c r="G177" i="30" s="1"/>
  <c r="S120" i="29"/>
  <c r="U529" i="13"/>
  <c r="K177" i="30" l="1"/>
  <c r="U120" i="29"/>
  <c r="S351" i="13"/>
  <c r="Y120" i="29" l="1"/>
  <c r="L120"/>
  <c r="U351" i="13"/>
  <c r="N120" i="29" l="1"/>
  <c r="R120" l="1"/>
  <c r="G244" i="39" l="1"/>
  <c r="I244"/>
  <c r="L244"/>
  <c r="J244"/>
  <c r="H244" l="1"/>
  <c r="N398" i="13"/>
  <c r="N399"/>
  <c r="P244" i="39"/>
  <c r="N397" i="13"/>
  <c r="N395"/>
  <c r="N400"/>
  <c r="N396"/>
  <c r="N244" i="39"/>
  <c r="K244"/>
  <c r="O244"/>
  <c r="F244"/>
  <c r="M244"/>
  <c r="H41" i="67" l="1"/>
  <c r="N41" s="1"/>
  <c r="S396" i="13"/>
  <c r="U396" s="1"/>
  <c r="AA396" s="1"/>
  <c r="H42" i="67"/>
  <c r="S398" i="13"/>
  <c r="U398" s="1"/>
  <c r="AA398" s="1"/>
  <c r="H44" i="67"/>
  <c r="S399" i="13"/>
  <c r="U399" s="1"/>
  <c r="AA399" s="1"/>
  <c r="H45" i="67"/>
  <c r="S397" i="13"/>
  <c r="U397" s="1"/>
  <c r="H43" i="67"/>
  <c r="S400" i="13"/>
  <c r="U400" s="1"/>
  <c r="H46" i="67"/>
  <c r="Q246" i="39"/>
  <c r="E244"/>
  <c r="H394" i="13"/>
  <c r="J46" i="24" l="1"/>
  <c r="H393" i="13"/>
  <c r="N42" i="67"/>
  <c r="S42" s="1"/>
  <c r="N43"/>
  <c r="S43" s="1"/>
  <c r="N44"/>
  <c r="S44" s="1"/>
  <c r="N45"/>
  <c r="S45" s="1"/>
  <c r="H40"/>
  <c r="H39" s="1"/>
  <c r="N46"/>
  <c r="S46" s="1"/>
  <c r="S41"/>
  <c r="E43" i="30" s="1"/>
  <c r="Q244" i="39"/>
  <c r="N394" i="13"/>
  <c r="N393" s="1"/>
  <c r="S395"/>
  <c r="U44" i="67" l="1"/>
  <c r="E46" i="30"/>
  <c r="U46" i="67"/>
  <c r="G48" i="30" s="1"/>
  <c r="K48" s="1"/>
  <c r="E48"/>
  <c r="U42" i="67"/>
  <c r="E44" i="30"/>
  <c r="U43" i="67"/>
  <c r="G45" i="30" s="1"/>
  <c r="K45" s="1"/>
  <c r="E45"/>
  <c r="U45" i="67"/>
  <c r="E47" i="30"/>
  <c r="U41" i="67"/>
  <c r="G43" i="30" s="1"/>
  <c r="S40" i="67"/>
  <c r="S39" s="1"/>
  <c r="N40"/>
  <c r="N39" s="1"/>
  <c r="S394" i="13"/>
  <c r="S393" s="1"/>
  <c r="U395"/>
  <c r="E42" i="30" l="1"/>
  <c r="E41" s="1"/>
  <c r="AA44" i="67"/>
  <c r="G46" i="30"/>
  <c r="K46" s="1"/>
  <c r="AA45" i="67"/>
  <c r="G47" i="30"/>
  <c r="K47" s="1"/>
  <c r="K43"/>
  <c r="AA42" i="67"/>
  <c r="G44" i="30"/>
  <c r="K44" s="1"/>
  <c r="U40" i="67"/>
  <c r="U39" s="1"/>
  <c r="U394" i="13"/>
  <c r="U393" s="1"/>
  <c r="S14" i="29"/>
  <c r="G42" i="30" l="1"/>
  <c r="G41" s="1"/>
  <c r="K42"/>
  <c r="K41" s="1"/>
  <c r="U14" i="29"/>
  <c r="Y14" l="1"/>
  <c r="M252" i="39" l="1"/>
  <c r="M250" s="1"/>
  <c r="L252"/>
  <c r="L250" s="1"/>
  <c r="H252"/>
  <c r="H250" s="1"/>
  <c r="O252"/>
  <c r="O250" s="1"/>
  <c r="P252"/>
  <c r="P250" s="1"/>
  <c r="N252"/>
  <c r="N250" s="1"/>
  <c r="I252"/>
  <c r="I250" s="1"/>
  <c r="J252"/>
  <c r="J250" s="1"/>
  <c r="K252"/>
  <c r="K250" s="1"/>
  <c r="G252" l="1"/>
  <c r="G250" s="1"/>
  <c r="P136" l="1"/>
  <c r="P134" s="1"/>
  <c r="O136"/>
  <c r="O134" s="1"/>
  <c r="F252"/>
  <c r="F250" s="1"/>
  <c r="Q257" l="1"/>
  <c r="E252"/>
  <c r="N136"/>
  <c r="N134" s="1"/>
  <c r="N414" i="13"/>
  <c r="L136" i="39"/>
  <c r="L134" s="1"/>
  <c r="M136"/>
  <c r="M134" s="1"/>
  <c r="H60" i="67" l="1"/>
  <c r="H55" s="1"/>
  <c r="H53" s="1"/>
  <c r="Q252" i="39"/>
  <c r="E250"/>
  <c r="Q250" s="1"/>
  <c r="I11" i="66" s="1"/>
  <c r="H409" i="13"/>
  <c r="H407" s="1"/>
  <c r="N60" i="67" l="1"/>
  <c r="N55" s="1"/>
  <c r="N53" s="1"/>
  <c r="J32" i="24"/>
  <c r="S414" i="13"/>
  <c r="N409"/>
  <c r="N407" s="1"/>
  <c r="Q141" i="39"/>
  <c r="K136"/>
  <c r="N236" i="13"/>
  <c r="S60" i="67" l="1"/>
  <c r="S25" i="29"/>
  <c r="U414" i="13"/>
  <c r="S409"/>
  <c r="S407" s="1"/>
  <c r="H231"/>
  <c r="H229" s="1"/>
  <c r="Q136" i="39"/>
  <c r="K134"/>
  <c r="Q134" s="1"/>
  <c r="F11" i="66" s="1"/>
  <c r="S55" i="67" l="1"/>
  <c r="S53" s="1"/>
  <c r="E62" i="30"/>
  <c r="E57" s="1"/>
  <c r="E55" s="1"/>
  <c r="U60" i="67"/>
  <c r="U25" i="29"/>
  <c r="S20"/>
  <c r="S18" s="1"/>
  <c r="U409" i="13"/>
  <c r="S236"/>
  <c r="N231"/>
  <c r="N229" s="1"/>
  <c r="I32" i="24"/>
  <c r="U407" i="13" l="1"/>
  <c r="U55" i="67"/>
  <c r="U53" s="1"/>
  <c r="G62" i="30"/>
  <c r="Y25" i="29"/>
  <c r="Y20" s="1"/>
  <c r="Y18" s="1"/>
  <c r="U20"/>
  <c r="U18" s="1"/>
  <c r="U236" i="13"/>
  <c r="L25" i="29"/>
  <c r="S231" i="13"/>
  <c r="S229" s="1"/>
  <c r="I15" i="24"/>
  <c r="K62" i="30" l="1"/>
  <c r="K57" s="1"/>
  <c r="K55" s="1"/>
  <c r="G57"/>
  <c r="I24" i="24"/>
  <c r="I30" s="1"/>
  <c r="I36" s="1"/>
  <c r="I38" s="1"/>
  <c r="U231" i="13"/>
  <c r="U229" s="1"/>
  <c r="N25" i="29"/>
  <c r="L20"/>
  <c r="L18" s="1"/>
  <c r="G55" i="30" l="1"/>
  <c r="R25" i="29"/>
  <c r="R20" s="1"/>
  <c r="N20"/>
  <c r="N18" s="1"/>
  <c r="R18" s="1"/>
  <c r="Q183" i="39" l="1"/>
  <c r="K181"/>
  <c r="K160" l="1"/>
  <c r="Q160" s="1"/>
  <c r="F12" i="66" s="1"/>
  <c r="Q181" i="39"/>
  <c r="N290" i="13"/>
  <c r="H288"/>
  <c r="H261" s="1"/>
  <c r="F9" i="6" l="1"/>
  <c r="I13" i="24"/>
  <c r="S290" i="13"/>
  <c r="N288"/>
  <c r="N261" s="1"/>
  <c r="I9" i="24" l="1"/>
  <c r="L69" i="29"/>
  <c r="U290" i="13"/>
  <c r="S288"/>
  <c r="S261" s="1"/>
  <c r="I55" i="24"/>
  <c r="U288" i="13" l="1"/>
  <c r="U261" s="1"/>
  <c r="I53" i="24"/>
  <c r="I17"/>
  <c r="I19" s="1"/>
  <c r="N69" i="29"/>
  <c r="L67"/>
  <c r="L44" s="1"/>
  <c r="I59" i="24" l="1"/>
  <c r="F13" i="6" s="1"/>
  <c r="F19" s="1"/>
  <c r="R69" i="29"/>
  <c r="R67" s="1"/>
  <c r="R44" s="1"/>
  <c r="N67"/>
  <c r="N44" s="1"/>
  <c r="I62" i="24" l="1"/>
  <c r="F18" i="6" s="1"/>
  <c r="Q196" i="39" l="1"/>
  <c r="J309"/>
  <c r="Q195"/>
  <c r="Q197"/>
  <c r="G309"/>
  <c r="N305" i="13"/>
  <c r="S305" s="1"/>
  <c r="N306"/>
  <c r="S306" s="1"/>
  <c r="U306" l="1"/>
  <c r="N304"/>
  <c r="U305"/>
  <c r="AA305" s="1"/>
  <c r="F309" i="39"/>
  <c r="I309"/>
  <c r="H309"/>
  <c r="N309" i="13"/>
  <c r="S309" s="1"/>
  <c r="U309" s="1"/>
  <c r="AA309" s="1"/>
  <c r="N308"/>
  <c r="S308" s="1"/>
  <c r="U308" s="1"/>
  <c r="AA308" s="1"/>
  <c r="N310"/>
  <c r="S310" s="1"/>
  <c r="U310" s="1"/>
  <c r="AA310" s="1"/>
  <c r="E309" i="39" l="1"/>
  <c r="Q312"/>
  <c r="Q313"/>
  <c r="L84" i="29"/>
  <c r="N84" s="1"/>
  <c r="R84" s="1"/>
  <c r="S304" i="13"/>
  <c r="N302"/>
  <c r="Q311" i="39"/>
  <c r="L83" i="29"/>
  <c r="N83" s="1"/>
  <c r="R83" s="1"/>
  <c r="H302" i="13"/>
  <c r="L193" i="39"/>
  <c r="L184" s="1"/>
  <c r="L233" s="1"/>
  <c r="L234" s="1"/>
  <c r="N488" i="13"/>
  <c r="M193" i="39"/>
  <c r="M184" s="1"/>
  <c r="M233" s="1"/>
  <c r="M234" s="1"/>
  <c r="P193"/>
  <c r="P184" s="1"/>
  <c r="P233" s="1"/>
  <c r="P234" s="1"/>
  <c r="O193"/>
  <c r="O184" s="1"/>
  <c r="O233" s="1"/>
  <c r="O234" s="1"/>
  <c r="N482" i="13"/>
  <c r="H128" i="67" l="1"/>
  <c r="S488" i="13"/>
  <c r="U488" s="1"/>
  <c r="AA488" s="1"/>
  <c r="H134" i="67"/>
  <c r="N484" i="13"/>
  <c r="N483"/>
  <c r="L82" i="29"/>
  <c r="U304" i="13"/>
  <c r="S302"/>
  <c r="N193" i="39"/>
  <c r="N184" s="1"/>
  <c r="N233" s="1"/>
  <c r="N234" s="1"/>
  <c r="N486" i="13"/>
  <c r="N128" i="67" l="1"/>
  <c r="S128" s="1"/>
  <c r="E130" i="30" s="1"/>
  <c r="S486" i="13"/>
  <c r="U486" s="1"/>
  <c r="AA486" s="1"/>
  <c r="H132" i="67"/>
  <c r="S484" i="13"/>
  <c r="S84" i="29" s="1"/>
  <c r="U84" s="1"/>
  <c r="H130" i="67"/>
  <c r="S483" i="13"/>
  <c r="U483" s="1"/>
  <c r="AA483" s="1"/>
  <c r="H129" i="67"/>
  <c r="N134"/>
  <c r="S134" s="1"/>
  <c r="Q200" i="39"/>
  <c r="K193"/>
  <c r="Q193" s="1"/>
  <c r="N487" i="13"/>
  <c r="L81" i="29"/>
  <c r="N81" s="1"/>
  <c r="R81" s="1"/>
  <c r="N82"/>
  <c r="AA304" i="13"/>
  <c r="U302"/>
  <c r="S482"/>
  <c r="N313"/>
  <c r="U134" i="67" l="1"/>
  <c r="E136" i="30"/>
  <c r="U484" i="13"/>
  <c r="N132" i="67"/>
  <c r="S132" s="1"/>
  <c r="N130"/>
  <c r="S130" s="1"/>
  <c r="S487" i="13"/>
  <c r="U487" s="1"/>
  <c r="AA487" s="1"/>
  <c r="H133" i="67"/>
  <c r="N129"/>
  <c r="U128"/>
  <c r="G130" i="30" s="1"/>
  <c r="H301" i="13"/>
  <c r="U482"/>
  <c r="S82" i="29"/>
  <c r="H480" i="13"/>
  <c r="R82" i="29"/>
  <c r="U130" i="67" l="1"/>
  <c r="G132" i="30" s="1"/>
  <c r="K132" s="1"/>
  <c r="E132"/>
  <c r="AA134" i="67"/>
  <c r="G136" i="30"/>
  <c r="K136" s="1"/>
  <c r="K130"/>
  <c r="U132" i="67"/>
  <c r="E134" i="30"/>
  <c r="S83" i="29"/>
  <c r="U83" s="1"/>
  <c r="Y83" s="1"/>
  <c r="S480" i="13"/>
  <c r="AA128" i="67"/>
  <c r="N133"/>
  <c r="S133" s="1"/>
  <c r="S129"/>
  <c r="E131" i="30" s="1"/>
  <c r="N480" i="13"/>
  <c r="S313"/>
  <c r="N301"/>
  <c r="AA482"/>
  <c r="U480"/>
  <c r="U82" i="29"/>
  <c r="U133" i="67" l="1"/>
  <c r="E135" i="30"/>
  <c r="AA132" i="67"/>
  <c r="G134" i="30"/>
  <c r="K134" s="1"/>
  <c r="S81" i="29"/>
  <c r="U81" s="1"/>
  <c r="Y81" s="1"/>
  <c r="U129" i="67"/>
  <c r="G131" i="30" s="1"/>
  <c r="L87" i="29"/>
  <c r="U313" i="13"/>
  <c r="S301"/>
  <c r="Y82" i="29"/>
  <c r="K131" i="30" l="1"/>
  <c r="AA133" i="67"/>
  <c r="G135" i="30"/>
  <c r="K135" s="1"/>
  <c r="AA129" i="67"/>
  <c r="U301" i="13"/>
  <c r="N87" i="29"/>
  <c r="L80"/>
  <c r="R87" l="1"/>
  <c r="R80" s="1"/>
  <c r="N80"/>
  <c r="K201" i="39" l="1"/>
  <c r="Q205"/>
  <c r="N318" i="13"/>
  <c r="Q201" i="39" l="1"/>
  <c r="K184"/>
  <c r="Q184" s="1"/>
  <c r="H314" i="13"/>
  <c r="H292" s="1"/>
  <c r="S318" l="1"/>
  <c r="N314"/>
  <c r="N292" s="1"/>
  <c r="U318" l="1"/>
  <c r="L92" i="29"/>
  <c r="S314" i="13"/>
  <c r="S292" s="1"/>
  <c r="U314" l="1"/>
  <c r="U292" s="1"/>
  <c r="N92" i="29"/>
  <c r="L88"/>
  <c r="L70" s="1"/>
  <c r="R92" l="1"/>
  <c r="R88" s="1"/>
  <c r="N88"/>
  <c r="N70" s="1"/>
  <c r="R70" s="1"/>
  <c r="M327" i="39" l="1"/>
  <c r="M325" s="1"/>
  <c r="K327"/>
  <c r="P327"/>
  <c r="P325" s="1"/>
  <c r="N327"/>
  <c r="N325" s="1"/>
  <c r="L327"/>
  <c r="L325" s="1"/>
  <c r="O327"/>
  <c r="O325" s="1"/>
  <c r="Q329"/>
  <c r="N505" i="13"/>
  <c r="S505" l="1"/>
  <c r="S100" i="29" s="1"/>
  <c r="U100" s="1"/>
  <c r="Y100" s="1"/>
  <c r="H151" i="67"/>
  <c r="F327" i="39"/>
  <c r="F325" s="1"/>
  <c r="J327"/>
  <c r="J325" s="1"/>
  <c r="G327"/>
  <c r="G325" s="1"/>
  <c r="I327"/>
  <c r="I325" s="1"/>
  <c r="H327"/>
  <c r="H325" s="1"/>
  <c r="U505" i="13" l="1"/>
  <c r="N151" i="67"/>
  <c r="S151" s="1"/>
  <c r="Q328" i="39"/>
  <c r="E327"/>
  <c r="N504" i="13"/>
  <c r="U151" i="67" l="1"/>
  <c r="G153" i="30" s="1"/>
  <c r="K153" s="1"/>
  <c r="E153"/>
  <c r="H150" i="67"/>
  <c r="N150" s="1"/>
  <c r="H503" i="13"/>
  <c r="Q327" i="39"/>
  <c r="E325"/>
  <c r="H149" i="67" l="1"/>
  <c r="N149"/>
  <c r="S150"/>
  <c r="E152" i="30" s="1"/>
  <c r="E151" s="1"/>
  <c r="S504" i="13"/>
  <c r="N503"/>
  <c r="K211" i="39"/>
  <c r="Q212"/>
  <c r="N326" i="13"/>
  <c r="Q211" i="39" l="1"/>
  <c r="S149" i="67"/>
  <c r="U150"/>
  <c r="G152" i="30" s="1"/>
  <c r="U504" i="13"/>
  <c r="S503"/>
  <c r="S99" i="29"/>
  <c r="H325" i="13"/>
  <c r="K152" i="30" l="1"/>
  <c r="K151" s="1"/>
  <c r="G151"/>
  <c r="U149" i="67"/>
  <c r="U503" i="13"/>
  <c r="S98" i="29"/>
  <c r="U99"/>
  <c r="S326" i="13"/>
  <c r="N325"/>
  <c r="Y99" i="29" l="1"/>
  <c r="Y98" s="1"/>
  <c r="U98"/>
  <c r="U326" i="13"/>
  <c r="S325"/>
  <c r="L99" i="29"/>
  <c r="L98" l="1"/>
  <c r="N99"/>
  <c r="U325" i="13"/>
  <c r="R99" i="29" l="1"/>
  <c r="R98" s="1"/>
  <c r="N98"/>
  <c r="K347" i="39" l="1"/>
  <c r="Q349"/>
  <c r="Q232"/>
  <c r="K230"/>
  <c r="K209" s="1"/>
  <c r="N352" i="13"/>
  <c r="N530"/>
  <c r="H176" i="67" l="1"/>
  <c r="H528" i="13"/>
  <c r="H501" s="1"/>
  <c r="Q347" i="39"/>
  <c r="K325"/>
  <c r="Q230"/>
  <c r="H350" i="13"/>
  <c r="H323" s="1"/>
  <c r="H353" s="1"/>
  <c r="H354" s="1"/>
  <c r="N176" i="67" l="1"/>
  <c r="S176" s="1"/>
  <c r="E178" i="30" s="1"/>
  <c r="E176" s="1"/>
  <c r="E149" s="1"/>
  <c r="Z192" i="13"/>
  <c r="AA192" s="1"/>
  <c r="Z204"/>
  <c r="AA204" s="1"/>
  <c r="Z190"/>
  <c r="Z186"/>
  <c r="Z191"/>
  <c r="Z187"/>
  <c r="Z188"/>
  <c r="Z189"/>
  <c r="Z201"/>
  <c r="AA201" s="1"/>
  <c r="Z203"/>
  <c r="AA203" s="1"/>
  <c r="Z197"/>
  <c r="AA197" s="1"/>
  <c r="Z200"/>
  <c r="AA200" s="1"/>
  <c r="Z195"/>
  <c r="Z202"/>
  <c r="AA202" s="1"/>
  <c r="Z196"/>
  <c r="AA196" s="1"/>
  <c r="Z198"/>
  <c r="AA198" s="1"/>
  <c r="Z199"/>
  <c r="AA199" s="1"/>
  <c r="Z208"/>
  <c r="AA208" s="1"/>
  <c r="Z206"/>
  <c r="Z207"/>
  <c r="AA207" s="1"/>
  <c r="Z210"/>
  <c r="AA210" s="1"/>
  <c r="Z211"/>
  <c r="AA211" s="1"/>
  <c r="Z214"/>
  <c r="AA214" s="1"/>
  <c r="Z213"/>
  <c r="Z217"/>
  <c r="Z219"/>
  <c r="AA219" s="1"/>
  <c r="Z222"/>
  <c r="AA222" s="1"/>
  <c r="Z225"/>
  <c r="AA225" s="1"/>
  <c r="Z224"/>
  <c r="Z230"/>
  <c r="Z234"/>
  <c r="AA234" s="1"/>
  <c r="Z233"/>
  <c r="AA233" s="1"/>
  <c r="Z235"/>
  <c r="AA235" s="1"/>
  <c r="Z232"/>
  <c r="Z237"/>
  <c r="AA237" s="1"/>
  <c r="Z250"/>
  <c r="Z249"/>
  <c r="AA249" s="1"/>
  <c r="Z243"/>
  <c r="Z255"/>
  <c r="AA255" s="1"/>
  <c r="Z252"/>
  <c r="Z253"/>
  <c r="AA253" s="1"/>
  <c r="Z254"/>
  <c r="AA254" s="1"/>
  <c r="Z258"/>
  <c r="AA258" s="1"/>
  <c r="Z257"/>
  <c r="Z262"/>
  <c r="Z264"/>
  <c r="Z269"/>
  <c r="AA269" s="1"/>
  <c r="Z266"/>
  <c r="AA266" s="1"/>
  <c r="Z267"/>
  <c r="AA267" s="1"/>
  <c r="Z268"/>
  <c r="AA268" s="1"/>
  <c r="Z265"/>
  <c r="AA265" s="1"/>
  <c r="Z281"/>
  <c r="AA281" s="1"/>
  <c r="Z282"/>
  <c r="AA282" s="1"/>
  <c r="Z275"/>
  <c r="Z287"/>
  <c r="AA287" s="1"/>
  <c r="Z286"/>
  <c r="AA286" s="1"/>
  <c r="Z284"/>
  <c r="Z285"/>
  <c r="AA285" s="1"/>
  <c r="Z289"/>
  <c r="Z293"/>
  <c r="Z300"/>
  <c r="AA300" s="1"/>
  <c r="Z296"/>
  <c r="AA296" s="1"/>
  <c r="Z295"/>
  <c r="Z299"/>
  <c r="AA299" s="1"/>
  <c r="Z298"/>
  <c r="AA298" s="1"/>
  <c r="Z297"/>
  <c r="AA297" s="1"/>
  <c r="Z312"/>
  <c r="AA312" s="1"/>
  <c r="Z317"/>
  <c r="AA317" s="1"/>
  <c r="Z316"/>
  <c r="AA316" s="1"/>
  <c r="Z315"/>
  <c r="Z320"/>
  <c r="Z321"/>
  <c r="AA321" s="1"/>
  <c r="Z324"/>
  <c r="Z328"/>
  <c r="AA328" s="1"/>
  <c r="Z327"/>
  <c r="AA327" s="1"/>
  <c r="Z331"/>
  <c r="AA331" s="1"/>
  <c r="Z330"/>
  <c r="AA330" s="1"/>
  <c r="Z329"/>
  <c r="AA329" s="1"/>
  <c r="Z343"/>
  <c r="AA343" s="1"/>
  <c r="Z344"/>
  <c r="AA344" s="1"/>
  <c r="Z337"/>
  <c r="Z348"/>
  <c r="AA348" s="1"/>
  <c r="Z346"/>
  <c r="Z349"/>
  <c r="AA349" s="1"/>
  <c r="Z347"/>
  <c r="AA347" s="1"/>
  <c r="Z351"/>
  <c r="Z236"/>
  <c r="AA236" s="1"/>
  <c r="Z290"/>
  <c r="AA290" s="1"/>
  <c r="Z306"/>
  <c r="Z313"/>
  <c r="AA313" s="1"/>
  <c r="Z318"/>
  <c r="Z326"/>
  <c r="H174" i="67"/>
  <c r="H147" s="1"/>
  <c r="Z352" i="13"/>
  <c r="S530"/>
  <c r="N528"/>
  <c r="N501" s="1"/>
  <c r="Q325" i="39"/>
  <c r="S352" i="13"/>
  <c r="N350"/>
  <c r="N323" s="1"/>
  <c r="N353" s="1"/>
  <c r="N354" s="1"/>
  <c r="Q209" i="39"/>
  <c r="F13" i="66" s="1"/>
  <c r="F14" s="1"/>
  <c r="K233" i="39"/>
  <c r="AA250" i="13" l="1"/>
  <c r="AA318"/>
  <c r="AC234"/>
  <c r="AC230"/>
  <c r="N174" i="67"/>
  <c r="N147" s="1"/>
  <c r="Z251" i="13"/>
  <c r="AA252"/>
  <c r="AA251" s="1"/>
  <c r="Z212"/>
  <c r="Z209" s="1"/>
  <c r="AA213"/>
  <c r="AA212" s="1"/>
  <c r="AA209" s="1"/>
  <c r="Z216"/>
  <c r="AA217"/>
  <c r="AA216" s="1"/>
  <c r="Z231"/>
  <c r="AA232"/>
  <c r="AA231" s="1"/>
  <c r="AA324"/>
  <c r="Z345"/>
  <c r="AA346"/>
  <c r="AA345" s="1"/>
  <c r="Z288"/>
  <c r="AA289"/>
  <c r="AA288" s="1"/>
  <c r="Z205"/>
  <c r="AA206"/>
  <c r="AA205" s="1"/>
  <c r="Z319"/>
  <c r="AA320"/>
  <c r="AA319" s="1"/>
  <c r="Z333"/>
  <c r="Z332" s="1"/>
  <c r="AA337"/>
  <c r="AA333" s="1"/>
  <c r="AA332" s="1"/>
  <c r="AA293"/>
  <c r="Z256"/>
  <c r="AA257"/>
  <c r="AA256" s="1"/>
  <c r="Z185"/>
  <c r="Z294"/>
  <c r="AA295"/>
  <c r="AA294" s="1"/>
  <c r="AA262"/>
  <c r="Z223"/>
  <c r="AA224"/>
  <c r="AA223" s="1"/>
  <c r="Z194"/>
  <c r="Z193" s="1"/>
  <c r="AA195"/>
  <c r="AA194" s="1"/>
  <c r="AA193" s="1"/>
  <c r="Z302"/>
  <c r="Z301" s="1"/>
  <c r="AA306"/>
  <c r="AA302" s="1"/>
  <c r="AA301" s="1"/>
  <c r="Z283"/>
  <c r="AA284"/>
  <c r="AA283" s="1"/>
  <c r="Z325"/>
  <c r="AA326"/>
  <c r="AA325" s="1"/>
  <c r="Z350"/>
  <c r="AA351"/>
  <c r="Z314"/>
  <c r="AA315"/>
  <c r="Z271"/>
  <c r="Z270" s="1"/>
  <c r="AA275"/>
  <c r="AA271" s="1"/>
  <c r="AA270" s="1"/>
  <c r="Z263"/>
  <c r="AA264"/>
  <c r="AA263" s="1"/>
  <c r="Z239"/>
  <c r="Z238" s="1"/>
  <c r="AA243"/>
  <c r="AA239" s="1"/>
  <c r="AA230"/>
  <c r="U176" i="67"/>
  <c r="G178" i="30" s="1"/>
  <c r="S174" i="67"/>
  <c r="S147" s="1"/>
  <c r="U530" i="13"/>
  <c r="S121" i="29"/>
  <c r="S528" i="13"/>
  <c r="S501" s="1"/>
  <c r="U352"/>
  <c r="L121" i="29"/>
  <c r="S350" i="13"/>
  <c r="S323" s="1"/>
  <c r="S353" s="1"/>
  <c r="I57" i="24"/>
  <c r="F10" i="6"/>
  <c r="Q233" i="39"/>
  <c r="K234"/>
  <c r="Q234" s="1"/>
  <c r="AA238" i="13" l="1"/>
  <c r="AA229" s="1"/>
  <c r="F10" i="31" s="1"/>
  <c r="AA314" i="13"/>
  <c r="AA292" s="1"/>
  <c r="Z184"/>
  <c r="AC231"/>
  <c r="AC233"/>
  <c r="Z229"/>
  <c r="AC232"/>
  <c r="K178" i="30"/>
  <c r="K176" s="1"/>
  <c r="K149" s="1"/>
  <c r="G176"/>
  <c r="Z261" i="13"/>
  <c r="Z323"/>
  <c r="Z292"/>
  <c r="AA261"/>
  <c r="F11" i="31" s="1"/>
  <c r="Z215" i="13"/>
  <c r="AA215"/>
  <c r="I66" i="24"/>
  <c r="I67"/>
  <c r="U174" i="67"/>
  <c r="U147" s="1"/>
  <c r="U528" i="13"/>
  <c r="U121" i="29"/>
  <c r="S119"/>
  <c r="S96" s="1"/>
  <c r="F14" i="6"/>
  <c r="F12" s="1"/>
  <c r="F8"/>
  <c r="F21"/>
  <c r="AA352" i="13"/>
  <c r="AA350" s="1"/>
  <c r="U350"/>
  <c r="U323" s="1"/>
  <c r="U353" s="1"/>
  <c r="N121" i="29"/>
  <c r="L119"/>
  <c r="L96" s="1"/>
  <c r="L17" s="1"/>
  <c r="I64" i="24"/>
  <c r="AC186" i="13" l="1"/>
  <c r="AC187"/>
  <c r="U501"/>
  <c r="G149" i="30"/>
  <c r="Z226" i="13"/>
  <c r="AB292"/>
  <c r="Z353"/>
  <c r="I69" i="24"/>
  <c r="AA323" i="13"/>
  <c r="AA353" s="1"/>
  <c r="Y121" i="29"/>
  <c r="Y119" s="1"/>
  <c r="U119"/>
  <c r="U96" s="1"/>
  <c r="F16" i="6"/>
  <c r="F24"/>
  <c r="R121" i="29"/>
  <c r="R119" s="1"/>
  <c r="N119"/>
  <c r="N96" s="1"/>
  <c r="F12" i="31" l="1"/>
  <c r="AC353" i="13"/>
  <c r="Y96" i="29"/>
  <c r="R96"/>
  <c r="R17" s="1"/>
  <c r="N17"/>
  <c r="Q187" i="13" l="1"/>
  <c r="S187" s="1"/>
  <c r="U187" s="1"/>
  <c r="AA187" s="1"/>
  <c r="Q188"/>
  <c r="S188" s="1"/>
  <c r="U188" s="1"/>
  <c r="AA188" s="1"/>
  <c r="Q189"/>
  <c r="S189" s="1"/>
  <c r="U189" s="1"/>
  <c r="AA189" s="1"/>
  <c r="Q190"/>
  <c r="S190" s="1"/>
  <c r="U190" s="1"/>
  <c r="AA190" s="1"/>
  <c r="Q191"/>
  <c r="S191" s="1"/>
  <c r="U191" s="1"/>
  <c r="AA191" s="1"/>
  <c r="C186" l="1"/>
  <c r="Q186" l="1"/>
  <c r="C185"/>
  <c r="C184" s="1"/>
  <c r="C226" s="1"/>
  <c r="C354" s="1"/>
  <c r="Q185" l="1"/>
  <c r="Q184" s="1"/>
  <c r="Q226" s="1"/>
  <c r="Q354" s="1"/>
  <c r="S186"/>
  <c r="S185" l="1"/>
  <c r="S184" s="1"/>
  <c r="U186"/>
  <c r="U185" l="1"/>
  <c r="U184" s="1"/>
  <c r="U226" s="1"/>
  <c r="U354" s="1"/>
  <c r="AA186"/>
  <c r="AA185" s="1"/>
  <c r="AA184" s="1"/>
  <c r="L10" i="29"/>
  <c r="S226" i="13"/>
  <c r="S354" s="1"/>
  <c r="AA226" l="1"/>
  <c r="F9" i="14"/>
  <c r="F8" s="1"/>
  <c r="C10" i="67"/>
  <c r="C10" i="68"/>
  <c r="Q366" i="13"/>
  <c r="S366" s="1"/>
  <c r="U366" s="1"/>
  <c r="C12" i="67"/>
  <c r="Q12" s="1"/>
  <c r="C12" i="68"/>
  <c r="O12" s="1"/>
  <c r="Q367" i="13"/>
  <c r="S367" s="1"/>
  <c r="U367" s="1"/>
  <c r="C13" i="67"/>
  <c r="Q13" s="1"/>
  <c r="C13" i="68"/>
  <c r="O13" s="1"/>
  <c r="Q365" i="13"/>
  <c r="S365" s="1"/>
  <c r="U365" s="1"/>
  <c r="C11" i="68"/>
  <c r="O11" s="1"/>
  <c r="C11" i="67"/>
  <c r="Q11" s="1"/>
  <c r="Q369" i="13"/>
  <c r="S369" s="1"/>
  <c r="U369" s="1"/>
  <c r="C15" i="68"/>
  <c r="O15" s="1"/>
  <c r="C15" i="67"/>
  <c r="Q15" s="1"/>
  <c r="Q368" i="13"/>
  <c r="S368" s="1"/>
  <c r="U368" s="1"/>
  <c r="C14" i="67"/>
  <c r="Q14" s="1"/>
  <c r="C14" i="68"/>
  <c r="O14" s="1"/>
  <c r="C363" i="13"/>
  <c r="C362" s="1"/>
  <c r="C404" s="1"/>
  <c r="C532" s="1"/>
  <c r="Q364"/>
  <c r="N10" i="29"/>
  <c r="L9"/>
  <c r="L122" s="1"/>
  <c r="AA354" i="13" l="1"/>
  <c r="F8" i="31"/>
  <c r="F13" s="1"/>
  <c r="G8" i="15"/>
  <c r="Q14" i="68"/>
  <c r="S14" s="1"/>
  <c r="Y14" s="1"/>
  <c r="AA14"/>
  <c r="C9" i="67"/>
  <c r="C8" s="1"/>
  <c r="C50" s="1"/>
  <c r="C178" s="1"/>
  <c r="Q10"/>
  <c r="S12"/>
  <c r="AA12" i="68"/>
  <c r="Q12"/>
  <c r="S12" s="1"/>
  <c r="Y12" s="1"/>
  <c r="AA11"/>
  <c r="Q11"/>
  <c r="S11" s="1"/>
  <c r="Y11" s="1"/>
  <c r="C9"/>
  <c r="C8" s="1"/>
  <c r="C50" s="1"/>
  <c r="C210" s="1"/>
  <c r="O10"/>
  <c r="S11" i="67"/>
  <c r="AA15" i="68"/>
  <c r="Q15"/>
  <c r="S15" s="1"/>
  <c r="Y15" s="1"/>
  <c r="S13" i="67"/>
  <c r="S15"/>
  <c r="S14"/>
  <c r="AA13" i="68"/>
  <c r="Q13"/>
  <c r="S13" s="1"/>
  <c r="Y13" s="1"/>
  <c r="Q363" i="13"/>
  <c r="Q362" s="1"/>
  <c r="Q404" s="1"/>
  <c r="Q532" s="1"/>
  <c r="S364"/>
  <c r="R10" i="29"/>
  <c r="R9" s="1"/>
  <c r="N9"/>
  <c r="N122" s="1"/>
  <c r="R122" s="1"/>
  <c r="U13" i="67" l="1"/>
  <c r="E15" i="30"/>
  <c r="U14" i="67"/>
  <c r="E16" i="30"/>
  <c r="U11" i="67"/>
  <c r="E13" i="30"/>
  <c r="U12" i="67"/>
  <c r="E14" i="30"/>
  <c r="U15" i="67"/>
  <c r="E17" i="30"/>
  <c r="Q10" i="68"/>
  <c r="O9"/>
  <c r="O8" s="1"/>
  <c r="O50" s="1"/>
  <c r="O210" s="1"/>
  <c r="AA10"/>
  <c r="AA9" s="1"/>
  <c r="AA8" s="1"/>
  <c r="AA50" s="1"/>
  <c r="AA210" s="1"/>
  <c r="AB210" s="1"/>
  <c r="Q9" i="67"/>
  <c r="Q8" s="1"/>
  <c r="Q50" s="1"/>
  <c r="Q178" s="1"/>
  <c r="S10"/>
  <c r="E12" i="30" s="1"/>
  <c r="S363" i="13"/>
  <c r="S362" s="1"/>
  <c r="U364"/>
  <c r="G15" i="30" l="1"/>
  <c r="G16"/>
  <c r="K16" s="1"/>
  <c r="G17"/>
  <c r="K17" s="1"/>
  <c r="G13"/>
  <c r="K13" s="1"/>
  <c r="G14"/>
  <c r="K14" s="1"/>
  <c r="E11"/>
  <c r="E10" s="1"/>
  <c r="Q9" i="68"/>
  <c r="Q8" s="1"/>
  <c r="Q50" s="1"/>
  <c r="Q210" s="1"/>
  <c r="S10"/>
  <c r="U10" i="67"/>
  <c r="G12" i="30" s="1"/>
  <c r="K12" s="1"/>
  <c r="S9" i="67"/>
  <c r="S8" s="1"/>
  <c r="S10" i="29"/>
  <c r="U363" i="13"/>
  <c r="U362" s="1"/>
  <c r="G11" i="30" l="1"/>
  <c r="G10" s="1"/>
  <c r="K15"/>
  <c r="K11" s="1"/>
  <c r="K10" s="1"/>
  <c r="S9" i="68"/>
  <c r="S8" s="1"/>
  <c r="S50" s="1"/>
  <c r="S210" s="1"/>
  <c r="Y10"/>
  <c r="Y9" s="1"/>
  <c r="Y8" s="1"/>
  <c r="Y50" s="1"/>
  <c r="U9" i="67"/>
  <c r="U8" s="1"/>
  <c r="U10" i="29"/>
  <c r="AE50" i="68" l="1"/>
  <c r="Y210"/>
  <c r="AD53" s="1"/>
  <c r="AE53" s="1"/>
  <c r="Y10" i="29"/>
  <c r="N388" i="13" l="1"/>
  <c r="H34" i="67"/>
  <c r="H387" i="13"/>
  <c r="H404" s="1"/>
  <c r="N34" i="67" l="1"/>
  <c r="H33"/>
  <c r="H50" s="1"/>
  <c r="S388" i="13"/>
  <c r="N387"/>
  <c r="N404" s="1"/>
  <c r="S34" i="67" l="1"/>
  <c r="N33"/>
  <c r="N50" s="1"/>
  <c r="U388" i="13"/>
  <c r="U387" s="1"/>
  <c r="S387"/>
  <c r="U404" l="1"/>
  <c r="E36" i="30"/>
  <c r="E35" s="1"/>
  <c r="E52" s="1"/>
  <c r="U34" i="67"/>
  <c r="S33"/>
  <c r="S50" s="1"/>
  <c r="S13" i="29"/>
  <c r="S404" i="13"/>
  <c r="G36" i="30" l="1"/>
  <c r="U33" i="67"/>
  <c r="U50" s="1"/>
  <c r="U13" i="29"/>
  <c r="S9"/>
  <c r="K36" i="30" l="1"/>
  <c r="K35" s="1"/>
  <c r="K52" s="1"/>
  <c r="G35"/>
  <c r="Y13" i="29"/>
  <c r="Y9" s="1"/>
  <c r="U9"/>
  <c r="G52" i="30" l="1"/>
  <c r="N247" i="39"/>
  <c r="H247"/>
  <c r="J247"/>
  <c r="L247"/>
  <c r="I247"/>
  <c r="P247"/>
  <c r="M247"/>
  <c r="O247"/>
  <c r="K247" l="1"/>
  <c r="G247"/>
  <c r="F247" l="1"/>
  <c r="E247" l="1"/>
  <c r="Q247" s="1"/>
  <c r="I9" i="66" s="1"/>
  <c r="Q243" i="39"/>
  <c r="J44" i="24" l="1"/>
  <c r="G9" i="6"/>
  <c r="J55" i="24" l="1"/>
  <c r="J34"/>
  <c r="J15" l="1"/>
  <c r="J42"/>
  <c r="J48" s="1"/>
  <c r="J50" s="1"/>
  <c r="J24" l="1"/>
  <c r="J30" s="1"/>
  <c r="J36" s="1"/>
  <c r="J38" s="1"/>
  <c r="J9"/>
  <c r="J53" l="1"/>
  <c r="J17"/>
  <c r="J19" s="1"/>
  <c r="J59" l="1"/>
  <c r="G13" i="6" s="1"/>
  <c r="G19" s="1"/>
  <c r="J62" i="24" l="1"/>
  <c r="G18" i="6" s="1"/>
  <c r="L309" i="39" l="1"/>
  <c r="N309"/>
  <c r="M309"/>
  <c r="O309"/>
  <c r="P309"/>
  <c r="N491" i="13" l="1"/>
  <c r="H137" i="67"/>
  <c r="H479" i="13"/>
  <c r="N137" i="67" l="1"/>
  <c r="H125"/>
  <c r="Q316" i="39"/>
  <c r="K309"/>
  <c r="Q309" s="1"/>
  <c r="S491" i="13"/>
  <c r="N479"/>
  <c r="S137" i="67" l="1"/>
  <c r="N125"/>
  <c r="U491" i="13"/>
  <c r="U479" s="1"/>
  <c r="S87" i="29"/>
  <c r="S479" i="13"/>
  <c r="E139" i="30" l="1"/>
  <c r="E127" s="1"/>
  <c r="U137" i="67"/>
  <c r="S125"/>
  <c r="U87" i="29"/>
  <c r="S80"/>
  <c r="Y87" l="1"/>
  <c r="Y80" s="1"/>
  <c r="U80"/>
  <c r="G139" i="30"/>
  <c r="U125" i="67"/>
  <c r="K139" i="30" l="1"/>
  <c r="K127" s="1"/>
  <c r="G127"/>
  <c r="M317" i="39" l="1"/>
  <c r="M300" s="1"/>
  <c r="M350" s="1"/>
  <c r="M351" s="1"/>
  <c r="P317"/>
  <c r="P300" s="1"/>
  <c r="P350" s="1"/>
  <c r="P351" s="1"/>
  <c r="O317"/>
  <c r="O300" s="1"/>
  <c r="O350" s="1"/>
  <c r="O351" s="1"/>
  <c r="L317"/>
  <c r="L300" s="1"/>
  <c r="L350" s="1"/>
  <c r="L351" s="1"/>
  <c r="K317"/>
  <c r="K300" s="1"/>
  <c r="K350" s="1"/>
  <c r="K351" s="1"/>
  <c r="N317"/>
  <c r="N300" s="1"/>
  <c r="N350" s="1"/>
  <c r="N351" s="1"/>
  <c r="G317"/>
  <c r="G300" s="1"/>
  <c r="G350" s="1"/>
  <c r="G351" s="1"/>
  <c r="H317" l="1"/>
  <c r="H300" s="1"/>
  <c r="H350" s="1"/>
  <c r="H351" s="1"/>
  <c r="F317"/>
  <c r="F300" s="1"/>
  <c r="F350" s="1"/>
  <c r="F351" s="1"/>
  <c r="I317"/>
  <c r="I300" s="1"/>
  <c r="I350" s="1"/>
  <c r="I351" s="1"/>
  <c r="J317"/>
  <c r="J300" s="1"/>
  <c r="J350" s="1"/>
  <c r="J351" s="1"/>
  <c r="N496" i="13" l="1"/>
  <c r="H142" i="67"/>
  <c r="H492" i="13"/>
  <c r="H470" s="1"/>
  <c r="E317" i="39"/>
  <c r="S496" i="13" l="1"/>
  <c r="N492"/>
  <c r="N470" s="1"/>
  <c r="N531" s="1"/>
  <c r="N532" s="1"/>
  <c r="H138" i="67"/>
  <c r="H116" s="1"/>
  <c r="H177" s="1"/>
  <c r="H178" s="1"/>
  <c r="N142"/>
  <c r="H531" i="13"/>
  <c r="H532" s="1"/>
  <c r="Q317" i="39"/>
  <c r="E300"/>
  <c r="Z369" i="13" l="1"/>
  <c r="Z380"/>
  <c r="Z389"/>
  <c r="Z413"/>
  <c r="Z431"/>
  <c r="Z443"/>
  <c r="Z464"/>
  <c r="Z477"/>
  <c r="Z499"/>
  <c r="Z522"/>
  <c r="Z397"/>
  <c r="Z367"/>
  <c r="Z463"/>
  <c r="Z498"/>
  <c r="Z365"/>
  <c r="Z373"/>
  <c r="Z384"/>
  <c r="Z412"/>
  <c r="Z433"/>
  <c r="Z442"/>
  <c r="Z465"/>
  <c r="Z474"/>
  <c r="Z493"/>
  <c r="Z521"/>
  <c r="Z400"/>
  <c r="Z395"/>
  <c r="Z484"/>
  <c r="Z430"/>
  <c r="Z366"/>
  <c r="Z378"/>
  <c r="Z386"/>
  <c r="Z408"/>
  <c r="Z421"/>
  <c r="Z447"/>
  <c r="Z459"/>
  <c r="Z476"/>
  <c r="Z509"/>
  <c r="Z530"/>
  <c r="Z527"/>
  <c r="Z375"/>
  <c r="Z475"/>
  <c r="Z478"/>
  <c r="Z382"/>
  <c r="Z381"/>
  <c r="Z385"/>
  <c r="Z403"/>
  <c r="Z427"/>
  <c r="Z440"/>
  <c r="Z460"/>
  <c r="Z471"/>
  <c r="Z495"/>
  <c r="Z507"/>
  <c r="Z529"/>
  <c r="Z504"/>
  <c r="Z411"/>
  <c r="Z526"/>
  <c r="M533"/>
  <c r="Z525"/>
  <c r="Z379"/>
  <c r="Z376"/>
  <c r="Z402"/>
  <c r="Z428"/>
  <c r="Z436"/>
  <c r="Z453"/>
  <c r="Z467"/>
  <c r="Z490"/>
  <c r="Z508"/>
  <c r="Z524"/>
  <c r="Z505"/>
  <c r="Z473"/>
  <c r="Z370"/>
  <c r="Z491"/>
  <c r="Z414"/>
  <c r="Z494"/>
  <c r="Z368"/>
  <c r="Z374"/>
  <c r="Z391"/>
  <c r="Z415"/>
  <c r="Z435"/>
  <c r="Z446"/>
  <c r="Z468"/>
  <c r="Z506"/>
  <c r="Z392"/>
  <c r="Z502"/>
  <c r="Z462"/>
  <c r="Z445"/>
  <c r="Z364"/>
  <c r="Z377"/>
  <c r="Z388"/>
  <c r="Z410"/>
  <c r="Z432"/>
  <c r="Z444"/>
  <c r="Z515"/>
  <c r="Z496"/>
  <c r="U496"/>
  <c r="S92" i="29"/>
  <c r="S492" i="13"/>
  <c r="S470" s="1"/>
  <c r="S531" s="1"/>
  <c r="S532" s="1"/>
  <c r="Q300" i="39"/>
  <c r="I13" i="66" s="1"/>
  <c r="I14" s="1"/>
  <c r="E350" i="39"/>
  <c r="S142" i="67"/>
  <c r="N138"/>
  <c r="N116" s="1"/>
  <c r="N177" s="1"/>
  <c r="N178" s="1"/>
  <c r="Z34" l="1"/>
  <c r="AA388" i="13"/>
  <c r="AA468"/>
  <c r="Z114" i="67"/>
  <c r="AA414" i="13"/>
  <c r="Z60" i="67"/>
  <c r="AA467" i="13"/>
  <c r="Z113" i="67"/>
  <c r="Z466" i="13"/>
  <c r="Z106" i="67"/>
  <c r="AA460" i="13"/>
  <c r="AA475"/>
  <c r="Z121" i="67"/>
  <c r="Z67"/>
  <c r="Z417" i="13"/>
  <c r="Z416" s="1"/>
  <c r="AA421"/>
  <c r="AA400"/>
  <c r="Z46" i="67"/>
  <c r="AA384" i="13"/>
  <c r="Z30" i="67"/>
  <c r="Z383" i="13"/>
  <c r="AA499"/>
  <c r="Z145" i="67"/>
  <c r="Z15"/>
  <c r="AA369" i="13"/>
  <c r="AA410"/>
  <c r="Z56" i="67"/>
  <c r="Z409" i="13"/>
  <c r="AA506"/>
  <c r="Z152" i="67"/>
  <c r="AA494" i="13"/>
  <c r="Z140" i="67"/>
  <c r="AA490" i="13"/>
  <c r="Z136" i="67"/>
  <c r="AA525" i="13"/>
  <c r="Z171" i="67"/>
  <c r="Z117"/>
  <c r="AA471" i="13"/>
  <c r="AA478"/>
  <c r="Z124" i="67"/>
  <c r="Z93"/>
  <c r="AA447" i="13"/>
  <c r="AA395"/>
  <c r="Z41" i="67"/>
  <c r="Z394" i="13"/>
  <c r="Z58" i="67"/>
  <c r="AA412" i="13"/>
  <c r="AA522"/>
  <c r="Z168" i="67"/>
  <c r="AA380" i="13"/>
  <c r="Z26" i="67"/>
  <c r="AA432" i="13"/>
  <c r="Z78" i="67"/>
  <c r="AA392" i="13"/>
  <c r="Z38" i="67"/>
  <c r="Z14"/>
  <c r="AA368" i="13"/>
  <c r="AA508"/>
  <c r="Z154" i="67"/>
  <c r="AA379" i="13"/>
  <c r="Z25" i="67"/>
  <c r="AA495" i="13"/>
  <c r="Z141" i="67"/>
  <c r="AA382" i="13"/>
  <c r="Z28" i="67"/>
  <c r="Z105"/>
  <c r="AA459" i="13"/>
  <c r="AA484"/>
  <c r="Z130" i="67"/>
  <c r="Z480" i="13"/>
  <c r="Z479" s="1"/>
  <c r="AA433"/>
  <c r="Z79" i="67"/>
  <c r="AA397" i="13"/>
  <c r="Z43" i="67"/>
  <c r="AA389" i="13"/>
  <c r="Z35" i="67"/>
  <c r="J57" i="24"/>
  <c r="G10" i="6"/>
  <c r="AA444" i="13"/>
  <c r="Z90" i="67"/>
  <c r="AA502" i="13"/>
  <c r="Z148" i="67"/>
  <c r="AA374" i="13"/>
  <c r="Z20" i="67"/>
  <c r="AA524" i="13"/>
  <c r="Z170" i="67"/>
  <c r="Z523" i="13"/>
  <c r="Z22" i="67"/>
  <c r="AA376" i="13"/>
  <c r="AA507"/>
  <c r="Z153" i="67"/>
  <c r="AA381" i="13"/>
  <c r="Z27" i="67"/>
  <c r="AA476" i="13"/>
  <c r="Z122" i="67"/>
  <c r="AA430" i="13"/>
  <c r="Z76" i="67"/>
  <c r="Z429" i="13"/>
  <c r="AA442"/>
  <c r="Z88" i="67"/>
  <c r="Z441" i="13"/>
  <c r="Z13" i="67"/>
  <c r="AA367" i="13"/>
  <c r="AA413"/>
  <c r="Z59" i="67"/>
  <c r="E351" i="39"/>
  <c r="Q351" s="1"/>
  <c r="Q350"/>
  <c r="AA515" i="13"/>
  <c r="Z161" i="67"/>
  <c r="Z511" i="13"/>
  <c r="Z510" s="1"/>
  <c r="AA462"/>
  <c r="Z108" i="67"/>
  <c r="Z461" i="13"/>
  <c r="Z37" i="67"/>
  <c r="Z390" i="13"/>
  <c r="Z387" s="1"/>
  <c r="AA391"/>
  <c r="AA505"/>
  <c r="Z151" i="67"/>
  <c r="Z48"/>
  <c r="Z401" i="13"/>
  <c r="AA402"/>
  <c r="AA529"/>
  <c r="Z175" i="67"/>
  <c r="Z528" i="13"/>
  <c r="Z31" i="67"/>
  <c r="AA385" i="13"/>
  <c r="AA509"/>
  <c r="Z155" i="67"/>
  <c r="Z12"/>
  <c r="AA366" i="13"/>
  <c r="AA465"/>
  <c r="Z111" i="67"/>
  <c r="Z109"/>
  <c r="AA463" i="13"/>
  <c r="AA431"/>
  <c r="Z77" i="67"/>
  <c r="Z142"/>
  <c r="AA445" i="13"/>
  <c r="Z91" i="67"/>
  <c r="AA415" i="13"/>
  <c r="Z61" i="67"/>
  <c r="AA473" i="13"/>
  <c r="Z119" i="67"/>
  <c r="Z472" i="13"/>
  <c r="AA428"/>
  <c r="Z74" i="67"/>
  <c r="AA504" i="13"/>
  <c r="Z150" i="67"/>
  <c r="Z503" i="13"/>
  <c r="Z49" i="67"/>
  <c r="AA403" i="13"/>
  <c r="Z176" i="67"/>
  <c r="AA530" i="13"/>
  <c r="AA378"/>
  <c r="Z24" i="67"/>
  <c r="Z120"/>
  <c r="AA474" i="13"/>
  <c r="AA498"/>
  <c r="Z144" i="67"/>
  <c r="Z497" i="13"/>
  <c r="AA443"/>
  <c r="Z89" i="67"/>
  <c r="S138"/>
  <c r="S116" s="1"/>
  <c r="S177" s="1"/>
  <c r="S178" s="1"/>
  <c r="E144" i="30"/>
  <c r="E140" s="1"/>
  <c r="E118" s="1"/>
  <c r="E179" s="1"/>
  <c r="E180" s="1"/>
  <c r="U142" i="67"/>
  <c r="U492" i="13"/>
  <c r="AA496"/>
  <c r="Z363"/>
  <c r="Z10" i="67"/>
  <c r="AA364" i="13"/>
  <c r="AA435"/>
  <c r="Z81" i="67"/>
  <c r="Z434" i="13"/>
  <c r="AA370"/>
  <c r="Z16" i="67"/>
  <c r="AA436" i="13"/>
  <c r="Z82" i="67"/>
  <c r="AA411" i="13"/>
  <c r="Z57" i="67"/>
  <c r="AA427" i="13"/>
  <c r="Z73" i="67"/>
  <c r="AA527" i="13"/>
  <c r="Z173" i="67"/>
  <c r="AA386" i="13"/>
  <c r="Z32" i="67"/>
  <c r="Z492" i="13"/>
  <c r="AA493"/>
  <c r="Z139" i="67"/>
  <c r="Z11"/>
  <c r="AA365" i="13"/>
  <c r="AA464"/>
  <c r="Z110" i="67"/>
  <c r="U92" i="29"/>
  <c r="S88"/>
  <c r="S70" s="1"/>
  <c r="S17" s="1"/>
  <c r="S122" s="1"/>
  <c r="AA377" i="13"/>
  <c r="Z23" i="67"/>
  <c r="Z92"/>
  <c r="AA446" i="13"/>
  <c r="Z137" i="67"/>
  <c r="AA491" i="13"/>
  <c r="Z449"/>
  <c r="Z448" s="1"/>
  <c r="AA453"/>
  <c r="Z99" i="67"/>
  <c r="AA526" i="13"/>
  <c r="Z172" i="67"/>
  <c r="AA440" i="13"/>
  <c r="Z86" i="67"/>
  <c r="AA375" i="13"/>
  <c r="Z21" i="67"/>
  <c r="AC408" i="13"/>
  <c r="Z54" i="67"/>
  <c r="AA408" i="13"/>
  <c r="Z167" i="67"/>
  <c r="AA521" i="13"/>
  <c r="AA373"/>
  <c r="Z19" i="67"/>
  <c r="Z372" i="13"/>
  <c r="Z371" s="1"/>
  <c r="AA477"/>
  <c r="Z123" i="67"/>
  <c r="Z362" i="13" l="1"/>
  <c r="Z149" i="67"/>
  <c r="U470" i="13"/>
  <c r="U531" s="1"/>
  <c r="U532" s="1"/>
  <c r="G9" i="14" s="1"/>
  <c r="G8" s="1"/>
  <c r="Z407" i="13"/>
  <c r="Z501"/>
  <c r="Z439"/>
  <c r="Z470"/>
  <c r="Y92" i="29"/>
  <c r="Y88" s="1"/>
  <c r="U88"/>
  <c r="U70" s="1"/>
  <c r="AA110" i="67"/>
  <c r="AA89"/>
  <c r="AA74"/>
  <c r="AA109"/>
  <c r="AA31"/>
  <c r="AA161"/>
  <c r="Z156"/>
  <c r="AA154"/>
  <c r="AA58"/>
  <c r="AA34"/>
  <c r="AC411" i="13"/>
  <c r="AA372"/>
  <c r="AA82" i="67"/>
  <c r="Z9"/>
  <c r="Z8" s="1"/>
  <c r="AA10"/>
  <c r="AA24"/>
  <c r="AA503" i="13"/>
  <c r="AA91" i="67"/>
  <c r="AA151"/>
  <c r="AA441" i="13"/>
  <c r="AA153" i="67"/>
  <c r="AA35"/>
  <c r="AA480" i="13"/>
  <c r="AA140" i="67"/>
  <c r="AA46"/>
  <c r="AA106"/>
  <c r="AA363" i="13"/>
  <c r="AA362" s="1"/>
  <c r="AA120" i="67"/>
  <c r="AA150"/>
  <c r="AA48"/>
  <c r="Z47"/>
  <c r="AA461" i="13"/>
  <c r="AA88" i="67"/>
  <c r="Z87"/>
  <c r="AA20"/>
  <c r="J66" i="24"/>
  <c r="J67"/>
  <c r="J64"/>
  <c r="AA130" i="67"/>
  <c r="Z125"/>
  <c r="AA25"/>
  <c r="AA78"/>
  <c r="AA124"/>
  <c r="AA383" i="13"/>
  <c r="AA449"/>
  <c r="AA99" i="67"/>
  <c r="Z94"/>
  <c r="AA492" i="13"/>
  <c r="AA57" i="67"/>
  <c r="AA434" i="13"/>
  <c r="G144" i="30"/>
  <c r="U138" i="67"/>
  <c r="U116" s="1"/>
  <c r="U177" s="1"/>
  <c r="U178" s="1"/>
  <c r="AA142"/>
  <c r="AA61"/>
  <c r="AA77"/>
  <c r="AA155"/>
  <c r="AA108"/>
  <c r="Z107"/>
  <c r="AA27"/>
  <c r="AA523" i="13"/>
  <c r="G8" i="6"/>
  <c r="G21"/>
  <c r="G14"/>
  <c r="G12" s="1"/>
  <c r="AA168" i="67"/>
  <c r="AA93"/>
  <c r="AA136"/>
  <c r="AA409" i="13"/>
  <c r="AA30" i="67"/>
  <c r="Z29"/>
  <c r="AA114"/>
  <c r="AA32"/>
  <c r="AA54"/>
  <c r="AA23"/>
  <c r="AA139"/>
  <c r="Z138"/>
  <c r="Z80"/>
  <c r="AA81"/>
  <c r="AA497" i="13"/>
  <c r="AA49" i="67"/>
  <c r="AA472" i="13"/>
  <c r="AA12" i="67"/>
  <c r="AA401" i="13"/>
  <c r="AA13" i="67"/>
  <c r="Z169"/>
  <c r="AA170"/>
  <c r="AA141"/>
  <c r="AA38"/>
  <c r="AA56"/>
  <c r="Z55"/>
  <c r="AA121"/>
  <c r="AA21"/>
  <c r="AA123"/>
  <c r="AA172"/>
  <c r="AA92"/>
  <c r="AA11"/>
  <c r="AA73"/>
  <c r="Z143"/>
  <c r="AA144"/>
  <c r="Z118"/>
  <c r="AA119"/>
  <c r="AA528" i="13"/>
  <c r="Z36" i="67"/>
  <c r="Z33" s="1"/>
  <c r="AA37"/>
  <c r="AA122"/>
  <c r="AA90"/>
  <c r="AA79"/>
  <c r="AA14"/>
  <c r="AA26"/>
  <c r="AA394" i="13"/>
  <c r="AA171" i="67"/>
  <c r="AA67"/>
  <c r="Z62"/>
  <c r="AA60"/>
  <c r="AC409" i="13"/>
  <c r="Z18" i="67"/>
  <c r="Z17" s="1"/>
  <c r="AA19"/>
  <c r="AA176"/>
  <c r="AA175"/>
  <c r="Z174"/>
  <c r="AA429" i="13"/>
  <c r="AA22" i="67"/>
  <c r="AA28"/>
  <c r="AA41"/>
  <c r="Z40"/>
  <c r="Z39" s="1"/>
  <c r="AA117"/>
  <c r="AA145"/>
  <c r="AA466" i="13"/>
  <c r="AC410"/>
  <c r="AA167" i="67"/>
  <c r="AA86"/>
  <c r="AA137"/>
  <c r="AA173"/>
  <c r="AA16"/>
  <c r="AA111"/>
  <c r="AA390" i="13"/>
  <c r="AA511"/>
  <c r="AA59" i="67"/>
  <c r="AA76"/>
  <c r="Z75"/>
  <c r="AA148"/>
  <c r="AA43"/>
  <c r="AA105"/>
  <c r="AA152"/>
  <c r="AA15"/>
  <c r="AA417" i="13"/>
  <c r="AA113" i="67"/>
  <c r="Z112"/>
  <c r="Z393" i="13"/>
  <c r="H8" i="15" l="1"/>
  <c r="Z404" i="13"/>
  <c r="AA75" i="67"/>
  <c r="AA149"/>
  <c r="Z85"/>
  <c r="AA80"/>
  <c r="Z50"/>
  <c r="Z116"/>
  <c r="Z147"/>
  <c r="Z531" i="13"/>
  <c r="AA112" i="67"/>
  <c r="AA62"/>
  <c r="AA174"/>
  <c r="AA36"/>
  <c r="AA33" s="1"/>
  <c r="Z53"/>
  <c r="AA510" i="13"/>
  <c r="K144" i="30"/>
  <c r="K140" s="1"/>
  <c r="K118" s="1"/>
  <c r="K179" s="1"/>
  <c r="K180" s="1"/>
  <c r="G140"/>
  <c r="AA169" i="67"/>
  <c r="AA47"/>
  <c r="AA9"/>
  <c r="AA8" s="1"/>
  <c r="Y70" i="29"/>
  <c r="Y17" s="1"/>
  <c r="U17"/>
  <c r="U122" s="1"/>
  <c r="Y122" s="1"/>
  <c r="AA107" i="67"/>
  <c r="AA371" i="13"/>
  <c r="AA40" i="67"/>
  <c r="AA393" i="13"/>
  <c r="G24" i="6"/>
  <c r="G16"/>
  <c r="AA143" i="67"/>
  <c r="AA138"/>
  <c r="J69" i="24"/>
  <c r="AA156" i="67"/>
  <c r="AA448" i="13"/>
  <c r="AA29" i="67"/>
  <c r="AA87"/>
  <c r="AA416" i="13"/>
  <c r="AA118" i="67"/>
  <c r="AA55"/>
  <c r="AA125"/>
  <c r="AA479" i="13"/>
  <c r="AA18" i="67"/>
  <c r="AA17" s="1"/>
  <c r="AA94"/>
  <c r="AA387" i="13"/>
  <c r="G118" i="30" l="1"/>
  <c r="G179" s="1"/>
  <c r="G180" s="1"/>
  <c r="AA404" i="13"/>
  <c r="L8" i="31" s="1"/>
  <c r="AA147" i="67"/>
  <c r="Z177"/>
  <c r="Z178" s="1"/>
  <c r="AA53"/>
  <c r="AA85"/>
  <c r="AA116"/>
  <c r="AA501" i="13"/>
  <c r="AA439"/>
  <c r="L11" i="31" s="1"/>
  <c r="AA407" i="13"/>
  <c r="L10" i="31" s="1"/>
  <c r="AA470" i="13"/>
  <c r="AA39" i="67"/>
  <c r="AA50" s="1"/>
  <c r="L12" i="31" l="1"/>
  <c r="L13" s="1"/>
  <c r="AA177" i="67"/>
  <c r="AA178" s="1"/>
  <c r="AA531" i="13"/>
  <c r="AF53" i="67" l="1"/>
  <c r="AG53" s="1"/>
  <c r="AA532" i="13"/>
  <c r="AA179" i="67" l="1"/>
  <c r="T356" i="3" l="1"/>
  <c r="R356"/>
  <c r="Q356"/>
  <c r="S356"/>
  <c r="P356" l="1"/>
  <c r="V356" s="1"/>
  <c r="U356"/>
  <c r="J311"/>
  <c r="J315"/>
  <c r="J319"/>
  <c r="J354"/>
  <c r="V319" l="1"/>
  <c r="Q319"/>
  <c r="S319"/>
  <c r="U319"/>
  <c r="R319"/>
  <c r="T319"/>
  <c r="S354"/>
  <c r="T354"/>
  <c r="R354"/>
  <c r="Q354"/>
  <c r="V311"/>
  <c r="U311"/>
  <c r="R311"/>
  <c r="T311"/>
  <c r="Q311"/>
  <c r="S311"/>
  <c r="V315"/>
  <c r="R315"/>
  <c r="T315"/>
  <c r="Q315"/>
  <c r="S315"/>
  <c r="U315"/>
  <c r="J353"/>
  <c r="J318"/>
  <c r="J314"/>
  <c r="J355"/>
  <c r="J351"/>
  <c r="J316"/>
  <c r="J352"/>
  <c r="J317"/>
  <c r="J313"/>
  <c r="J312"/>
  <c r="J339"/>
  <c r="J310"/>
  <c r="J343"/>
  <c r="J335"/>
  <c r="J336"/>
  <c r="T343" l="1"/>
  <c r="R343"/>
  <c r="Q343"/>
  <c r="S343"/>
  <c r="T335"/>
  <c r="R335"/>
  <c r="Q335"/>
  <c r="S335"/>
  <c r="V312"/>
  <c r="U312"/>
  <c r="S312"/>
  <c r="R312"/>
  <c r="T312"/>
  <c r="Q312"/>
  <c r="V316"/>
  <c r="R316"/>
  <c r="T316"/>
  <c r="Q316"/>
  <c r="U316"/>
  <c r="S316"/>
  <c r="V318"/>
  <c r="S318"/>
  <c r="U318"/>
  <c r="T318"/>
  <c r="Q318"/>
  <c r="R318"/>
  <c r="T339"/>
  <c r="R339"/>
  <c r="Q339"/>
  <c r="S339"/>
  <c r="T352"/>
  <c r="R352"/>
  <c r="Q352"/>
  <c r="S352"/>
  <c r="V314"/>
  <c r="R314"/>
  <c r="S314"/>
  <c r="U314"/>
  <c r="T314"/>
  <c r="Q314"/>
  <c r="T336"/>
  <c r="R336"/>
  <c r="Q336"/>
  <c r="S336"/>
  <c r="V310"/>
  <c r="S310"/>
  <c r="Q310"/>
  <c r="R310"/>
  <c r="U310"/>
  <c r="T310"/>
  <c r="V317"/>
  <c r="S317"/>
  <c r="T317"/>
  <c r="Q317"/>
  <c r="R317"/>
  <c r="U317"/>
  <c r="T355"/>
  <c r="R355"/>
  <c r="Q355"/>
  <c r="S355"/>
  <c r="V313"/>
  <c r="U313"/>
  <c r="S313"/>
  <c r="T313"/>
  <c r="Q313"/>
  <c r="R313"/>
  <c r="T351"/>
  <c r="Q351"/>
  <c r="R351"/>
  <c r="S351"/>
  <c r="Q353"/>
  <c r="S353"/>
  <c r="T353"/>
  <c r="R353"/>
  <c r="J320"/>
  <c r="J357"/>
  <c r="V320" l="1"/>
  <c r="U320"/>
  <c r="R320"/>
  <c r="Q320"/>
  <c r="S320"/>
  <c r="T320"/>
  <c r="R357"/>
  <c r="Q357"/>
  <c r="S357"/>
  <c r="T357"/>
  <c r="J329" l="1"/>
  <c r="Q329" l="1"/>
  <c r="S329"/>
  <c r="T329"/>
  <c r="R329"/>
  <c r="J347"/>
  <c r="Q347" l="1"/>
  <c r="S347"/>
  <c r="T347"/>
  <c r="R347"/>
  <c r="J345"/>
  <c r="R345" l="1"/>
  <c r="S345"/>
  <c r="Q345"/>
  <c r="T345"/>
  <c r="J346"/>
  <c r="J338"/>
  <c r="T346" l="1"/>
  <c r="R346"/>
  <c r="Q346"/>
  <c r="S346"/>
  <c r="Q338"/>
  <c r="S338"/>
  <c r="T338"/>
  <c r="R338"/>
  <c r="J340"/>
  <c r="T340" l="1"/>
  <c r="R340"/>
  <c r="Q340"/>
  <c r="S340"/>
  <c r="L346"/>
  <c r="J341"/>
  <c r="P346" l="1"/>
  <c r="V346" s="1"/>
  <c r="U346"/>
  <c r="Q341"/>
  <c r="S341"/>
  <c r="T341"/>
  <c r="R341"/>
  <c r="L340"/>
  <c r="L355"/>
  <c r="P355" l="1"/>
  <c r="V355" s="1"/>
  <c r="U355"/>
  <c r="P340"/>
  <c r="V340" s="1"/>
  <c r="U340"/>
  <c r="L335"/>
  <c r="L336"/>
  <c r="L351"/>
  <c r="U351" s="1"/>
  <c r="L345"/>
  <c r="U345" s="1"/>
  <c r="P335" l="1"/>
  <c r="V335" s="1"/>
  <c r="U335"/>
  <c r="P336"/>
  <c r="V336" s="1"/>
  <c r="U336"/>
  <c r="L343"/>
  <c r="L354"/>
  <c r="L338"/>
  <c r="L347"/>
  <c r="P351"/>
  <c r="V351" s="1"/>
  <c r="P345"/>
  <c r="V345" s="1"/>
  <c r="L352"/>
  <c r="L353"/>
  <c r="L329"/>
  <c r="L339"/>
  <c r="P329" l="1"/>
  <c r="V329" s="1"/>
  <c r="U329"/>
  <c r="P343"/>
  <c r="V343" s="1"/>
  <c r="U343"/>
  <c r="P339"/>
  <c r="V339" s="1"/>
  <c r="U339"/>
  <c r="P354"/>
  <c r="V354" s="1"/>
  <c r="U354"/>
  <c r="P352"/>
  <c r="V352" s="1"/>
  <c r="U352"/>
  <c r="P338"/>
  <c r="V338" s="1"/>
  <c r="U338"/>
  <c r="P353"/>
  <c r="V353" s="1"/>
  <c r="U353"/>
  <c r="P347"/>
  <c r="V347" s="1"/>
  <c r="U347"/>
  <c r="P357"/>
  <c r="V357" s="1"/>
  <c r="L357"/>
  <c r="U357" s="1"/>
  <c r="J323" l="1"/>
  <c r="R323" l="1"/>
  <c r="T323"/>
  <c r="Q323"/>
  <c r="J334"/>
  <c r="Q334" l="1"/>
  <c r="S334"/>
  <c r="T334"/>
  <c r="R334"/>
  <c r="J333"/>
  <c r="Q333" l="1"/>
  <c r="S333"/>
  <c r="T333"/>
  <c r="R333"/>
  <c r="L341"/>
  <c r="J349"/>
  <c r="P341" l="1"/>
  <c r="V341" s="1"/>
  <c r="U341"/>
  <c r="T349"/>
  <c r="R349"/>
  <c r="Q349"/>
  <c r="S349"/>
  <c r="L323"/>
  <c r="U323" s="1"/>
  <c r="J304"/>
  <c r="S304" l="1"/>
  <c r="R304"/>
  <c r="T304"/>
  <c r="Q304"/>
  <c r="N323"/>
  <c r="L334"/>
  <c r="J337"/>
  <c r="P323" l="1"/>
  <c r="V323" s="1"/>
  <c r="S323"/>
  <c r="P334"/>
  <c r="V334" s="1"/>
  <c r="U334"/>
  <c r="Q337"/>
  <c r="S337"/>
  <c r="T337"/>
  <c r="R337"/>
  <c r="L333"/>
  <c r="J342"/>
  <c r="P333" l="1"/>
  <c r="V333" s="1"/>
  <c r="U333"/>
  <c r="Q342"/>
  <c r="S342"/>
  <c r="T342"/>
  <c r="R342"/>
  <c r="L349"/>
  <c r="J330"/>
  <c r="Q330" l="1"/>
  <c r="S330"/>
  <c r="T330"/>
  <c r="R330"/>
  <c r="P349"/>
  <c r="V349" s="1"/>
  <c r="U349"/>
  <c r="L337"/>
  <c r="L304"/>
  <c r="J326"/>
  <c r="P304" l="1"/>
  <c r="V304" s="1"/>
  <c r="U304"/>
  <c r="Q326"/>
  <c r="T326"/>
  <c r="R326"/>
  <c r="S326"/>
  <c r="P337"/>
  <c r="V337" s="1"/>
  <c r="U337"/>
  <c r="J332"/>
  <c r="T332" l="1"/>
  <c r="R332"/>
  <c r="Q332"/>
  <c r="S332"/>
  <c r="L342"/>
  <c r="J303"/>
  <c r="P342" l="1"/>
  <c r="V342" s="1"/>
  <c r="U342"/>
  <c r="T303"/>
  <c r="S303"/>
  <c r="R303"/>
  <c r="Q303"/>
  <c r="L330"/>
  <c r="J322"/>
  <c r="Q322" l="1"/>
  <c r="R322"/>
  <c r="T322"/>
  <c r="P330"/>
  <c r="V330" s="1"/>
  <c r="U330"/>
  <c r="L326"/>
  <c r="U326" s="1"/>
  <c r="J308"/>
  <c r="S308" l="1"/>
  <c r="R308"/>
  <c r="T308"/>
  <c r="Q308"/>
  <c r="L332"/>
  <c r="P326"/>
  <c r="V326" s="1"/>
  <c r="J302"/>
  <c r="P332" l="1"/>
  <c r="V332" s="1"/>
  <c r="U332"/>
  <c r="R302"/>
  <c r="T302"/>
  <c r="S302"/>
  <c r="Q302"/>
  <c r="L303"/>
  <c r="J328"/>
  <c r="P303" l="1"/>
  <c r="V303" s="1"/>
  <c r="U303"/>
  <c r="T328"/>
  <c r="R328"/>
  <c r="Q328"/>
  <c r="S328"/>
  <c r="L322"/>
  <c r="U322" s="1"/>
  <c r="J327"/>
  <c r="T327" l="1"/>
  <c r="R327"/>
  <c r="Q327"/>
  <c r="S327"/>
  <c r="N322"/>
  <c r="L308"/>
  <c r="J305"/>
  <c r="P322" l="1"/>
  <c r="V322" s="1"/>
  <c r="S322"/>
  <c r="P308"/>
  <c r="V308" s="1"/>
  <c r="U308"/>
  <c r="R305"/>
  <c r="T305"/>
  <c r="S305"/>
  <c r="Q305"/>
  <c r="L302"/>
  <c r="U302" s="1"/>
  <c r="J306"/>
  <c r="T306" l="1"/>
  <c r="S306"/>
  <c r="R306"/>
  <c r="Q306"/>
  <c r="L328"/>
  <c r="P302"/>
  <c r="J307"/>
  <c r="T307" l="1"/>
  <c r="S307"/>
  <c r="R307"/>
  <c r="Q307"/>
  <c r="J309"/>
  <c r="J321" s="1"/>
  <c r="P328"/>
  <c r="V328" s="1"/>
  <c r="U328"/>
  <c r="L327"/>
  <c r="U327" s="1"/>
  <c r="V302"/>
  <c r="R309" l="1"/>
  <c r="T309"/>
  <c r="S309"/>
  <c r="Q309"/>
  <c r="T321"/>
  <c r="S321"/>
  <c r="R321"/>
  <c r="Q321"/>
  <c r="J348"/>
  <c r="P327"/>
  <c r="V327" s="1"/>
  <c r="L305"/>
  <c r="U305" s="1"/>
  <c r="J331"/>
  <c r="T331" l="1"/>
  <c r="R331"/>
  <c r="Q331"/>
  <c r="S331"/>
  <c r="Q348"/>
  <c r="S348"/>
  <c r="T348"/>
  <c r="R348"/>
  <c r="J350"/>
  <c r="P305"/>
  <c r="V305" s="1"/>
  <c r="J344"/>
  <c r="L306"/>
  <c r="L307"/>
  <c r="T344" l="1"/>
  <c r="S344"/>
  <c r="Q344"/>
  <c r="R344"/>
  <c r="P306"/>
  <c r="V306" s="1"/>
  <c r="U306"/>
  <c r="P307"/>
  <c r="V307" s="1"/>
  <c r="U307"/>
  <c r="S350"/>
  <c r="Q350"/>
  <c r="R350"/>
  <c r="T350"/>
  <c r="L309"/>
  <c r="J324"/>
  <c r="L348"/>
  <c r="U348" s="1"/>
  <c r="V324" l="1"/>
  <c r="R324"/>
  <c r="Q324"/>
  <c r="T324"/>
  <c r="P309"/>
  <c r="V309" s="1"/>
  <c r="L321"/>
  <c r="U321" s="1"/>
  <c r="U309"/>
  <c r="J325"/>
  <c r="L331"/>
  <c r="U331" s="1"/>
  <c r="P348"/>
  <c r="V348" s="1"/>
  <c r="L350"/>
  <c r="U350" s="1"/>
  <c r="L324"/>
  <c r="U324" s="1"/>
  <c r="P321" l="1"/>
  <c r="V321" s="1"/>
  <c r="Q325"/>
  <c r="T325"/>
  <c r="R325"/>
  <c r="J359"/>
  <c r="J360" s="1"/>
  <c r="L325"/>
  <c r="U325" s="1"/>
  <c r="P331"/>
  <c r="V331" s="1"/>
  <c r="L344"/>
  <c r="U344" s="1"/>
  <c r="I359"/>
  <c r="I360" s="1"/>
  <c r="P350"/>
  <c r="V350" s="1"/>
  <c r="N324"/>
  <c r="G23" i="6" l="1"/>
  <c r="R360" i="3"/>
  <c r="T360"/>
  <c r="Q360"/>
  <c r="Q359"/>
  <c r="N325"/>
  <c r="S324"/>
  <c r="P324"/>
  <c r="P325" s="1"/>
  <c r="V325" s="1"/>
  <c r="L359"/>
  <c r="P344"/>
  <c r="V344" s="1"/>
  <c r="L360" l="1"/>
  <c r="U360" s="1"/>
  <c r="N360"/>
  <c r="S360" s="1"/>
  <c r="S325"/>
  <c r="P359"/>
  <c r="P360" l="1"/>
  <c r="V360" l="1"/>
  <c r="H16" i="1"/>
  <c r="H22" l="1"/>
  <c r="H24" s="1"/>
  <c r="G7" i="14" s="1"/>
  <c r="G19" s="1"/>
  <c r="AC180" i="67" l="1"/>
  <c r="AE10" s="1"/>
  <c r="H7" i="15"/>
  <c r="H11" s="1"/>
  <c r="H22" s="1"/>
  <c r="AC10" i="67"/>
  <c r="K8" i="31" l="1"/>
  <c r="K12"/>
  <c r="M12" s="1"/>
  <c r="O12" s="1"/>
  <c r="K10"/>
  <c r="M10" s="1"/>
  <c r="O10" s="1"/>
  <c r="K11"/>
  <c r="M11" s="1"/>
  <c r="O11" s="1"/>
  <c r="M8" l="1"/>
  <c r="O8" s="1"/>
  <c r="K13"/>
  <c r="M13" s="1"/>
  <c r="O13" s="1"/>
  <c r="J11" i="66"/>
  <c r="J12"/>
  <c r="J9"/>
  <c r="H14"/>
  <c r="J14" s="1"/>
  <c r="J13"/>
  <c r="AC176" i="67" l="1"/>
  <c r="AC175"/>
  <c r="AC173"/>
  <c r="AC172"/>
  <c r="AC171"/>
  <c r="AC170"/>
  <c r="AC168"/>
  <c r="AC167"/>
  <c r="AC166"/>
  <c r="AC165"/>
  <c r="AC164"/>
  <c r="AC163"/>
  <c r="AC162"/>
  <c r="AC161"/>
  <c r="AC160"/>
  <c r="AC159"/>
  <c r="AC158"/>
  <c r="AC155"/>
  <c r="AC154"/>
  <c r="AC153"/>
  <c r="AC152"/>
  <c r="AC151"/>
  <c r="AC150"/>
  <c r="AC148"/>
  <c r="AC145"/>
  <c r="AC144"/>
  <c r="AC142"/>
  <c r="AC141"/>
  <c r="AC140"/>
  <c r="AC139"/>
  <c r="AC127"/>
  <c r="AC137"/>
  <c r="AC136"/>
  <c r="AC135"/>
  <c r="AC134"/>
  <c r="AC133"/>
  <c r="AC132"/>
  <c r="AC131"/>
  <c r="AC130"/>
  <c r="AC129"/>
  <c r="AC128"/>
  <c r="AC124"/>
  <c r="AC123"/>
  <c r="AC122"/>
  <c r="AC121"/>
  <c r="AC120"/>
  <c r="AC119"/>
  <c r="AC117"/>
  <c r="AC114"/>
  <c r="AC113"/>
  <c r="AC111"/>
  <c r="AC110"/>
  <c r="AC109"/>
  <c r="AC108"/>
  <c r="AC106"/>
  <c r="AC105"/>
  <c r="AC104"/>
  <c r="AC103"/>
  <c r="AC102"/>
  <c r="AC101"/>
  <c r="AC100"/>
  <c r="AC99"/>
  <c r="AC98"/>
  <c r="AC97"/>
  <c r="AC96"/>
  <c r="AC93"/>
  <c r="AC92"/>
  <c r="AC91"/>
  <c r="AC90"/>
  <c r="AC89"/>
  <c r="AC88"/>
  <c r="AC82"/>
  <c r="AC81"/>
  <c r="AC79"/>
  <c r="AC78"/>
  <c r="AC77"/>
  <c r="AC76"/>
  <c r="AC74"/>
  <c r="AC64"/>
  <c r="AC73"/>
  <c r="AC72"/>
  <c r="AC71"/>
  <c r="AC70"/>
  <c r="AC69"/>
  <c r="AC68"/>
  <c r="AC67"/>
  <c r="AC66"/>
  <c r="AC65"/>
  <c r="AC61"/>
  <c r="AC60"/>
  <c r="AC59"/>
  <c r="AC58"/>
  <c r="AC57"/>
  <c r="AC56"/>
  <c r="AC54"/>
  <c r="AC38"/>
  <c r="AC37"/>
  <c r="AC35"/>
  <c r="AC34"/>
  <c r="AC32"/>
  <c r="AC31"/>
  <c r="AC30"/>
  <c r="AC28"/>
  <c r="AC27"/>
  <c r="AC26"/>
  <c r="AC25"/>
  <c r="AC24"/>
  <c r="AC23"/>
  <c r="AC22"/>
  <c r="AC21"/>
  <c r="AC20"/>
  <c r="AC19"/>
  <c r="AC14"/>
  <c r="AC15"/>
  <c r="AC16"/>
  <c r="AC156" l="1"/>
  <c r="AC18"/>
  <c r="AC17" s="1"/>
  <c r="AC80"/>
  <c r="AC112"/>
  <c r="AC75"/>
  <c r="AC107"/>
  <c r="AC138"/>
  <c r="AC169"/>
  <c r="AC94"/>
  <c r="AC36"/>
  <c r="AC33" s="1"/>
  <c r="AC174"/>
  <c r="AC143"/>
  <c r="AC29"/>
  <c r="AC55"/>
  <c r="AC87"/>
  <c r="AC118"/>
  <c r="AC125"/>
  <c r="AC149"/>
  <c r="AC86"/>
  <c r="AC62"/>
  <c r="AC116" l="1"/>
  <c r="AC85"/>
  <c r="AC53"/>
  <c r="AC147"/>
  <c r="AC46"/>
  <c r="AC48"/>
  <c r="AC49"/>
  <c r="AC43"/>
  <c r="AC45"/>
  <c r="AC42"/>
  <c r="AC44"/>
  <c r="AC177" l="1"/>
  <c r="AC12"/>
  <c r="AC47"/>
  <c r="AC11" l="1"/>
  <c r="AC41" l="1"/>
  <c r="AC40" s="1"/>
  <c r="AC39" s="1"/>
  <c r="AC13" l="1"/>
  <c r="AC9" s="1"/>
  <c r="AC8" s="1"/>
  <c r="AC50" s="1"/>
  <c r="AC178" l="1"/>
  <c r="AG50"/>
  <c r="AC182" l="1"/>
  <c r="AD180"/>
  <c r="AE13"/>
  <c r="AF13" s="1"/>
  <c r="AF10" s="1"/>
  <c r="AF7" s="1"/>
  <c r="R178" i="41" l="1"/>
  <c r="R179"/>
  <c r="R180"/>
  <c r="R181"/>
  <c r="R184"/>
  <c r="R185"/>
  <c r="R187"/>
  <c r="R191"/>
  <c r="R199"/>
  <c r="R203"/>
  <c r="R209"/>
  <c r="R214"/>
  <c r="R218"/>
  <c r="R219"/>
  <c r="R222"/>
  <c r="R223"/>
  <c r="R211" l="1"/>
  <c r="R202"/>
  <c r="R201"/>
  <c r="R183"/>
  <c r="R220"/>
  <c r="R188"/>
  <c r="R195"/>
  <c r="R197"/>
  <c r="R193"/>
  <c r="R189"/>
  <c r="R210"/>
  <c r="R205"/>
  <c r="R216"/>
  <c r="R215"/>
  <c r="R212"/>
  <c r="R217"/>
  <c r="R204"/>
  <c r="R198"/>
  <c r="R194"/>
  <c r="R190"/>
  <c r="R186"/>
  <c r="R182"/>
  <c r="R207"/>
  <c r="R213"/>
  <c r="R206"/>
  <c r="R200"/>
  <c r="R196"/>
  <c r="R192"/>
  <c r="H226"/>
  <c r="G226" l="1"/>
  <c r="R177"/>
  <c r="R226" s="1"/>
  <c r="J244" i="3" l="1"/>
  <c r="T244" l="1"/>
  <c r="Q244"/>
  <c r="S244"/>
  <c r="R244"/>
  <c r="J289" l="1"/>
  <c r="S289" l="1"/>
  <c r="R289"/>
  <c r="T289"/>
  <c r="Q289"/>
  <c r="J288" l="1"/>
  <c r="L288"/>
  <c r="J287"/>
  <c r="L287"/>
  <c r="U288" l="1"/>
  <c r="P288"/>
  <c r="V288" s="1"/>
  <c r="Q287"/>
  <c r="R287"/>
  <c r="S287"/>
  <c r="T287"/>
  <c r="U287"/>
  <c r="P287"/>
  <c r="V287" s="1"/>
  <c r="L289"/>
  <c r="R288"/>
  <c r="T288"/>
  <c r="S288"/>
  <c r="Q288"/>
  <c r="J277"/>
  <c r="L273"/>
  <c r="J273"/>
  <c r="L269"/>
  <c r="J269"/>
  <c r="J270"/>
  <c r="L270"/>
  <c r="J286"/>
  <c r="L285"/>
  <c r="J285"/>
  <c r="L244"/>
  <c r="J252"/>
  <c r="L252"/>
  <c r="J253"/>
  <c r="L253"/>
  <c r="J246"/>
  <c r="L246"/>
  <c r="J250"/>
  <c r="L250"/>
  <c r="J248"/>
  <c r="L248"/>
  <c r="J245"/>
  <c r="L245"/>
  <c r="J249"/>
  <c r="L249"/>
  <c r="J247"/>
  <c r="L247"/>
  <c r="J251"/>
  <c r="L251"/>
  <c r="P248" l="1"/>
  <c r="V248" s="1"/>
  <c r="U248"/>
  <c r="T251"/>
  <c r="Q251"/>
  <c r="S251"/>
  <c r="R251"/>
  <c r="T249"/>
  <c r="Q249"/>
  <c r="S249"/>
  <c r="R249"/>
  <c r="T248"/>
  <c r="S248"/>
  <c r="Q248"/>
  <c r="R248"/>
  <c r="Q246"/>
  <c r="S246"/>
  <c r="R246"/>
  <c r="T246"/>
  <c r="Q252"/>
  <c r="R252"/>
  <c r="T252"/>
  <c r="S252"/>
  <c r="U270"/>
  <c r="P270"/>
  <c r="V270" s="1"/>
  <c r="S273"/>
  <c r="R273"/>
  <c r="T273"/>
  <c r="Q273"/>
  <c r="P252"/>
  <c r="V252" s="1"/>
  <c r="U252"/>
  <c r="P285"/>
  <c r="U285"/>
  <c r="Q286"/>
  <c r="R286"/>
  <c r="S286"/>
  <c r="T286"/>
  <c r="U269"/>
  <c r="P269"/>
  <c r="V269" s="1"/>
  <c r="L277"/>
  <c r="U289"/>
  <c r="P289"/>
  <c r="V289" s="1"/>
  <c r="U249"/>
  <c r="P249"/>
  <c r="V249" s="1"/>
  <c r="T247"/>
  <c r="Q247"/>
  <c r="S247"/>
  <c r="R247"/>
  <c r="T245"/>
  <c r="S245"/>
  <c r="R245"/>
  <c r="Q245"/>
  <c r="J254"/>
  <c r="R250"/>
  <c r="T250"/>
  <c r="S250"/>
  <c r="Q250"/>
  <c r="Q253"/>
  <c r="S253"/>
  <c r="R253"/>
  <c r="T253"/>
  <c r="J290"/>
  <c r="T285"/>
  <c r="S285"/>
  <c r="R285"/>
  <c r="Q285"/>
  <c r="L286"/>
  <c r="L290" s="1"/>
  <c r="Q269"/>
  <c r="S269"/>
  <c r="R269"/>
  <c r="T269"/>
  <c r="S277"/>
  <c r="R277"/>
  <c r="T277"/>
  <c r="Q277"/>
  <c r="U251"/>
  <c r="P251"/>
  <c r="V251" s="1"/>
  <c r="P246"/>
  <c r="V246" s="1"/>
  <c r="U246"/>
  <c r="U247"/>
  <c r="P247"/>
  <c r="V247" s="1"/>
  <c r="U245"/>
  <c r="P245"/>
  <c r="V245" s="1"/>
  <c r="P250"/>
  <c r="V250" s="1"/>
  <c r="U250"/>
  <c r="P253"/>
  <c r="V253" s="1"/>
  <c r="U253"/>
  <c r="L254"/>
  <c r="P244"/>
  <c r="U244"/>
  <c r="R270"/>
  <c r="T270"/>
  <c r="S270"/>
  <c r="Q270"/>
  <c r="P273"/>
  <c r="V273" s="1"/>
  <c r="U273"/>
  <c r="U290" l="1"/>
  <c r="P277"/>
  <c r="V277" s="1"/>
  <c r="U277"/>
  <c r="U254"/>
  <c r="Q254"/>
  <c r="R254"/>
  <c r="S254"/>
  <c r="T254"/>
  <c r="V244"/>
  <c r="P254"/>
  <c r="V254" s="1"/>
  <c r="R290"/>
  <c r="Q290"/>
  <c r="T290"/>
  <c r="S290"/>
  <c r="P286"/>
  <c r="V286" s="1"/>
  <c r="U286"/>
  <c r="V285"/>
  <c r="P290" l="1"/>
  <c r="V290" l="1"/>
  <c r="J263" l="1"/>
  <c r="L263"/>
  <c r="T263" l="1"/>
  <c r="Q263"/>
  <c r="S263"/>
  <c r="R263"/>
  <c r="U263"/>
  <c r="P263"/>
  <c r="V263" s="1"/>
  <c r="L281" l="1"/>
  <c r="J281"/>
  <c r="U281" l="1"/>
  <c r="P281"/>
  <c r="V281" s="1"/>
  <c r="S281"/>
  <c r="R281"/>
  <c r="T281"/>
  <c r="Q281"/>
  <c r="L280"/>
  <c r="J280"/>
  <c r="T280" l="1"/>
  <c r="Q280"/>
  <c r="S280"/>
  <c r="R280"/>
  <c r="U280"/>
  <c r="P280"/>
  <c r="J272"/>
  <c r="Q272" l="1"/>
  <c r="R272"/>
  <c r="T272"/>
  <c r="S272"/>
  <c r="L272"/>
  <c r="V280"/>
  <c r="J274"/>
  <c r="R274" l="1"/>
  <c r="T274"/>
  <c r="S274"/>
  <c r="Q274"/>
  <c r="U272"/>
  <c r="P272"/>
  <c r="V272" s="1"/>
  <c r="L274"/>
  <c r="L275"/>
  <c r="J275"/>
  <c r="Q275" l="1"/>
  <c r="S275"/>
  <c r="R275"/>
  <c r="T275"/>
  <c r="U275"/>
  <c r="P275"/>
  <c r="V275" s="1"/>
  <c r="U274"/>
  <c r="P274"/>
  <c r="V274" s="1"/>
  <c r="L268" l="1"/>
  <c r="J268"/>
  <c r="T268" l="1"/>
  <c r="S268"/>
  <c r="Q268"/>
  <c r="R268"/>
  <c r="U268"/>
  <c r="P268"/>
  <c r="V268" s="1"/>
  <c r="L267" l="1"/>
  <c r="J267"/>
  <c r="J257"/>
  <c r="L257"/>
  <c r="L283"/>
  <c r="J283"/>
  <c r="U257" l="1"/>
  <c r="P257"/>
  <c r="V257" s="1"/>
  <c r="T267"/>
  <c r="Q267"/>
  <c r="S267"/>
  <c r="R267"/>
  <c r="Q283"/>
  <c r="R283"/>
  <c r="T283"/>
  <c r="S283"/>
  <c r="U283"/>
  <c r="P283"/>
  <c r="V283" s="1"/>
  <c r="T257"/>
  <c r="R257"/>
  <c r="Q257"/>
  <c r="S257"/>
  <c r="U267"/>
  <c r="P267"/>
  <c r="V267" s="1"/>
  <c r="J256"/>
  <c r="J238"/>
  <c r="L237"/>
  <c r="J237"/>
  <c r="S238" l="1"/>
  <c r="Q238"/>
  <c r="T238"/>
  <c r="R238"/>
  <c r="L256"/>
  <c r="U237"/>
  <c r="P237"/>
  <c r="V237" s="1"/>
  <c r="S237"/>
  <c r="Q237"/>
  <c r="T237"/>
  <c r="R237"/>
  <c r="R256"/>
  <c r="S256"/>
  <c r="Q256"/>
  <c r="T256"/>
  <c r="L238"/>
  <c r="U256" l="1"/>
  <c r="P256"/>
  <c r="U238"/>
  <c r="P238"/>
  <c r="V238" s="1"/>
  <c r="J260"/>
  <c r="J236"/>
  <c r="J271"/>
  <c r="L271"/>
  <c r="L264"/>
  <c r="J264"/>
  <c r="T260" l="1"/>
  <c r="S260"/>
  <c r="R260"/>
  <c r="Q260"/>
  <c r="T236"/>
  <c r="S236"/>
  <c r="R236"/>
  <c r="Q236"/>
  <c r="V256"/>
  <c r="U271"/>
  <c r="P271"/>
  <c r="V271" s="1"/>
  <c r="T264"/>
  <c r="S264"/>
  <c r="Q264"/>
  <c r="R264"/>
  <c r="T271"/>
  <c r="Q271"/>
  <c r="S271"/>
  <c r="R271"/>
  <c r="U264"/>
  <c r="P264"/>
  <c r="V264" s="1"/>
  <c r="L260" l="1"/>
  <c r="L242"/>
  <c r="J242"/>
  <c r="P260" l="1"/>
  <c r="U260"/>
  <c r="R242"/>
  <c r="S242"/>
  <c r="Q242"/>
  <c r="T242"/>
  <c r="L236"/>
  <c r="P242"/>
  <c r="V242" s="1"/>
  <c r="U242"/>
  <c r="J239"/>
  <c r="L276"/>
  <c r="J276"/>
  <c r="U236" l="1"/>
  <c r="P236"/>
  <c r="V260"/>
  <c r="P276"/>
  <c r="V276" s="1"/>
  <c r="U276"/>
  <c r="T276"/>
  <c r="S276"/>
  <c r="Q276"/>
  <c r="R276"/>
  <c r="Q239"/>
  <c r="R239"/>
  <c r="T239"/>
  <c r="S239"/>
  <c r="L240"/>
  <c r="J240"/>
  <c r="S240" l="1"/>
  <c r="Q240"/>
  <c r="T240"/>
  <c r="R240"/>
  <c r="L239"/>
  <c r="V236"/>
  <c r="P240"/>
  <c r="V240" s="1"/>
  <c r="U240"/>
  <c r="L241"/>
  <c r="J262"/>
  <c r="L262"/>
  <c r="P241" l="1"/>
  <c r="U239"/>
  <c r="P239"/>
  <c r="L243"/>
  <c r="R262"/>
  <c r="T262"/>
  <c r="S262"/>
  <c r="Q262"/>
  <c r="U262"/>
  <c r="P262"/>
  <c r="V262" s="1"/>
  <c r="L255" l="1"/>
  <c r="J241"/>
  <c r="V239"/>
  <c r="P243"/>
  <c r="L261"/>
  <c r="J261"/>
  <c r="L282"/>
  <c r="J282"/>
  <c r="L266"/>
  <c r="J266"/>
  <c r="Q266" l="1"/>
  <c r="R266"/>
  <c r="T266"/>
  <c r="S266"/>
  <c r="S261"/>
  <c r="R261"/>
  <c r="T261"/>
  <c r="Q261"/>
  <c r="T241"/>
  <c r="R241"/>
  <c r="S241"/>
  <c r="Q241"/>
  <c r="J243"/>
  <c r="V243" s="1"/>
  <c r="U241"/>
  <c r="T282"/>
  <c r="R282"/>
  <c r="Q282"/>
  <c r="S282"/>
  <c r="J284"/>
  <c r="P255"/>
  <c r="V241"/>
  <c r="U266"/>
  <c r="P266"/>
  <c r="V266" s="1"/>
  <c r="U282"/>
  <c r="P282"/>
  <c r="L284"/>
  <c r="U261"/>
  <c r="P261"/>
  <c r="J265" l="1"/>
  <c r="U284"/>
  <c r="J255"/>
  <c r="Q243"/>
  <c r="S243"/>
  <c r="R243"/>
  <c r="T243"/>
  <c r="U243"/>
  <c r="V261"/>
  <c r="V255"/>
  <c r="L265"/>
  <c r="V282"/>
  <c r="P284"/>
  <c r="R284"/>
  <c r="T284"/>
  <c r="Q284"/>
  <c r="S284"/>
  <c r="L291"/>
  <c r="J291"/>
  <c r="J258"/>
  <c r="R291" l="1"/>
  <c r="S291"/>
  <c r="T291"/>
  <c r="Q291"/>
  <c r="V284"/>
  <c r="R255"/>
  <c r="Q255"/>
  <c r="S255"/>
  <c r="T255"/>
  <c r="U255"/>
  <c r="S265"/>
  <c r="R265"/>
  <c r="T265"/>
  <c r="Q265"/>
  <c r="J279"/>
  <c r="U265"/>
  <c r="P265"/>
  <c r="L279"/>
  <c r="R258"/>
  <c r="T258"/>
  <c r="Q258"/>
  <c r="S258"/>
  <c r="J259"/>
  <c r="U291"/>
  <c r="P291"/>
  <c r="V291" s="1"/>
  <c r="V265" l="1"/>
  <c r="P279"/>
  <c r="I291"/>
  <c r="I293" s="1"/>
  <c r="I295" s="1"/>
  <c r="L258"/>
  <c r="U279"/>
  <c r="S259"/>
  <c r="R259"/>
  <c r="T259"/>
  <c r="Q259"/>
  <c r="T279"/>
  <c r="Q279"/>
  <c r="S279"/>
  <c r="R279"/>
  <c r="J293"/>
  <c r="U258" l="1"/>
  <c r="P258"/>
  <c r="L259"/>
  <c r="V279"/>
  <c r="J295"/>
  <c r="Q293"/>
  <c r="R293"/>
  <c r="T293"/>
  <c r="S293"/>
  <c r="U259" l="1"/>
  <c r="L293"/>
  <c r="F23" i="6"/>
  <c r="Q295" i="3"/>
  <c r="S295"/>
  <c r="T295"/>
  <c r="U295"/>
  <c r="V258"/>
  <c r="P259"/>
  <c r="L295" l="1"/>
  <c r="R295" s="1"/>
  <c r="U293"/>
  <c r="V259"/>
  <c r="P293"/>
  <c r="P295" l="1"/>
  <c r="V293"/>
  <c r="G16" i="1" l="1"/>
  <c r="V295" i="3"/>
  <c r="G22" i="1" l="1"/>
  <c r="G24" s="1"/>
  <c r="F7" i="14" l="1"/>
  <c r="F19" s="1"/>
  <c r="G7" i="15"/>
  <c r="G11" s="1"/>
  <c r="G22" s="1"/>
  <c r="E8" i="31" l="1"/>
  <c r="G9" i="66"/>
  <c r="E14"/>
  <c r="G14" s="1"/>
  <c r="G11"/>
  <c r="E10" i="31"/>
  <c r="G10" s="1"/>
  <c r="I10" s="1"/>
  <c r="G12" i="66"/>
  <c r="E11" i="31"/>
  <c r="G11" s="1"/>
  <c r="I11" s="1"/>
  <c r="G13" i="66"/>
  <c r="E12" i="31"/>
  <c r="G12" s="1"/>
  <c r="I12" s="1"/>
  <c r="G8" l="1"/>
  <c r="I8" s="1"/>
  <c r="E13"/>
  <c r="G13" s="1"/>
  <c r="I13" s="1"/>
</calcChain>
</file>

<file path=xl/sharedStrings.xml><?xml version="1.0" encoding="utf-8"?>
<sst xmlns="http://schemas.openxmlformats.org/spreadsheetml/2006/main" count="7115" uniqueCount="1155">
  <si>
    <t>Demand charges
(Rs/HP/Yr)</t>
  </si>
  <si>
    <t>Incentives
(Rs. Crs)</t>
  </si>
  <si>
    <t>Surcharge (Rs.Crs)</t>
  </si>
  <si>
    <t>Additional Surcharge (Rs.Crs)</t>
  </si>
  <si>
    <t>Gross Tariff Revenue 
(Rs Crores)</t>
  </si>
  <si>
    <t>Others
 (Rs Crores)</t>
  </si>
  <si>
    <t>Minimum Charges
 (Rs Crores)</t>
  </si>
  <si>
    <t>Demand /Fixed  charges
(Rs Crores)</t>
  </si>
  <si>
    <t>Energy Charges 
(Rs Crores)</t>
  </si>
  <si>
    <t>Energy Sales 
(MU)</t>
  </si>
  <si>
    <t>FY2006-07</t>
  </si>
  <si>
    <t>FY2007-08</t>
  </si>
  <si>
    <t>FY2008-09</t>
  </si>
  <si>
    <t>FY2009-10</t>
  </si>
  <si>
    <t>FY2010-11</t>
  </si>
  <si>
    <t>FY2011-12</t>
  </si>
  <si>
    <t>FY2012-13</t>
  </si>
  <si>
    <t>FY2013-14</t>
  </si>
  <si>
    <t>FY2014-15</t>
  </si>
  <si>
    <t>HT-VII - Green Power</t>
  </si>
  <si>
    <t>Items of Revenue Deficit/ Surplus (Rs. Crs.)</t>
  </si>
  <si>
    <t>Items of Revenue Deficit/Surplus (Rs. Crs.)</t>
  </si>
  <si>
    <t>Energy sales 
(MVAh)</t>
  </si>
  <si>
    <t>Demand charges
(Rs/kVA/Yr)</t>
  </si>
  <si>
    <t>Energy Charges
(Rs/kWh) or (Rs.kVAh)</t>
  </si>
  <si>
    <t xml:space="preserve">Energy delivered by all other Generating Stations at 33kV </t>
  </si>
  <si>
    <t xml:space="preserve">Energy Delivered into 11 KV and LT System from 33/11 KV SSs  </t>
  </si>
  <si>
    <t>APEPDCL</t>
  </si>
  <si>
    <t xml:space="preserve">APSPDCL </t>
  </si>
  <si>
    <t>Form-5a</t>
  </si>
  <si>
    <t>Category LT-II (C) Advertising Hoardings</t>
  </si>
  <si>
    <t>Category I (A&amp;B) - Domestic</t>
  </si>
  <si>
    <t>HT- IV (C) Composite P.W.S Schemes</t>
  </si>
  <si>
    <t>Category IV (A,B &amp;C) - Cottage Industries &amp; Dhobighats</t>
  </si>
  <si>
    <t>Category V (A, B &amp; C) - Irrigation and Agriculture</t>
  </si>
  <si>
    <t>Category VI (A &amp; B) - Local Bodies, St. Lighting &amp; PWS</t>
  </si>
  <si>
    <t>Category VIII (A &amp; B) -Temporary Supply</t>
  </si>
  <si>
    <t>Category II (A,B &amp; C) - Non-domestic/Commercial</t>
  </si>
  <si>
    <t>HT-III Aviation activity at Airports</t>
  </si>
  <si>
    <t>HT-II - Others - Time-of-Day Tariff (6 PM to 10 PM)</t>
  </si>
  <si>
    <t>HT-III - Aviation Time-of-Day Tariff (6 PM to 10 PM)</t>
  </si>
  <si>
    <t>HT- VIII - RESCOs</t>
  </si>
  <si>
    <t>HT - IX -Temporary Supply</t>
  </si>
  <si>
    <t>HT-II - Others</t>
  </si>
  <si>
    <t>HT - IV (C) Composite P.W.S Schemes</t>
  </si>
  <si>
    <t>Form-7</t>
  </si>
  <si>
    <t>Data Link</t>
  </si>
  <si>
    <t>Form-12</t>
  </si>
  <si>
    <t>Form-10</t>
  </si>
  <si>
    <t>Category VII (A &amp; B) - General Purpose</t>
  </si>
  <si>
    <t xml:space="preserve">APCPDCL </t>
  </si>
  <si>
    <t xml:space="preserve">APNPDCL </t>
  </si>
  <si>
    <t>Form 1.4(v)</t>
  </si>
  <si>
    <t>Form 1.4(vi)</t>
  </si>
  <si>
    <t>NCE Generation (Year 4)</t>
  </si>
  <si>
    <t>NCE Generation (Year 5)</t>
  </si>
  <si>
    <t>Form 1</t>
  </si>
  <si>
    <t>Aggregate Revenue Requirement for Retail Supply Business</t>
  </si>
  <si>
    <t>Revenue Requirement Item (Rs. Crs.)</t>
  </si>
  <si>
    <t>Details link</t>
  </si>
  <si>
    <t>Year 1</t>
  </si>
  <si>
    <t>Year 2</t>
  </si>
  <si>
    <t>Year 3</t>
  </si>
  <si>
    <t>A</t>
  </si>
  <si>
    <t>Transmission Cost</t>
  </si>
  <si>
    <t>Form 1.1</t>
  </si>
  <si>
    <t>B</t>
  </si>
  <si>
    <t>SLDC Cost</t>
  </si>
  <si>
    <t>Form 1.2</t>
  </si>
  <si>
    <t>C</t>
  </si>
  <si>
    <t>Distribution Cost</t>
  </si>
  <si>
    <t>Form 1.3</t>
  </si>
  <si>
    <t>D</t>
  </si>
  <si>
    <t>E</t>
  </si>
  <si>
    <t>Form 1.4</t>
  </si>
  <si>
    <t>F</t>
  </si>
  <si>
    <t>Interest on Consumer Security Deposits</t>
  </si>
  <si>
    <t>Form 1.5</t>
  </si>
  <si>
    <t>G</t>
  </si>
  <si>
    <t>Supply Margin in Retail Supply Business</t>
  </si>
  <si>
    <t>Form 1.6</t>
  </si>
  <si>
    <t>H</t>
  </si>
  <si>
    <t>Other Costs, if any</t>
  </si>
  <si>
    <t>Form 1.7</t>
  </si>
  <si>
    <t>I</t>
  </si>
  <si>
    <t>J</t>
  </si>
  <si>
    <t>SLDC Charges</t>
  </si>
  <si>
    <t>Annual Fee</t>
  </si>
  <si>
    <t>Charges</t>
  </si>
  <si>
    <t>MW</t>
  </si>
  <si>
    <t>Tariff (Rs./kW/month)</t>
  </si>
  <si>
    <t>Cost (Rs. Crs.)</t>
  </si>
  <si>
    <t>Generating Station</t>
  </si>
  <si>
    <t>D Link</t>
  </si>
  <si>
    <t>Fixed</t>
  </si>
  <si>
    <t>Variable</t>
  </si>
  <si>
    <t>Incentive</t>
  </si>
  <si>
    <t>Income Tax</t>
  </si>
  <si>
    <t>Total</t>
  </si>
  <si>
    <t>APGENCO</t>
  </si>
  <si>
    <t>Thermal</t>
  </si>
  <si>
    <t>VTPS I</t>
  </si>
  <si>
    <t>VTPS II</t>
  </si>
  <si>
    <t>VTPS III</t>
  </si>
  <si>
    <t>RTPP I</t>
  </si>
  <si>
    <t>RTPP Stage-II</t>
  </si>
  <si>
    <t xml:space="preserve"> </t>
  </si>
  <si>
    <t>TOTAL THERMAL</t>
  </si>
  <si>
    <t>MACHKUND PH AP Share</t>
  </si>
  <si>
    <t>TUNGBHADRA PH AP Share</t>
  </si>
  <si>
    <t>TOTAL HYDRO</t>
  </si>
  <si>
    <t>TOTAL APGENCO</t>
  </si>
  <si>
    <t xml:space="preserve">    Total NTPC(SR)</t>
  </si>
  <si>
    <t xml:space="preserve">    NLC TS-II</t>
  </si>
  <si>
    <t xml:space="preserve">    Stage-I</t>
  </si>
  <si>
    <t xml:space="preserve">    Stage-II</t>
  </si>
  <si>
    <t xml:space="preserve">    Total NLC</t>
  </si>
  <si>
    <t xml:space="preserve">    NPC-MAPS</t>
  </si>
  <si>
    <t xml:space="preserve">     Farakka</t>
  </si>
  <si>
    <t xml:space="preserve">    Kahalgaon</t>
  </si>
  <si>
    <t xml:space="preserve">    Talcher - Stage 1</t>
  </si>
  <si>
    <t>APGPCL</t>
  </si>
  <si>
    <t>APGPCL I - Allocated capacity</t>
  </si>
  <si>
    <t>APGPCL II - Allocated capacity</t>
  </si>
  <si>
    <t>IPPS</t>
  </si>
  <si>
    <t>Spectrum</t>
  </si>
  <si>
    <t>Kondapalli (Gas)</t>
  </si>
  <si>
    <t>Vallur Thermal Power Plant</t>
  </si>
  <si>
    <t>NCE - Bagasse</t>
  </si>
  <si>
    <t>NCE - Wind Power</t>
  </si>
  <si>
    <t>Opening Balance</t>
  </si>
  <si>
    <t>Additions during the Year</t>
  </si>
  <si>
    <t>Deductions during the Year</t>
  </si>
  <si>
    <t>Closing Balance</t>
  </si>
  <si>
    <t>Average Balance ((A+D)/2)</t>
  </si>
  <si>
    <t>Interest Cost (E*F)</t>
  </si>
  <si>
    <t>Supply Margin</t>
  </si>
  <si>
    <t>Supply Margin Amount</t>
  </si>
  <si>
    <t>Form 4</t>
  </si>
  <si>
    <t>Power Purchase Requirement</t>
  </si>
  <si>
    <t>Detail Links</t>
  </si>
  <si>
    <t>Sales (MU)</t>
  </si>
  <si>
    <t>Power Purchase Requirement (MU)</t>
  </si>
  <si>
    <t xml:space="preserve">     Availability</t>
  </si>
  <si>
    <t>Energy Availability</t>
  </si>
  <si>
    <t>Variable Cost (Rs. / kWh)</t>
  </si>
  <si>
    <t>April</t>
  </si>
  <si>
    <t>May</t>
  </si>
  <si>
    <t>June</t>
  </si>
  <si>
    <t>July</t>
  </si>
  <si>
    <t>August</t>
  </si>
  <si>
    <t>September</t>
  </si>
  <si>
    <t>October</t>
  </si>
  <si>
    <t>November</t>
  </si>
  <si>
    <t>December</t>
  </si>
  <si>
    <t>January</t>
  </si>
  <si>
    <t>February</t>
  </si>
  <si>
    <t>March</t>
  </si>
  <si>
    <t>Form 2</t>
  </si>
  <si>
    <t>Cost of Service: Embedded Cost Method</t>
  </si>
  <si>
    <t>LT Category</t>
  </si>
  <si>
    <t>HT Category at 11 KV</t>
  </si>
  <si>
    <t>HT-I Industry Segregated</t>
  </si>
  <si>
    <t>Lights &amp; Fans</t>
  </si>
  <si>
    <t>Colony consumption</t>
  </si>
  <si>
    <t>Seasonal Industries</t>
  </si>
  <si>
    <t>HT-I (B) Ferro-Alloys</t>
  </si>
  <si>
    <t>HT-V Railway Traction</t>
  </si>
  <si>
    <t>RESCOs</t>
  </si>
  <si>
    <t>HT Category at 33 KV</t>
  </si>
  <si>
    <t>HT Category at 132 KV</t>
  </si>
  <si>
    <t>Form 3</t>
  </si>
  <si>
    <t>Sales Forecast</t>
  </si>
  <si>
    <t>Form 5</t>
  </si>
  <si>
    <t>Revenue from Current Tariffs</t>
  </si>
  <si>
    <t>Revenue from Current Tariffs (Rs. Crs.)</t>
  </si>
  <si>
    <t>Form 6</t>
  </si>
  <si>
    <t>Non-tariff Income at Current Charges</t>
  </si>
  <si>
    <t xml:space="preserve">Total Non tariff income </t>
  </si>
  <si>
    <t>Form 7</t>
  </si>
  <si>
    <t>Form 8</t>
  </si>
  <si>
    <t>Aggregate Revenue Requirement (Rs. Crs.)</t>
  </si>
  <si>
    <t>Non - Tariff Income (Rs. Crs.)</t>
  </si>
  <si>
    <t>Form 9</t>
  </si>
  <si>
    <t>Aggregate Revenue Requirement</t>
  </si>
  <si>
    <t>External subsidy available / contracted</t>
  </si>
  <si>
    <t>Form 10</t>
  </si>
  <si>
    <t>Revenue from Proposed Tariffs</t>
  </si>
  <si>
    <t>Form 11</t>
  </si>
  <si>
    <t>Damodaram Sanjeevaiah Thermal power plant - I</t>
  </si>
  <si>
    <t>Damodaram Sanjeevaiah Thermal power plant - II</t>
  </si>
  <si>
    <t>Non-tariff Income at Proposed Charges</t>
  </si>
  <si>
    <t>Total Revenue at Proposed Tariff and Charges</t>
  </si>
  <si>
    <t>Form 13</t>
  </si>
  <si>
    <t>Cost and Revenue</t>
  </si>
  <si>
    <t>Cost of Service</t>
  </si>
  <si>
    <t>Other Costs</t>
  </si>
  <si>
    <t>Revenue Deficit / Surplus and Proposed Adjustments</t>
  </si>
  <si>
    <t>Tariff (Rs./MW/year)</t>
  </si>
  <si>
    <t>S.No.</t>
  </si>
  <si>
    <t>Particulars</t>
  </si>
  <si>
    <t>No of consumers</t>
  </si>
  <si>
    <t xml:space="preserve">Components of tariff </t>
  </si>
  <si>
    <t>Relevant sales related data</t>
  </si>
  <si>
    <t>Full year revenue excluding external subsidy</t>
  </si>
  <si>
    <t>Consumer Categories</t>
  </si>
  <si>
    <t>Category III (A &amp; B) - Industrial</t>
  </si>
  <si>
    <t>Category V (B) - Agriculture (Tatkal)</t>
  </si>
  <si>
    <t>CoS (Rs/unit)</t>
  </si>
  <si>
    <t>Dispatch</t>
  </si>
  <si>
    <t xml:space="preserve">     Dispatch</t>
  </si>
  <si>
    <t xml:space="preserve">Central Generating Stations </t>
  </si>
  <si>
    <t>NTPC</t>
  </si>
  <si>
    <t>NTPC (SR)</t>
  </si>
  <si>
    <t>NTPC (ER)</t>
  </si>
  <si>
    <t xml:space="preserve">    Talcher Stage 2</t>
  </si>
  <si>
    <t xml:space="preserve">    Total NTPC(ER)</t>
  </si>
  <si>
    <t>Total NTPC</t>
  </si>
  <si>
    <t>NPC</t>
  </si>
  <si>
    <t>TOTAL CGS</t>
  </si>
  <si>
    <t>Total APGPCL</t>
  </si>
  <si>
    <t>TOTAL IPPS</t>
  </si>
  <si>
    <t>Plant Capacity</t>
  </si>
  <si>
    <t>(MW)</t>
  </si>
  <si>
    <t>(%)</t>
  </si>
  <si>
    <t>DISCOM's share</t>
  </si>
  <si>
    <t>Company Name</t>
  </si>
  <si>
    <t>Filing Date (dd/mm/yy)</t>
  </si>
  <si>
    <t>Multi Year Tariff Period</t>
  </si>
  <si>
    <t>Year</t>
  </si>
  <si>
    <t>Business type</t>
  </si>
  <si>
    <t>S. No.</t>
  </si>
  <si>
    <t>Title</t>
  </si>
  <si>
    <t>Form No.</t>
  </si>
  <si>
    <t xml:space="preserve">Form 1 </t>
  </si>
  <si>
    <t xml:space="preserve">Transmission Cost </t>
  </si>
  <si>
    <t xml:space="preserve">Form 1.7 </t>
  </si>
  <si>
    <t xml:space="preserve">Form 5 </t>
  </si>
  <si>
    <t>Non-tariff Income at current charges</t>
  </si>
  <si>
    <t>Total Revenue at Current tariff and Charges</t>
  </si>
  <si>
    <t>Revenue Deficit/Surplus at current tariff and charges</t>
  </si>
  <si>
    <t>Revenue Deficit/Surplus and Proposed Adjustments</t>
  </si>
  <si>
    <t xml:space="preserve">Form 9 </t>
  </si>
  <si>
    <t xml:space="preserve">Form 10 </t>
  </si>
  <si>
    <t xml:space="preserve">Form 12 </t>
  </si>
  <si>
    <t>Company</t>
  </si>
  <si>
    <t>Revenue from Tariff &amp; Charges</t>
  </si>
  <si>
    <t>Commission' s Regulations</t>
  </si>
  <si>
    <t>Surcharge</t>
  </si>
  <si>
    <t>Additional Surcharge</t>
  </si>
  <si>
    <t xml:space="preserve">Availability and Dispatch (MU) </t>
  </si>
  <si>
    <t>MARKET</t>
  </si>
  <si>
    <t>TOTAL MARKET</t>
  </si>
  <si>
    <t>NCE</t>
  </si>
  <si>
    <t>TOTAL NCE</t>
  </si>
  <si>
    <t>Base Year</t>
  </si>
  <si>
    <t>For LT Category</t>
  </si>
  <si>
    <t>For HT Category - 11kV</t>
  </si>
  <si>
    <t>Codes</t>
  </si>
  <si>
    <t>Type</t>
  </si>
  <si>
    <t>For HT Category - 33kV</t>
  </si>
  <si>
    <t>Gross Revenue</t>
  </si>
  <si>
    <t>Incentives</t>
  </si>
  <si>
    <t>Net Revenue</t>
  </si>
  <si>
    <t>Form 1.4a</t>
  </si>
  <si>
    <t>Discom Name</t>
  </si>
  <si>
    <t>Quantity (MU)</t>
  </si>
  <si>
    <t>Cost (Rs Crores)</t>
  </si>
  <si>
    <t>Rate (Rs/kWh)</t>
  </si>
  <si>
    <t>Discom-Discom Purchases</t>
  </si>
  <si>
    <t>Form 1.4b</t>
  </si>
  <si>
    <t>FY2007-09</t>
  </si>
  <si>
    <t>FY2010-14</t>
  </si>
  <si>
    <t>NCE-Others</t>
  </si>
  <si>
    <t>Revenue from Current Tariffs (Net of incentives) (Rs. Crs.)</t>
  </si>
  <si>
    <t>External Subsidy</t>
  </si>
  <si>
    <t>Cross Subsidy</t>
  </si>
  <si>
    <t>New Consumer Categories</t>
  </si>
  <si>
    <t>Form A</t>
  </si>
  <si>
    <t>Code</t>
  </si>
  <si>
    <t>D - Link</t>
  </si>
  <si>
    <t>I. Losses in 33 KV System and Connected Equipment</t>
  </si>
  <si>
    <t>(i)</t>
  </si>
  <si>
    <t>Total Energy delivered into 33 KV Distribution System from EHT SSs</t>
  </si>
  <si>
    <t>(ii)</t>
  </si>
  <si>
    <t>(iii)</t>
  </si>
  <si>
    <t>X</t>
  </si>
  <si>
    <t>(iv)</t>
  </si>
  <si>
    <t>(A + B) - (C + X)</t>
  </si>
  <si>
    <t>100 x [(A+B)-(C+X)] / (A+B)</t>
  </si>
  <si>
    <t>Energy delivered into 11 KV system from 33/11kV SSs</t>
  </si>
  <si>
    <t>Energy delivered into 11 KV Distribution System from EHT SSs</t>
  </si>
  <si>
    <t>Energy delivered at 11kV from all other Generating Stations</t>
  </si>
  <si>
    <t>Total Energy delivered into 11 KV and LT Distribution System</t>
  </si>
  <si>
    <t>C+D+E</t>
  </si>
  <si>
    <t>Y</t>
  </si>
  <si>
    <t>(C + D + E) - (Y + F)</t>
  </si>
  <si>
    <t>[(C+D+E)-(Y+F)] x 100 / (C+D+E)</t>
  </si>
  <si>
    <t>III. Losses in LT system and connected equipment</t>
  </si>
  <si>
    <t>Energy delivered to LT system from 11/400 V DTRs</t>
  </si>
  <si>
    <t>Energy sold to metered categories</t>
  </si>
  <si>
    <t>Z</t>
  </si>
  <si>
    <t>Energy sold to un-metered categories</t>
  </si>
  <si>
    <t>N</t>
  </si>
  <si>
    <t>[F-(Z+N)] x 100 / (F)</t>
  </si>
  <si>
    <t>IV. Total losses in the Distribution System</t>
  </si>
  <si>
    <t>Total Input to the distribution system</t>
  </si>
  <si>
    <t>A + B + D + E</t>
  </si>
  <si>
    <t>Total Output from the Distribution Sytem</t>
  </si>
  <si>
    <t>X + Y + Z + N</t>
  </si>
  <si>
    <t>[(A+B+D+E)-(X+Y+Z+N)] x 100 / (A+B+D+E)</t>
  </si>
  <si>
    <t>Total Output from 11kV  to LT</t>
  </si>
  <si>
    <t>(A + B + D + E)-(X + Y + Z + N)</t>
  </si>
  <si>
    <t>Losses (LT System)</t>
  </si>
  <si>
    <t>Losses (11kV System)</t>
  </si>
  <si>
    <t>% Losses (11kV System)</t>
  </si>
  <si>
    <t>Losses (33 kV System)</t>
  </si>
  <si>
    <t>% Losses (33 kV System)</t>
  </si>
  <si>
    <t>% Losses (LT System)</t>
  </si>
  <si>
    <t>Sales ( LT, 11kV, 33kV) (MU)</t>
  </si>
  <si>
    <t>Distribution System Losses (MU)</t>
  </si>
  <si>
    <t>EHT  Sales (MU)</t>
  </si>
  <si>
    <t>EHT Sales</t>
  </si>
  <si>
    <t>% Distribution System Losses ( Including EHT Sales)</t>
  </si>
  <si>
    <t>% Distribution System Losses ( Excluding EHT Sales)</t>
  </si>
  <si>
    <t>[(A+B+D+E)-(X+Y+Z+N)] x 100 / (A+B+D+E +G)</t>
  </si>
  <si>
    <t>Input to Distribution System</t>
  </si>
  <si>
    <t>Form 1.4c</t>
  </si>
  <si>
    <t>Power Purchase and Procurement Cost (For Regulated Business)</t>
  </si>
  <si>
    <t>Grid Support Charges</t>
  </si>
  <si>
    <t>Total Charges</t>
  </si>
  <si>
    <t>Surcharges (Open Access)</t>
  </si>
  <si>
    <t>Additional surcharge</t>
  </si>
  <si>
    <t>Total Revenue</t>
  </si>
  <si>
    <t>Retail Supply (Regulated Business)</t>
  </si>
  <si>
    <t>Revenue from Trading</t>
  </si>
  <si>
    <t>State Discoms</t>
  </si>
  <si>
    <t>CPDCL</t>
  </si>
  <si>
    <t>EPDCL</t>
  </si>
  <si>
    <t>NPDCL</t>
  </si>
  <si>
    <t>SPDCL</t>
  </si>
  <si>
    <t>Revenue from Trading (Rs. Crs.)</t>
  </si>
  <si>
    <t>Consumer Category</t>
  </si>
  <si>
    <t>No. of consumers</t>
  </si>
  <si>
    <t>Form 5 a</t>
  </si>
  <si>
    <t>Incentive Amount</t>
  </si>
  <si>
    <t>Energy Dispatch (MU)</t>
  </si>
  <si>
    <t>HT-IV B Agriculture</t>
  </si>
  <si>
    <t>HT-IV A Govt. Lift Irrigation Schemes</t>
  </si>
  <si>
    <t>HT-VI Townships and Residential Colonies</t>
  </si>
  <si>
    <t>Form 5b</t>
  </si>
  <si>
    <t>Form 5a</t>
  </si>
  <si>
    <t>New consumer categories</t>
  </si>
  <si>
    <t>Non-tariff Income at proposed charges</t>
  </si>
  <si>
    <t xml:space="preserve">Net Deficit / Surplus </t>
  </si>
  <si>
    <t>(v)</t>
  </si>
  <si>
    <t>F-(Z+N)</t>
  </si>
  <si>
    <t>Distribution System Losses</t>
  </si>
  <si>
    <t>(vi)</t>
  </si>
  <si>
    <t>Total Sales, MU</t>
  </si>
  <si>
    <t>Transmission System Losses (MU)</t>
  </si>
  <si>
    <t>Transmission Losses (%)</t>
  </si>
  <si>
    <t>Distribution System Losses(%)</t>
  </si>
  <si>
    <t>Total Losses, MU</t>
  </si>
  <si>
    <t>Total Losses, (%)</t>
  </si>
  <si>
    <t>Remarks</t>
  </si>
  <si>
    <t>Amount( In Rs crores)</t>
  </si>
  <si>
    <t>Amount (In Rs crores)</t>
  </si>
  <si>
    <t>Plant Type
Must Run = 1
Others = 2</t>
  </si>
  <si>
    <t xml:space="preserve">    Total NPC</t>
  </si>
  <si>
    <t>Unit Cost 
(Rs. / kWh)</t>
  </si>
  <si>
    <t xml:space="preserve">Note: </t>
  </si>
  <si>
    <t>Revenue from Proposed Tariffs (Rs. Crs.)</t>
  </si>
  <si>
    <t>Amount 
( In Rs crores)</t>
  </si>
  <si>
    <t>Average Supply Rate 
( Rs/kWh)</t>
  </si>
  <si>
    <t>Sales 
(MU)</t>
  </si>
  <si>
    <t>Items of Non - Tariff Income 
(Rs. Crs.)</t>
  </si>
  <si>
    <t>(Class Deficit) / Class Surplus
(=Revenue from Tariff &amp; Charges - CoS)</t>
  </si>
  <si>
    <t>Number of Consumers switching to competition</t>
  </si>
  <si>
    <t>Form 10 a</t>
  </si>
  <si>
    <t>Incentives at Proposed Tariffs</t>
  </si>
  <si>
    <t>Incentives at current Tariffs</t>
  </si>
  <si>
    <t>TOTAL (From All Sources)</t>
  </si>
  <si>
    <t>Cost
(Rs. Crs.)</t>
  </si>
  <si>
    <t xml:space="preserve">Revenue Deficit(-) / Surplus(+) at Current Tariff </t>
  </si>
  <si>
    <t xml:space="preserve">    Others</t>
  </si>
  <si>
    <t>Energy Dispatch</t>
  </si>
  <si>
    <t>Form 10a</t>
  </si>
  <si>
    <t>Rate at which power is sold (Rs/kWh)</t>
  </si>
  <si>
    <t>Amt received through sales 
(Rs crores)</t>
  </si>
  <si>
    <t>Connected Load 
(kW)</t>
  </si>
  <si>
    <t>Other Customer details
(Industry Type etc)</t>
  </si>
  <si>
    <t>Others</t>
  </si>
  <si>
    <t>Form 4a</t>
  </si>
  <si>
    <t>Form 4.1</t>
  </si>
  <si>
    <t>Form 4.2</t>
  </si>
  <si>
    <t>Index sheet</t>
  </si>
  <si>
    <t>Index Sheet</t>
  </si>
  <si>
    <t>VTPS IV</t>
  </si>
  <si>
    <t>RTPP Stage-III</t>
  </si>
  <si>
    <t>Nagarjunasagar Tail Pond Dam Power House</t>
  </si>
  <si>
    <t>CGS - New</t>
  </si>
  <si>
    <t>Note:</t>
  </si>
  <si>
    <t>ULDC Charges</t>
  </si>
  <si>
    <t>Open Access</t>
  </si>
  <si>
    <t xml:space="preserve"> Name of Transmission service provider</t>
  </si>
  <si>
    <t xml:space="preserve">Open Access </t>
  </si>
  <si>
    <t xml:space="preserve"> Name of Distribution service provider</t>
  </si>
  <si>
    <t>PGCIL Expenses</t>
  </si>
  <si>
    <t>Availed (within area of supply)</t>
  </si>
  <si>
    <t>Availed ( Outside Area of supply)</t>
  </si>
  <si>
    <t>Total Cost Allocation (Rs.Crs)</t>
  </si>
  <si>
    <t>Transmission Losses includes PGCIL Losses also</t>
  </si>
  <si>
    <t>(A) Long Term and Firm Contracts</t>
  </si>
  <si>
    <t>(B) Short Term and Temporary Contracts</t>
  </si>
  <si>
    <t>Total Cost 
(Rs. Crs.)</t>
  </si>
  <si>
    <t>NTPC - Simhadri</t>
  </si>
  <si>
    <t>NTPC Simhadri Stage I</t>
  </si>
  <si>
    <t>Total NTPC- Simhadri</t>
  </si>
  <si>
    <t>NTPC Simhadri Stage II</t>
  </si>
  <si>
    <t>Sales to Licensees</t>
  </si>
  <si>
    <t>Surplus /(deficit)</t>
  </si>
  <si>
    <t>YEAR 1</t>
  </si>
  <si>
    <t>Form 5c</t>
  </si>
  <si>
    <t>Area 1</t>
  </si>
  <si>
    <t>Area 2</t>
  </si>
  <si>
    <t>Area 3</t>
  </si>
  <si>
    <t>Name of Area :</t>
  </si>
  <si>
    <t>Total Revenue at Current Tariff and Charges</t>
  </si>
  <si>
    <t>Revenue Deficit / Surplus at Current Tariffs and Charges</t>
  </si>
  <si>
    <t xml:space="preserve">Consumers switching to competition </t>
  </si>
  <si>
    <t>Consumers served under Open Access as per Section 42 and Section 49 of E Act</t>
  </si>
  <si>
    <t xml:space="preserve">Number of consumers </t>
  </si>
  <si>
    <t>Notes:</t>
  </si>
  <si>
    <t>1)</t>
  </si>
  <si>
    <t>2)</t>
  </si>
  <si>
    <t>The new categories are segregated voltage-wise in Form A</t>
  </si>
  <si>
    <t>New Categories</t>
  </si>
  <si>
    <t>4)</t>
  </si>
  <si>
    <t>Modifications of Slabs/SubCategories should be done in the Form 7/ Form 12. See the notes in the corresponding Forms for detailed instructions</t>
  </si>
  <si>
    <t>The Revenue Requirement Items are cost borne for supply of power to consumers within the area of supply of the Licensees and not availing supply under Open Access.</t>
  </si>
  <si>
    <t>Modification/Replacement of existing Category</t>
  </si>
  <si>
    <t>Existing Category</t>
  </si>
  <si>
    <t>Proposed Category</t>
  </si>
  <si>
    <t>Provide the name of the proposed category in the PROPOSED CATEGORY Field</t>
  </si>
  <si>
    <t xml:space="preserve">Select the category which is being modified/replaced in the EXISTING CATEGORY Field. </t>
  </si>
  <si>
    <t>APTRANSCO</t>
  </si>
  <si>
    <t>Please enter Transmission Losses percentage e.g. 4.52 % should be entered as 4.52</t>
  </si>
  <si>
    <t xml:space="preserve">Note : </t>
  </si>
  <si>
    <t>Total Long term + Short term Contracts 
 ((A) + (B))</t>
  </si>
  <si>
    <t>Apportioned</t>
  </si>
  <si>
    <t>TOTAL OTHERS</t>
  </si>
  <si>
    <t>TYPE</t>
  </si>
  <si>
    <t>Bio-Mass</t>
  </si>
  <si>
    <t>Bagasse</t>
  </si>
  <si>
    <t>TOTAL Bio-mass</t>
  </si>
  <si>
    <t>Municipal Waste to Energy</t>
  </si>
  <si>
    <t>TOTAL Bagasse</t>
  </si>
  <si>
    <t xml:space="preserve">Industrial Waste based power project </t>
  </si>
  <si>
    <t>TOTAL Municipal Waste to Energy</t>
  </si>
  <si>
    <t>Wind Power</t>
  </si>
  <si>
    <t>TOTAL Wind Power</t>
  </si>
  <si>
    <t>Mini Hydel</t>
  </si>
  <si>
    <t>TOTAL Mini Hydel</t>
  </si>
  <si>
    <t>TOTAL NCE - Others</t>
  </si>
  <si>
    <t>Total NCE</t>
  </si>
  <si>
    <t xml:space="preserve">Name </t>
  </si>
  <si>
    <t>Location</t>
  </si>
  <si>
    <t>NCE Generation (Base Year)</t>
  </si>
  <si>
    <t>Incentive Amount
(Rs Crores)</t>
  </si>
  <si>
    <t>Incentives  Proposed</t>
  </si>
  <si>
    <t>Direct</t>
  </si>
  <si>
    <t>Form 1.4(ii)</t>
  </si>
  <si>
    <t>Form 1.4(iii)</t>
  </si>
  <si>
    <t>Form 1.4(iv)</t>
  </si>
  <si>
    <t>NCE Generation (Year 3)</t>
  </si>
  <si>
    <t>Power Purchase and Procurement Cost (For Non-regulated Business)</t>
  </si>
  <si>
    <t>NCE Generation (Year 1)</t>
  </si>
  <si>
    <t>NCE Generation (Year 2)</t>
  </si>
  <si>
    <t>Form 1.4 (i)</t>
  </si>
  <si>
    <t xml:space="preserve">TOTAL Industrial Waste </t>
  </si>
  <si>
    <t>TOTAL- NCL Energy Ltd</t>
  </si>
  <si>
    <t>NCL Energy Ltd</t>
  </si>
  <si>
    <t>Short Term</t>
  </si>
  <si>
    <t>Long Term</t>
  </si>
  <si>
    <t>Proposed</t>
  </si>
  <si>
    <t>FY</t>
  </si>
  <si>
    <t>Form 6'</t>
  </si>
  <si>
    <t>Form 1.4 b</t>
  </si>
  <si>
    <t>PLF 
(%)</t>
  </si>
  <si>
    <t>Phase</t>
  </si>
  <si>
    <t>Eligibility criteria</t>
  </si>
  <si>
    <t>Commencement date</t>
  </si>
  <si>
    <t>Consumers availing of power from NCE developers irrespective of the quantum of contracted capacity</t>
  </si>
  <si>
    <t>September, 2005</t>
  </si>
  <si>
    <t xml:space="preserve">Contracted capcity being greater than 5 MW </t>
  </si>
  <si>
    <t xml:space="preserve">Contracted  capacity being greater than 2 MW </t>
  </si>
  <si>
    <t>September, 2006</t>
  </si>
  <si>
    <t xml:space="preserve">Contracted  capacity being greater than 1 MW </t>
  </si>
  <si>
    <t>April, 2008</t>
  </si>
  <si>
    <t>Phasing of Open Access as per Regulation 2 of 2005 of APERC</t>
  </si>
  <si>
    <t>Loads Eligible for Open Access is as per Section 8.1 of  Regulation 2 of 2005 of APERC
See Notes Sheet for Phasing of Open Access in the state of Andhra Pradesh.</t>
  </si>
  <si>
    <t>Load not eligible for Open Access</t>
  </si>
  <si>
    <t>Load Eligible for Open Access</t>
  </si>
  <si>
    <t>Other State licensees/Consumers</t>
  </si>
  <si>
    <t>Eligibility Criteria for Open Access</t>
  </si>
  <si>
    <t>Energy Losses (Distribution System)</t>
  </si>
  <si>
    <t>Transmission Losses</t>
  </si>
  <si>
    <t>APTransco Losses (%)</t>
  </si>
  <si>
    <t>APTransco Losses (MU)</t>
  </si>
  <si>
    <t>Total Transmission Losses (Inclusive of  PGCIL) (%)</t>
  </si>
  <si>
    <t>Form 4b</t>
  </si>
  <si>
    <t>Modification/addition of Slabs/sub categories for LT consumers should be carried out in Form 7 for Current Tariff and Form 12 for Proposed Tariff.See notes in the relevant form for details</t>
  </si>
  <si>
    <t>Distribution</t>
  </si>
  <si>
    <t>Transmission</t>
  </si>
  <si>
    <t>PGCIL Losses (%) (For CGS)</t>
  </si>
  <si>
    <t>PGCIL Losses (MU) (For CGS)</t>
  </si>
  <si>
    <t>II. Losses in 11 KV System and Connected Equipment</t>
  </si>
  <si>
    <t>Gross Energy Availability (MU)</t>
  </si>
  <si>
    <t>Yearly Auxiliary Consumption (MU)</t>
  </si>
  <si>
    <t>Net Energy Availability 
(MU)</t>
  </si>
  <si>
    <t>Net Availability</t>
  </si>
  <si>
    <t>Net Revenue from Tariff 
(Rs. Crores)</t>
  </si>
  <si>
    <t>Surcharges
(Open Access)</t>
  </si>
  <si>
    <t>Grid Support Charges
(Rs. Crores)</t>
  </si>
  <si>
    <t>Non - tariff Income 
(Rs crores)</t>
  </si>
  <si>
    <t>Total  Revenue
( Net of incentives)</t>
  </si>
  <si>
    <t>Connected Load/ Contract Demand 
(MW)</t>
  </si>
  <si>
    <t>Connected Load/ Contract Demand 
(HP)</t>
  </si>
  <si>
    <t>Customer Charges 
(Rs crores)</t>
  </si>
  <si>
    <t>1) Loads Eligible for Open Access is as per Section 8.1 of  Regulation 2 of 2005 of APERC
See Notes Sheet for Phasing of Open Access in the state of Andhra Pradesh.
2) Provide PGCIL and ULDC charges directly in Form 1.</t>
  </si>
  <si>
    <t>This form refers to Open Access eligible consumers located in the licensee's area of supply and availing supply from other licensees.</t>
  </si>
  <si>
    <t>This form refers to income other than the income derived from tariffs and does not include cross subsidy surcharge, additional surcharge, etc.</t>
  </si>
  <si>
    <t>This form refers to the income other than the income derived from tariffs and does not include cross subsidy surcharge, additional surcharge, etc.</t>
  </si>
  <si>
    <t>Retail Supply of Electricity</t>
  </si>
  <si>
    <t>6)</t>
  </si>
  <si>
    <t>Load within the area of supply of the licensees not satisfying the eligibility criteria to avail open access as per Commission's Regulation during the time period under consideration.</t>
  </si>
  <si>
    <t>Load within the area of  supply  of the Licensee and availing power through Open Access whether from the same Licensee or any other supplier.</t>
  </si>
  <si>
    <t>Load outside the area of supply of the Licensee but availing power through Open Access from the Licensee under consideration.</t>
  </si>
  <si>
    <t>Terminology for Open Access Status</t>
  </si>
  <si>
    <t>Power Purchase / Procurement Cost</t>
  </si>
  <si>
    <t xml:space="preserve">PGCIL and ULDC Expenses to be submitted in this form. </t>
  </si>
  <si>
    <t>Transmission Cost to be segregated between Load not eligible for Open Access, Load eligible for Open Access, Load within the area of supply and availing power under Open Access as per Section 42 and 49 of E ACT.(Refer to Notes for the relevant definitions.)</t>
  </si>
  <si>
    <t>SLDC Charges to be segregated between Load not eligible for Open Access, Load eligible for Open Access, Load within the area of supply and availing power under Open Access as per Section 42 and 49 of E ACT.(Refer to Notes for the relevant definitions.)</t>
  </si>
  <si>
    <t>Distribution Cost to be segregated between Load not eligible for Open Access, Load eligible for Open Access, Load within the area of supply and availing power under Open Access as per Section 42 and 49 of E ACT.(Refer to Notes for the relevant definitions.)</t>
  </si>
  <si>
    <t>Note: 
1) Details of NCE Plant wise to be filled in Form 1.4 [i,ii,iii,iv] 
2) Hydro cost break up details to be provided based on appropriate methodology. In case it is not possible to segregate the cost
    Station wise, provide the total details in the empty rows in the APGenco Hydro stations section saying ALL APGenco Hydro (Combined)</t>
  </si>
  <si>
    <t>Input to APTransco Network (MU)</t>
  </si>
  <si>
    <t>Input to PGCIL  (For CGS) (MU)</t>
  </si>
  <si>
    <t>The Licensees shall add the proposed categories in Form A, the new categories would be then updated automatically in other forms</t>
  </si>
  <si>
    <t>3)</t>
  </si>
  <si>
    <t>Load within the area of supply of the licensees and satisfying the eligibility criteria to avail open access as per Commission's Regulation during the period under consideration whether availing power through Open Access or not.</t>
  </si>
  <si>
    <t xml:space="preserve">5) </t>
  </si>
  <si>
    <t>7)</t>
  </si>
  <si>
    <t>8)</t>
  </si>
  <si>
    <t>Plant wise NCE Generation and Cost Details for Base Year. The total should be consistent with values provided in Form 1.4 under NCE.</t>
  </si>
  <si>
    <t>Plant wise NCE Generation and Cost Details for Year1. The total should be consistent with values provided in Form 1.4 under NCE.</t>
  </si>
  <si>
    <t>Plant wise NCE Generation and Cost Details for Year2. The total should be consistent with values provided in Form 1.4 under NCE.</t>
  </si>
  <si>
    <t>Refers to the sales to other licensees/consumers within or outside the state, out of the approved quantum of power for regulated business</t>
  </si>
  <si>
    <t>Interest Rate to be entered as a number, e.g. interest rate of 4.56% should be typed as "4.56" in the cells.</t>
  </si>
  <si>
    <t>Add any proposed category here, in the tables provided under corresponding voltage levels.</t>
  </si>
  <si>
    <t>The form refers to revenue from Open Access consumers served within or outside area of supply of the licensee</t>
  </si>
  <si>
    <t xml:space="preserve"> Consumers to be classified as per their geographical area. Details for each area to be entered in the header in the field Name of Area (yellow cells in headers). Areas may be classified as districts, regions or states or other licensee’s area of supply or any other suitable combination.</t>
  </si>
  <si>
    <t>Total ( Non Eligible OA Cost)</t>
  </si>
  <si>
    <t>Bi-lateral Sales( PTC etc.)</t>
  </si>
  <si>
    <t>UI Sales</t>
  </si>
  <si>
    <t>Pool Transaction ( Sales)</t>
  </si>
  <si>
    <t>FY 2015-19</t>
  </si>
  <si>
    <t>FY2015-16</t>
  </si>
  <si>
    <t>FY2016-17</t>
  </si>
  <si>
    <t>FY2017-18</t>
  </si>
  <si>
    <t>FY2018-19</t>
  </si>
  <si>
    <t>HT-I Industrial Time-of-Day Tariff (10 AM to 2 PM)</t>
  </si>
  <si>
    <t>HT-I Industrial Time-of-Day Tariff (6 PM to 10 PM)</t>
  </si>
  <si>
    <t>HT-I Industrial Time of Day Incentive</t>
  </si>
  <si>
    <t>Reg-4/2005</t>
  </si>
  <si>
    <t>Yr 1</t>
  </si>
  <si>
    <t>Inc. Tax</t>
  </si>
  <si>
    <t>Base year</t>
  </si>
  <si>
    <t>Tariff (Rs./kW/ month)</t>
  </si>
  <si>
    <t>Tariff   
(Rs./MW/ month)</t>
  </si>
  <si>
    <t>NCE Generation ( Year 5)</t>
  </si>
  <si>
    <t>NCE Generation ( Year 4)</t>
  </si>
  <si>
    <t>Details of Actuals incurred (based on audited Annual Acounts)</t>
  </si>
  <si>
    <t>0-50</t>
  </si>
  <si>
    <t xml:space="preserve">51-100 </t>
  </si>
  <si>
    <t>101-300</t>
  </si>
  <si>
    <t>301-500</t>
  </si>
  <si>
    <t>Above 500</t>
  </si>
  <si>
    <t>EPDCL ( 33 KV)</t>
  </si>
  <si>
    <t>EPDCL ( 11 KV)</t>
  </si>
  <si>
    <t>EPDCL LT</t>
  </si>
  <si>
    <t>LT I: Domestic</t>
  </si>
  <si>
    <t>Industrial Colonies</t>
  </si>
  <si>
    <t>Form 12</t>
  </si>
  <si>
    <t>NLC Tamilnadu Power Ltd Stage.1</t>
  </si>
  <si>
    <t>NTPC Ramagundam Solar Power</t>
  </si>
  <si>
    <t>LT III: Industry</t>
  </si>
  <si>
    <t>LT V: Agriculture</t>
  </si>
  <si>
    <t>Low Tension</t>
  </si>
  <si>
    <t>LT II: Non-Domestic/Commercial</t>
  </si>
  <si>
    <t>Total LT</t>
  </si>
  <si>
    <t>High Tension</t>
  </si>
  <si>
    <t>HT Category at 11 kv</t>
  </si>
  <si>
    <t>HT Category at 33 kv</t>
  </si>
  <si>
    <t>HT Category at 132 kv</t>
  </si>
  <si>
    <t>Customer charges</t>
  </si>
  <si>
    <t>Modification of Existing Category</t>
  </si>
  <si>
    <t>For HT Category - 132kV</t>
  </si>
  <si>
    <t>Category</t>
  </si>
  <si>
    <t>Replacement of Existing Category</t>
  </si>
  <si>
    <t>Srivathsa (Exclusive EPDCL)</t>
  </si>
  <si>
    <t>Thermal Power Tech</t>
  </si>
  <si>
    <t>Upper Sileru Power House (AP)</t>
  </si>
  <si>
    <t>Lower Sileru Power House (AP)</t>
  </si>
  <si>
    <t>DONKARAYI (AP)</t>
  </si>
  <si>
    <t>Srisailam Right Bank Power House (AP)</t>
  </si>
  <si>
    <t>Nagarjunasagar Right Bank Power House (AP)</t>
  </si>
  <si>
    <t>Penna Ahobilam (AP)</t>
  </si>
  <si>
    <t>MINI HYDEL(Chettipeta)-AP</t>
  </si>
  <si>
    <t xml:space="preserve">    NTPC (SR)-Ramagundam Stage1&amp;2</t>
  </si>
  <si>
    <t xml:space="preserve">    NTPC (SR)-Ramagundam Stage 3</t>
  </si>
  <si>
    <t>Kudigi</t>
  </si>
  <si>
    <t>NCE - SOLAR  Power (Without Bundled)</t>
  </si>
  <si>
    <t>Grid Support Charges
(Rs. Crs)</t>
  </si>
  <si>
    <t>Non - tariff Income (Rs crores)</t>
  </si>
  <si>
    <t>Total  Revenue
(Net of incentives) (Rs.Crs)</t>
  </si>
  <si>
    <t>FY2019-20</t>
  </si>
  <si>
    <t>FY2020-21</t>
  </si>
  <si>
    <t>FY2021-22</t>
  </si>
  <si>
    <t>FY2022-23</t>
  </si>
  <si>
    <t>FY2023-24</t>
  </si>
  <si>
    <t>FY2020-24</t>
  </si>
  <si>
    <t xml:space="preserve">LT IV: INSTITUTIONAL </t>
  </si>
  <si>
    <t xml:space="preserve">HT I B: Town ships and Residential colonies </t>
  </si>
  <si>
    <t>HT II COMMERCIAL AND OTHERS</t>
  </si>
  <si>
    <t>HT III INDUSTRY</t>
  </si>
  <si>
    <t>HT IV INSTITUTIONAL</t>
  </si>
  <si>
    <t>HT IV B:CPWS/PWS Schemes</t>
  </si>
  <si>
    <t>HT IV E:Religious places</t>
  </si>
  <si>
    <t>HT V AGRICULTURE AND RELATED</t>
  </si>
  <si>
    <t>HT V ( C) : Aquaculture and Animal Husbandry</t>
  </si>
  <si>
    <t>HT V (F) : Government / Private Lift Irrigation Schemes</t>
  </si>
  <si>
    <t xml:space="preserve">HT IV F: Railway Traction </t>
  </si>
  <si>
    <t>Total HT</t>
  </si>
  <si>
    <t xml:space="preserve">Total (LT + HT) </t>
  </si>
  <si>
    <t>FY 2022-23</t>
  </si>
  <si>
    <t>FY 2023-24</t>
  </si>
  <si>
    <t xml:space="preserve">APTRANSCO Diff Transmission Charges(11.06.2017 to 31.01.2018) </t>
  </si>
  <si>
    <t>Godavari Gas Power Plant</t>
  </si>
  <si>
    <t>NCE - Bio Mass</t>
  </si>
  <si>
    <t>NCE - Industrial Waste</t>
  </si>
  <si>
    <t>NTPC NVVNL Bundled Power (Only SOLAR)</t>
  </si>
  <si>
    <t>NTPC NVVNL Bundled Power (Only COAL)</t>
  </si>
  <si>
    <t>NTPC NSM Phase-II, Bundled Power (SOLAR)</t>
  </si>
  <si>
    <t>NTPC NSM Phase-II, Bundled Power (COAL)</t>
  </si>
  <si>
    <t>NTPC NPKunta Ultra Mega Solar Project 250MW</t>
  </si>
  <si>
    <t xml:space="preserve">NCE-SOLAR </t>
  </si>
  <si>
    <t>NCE Solar-Total</t>
  </si>
  <si>
    <t>DELP</t>
  </si>
  <si>
    <t>Agriculture sales(UNMETERED SALES)</t>
  </si>
  <si>
    <t>Other than agriculture sales(Metered sales)</t>
  </si>
  <si>
    <t>Total (LT + HT) (Restricted sales)</t>
  </si>
  <si>
    <t>IPPS-Others</t>
  </si>
  <si>
    <t>Indian Energy Exchange Ltd   (Short Term Purchases (Trading/IEX/PXIL)</t>
  </si>
  <si>
    <t>Indian Energy Exchange Ltd-STOA chargess</t>
  </si>
  <si>
    <t>Power Exchange India Ltd</t>
  </si>
  <si>
    <t xml:space="preserve">Discom to Discom IBSS/FBSS settlements </t>
  </si>
  <si>
    <t>RTPP IV</t>
  </si>
  <si>
    <t xml:space="preserve">NCE - Mini Hydel </t>
  </si>
  <si>
    <t xml:space="preserve"> FOR  LT LEVEL</t>
  </si>
  <si>
    <t xml:space="preserve"> FOR  11KV  LEVEL</t>
  </si>
  <si>
    <t>FOR  33KV  LEVEL</t>
  </si>
  <si>
    <t xml:space="preserve"> FOR  132KV  LEVEL AND ABOVE</t>
  </si>
  <si>
    <t>Sales / Forecast Sales (MU)</t>
  </si>
  <si>
    <t>LT+HT Total</t>
  </si>
  <si>
    <t>Spectrum Power</t>
  </si>
  <si>
    <t>LANCO Kondapalli</t>
  </si>
  <si>
    <t>RTPP Stage-I</t>
  </si>
  <si>
    <t>RTPP Stage-IV</t>
  </si>
  <si>
    <t>Voltage wise Cost of Service</t>
  </si>
  <si>
    <t>NLC Stage-II</t>
  </si>
  <si>
    <t>NLC Stage-I</t>
  </si>
  <si>
    <t>(iv) Function halls / Auditoria</t>
  </si>
  <si>
    <t>(B) : Startup power</t>
  </si>
  <si>
    <t>(C) : Electric Vehicles / Charging Stations</t>
  </si>
  <si>
    <t>(D) : Green Power</t>
  </si>
  <si>
    <t>(A) : Utilites (Street Lighting, NTR Sujala Pathakam, CPWS and PWS)</t>
  </si>
  <si>
    <t>(B) : General Purpose</t>
  </si>
  <si>
    <t>(C) : Religious Places</t>
  </si>
  <si>
    <t>(i) Religious Places (CL &lt;= 2kW)</t>
  </si>
  <si>
    <t>(ii) Religious Places (CL &gt; 2kW)</t>
  </si>
  <si>
    <t>Agl others</t>
  </si>
  <si>
    <t>(B) : Aquaculture and Animal Husbandry</t>
  </si>
  <si>
    <t>(C) : Poultry &amp; Aquaculture</t>
  </si>
  <si>
    <t xml:space="preserve"> I B Domestic: Townships, Colonies, Gated Communities and Villas </t>
  </si>
  <si>
    <t>COMMERCIAL &amp; OTHERS</t>
  </si>
  <si>
    <t>(A) : ii) Commercial Major</t>
  </si>
  <si>
    <t xml:space="preserve">Time of Day tariff (TOD)- Peak </t>
  </si>
  <si>
    <t>INDUSTRY</t>
  </si>
  <si>
    <t>(A) : Industry (General)#</t>
  </si>
  <si>
    <t>Time of Day tariff (TOD)- Peak</t>
  </si>
  <si>
    <t xml:space="preserve">Time of Day tariff (TOD) - Off Peak  </t>
  </si>
  <si>
    <t>(B) : Seasonal Industries (off- season)</t>
  </si>
  <si>
    <t>(C) : Energy Intensive Industries</t>
  </si>
  <si>
    <t>(D) : Railway Traction</t>
  </si>
  <si>
    <t>(i) Poultry Hactcheries &amp; Poultry Feed mixing plants</t>
  </si>
  <si>
    <t>(ii) Aqua Hatcheries &amp; Aqua Feed mixing plants</t>
  </si>
  <si>
    <t>(E) : Government / Private Lift Irrigation Schemes</t>
  </si>
  <si>
    <t>(A) : Utilites(Street Lighting, NTR Sujala Pathakam, CPWS and PWS)</t>
  </si>
  <si>
    <t>Energy Efficient Pump Sets</t>
  </si>
  <si>
    <t>Payment AGL Solar pumpsets</t>
  </si>
  <si>
    <t xml:space="preserve"> FOR  33KV  LEVEL</t>
  </si>
  <si>
    <t>DOMESTIC</t>
  </si>
  <si>
    <t>(B) : Townships, Colonies, Gated Communities and Villas</t>
  </si>
  <si>
    <t>INSTITUTIONAL</t>
  </si>
  <si>
    <t>AGRICULTURE &amp; RELATED</t>
  </si>
  <si>
    <t>RESCOS</t>
  </si>
  <si>
    <t>HT Category at 33kv</t>
  </si>
  <si>
    <t>(B) : Townships, Colonies, Gated Communities,
and Villas</t>
  </si>
  <si>
    <t>Time of Day tariff (TOD)- Peak (6 PM to 10 PM)</t>
  </si>
  <si>
    <t>(B) : Townships, Colonies, Gated Communities,and Villas</t>
  </si>
  <si>
    <t>Category at 33 kv</t>
  </si>
  <si>
    <t>I(A): Domestic -LT</t>
  </si>
  <si>
    <t>II (B) : Startup power -LT</t>
  </si>
  <si>
    <t>II (C) : Electric Vehicles / Charging Stations  -LT</t>
  </si>
  <si>
    <t>II (D) : Green Power  -LT</t>
  </si>
  <si>
    <t>III (B): Seasonal Industries (off season) -LT</t>
  </si>
  <si>
    <t>IV: INSTITUTIONAL  -LT</t>
  </si>
  <si>
    <t>IV (A) : Utilites  (Street Lighting, NTR Sujala Pathakam, CPWS and PWS) -LT</t>
  </si>
  <si>
    <t>IV (B) : General Purpose -LT</t>
  </si>
  <si>
    <t>IV (C) : Religious Places -LT</t>
  </si>
  <si>
    <t>V: Agriculture &amp; Related -LT</t>
  </si>
  <si>
    <t>V (A) : Agriculture -LT</t>
  </si>
  <si>
    <t>V (A) (iii) Salt farming units upto 15 HP*</t>
  </si>
  <si>
    <t>V (A) (iv) Sugarcane crushing</t>
  </si>
  <si>
    <t>V (A) (v) Rural Horticulture Nurseries</t>
  </si>
  <si>
    <t>V (A) (vi) Floriculture in Green House</t>
  </si>
  <si>
    <t>V (B) : Aquaculture and Animal Husbandry -LT</t>
  </si>
  <si>
    <t>V (C) : Poultry &amp; Aquaculture -LT</t>
  </si>
  <si>
    <t>V (C)(i) Poultry Hatcheries &amp; Poultry Feed mixing plants</t>
  </si>
  <si>
    <t>V (C)(ii) Aqua Hatcheries &amp; Aqua Feed mixing  plants</t>
  </si>
  <si>
    <t>V (D) : Agro Based Cottage Industries upto 10 HP -LT</t>
  </si>
  <si>
    <t>Category at 11 kv -HT</t>
  </si>
  <si>
    <t xml:space="preserve"> I B : Townships, Colonies, Gated Communities and Villas -HT</t>
  </si>
  <si>
    <t>II: COMMERCIAL &amp; OTHERS -HT</t>
  </si>
  <si>
    <t>II (A): Commercial (ii) Major  -HT</t>
  </si>
  <si>
    <t>(iv): Function halls / Auditoria --HT</t>
  </si>
  <si>
    <t>II (B) : Startup power  -HT</t>
  </si>
  <si>
    <t>II (C) : Electric Vehicles / Charging Stations  -HT</t>
  </si>
  <si>
    <t>II (D) : Green Power  -HT</t>
  </si>
  <si>
    <t>III INDUSTRY -HT</t>
  </si>
  <si>
    <t>IV INSTITUTIONAL -HT</t>
  </si>
  <si>
    <t>V AGRICULTURE AND RELATED -HT</t>
  </si>
  <si>
    <t>III (A) : Industry (General) -HT</t>
  </si>
  <si>
    <t>III (B) : Seasonal Industries (off- season) -HT</t>
  </si>
  <si>
    <t>III (C) : Energy Intensive Industries -HT</t>
  </si>
  <si>
    <t>IV (A) : Utilites (Street Lighting, NTR Sujala Pathakam, CPWS and PWS) -HT</t>
  </si>
  <si>
    <t>IV (B) : General Purpose -HT</t>
  </si>
  <si>
    <t>IV (C) : Religious Places -HT</t>
  </si>
  <si>
    <t>IV (D) : Railway Traction -HT</t>
  </si>
  <si>
    <t>V (B) : Aquaculture and Animal Husbandry -HT</t>
  </si>
  <si>
    <t>V (E) : Government / Private Lift Irrigation Schemes -HT</t>
  </si>
  <si>
    <t xml:space="preserve"> I: Domestic LT</t>
  </si>
  <si>
    <t xml:space="preserve"> II: Non-Domestic/Commercial LT</t>
  </si>
  <si>
    <t xml:space="preserve">III: Industry LT </t>
  </si>
  <si>
    <t xml:space="preserve"> I(A): Domestic- LT</t>
  </si>
  <si>
    <t xml:space="preserve"> II: Commercial and others- LT</t>
  </si>
  <si>
    <t xml:space="preserve"> III: Industry- LT</t>
  </si>
  <si>
    <t xml:space="preserve"> IV: Institutional- LT</t>
  </si>
  <si>
    <t xml:space="preserve"> V: Agriculture &amp; Related- LT</t>
  </si>
  <si>
    <t xml:space="preserve"> I (B):Townships, Colonies, Gated Communities and Villas - HT</t>
  </si>
  <si>
    <t xml:space="preserve"> III INDUSTRY - HT </t>
  </si>
  <si>
    <t xml:space="preserve">II COMMERCIAL AND OTHERS - HT </t>
  </si>
  <si>
    <t xml:space="preserve">HT IV INSTITUTIONAL - HT </t>
  </si>
  <si>
    <t xml:space="preserve">IV INSTITUTIONAL - HT </t>
  </si>
  <si>
    <t xml:space="preserve">V AGRICULTURE AND RELATED - HT </t>
  </si>
  <si>
    <t xml:space="preserve"> II COMMERCIAL AND OTHERS - HT </t>
  </si>
  <si>
    <t>Category at 132 kv</t>
  </si>
  <si>
    <t>NTPC WR</t>
  </si>
  <si>
    <t>NTPC (WR)</t>
  </si>
  <si>
    <t>NLC NNTPS</t>
  </si>
  <si>
    <t>POSOCO-Deviation Charges (CGS UI charges)</t>
  </si>
  <si>
    <t>NSRCPH</t>
  </si>
  <si>
    <t>PABM</t>
  </si>
  <si>
    <t xml:space="preserve">    Total NTPC(WR)</t>
  </si>
  <si>
    <t>Apgenco-Thermal</t>
  </si>
  <si>
    <t>Dr. NTTPS</t>
  </si>
  <si>
    <t>Dr. NTTPS-IV</t>
  </si>
  <si>
    <t>Genco-Thermal Total</t>
  </si>
  <si>
    <t>Srisailam RCPH</t>
  </si>
  <si>
    <t>NSTPDC PH</t>
  </si>
  <si>
    <t>Upper Sileru</t>
  </si>
  <si>
    <t>Lower Sileru</t>
  </si>
  <si>
    <t>Donkarayi</t>
  </si>
  <si>
    <t>Minihydel(Chettipet)</t>
  </si>
  <si>
    <t>Machkund AP Share</t>
  </si>
  <si>
    <t>TB Dam AP Share</t>
  </si>
  <si>
    <t>Genco Hydel Total</t>
  </si>
  <si>
    <t>APGENCO-TOTAL</t>
  </si>
  <si>
    <t>APGPCL Stage-I</t>
  </si>
  <si>
    <t>APGPCL Stage-II</t>
  </si>
  <si>
    <t>APPDCL Stage-I</t>
  </si>
  <si>
    <t>Joint Sector-TOTAL</t>
  </si>
  <si>
    <t>NTPC(SR) Ramagundam I &amp; II</t>
  </si>
  <si>
    <t>NTPC(SR) Simhadri Stage-I</t>
  </si>
  <si>
    <t>NTPC(SR) Simhadri Stage-II</t>
  </si>
  <si>
    <t>NTPC(SR) Talcher Stage-II</t>
  </si>
  <si>
    <t>NTPC(SR) Ramagundam III</t>
  </si>
  <si>
    <t>NTPC Kudgi Stage-I</t>
  </si>
  <si>
    <t>NTECL Valluru</t>
  </si>
  <si>
    <t>NPC(MAPS)</t>
  </si>
  <si>
    <t>NPC(KAIGA unit I,II,III,IV)</t>
  </si>
  <si>
    <t>NTPL(NLC TamilNadu)</t>
  </si>
  <si>
    <t>JNNSM Ph-1 Thermal</t>
  </si>
  <si>
    <t>JNNSM Ph-2 Thermal</t>
  </si>
  <si>
    <t>CGS TOTAL</t>
  </si>
  <si>
    <t>KSK Mahanadi</t>
  </si>
  <si>
    <t>Thermal Powertech Corporation</t>
  </si>
  <si>
    <t>Hinduja National Powercorp</t>
  </si>
  <si>
    <t>IPP TOTAL</t>
  </si>
  <si>
    <t>NCE- Others</t>
  </si>
  <si>
    <t>NCE Wind</t>
  </si>
  <si>
    <t>NCE Solar</t>
  </si>
  <si>
    <t>JNNSM Ph-1 Solar</t>
  </si>
  <si>
    <t>JNNSM Ph-2 Solar</t>
  </si>
  <si>
    <t>NCE TOTAL</t>
  </si>
  <si>
    <t>INTERSTATE TRADERS (SHORTTERM)</t>
  </si>
  <si>
    <t>SHORTTERM TOTAL</t>
  </si>
  <si>
    <t>GRAND TOTAL</t>
  </si>
  <si>
    <t>Grand Total</t>
  </si>
  <si>
    <t>Differential Transmission Charges</t>
  </si>
  <si>
    <t xml:space="preserve"> TOTAL</t>
  </si>
  <si>
    <t>D&lt;&gt;D Transaction</t>
  </si>
  <si>
    <t xml:space="preserve"> I( B) Townships, Colonies, Gated Communities and Villas - HT</t>
  </si>
  <si>
    <t xml:space="preserve"> II: Commercial and others- HT</t>
  </si>
  <si>
    <t xml:space="preserve"> IV: Institutional- HT</t>
  </si>
  <si>
    <t xml:space="preserve"> V :Agriculture &amp; Related - HT</t>
  </si>
  <si>
    <t xml:space="preserve">RESCOs </t>
  </si>
  <si>
    <t xml:space="preserve"> III(A): Industry- HT</t>
  </si>
  <si>
    <t xml:space="preserve"> II(A)I: Industry- LT</t>
  </si>
  <si>
    <t>Control period</t>
  </si>
  <si>
    <t>AP GENCO SOLAR 400MW 2019-20 COST</t>
  </si>
  <si>
    <t>NVVNL BUNDLED COAL 2019-20</t>
  </si>
  <si>
    <t>NP KUNTA ULTRA AND SBG 2019-20</t>
  </si>
  <si>
    <t>SCED</t>
  </si>
  <si>
    <t>Interest on ED</t>
  </si>
  <si>
    <t>Miscellaneous charges from consumers</t>
  </si>
  <si>
    <t>Recoveries for theft of power / Malpractices</t>
  </si>
  <si>
    <t>UI &amp; other charges</t>
  </si>
  <si>
    <t>Network and SLDC Cost (1+2+3+4+5)</t>
  </si>
  <si>
    <t>MUST RUN</t>
  </si>
  <si>
    <t>Control Period</t>
  </si>
  <si>
    <t>1.                  Transmission Losses percentage e.g. 4.52 % to be entered in numbers as 4.52 in Form 4b only</t>
  </si>
  <si>
    <t>2.                  Transmission Losses to include PGCIL Losses.</t>
  </si>
  <si>
    <t>0-30</t>
  </si>
  <si>
    <t>31-75</t>
  </si>
  <si>
    <t>Component of Tariff</t>
  </si>
  <si>
    <t>Relavent Sales related data</t>
  </si>
  <si>
    <t>Surcharges</t>
  </si>
  <si>
    <t>Note : The Revenue is exclusive of Govt Subsidy.</t>
  </si>
  <si>
    <t>Note : The Revenue at proposed tariff  is arrived as per directions of GO.Rt No. 161, Dt 15-11-2021</t>
  </si>
  <si>
    <t>SHRI PAPERS LTD</t>
  </si>
  <si>
    <t>VARAM POWER</t>
  </si>
  <si>
    <t>Vishnu Vidyut India Ltd</t>
  </si>
  <si>
    <t>CHODAVARAM Sugars CO-OP</t>
  </si>
  <si>
    <t>DECCAN SUGARS LTD/Navabharat</t>
  </si>
  <si>
    <t>EID Parry India Ltd (GMR Tech)</t>
  </si>
  <si>
    <t>3F Industries Ltd (Foods &amp; Fats)</t>
  </si>
  <si>
    <t>SARDAR POWER(HYDEL)</t>
  </si>
  <si>
    <t>MANI HAMSA</t>
  </si>
  <si>
    <t>Vetamamidi MHPP Project</t>
  </si>
  <si>
    <t xml:space="preserve">NCL ENERGY  TB DAM </t>
  </si>
  <si>
    <t>EAAMA Estate Pvt Ltd</t>
  </si>
  <si>
    <t>prgathi group</t>
  </si>
  <si>
    <t xml:space="preserve">vijaya vishaka </t>
  </si>
  <si>
    <t>VBC RENEWABLE ENERGY PVT LTD</t>
  </si>
  <si>
    <t>AP GENCO SOLAR 400MW</t>
  </si>
  <si>
    <t>Aurobindo pharma</t>
  </si>
  <si>
    <t>REPAL RENEWABLES PVT LTD.,(VIZIANAGARAM DIST)</t>
  </si>
  <si>
    <t xml:space="preserve">Visakhapatnam Port Trust </t>
  </si>
  <si>
    <t>New &amp; Renewable Energy Development Corporation Of Andhra Pradesh Ltd (Solar Project)</t>
  </si>
  <si>
    <t>Apgenco (solar) Project</t>
  </si>
  <si>
    <t>M/s.Solar Energy Corporation of India Ltd (SECI-ACME) 150MW</t>
  </si>
  <si>
    <t>M/s.Solar Energy Corporation of India Ltd (SECI-FRV-1) 50MW</t>
  </si>
  <si>
    <t>M/s.Solar Energy Corporation of India Ltd (SECI-AZURE) 50MW</t>
  </si>
  <si>
    <t>M/s.Solar Energy Corporation of India Ltd (SECI-TATA) 50MW</t>
  </si>
  <si>
    <t>M/s.Solar Energy Corporation of India Ltd (SECI-FRV-2) 50MW</t>
  </si>
  <si>
    <t>DIFFERENCE BETWEEN SAP &amp; MIS</t>
  </si>
  <si>
    <t>Jindal Urban Waste Management (Visakhapatnam) Ltd</t>
  </si>
  <si>
    <t>Proposed Full cost Tariff (Rs/unit) without gap as per Go Rt 161 Dt:15-11-21</t>
  </si>
  <si>
    <t>Energy Charges (Rs./Unit)</t>
  </si>
  <si>
    <t>Total Revenue with respect to Full Cost Recovery Tariff 
(Rs Crs.)</t>
  </si>
  <si>
    <t>SRI KALYANI AGRO PROD.</t>
  </si>
  <si>
    <t>M/s Perpetual energy Systems Ltd</t>
  </si>
  <si>
    <t>M/s The Jeypore Sugar Company Ltd.</t>
  </si>
  <si>
    <t>Sai Renewable Power (P) Limited</t>
  </si>
  <si>
    <t>Raus Power Limited</t>
  </si>
  <si>
    <t>Pinjari Konda</t>
  </si>
  <si>
    <t>Metlapalem</t>
  </si>
  <si>
    <t>ISOA (CSS)</t>
  </si>
  <si>
    <t>IEX (CSS)</t>
  </si>
  <si>
    <t>TP (CSS)</t>
  </si>
  <si>
    <t xml:space="preserve">Revenue changed through Full Cost Recovery  tariff </t>
  </si>
  <si>
    <t>HT Category at 220 KV</t>
  </si>
  <si>
    <t>Other than agriculture sales (Metered sales)</t>
  </si>
  <si>
    <t>Agriculture sales (UNMETERED SALES)</t>
  </si>
  <si>
    <t>76-125</t>
  </si>
  <si>
    <t>126-225</t>
  </si>
  <si>
    <t>226-400</t>
  </si>
  <si>
    <t>&gt;400</t>
  </si>
  <si>
    <t>Smart Meters ( Optional for above 500 units / month Time of Day tariff ( ToD ) 10 AM to 12 Noon</t>
  </si>
  <si>
    <t>II (A) (ii) Advertising Hoardings -LT</t>
  </si>
  <si>
    <t xml:space="preserve">V (A) (i) Corporate farmers </t>
  </si>
  <si>
    <t xml:space="preserve">V (A) (ii) Non-Corporate farmers </t>
  </si>
  <si>
    <t>Time of Day tariff (TOD)- Peak  (06-10)&amp;(18-22)</t>
  </si>
  <si>
    <t>Time of Day tariff (TOD) - Off Peak    (10-15)&amp; (00-06)</t>
  </si>
  <si>
    <t>Normal (15-18) &amp;(22-24)</t>
  </si>
  <si>
    <t>TOD low Grid Demand (June -Aug) &amp; Nov-Jan)</t>
  </si>
  <si>
    <t>TOD High Grid Demand (April -May) ,(Sept-Oct) &amp; (Feb,March)</t>
  </si>
  <si>
    <t>HT Category at 220 kv</t>
  </si>
  <si>
    <t>Customer charges (Rs/Month)</t>
  </si>
  <si>
    <t>(A) : Domestic (Telescopic)</t>
  </si>
  <si>
    <t>II: COMMERCIAL &amp; OTHERS -LT</t>
  </si>
  <si>
    <t>I(A): DOMESTIC -LT</t>
  </si>
  <si>
    <t>II (A) (i): Commercial -LT</t>
  </si>
  <si>
    <t>II (A) (iii) Function halls / Auditoriums -LT</t>
  </si>
  <si>
    <t>III: INDUSTRY  -LT</t>
  </si>
  <si>
    <t>III (A):Industry (General) -LT</t>
  </si>
  <si>
    <t>III(D): Cottage Industries upto 10HP  -LT</t>
  </si>
  <si>
    <t>LT II: Commercial &amp; Others</t>
  </si>
  <si>
    <t>Time of Day tariff (TOD)- Peak  (06-10) &amp; (18-22)</t>
  </si>
  <si>
    <t>Time of Day tariff (TOD) - Off Peak    (10-15) &amp; (00-06)</t>
  </si>
  <si>
    <t>Normal (15-18) &amp; (22-24)</t>
  </si>
  <si>
    <t>Normal</t>
  </si>
  <si>
    <t>Power Exchange India Ltd(STOA Charges)</t>
  </si>
  <si>
    <t>NHPC Limited (Trading)</t>
  </si>
  <si>
    <t>Kreate Energy(Trading)</t>
  </si>
  <si>
    <t>NTPC Limited (Trading)</t>
  </si>
  <si>
    <t>Kreate Energy (STOA Charges)</t>
  </si>
  <si>
    <t>PTC-OTPC</t>
  </si>
  <si>
    <t>PTC-SEIL</t>
  </si>
  <si>
    <t>PTC-EMPL</t>
  </si>
  <si>
    <t>SEMBCORP GAYATRI POWER LTD</t>
  </si>
  <si>
    <t>Agriculture sales</t>
  </si>
  <si>
    <t>Other than agriculture sales</t>
  </si>
  <si>
    <t>Category at 220 kv</t>
  </si>
  <si>
    <t>Compensation to the victims of Electrical Accidents</t>
  </si>
  <si>
    <t>Energy consumed by HT consumers at 33KV (Sales)</t>
  </si>
  <si>
    <t>Energy consumed by HT consumers at 11KV (Sales)</t>
  </si>
  <si>
    <t>Distribution cost adjusted</t>
  </si>
  <si>
    <t>SLDC  charges adjusted</t>
  </si>
  <si>
    <t>NTPC Mouda</t>
  </si>
  <si>
    <t>NTPC DADRI</t>
  </si>
  <si>
    <t>RCI POWER Limited(Differencial cost)</t>
  </si>
  <si>
    <t>Bharat Wind Farms(Differencial cost)</t>
  </si>
  <si>
    <t>NSL Sugars (KUPPAM)</t>
  </si>
  <si>
    <t>NSL Sugars (Tungabhadra)</t>
  </si>
  <si>
    <t>SNJ SUGARS(surcharge share)</t>
  </si>
  <si>
    <t>Vayu Urja Bharat Pvt Ltd (GBI)</t>
  </si>
  <si>
    <t>Vayu Urja Bharat Pvt Ltd (CUF)</t>
  </si>
  <si>
    <t xml:space="preserve">Grants to APSEEDCO </t>
  </si>
  <si>
    <t>NCE-Wind</t>
  </si>
  <si>
    <t>Cyber Village Solutions Pvt. Ltd.,</t>
  </si>
  <si>
    <t>Note: Hydro cost break up details need to be provided based on appropriate methodology. In case it is not possible to segregate the cost station wise, provide the total details in the empty rows in the APGenco Hydro stations section saying ALL APGenco Hydro (Combined)</t>
  </si>
  <si>
    <t>APPDCL Stage-II</t>
  </si>
  <si>
    <t>KKNPP Unit-I</t>
  </si>
  <si>
    <t>NLC TPS- I Expn.</t>
  </si>
  <si>
    <t>NLC TPS- II Expn.</t>
  </si>
  <si>
    <t>HNPCL</t>
  </si>
  <si>
    <t>Dr. NTTPS-V</t>
  </si>
  <si>
    <t>Revenue Deficit (-) / Surplus(+) at Current Tariffs (Rs. Crs.)</t>
  </si>
  <si>
    <t>Aggregate Revenue Requirement (6+12)</t>
  </si>
  <si>
    <t>Supply Cost (7+8+9+10+11)</t>
  </si>
  <si>
    <t>For HT Category - 220kV</t>
  </si>
  <si>
    <t>FY 2024-25</t>
  </si>
  <si>
    <t>Year 1 is the First Year of the control Period, FY2024-25</t>
  </si>
  <si>
    <t>Year 2 is the Second Year of the control Period, FY2025-26</t>
  </si>
  <si>
    <t>Year 3 is the Third Year of the control Period, FY2026-27</t>
  </si>
  <si>
    <t>Year 4 is the Fourth Year of the control Period, FY2027--28</t>
  </si>
  <si>
    <t>Year 5 is the Fifth year of the control Period, FY2028-29</t>
  </si>
  <si>
    <t>Filings 2024-25, Licensees shall provide</t>
  </si>
  <si>
    <t>FY 2025-26</t>
  </si>
  <si>
    <t>FY 2026-27</t>
  </si>
  <si>
    <t>FY 2027-28</t>
  </si>
  <si>
    <t>FY 2028-29</t>
  </si>
  <si>
    <t>Full projections for FY2024-25</t>
  </si>
  <si>
    <t>(A) : i) Commercial Major</t>
  </si>
  <si>
    <t>(iii) Function halls / Auditoriums</t>
  </si>
  <si>
    <t>s</t>
  </si>
  <si>
    <t>Form 1.4 (FY 2024-25)</t>
  </si>
  <si>
    <t>30/11/2023</t>
  </si>
  <si>
    <t>FY2025-29</t>
  </si>
  <si>
    <t>FY2024-25</t>
  </si>
  <si>
    <t>Base Year for the 5th control period FY2025-29 is FY2023-24</t>
  </si>
  <si>
    <t xml:space="preserve">Estimates for FY2023-24 </t>
  </si>
  <si>
    <t>FY 2022-23 Act</t>
  </si>
  <si>
    <r>
      <t>Please Note:
A) The user need not enter anything in the yellow spaces in column C for Consumer Categories. For addition of new category, data first needs to be provided in Form A, which will be automatically reflected in these yellow spaces.
For spaces in orange color, it is to furnish data for the following 
     1) Segregation or Aggregation of existing slabs
     2) Addition of new slab
     3) Addition of new sub-category
For LT Category, totals should be manually entered for new categories and slabs in the row for 'New L T Categories (Total).'</t>
    </r>
    <r>
      <rPr>
        <b/>
        <sz val="8"/>
        <rFont val="Cambria"/>
        <family val="1"/>
        <scheme val="major"/>
      </rPr>
      <t xml:space="preserve">
B) </t>
    </r>
    <r>
      <rPr>
        <sz val="8"/>
        <rFont val="Cambria"/>
        <family val="1"/>
        <scheme val="major"/>
      </rPr>
      <t>For Non Tariff Income, provide direct and apportioned Non Tariff Income (column V and W) for each consumer category</t>
    </r>
    <r>
      <rPr>
        <b/>
        <sz val="8"/>
        <rFont val="Cambria"/>
        <family val="1"/>
        <scheme val="major"/>
      </rPr>
      <t xml:space="preserve">
C) </t>
    </r>
    <r>
      <rPr>
        <sz val="8"/>
        <rFont val="Cambria"/>
        <family val="1"/>
        <scheme val="major"/>
      </rPr>
      <t>Include Revenue from Power Factor Surcharge in OTHERS (column O)</t>
    </r>
  </si>
  <si>
    <r>
      <t>Please Note:
A) The user need not enter anything in the yellow spaces in column C for Consumer Categories. For addition of new category, data first needs to be provided in Form A,
 which will be automatically reflected in these yellow spaces.
For spaces in orange color, it is to furnish data for the following 
     1) Segregation or Aggregation of existing slabs
     2) Addition of new slab
     3) Addition of new sub-category
For LT Category, totals should be manually entered for new categories and slabs in the row for 'New L T Categories (Total).'</t>
    </r>
    <r>
      <rPr>
        <b/>
        <sz val="8"/>
        <rFont val="Cambria"/>
        <family val="1"/>
        <scheme val="major"/>
      </rPr>
      <t xml:space="preserve">
B) </t>
    </r>
    <r>
      <rPr>
        <sz val="8"/>
        <rFont val="Cambria"/>
        <family val="1"/>
        <scheme val="major"/>
      </rPr>
      <t>For Non Tariff Income, provide direct and apportioned Non Tariff Income (column V and W) for each consumer category</t>
    </r>
    <r>
      <rPr>
        <b/>
        <sz val="8"/>
        <rFont val="Cambria"/>
        <family val="1"/>
        <scheme val="major"/>
      </rPr>
      <t xml:space="preserve">
C) </t>
    </r>
    <r>
      <rPr>
        <sz val="8"/>
        <rFont val="Cambria"/>
        <family val="1"/>
        <scheme val="major"/>
      </rPr>
      <t>Include Revenue from Power Factor Surcharge in OTHERS (column O)</t>
    </r>
  </si>
  <si>
    <r>
      <t xml:space="preserve">Relates to detailed calculation of the Transmission Losses percentage entered in </t>
    </r>
    <r>
      <rPr>
        <b/>
        <sz val="10"/>
        <rFont val="Cambria"/>
        <family val="1"/>
        <scheme val="major"/>
      </rPr>
      <t>Form 4</t>
    </r>
    <r>
      <rPr>
        <sz val="10"/>
        <rFont val="Cambria"/>
        <family val="1"/>
        <scheme val="major"/>
      </rPr>
      <t xml:space="preserve">. The working of the losses (MU &amp; percentages) to be entered under working notes </t>
    </r>
    <r>
      <rPr>
        <b/>
        <sz val="10"/>
        <rFont val="Cambria"/>
        <family val="1"/>
        <scheme val="major"/>
      </rPr>
      <t>Form 4b</t>
    </r>
    <r>
      <rPr>
        <sz val="10"/>
        <rFont val="Cambria"/>
        <family val="1"/>
        <scheme val="major"/>
      </rPr>
      <t>.</t>
    </r>
  </si>
  <si>
    <r>
      <t xml:space="preserve">3.                  The Transmission Losses percentage should be consistent with calculations in </t>
    </r>
    <r>
      <rPr>
        <b/>
        <sz val="10"/>
        <rFont val="Cambria"/>
        <family val="1"/>
        <scheme val="major"/>
      </rPr>
      <t>Form 4b</t>
    </r>
  </si>
  <si>
    <r>
      <t xml:space="preserve">Interest @ % p.a. </t>
    </r>
    <r>
      <rPr>
        <vertAlign val="superscript"/>
        <sz val="10"/>
        <rFont val="Cambria"/>
        <family val="1"/>
        <scheme val="major"/>
      </rPr>
      <t>#</t>
    </r>
  </si>
  <si>
    <r>
      <t xml:space="preserve">The information relates to the quantum of power purchased from Discoms within the state and forming part of </t>
    </r>
    <r>
      <rPr>
        <b/>
        <sz val="10"/>
        <rFont val="Cambria"/>
        <family val="1"/>
        <scheme val="major"/>
      </rPr>
      <t>Form 1.4.</t>
    </r>
  </si>
  <si>
    <r>
      <t>Power Purchase and Procurement Cost (For Non-regulated Business</t>
    </r>
    <r>
      <rPr>
        <b/>
        <vertAlign val="superscript"/>
        <sz val="10"/>
        <rFont val="Cambria"/>
        <family val="1"/>
        <scheme val="major"/>
      </rPr>
      <t>#</t>
    </r>
    <r>
      <rPr>
        <b/>
        <sz val="10"/>
        <rFont val="Cambria"/>
        <family val="1"/>
        <scheme val="major"/>
      </rPr>
      <t>)</t>
    </r>
  </si>
  <si>
    <r>
      <t xml:space="preserve"># </t>
    </r>
    <r>
      <rPr>
        <sz val="10"/>
        <rFont val="Cambria"/>
        <family val="1"/>
        <scheme val="major"/>
      </rPr>
      <t>Refer to Notes for the definition</t>
    </r>
  </si>
  <si>
    <r>
      <t>Power Purchase and Procurement Cost (For Regulated Business</t>
    </r>
    <r>
      <rPr>
        <b/>
        <vertAlign val="superscript"/>
        <sz val="10"/>
        <rFont val="Cambria"/>
        <family val="1"/>
        <scheme val="major"/>
      </rPr>
      <t>#</t>
    </r>
    <r>
      <rPr>
        <b/>
        <sz val="10"/>
        <rFont val="Cambria"/>
        <family val="1"/>
        <scheme val="major"/>
      </rPr>
      <t>)</t>
    </r>
  </si>
  <si>
    <r>
      <t>#</t>
    </r>
    <r>
      <rPr>
        <sz val="10"/>
        <rFont val="Cambria"/>
        <family val="1"/>
        <scheme val="major"/>
      </rPr>
      <t>Refer to Notes for the definition</t>
    </r>
  </si>
  <si>
    <r>
      <t>Regulated Business:</t>
    </r>
    <r>
      <rPr>
        <sz val="10"/>
        <rFont val="Cambria"/>
        <family val="1"/>
        <scheme val="major"/>
      </rPr>
      <t xml:space="preserve"> The retail supply of electricity to (i) consumers within the area of supply of the licensee and not eligible to avail Open Access as per Commission’s Regulations (ii) consumers within the area of supply of the licensee and eligible to avail Open Access but not exercising their option of availing open access. </t>
    </r>
  </si>
  <si>
    <r>
      <t xml:space="preserve">Non-regulated Business: </t>
    </r>
    <r>
      <rPr>
        <sz val="10"/>
        <rFont val="Cambria"/>
        <family val="1"/>
        <scheme val="major"/>
      </rPr>
      <t>The retail supply of electricity to consumers availing supply under open access from the licensee either forming the part of area of supply of the licensee or outside the area of supply of the licensee.</t>
    </r>
  </si>
  <si>
    <r>
      <t xml:space="preserve">Direct Non-Tariff Income: </t>
    </r>
    <r>
      <rPr>
        <sz val="10"/>
        <rFont val="Cambria"/>
        <family val="1"/>
        <scheme val="major"/>
      </rPr>
      <t>Non-Tariff income which is directly identifiable with a consumer category.</t>
    </r>
  </si>
  <si>
    <r>
      <t xml:space="preserve">Apportioned Non-Tariff Income: </t>
    </r>
    <r>
      <rPr>
        <sz val="10"/>
        <rFont val="Cambria"/>
        <family val="1"/>
        <scheme val="major"/>
      </rPr>
      <t>Non-Tariff income which is not directly identifiable with a consumer category. It shall be appropriately apportioned across various consumer categories.</t>
    </r>
  </si>
  <si>
    <t>Damodaram Sanjeevaiah Thermal power Stage - II, Unit-3</t>
  </si>
  <si>
    <t>RTPP Stage-IV (Differential cost )</t>
  </si>
  <si>
    <t xml:space="preserve">APPDCL Stage-II Unit III  Infirm Power </t>
  </si>
  <si>
    <t>FPPCA Adjustment F.Y21-22</t>
  </si>
  <si>
    <t>FCA CLAIMS FY 22-23</t>
  </si>
  <si>
    <t>RRAS</t>
  </si>
  <si>
    <t>NTPC (SR) Talcher St. II  (2019-20)</t>
  </si>
  <si>
    <t>NTPC Aravalli</t>
  </si>
  <si>
    <t>NLC Wage revision  Stage 1</t>
  </si>
  <si>
    <t>NLC TPS I EXP)</t>
  </si>
  <si>
    <t>NLC Deferred tax liability</t>
  </si>
  <si>
    <t>NLC Wage revision  Stage 2</t>
  </si>
  <si>
    <t>NLC TPS II EXP</t>
  </si>
  <si>
    <t xml:space="preserve">    NPC-Kaiga unit I&amp;ii &amp; iii</t>
  </si>
  <si>
    <t xml:space="preserve">    NPC-Kaiga unit IV</t>
  </si>
  <si>
    <t xml:space="preserve">   NPCIL(Kudamkulam) </t>
  </si>
  <si>
    <t>NTPC (SR) Simhadri Stage 1 ( 2019-20)</t>
  </si>
  <si>
    <t>NTECL 19-20</t>
  </si>
  <si>
    <t>NTPL Surcharge</t>
  </si>
  <si>
    <t>NTPC NPKunta Ultra Mega Solar Project 1000MW</t>
  </si>
  <si>
    <t>Hinduja National Power Corp Ltd(HNPCL)</t>
  </si>
  <si>
    <t>Change in Law(TPCIL)</t>
  </si>
  <si>
    <t>Carrying Cost(TPCIL)</t>
  </si>
  <si>
    <t xml:space="preserve">SEMBCORP PROJECT-2 (350MW) </t>
  </si>
  <si>
    <t xml:space="preserve">SEMBCORP PROJECT-2 (150MW) </t>
  </si>
  <si>
    <t xml:space="preserve">SEMBCORP PROJECT-2 (125MW) </t>
  </si>
  <si>
    <t>Hinduja National Power Corp Ltd(HNPCL) FC ARREAR</t>
  </si>
  <si>
    <t>HINDUSTAN POWER EXCHANGE LTD(EP)</t>
  </si>
  <si>
    <t>HINDUSTAN POWER EXCHANGE LTD(STOA Charges)(EP)</t>
  </si>
  <si>
    <t>NVVNL Limited  Banked (Trading)</t>
  </si>
  <si>
    <t>NVVNL - OTPC</t>
  </si>
  <si>
    <t>NVVNL - APNAR</t>
  </si>
  <si>
    <t>NVVNL-JPNL</t>
  </si>
  <si>
    <t>PTC-NBEIL</t>
  </si>
  <si>
    <t>ARUNCHAL PRADESH</t>
  </si>
  <si>
    <t>Shubheksha (STOA &amp; Trading Margin)</t>
  </si>
  <si>
    <t>Shubheksha</t>
  </si>
  <si>
    <t xml:space="preserve">PTC-ref compensation </t>
  </si>
  <si>
    <t>NVVNL-Rev&amp; compensation(EP)</t>
  </si>
  <si>
    <t>Swapping</t>
  </si>
  <si>
    <t>Exchange Sales</t>
  </si>
  <si>
    <t>TSPPCC</t>
  </si>
  <si>
    <t xml:space="preserve">NTPC SBG NPKunta Solar Project </t>
  </si>
  <si>
    <t>NTPC AYANA NPKUNTA</t>
  </si>
  <si>
    <t>NTPC SPRNG</t>
  </si>
  <si>
    <r>
      <t>DBT to be returned for FY 2021-22 (True down/up) as pe T.O FY 2023-24</t>
    </r>
    <r>
      <rPr>
        <sz val="14"/>
        <rFont val="Cambria"/>
        <family val="1"/>
        <scheme val="major"/>
      </rPr>
      <t xml:space="preserve"> *</t>
    </r>
  </si>
  <si>
    <r>
      <rPr>
        <sz val="12"/>
        <rFont val="Cambria"/>
        <family val="1"/>
        <scheme val="major"/>
      </rPr>
      <t>*</t>
    </r>
    <r>
      <rPr>
        <sz val="10"/>
        <rFont val="Cambria"/>
        <family val="1"/>
        <scheme val="major"/>
      </rPr>
      <t xml:space="preserve"> Note :  Concessions to various categories of Consumers (Scheme Subsidy) actual  has been booked  for Rs.643.15 only against the APERC approved of Rs. 690.69 Crs 
</t>
    </r>
  </si>
  <si>
    <t>Sri Venkata Sreedevi(Bollineni Castings)</t>
  </si>
  <si>
    <t>Jocil Ltd 6MW</t>
  </si>
  <si>
    <t>Balaji Agro Oils Limited</t>
  </si>
  <si>
    <t>NALCO,Gandikota</t>
  </si>
  <si>
    <t>CHAITNAYA PROJECT</t>
  </si>
  <si>
    <t>Nandi Rollers Flour Mills (P) Ltd.,</t>
  </si>
  <si>
    <t>Orange Sorting Machines (India) Pvt. Ltd</t>
  </si>
  <si>
    <t>Prakash Beedies Pvt. Ltd.</t>
  </si>
  <si>
    <t>Vikram Traders</t>
  </si>
  <si>
    <t>Compucom Software Ltd</t>
  </si>
  <si>
    <t>Chandulal Surajlal</t>
  </si>
  <si>
    <t>G.Shoe Export</t>
  </si>
  <si>
    <t>Arts &amp; Crafts Exports</t>
  </si>
  <si>
    <t>International Conveyors Ltd., Phase I</t>
  </si>
  <si>
    <t>International Conveyors Ltd., Phase II</t>
  </si>
  <si>
    <t>Triveni Enterprises</t>
  </si>
  <si>
    <t>Indian Oil Corporation Ltd (16.8 MW)</t>
  </si>
  <si>
    <t>Indian Oil Corporation Ltd (10.5 MW)</t>
  </si>
  <si>
    <t>kanderlu</t>
  </si>
  <si>
    <t>Mytrha vayu 100.6MW</t>
  </si>
  <si>
    <t>Balaji Energy pvt ltd</t>
  </si>
  <si>
    <t>Mayura Steels Pvt. Ltd.</t>
  </si>
  <si>
    <t>Shilpa Medicare Ltd</t>
  </si>
  <si>
    <t>S. Kumar</t>
  </si>
  <si>
    <t>Siddaganga Oil Extractions Pvt Ltd</t>
  </si>
  <si>
    <t>Protectron Elecromech Pvt. Ltd Ankireddipally</t>
  </si>
  <si>
    <t>Canara Cement Pipes</t>
  </si>
  <si>
    <t>Texmo Precision Castings</t>
  </si>
  <si>
    <t>Texmo Industries</t>
  </si>
  <si>
    <t>M/s.Solar Energy Corporation of India Ltd (SECI-KARNAL,HISSAR,BIWADI) 150MW</t>
  </si>
  <si>
    <t>Happy Valley Developers</t>
  </si>
  <si>
    <t>Shreem Electric Ltd.,</t>
  </si>
  <si>
    <t>Texonic Instruments</t>
  </si>
  <si>
    <t>Vaayu  Phase - I</t>
  </si>
  <si>
    <t>Vaayu  Phase -II</t>
  </si>
  <si>
    <t>Vaayu  Phase -III</t>
  </si>
  <si>
    <t>Vaayu  Phase -IV</t>
  </si>
  <si>
    <t>Vaayu Phase -V</t>
  </si>
  <si>
    <t>Vaayu Phase -VI</t>
  </si>
  <si>
    <t>Vaayu  Phase -VII</t>
  </si>
  <si>
    <t>Meghna Associates</t>
  </si>
  <si>
    <t>R3K Power</t>
  </si>
  <si>
    <t>Protectron Electromech Pvt. Ltd.,</t>
  </si>
  <si>
    <t>Vish Wind Infrastructire - I</t>
  </si>
  <si>
    <t>Vish Wind Infrastructire - 2</t>
  </si>
  <si>
    <t>Vish Wind Infrastructire - 3</t>
  </si>
  <si>
    <t>ZR Renewable Energy Pvt. Ltd.,</t>
  </si>
  <si>
    <t>JSW POWER TRADING CO (DPS)</t>
  </si>
  <si>
    <t>M/s SECI(ACME/ATHENA&amp;AZURE&amp;FRV-I&amp;II&amp;TATA POWER)LPS 7/18 to 9/21</t>
  </si>
  <si>
    <t>Form 1.4 (FY 2023-24)</t>
  </si>
  <si>
    <t xml:space="preserve">Free Power Categories </t>
  </si>
  <si>
    <t>Distribution System Losses(%) (Excluding EHT sales)</t>
  </si>
  <si>
    <t>II (A) : Commercial -LT</t>
  </si>
  <si>
    <t>Revenue from cross subsidy surcharge &amp; Grid Support Charges</t>
  </si>
  <si>
    <t>Green Tariff</t>
  </si>
  <si>
    <t xml:space="preserve">Additional Interest on pension bonds </t>
  </si>
  <si>
    <t>Total Sales Including Green Energy</t>
  </si>
  <si>
    <t>NCE WIND</t>
  </si>
  <si>
    <t>JNNSM PH 1 SOLAR</t>
  </si>
  <si>
    <t>JNNSM PH 2 SOLAR</t>
  </si>
  <si>
    <t>Dr.NTTPS V</t>
  </si>
  <si>
    <t>NTPC Telangana STPS - I</t>
  </si>
  <si>
    <t>SEIL P1 (Formerly Thermal Powertech)</t>
  </si>
  <si>
    <t>SEIL P2 (500MW Firm)</t>
  </si>
  <si>
    <t>SEIL P2 (125MW Open Cap)</t>
  </si>
  <si>
    <t>NLC TPS-I Expansion</t>
  </si>
  <si>
    <t>NLC TPS-II Expansion</t>
  </si>
  <si>
    <t>SEIL P2</t>
  </si>
  <si>
    <t>NCE Solar(includes solar parks)</t>
  </si>
  <si>
    <t>UI CHARGES (DSM)</t>
  </si>
  <si>
    <t>NET SHORTTERM</t>
  </si>
  <si>
    <t>Swapping Power to be Returned</t>
  </si>
  <si>
    <t>SEIL P1 (625MW)</t>
  </si>
  <si>
    <t>SECI 3000 MW APRAPL</t>
  </si>
  <si>
    <t>Delayed Payment Surcharge</t>
  </si>
  <si>
    <r>
      <t>Transmission Cost</t>
    </r>
    <r>
      <rPr>
        <sz val="8"/>
        <rFont val="Cambria"/>
        <family val="1"/>
        <scheme val="major"/>
      </rPr>
      <t xml:space="preserve"> refers to the transmission cost borne by the licensee to serve the consumers within the area of the supply and not availing supply under Open Access</t>
    </r>
  </si>
  <si>
    <r>
      <t>SLDC cost</t>
    </r>
    <r>
      <rPr>
        <sz val="8"/>
        <rFont val="Cambria"/>
        <family val="1"/>
        <scheme val="major"/>
      </rPr>
      <t xml:space="preserve"> refers to the SLDC Charges paid to serve the consumers within the area of the supply and not availing supply under Open Access</t>
    </r>
  </si>
  <si>
    <r>
      <t>Distribution Cost</t>
    </r>
    <r>
      <rPr>
        <sz val="8"/>
        <rFont val="Cambria"/>
        <family val="1"/>
        <scheme val="major"/>
      </rPr>
      <t xml:space="preserve"> refers to the distribution cost borne by the licensee to serve the consumers within the area of the supply and not availing supply under Open Access</t>
    </r>
  </si>
  <si>
    <t xml:space="preserve">NCE Generation </t>
  </si>
  <si>
    <t>Plant wise NCE Generation and Cost Details for Base Year. The Total should be consistent with values provided in Form 1.4 under NCE.</t>
  </si>
  <si>
    <t>Total Bio-mass</t>
  </si>
  <si>
    <t>Total Bagasse</t>
  </si>
  <si>
    <t>Total Municipal Waste to Energy</t>
  </si>
  <si>
    <t xml:space="preserve">Total Industrial Waste </t>
  </si>
  <si>
    <t>Total Wind Power</t>
  </si>
  <si>
    <t>Total Mini Hydel</t>
  </si>
  <si>
    <t xml:space="preserve">Interstate Mini Hydel </t>
  </si>
  <si>
    <t xml:space="preserve">TOTAL- Interstate Mini Hydel </t>
  </si>
  <si>
    <t>NCE-Solar</t>
  </si>
  <si>
    <t>Total NCE - Solar</t>
  </si>
  <si>
    <t>Total NCE - Others</t>
  </si>
  <si>
    <t>arr</t>
  </si>
  <si>
    <t>HT Cat-III (C) (b): PV Solar modules manufacturing industries</t>
  </si>
  <si>
    <t>Any other means of adjustments (FPPCA @0.40 for FY2023-24</t>
  </si>
  <si>
    <t>Purchase from SPDCL &amp; CPDCL</t>
  </si>
  <si>
    <r>
      <t>Power Purchase and Procurement Cost (For Regulated Business</t>
    </r>
    <r>
      <rPr>
        <b/>
        <vertAlign val="superscript"/>
        <sz val="12"/>
        <rFont val="Cambria"/>
        <family val="1"/>
        <scheme val="major"/>
      </rPr>
      <t>#</t>
    </r>
    <r>
      <rPr>
        <b/>
        <sz val="12"/>
        <rFont val="Cambria"/>
        <family val="1"/>
        <scheme val="major"/>
      </rPr>
      <t>)</t>
    </r>
  </si>
  <si>
    <t>Base Year FY 2023-24</t>
  </si>
  <si>
    <t>Form 1.4(i)</t>
  </si>
</sst>
</file>

<file path=xl/styles.xml><?xml version="1.0" encoding="utf-8"?>
<styleSheet xmlns="http://schemas.openxmlformats.org/spreadsheetml/2006/main">
  <numFmts count="35">
    <numFmt numFmtId="5" formatCode="&quot;$&quot;#,##0_);\(&quot;$&quot;#,##0\)"/>
    <numFmt numFmtId="41" formatCode="_(* #,##0_);_(* \(#,##0\);_(* &quot;-&quot;_);_(@_)"/>
    <numFmt numFmtId="44" formatCode="_(&quot;$&quot;* #,##0.00_);_(&quot;$&quot;* \(#,##0.00\);_(&quot;$&quot;* &quot;-&quot;??_);_(@_)"/>
    <numFmt numFmtId="43" formatCode="_(* #,##0.00_);_(* \(#,##0.00\);_(* &quot;-&quot;??_);_(@_)"/>
    <numFmt numFmtId="164" formatCode="_ * #,##0_ ;_ * \-#,##0_ ;_ * &quot;-&quot;_ ;_ @_ "/>
    <numFmt numFmtId="165" formatCode="_ * #,##0.00_ ;_ * \-#,##0.00_ ;_ * &quot;-&quot;??_ ;_ @_ "/>
    <numFmt numFmtId="166" formatCode="_-* #,##0_-;\-* #,##0_-;_-* &quot;-&quot;_-;_-@_-"/>
    <numFmt numFmtId="167" formatCode="_-* #,##0.00_-;\-* #,##0.00_-;_-* &quot;-&quot;??_-;_-@_-"/>
    <numFmt numFmtId="168" formatCode="_(* #,##0_);_(* \(#,##0\);_(* &quot;-&quot;??_);_(@_)"/>
    <numFmt numFmtId="169" formatCode="_(* #,##0_);_(* \(#,##0\);_(* &quot;&quot;??_);_(@_)"/>
    <numFmt numFmtId="170" formatCode="0.0"/>
    <numFmt numFmtId="171" formatCode="_ &quot;\&quot;* #,##0_ ;_ &quot;\&quot;* \-#,##0_ ;_ &quot;\&quot;* &quot;-&quot;_ ;_ @_ "/>
    <numFmt numFmtId="172" formatCode="_ &quot;\&quot;* #,##0.00_ ;_ &quot;\&quot;* \-#,##0.00_ ;_ &quot;\&quot;* &quot;-&quot;??_ ;_ @_ "/>
    <numFmt numFmtId="173" formatCode="&quot;$&quot;#,##0.0000_);\(&quot;$&quot;#,##0.0000\)"/>
    <numFmt numFmtId="174" formatCode="&quot;\&quot;#,##0.00;[Red]\-&quot;\&quot;#,##0.00"/>
    <numFmt numFmtId="175" formatCode="#,##0.0"/>
    <numFmt numFmtId="176" formatCode="#,##0.0_);\(#,##0.0\)"/>
    <numFmt numFmtId="177" formatCode="0\);"/>
    <numFmt numFmtId="178" formatCode="#,##0;[Red]\(#,##0\)"/>
    <numFmt numFmtId="179" formatCode="#,##0.0000_)"/>
    <numFmt numFmtId="180" formatCode="##,##0.000_);\(#,##0.000\)"/>
    <numFmt numFmtId="181" formatCode="0.00_)"/>
    <numFmt numFmtId="182" formatCode="0.000"/>
    <numFmt numFmtId="183" formatCode="&quot;$&quot;#,##0;\-&quot;$&quot;#,##0"/>
    <numFmt numFmtId="184" formatCode="_(&quot;$&quot;* #,##0.0000000_);_(&quot;$&quot;* \(#,##0.0000000\);_(&quot;$&quot;* &quot;-&quot;??_);_(@_)"/>
    <numFmt numFmtId="185" formatCode="0.0000"/>
    <numFmt numFmtId="186" formatCode="_([$€-2]* #,##0.00_);_([$€-2]* \(#,##0.00\);_([$€-2]* &quot;-&quot;??_)"/>
    <numFmt numFmtId="187" formatCode="0.00000"/>
    <numFmt numFmtId="188" formatCode="_(* #,##0.000_);_(* \(#,##0.000\);_(* &quot;-&quot;??_);_(@_)"/>
    <numFmt numFmtId="189" formatCode="#,##0.000_);[Red]\(#,##0.000\)"/>
    <numFmt numFmtId="190" formatCode="_(* #,##0.00_);_(* \(#,##0.00\);_(* \-??_);_(@_)"/>
    <numFmt numFmtId="191" formatCode="0.0%"/>
    <numFmt numFmtId="192" formatCode="_-* #,##0.00\ _k_r_-;\-* #,##0.00\ _k_r_-;_-* &quot;-&quot;??\ _k_r_-;_-@_-"/>
    <numFmt numFmtId="193" formatCode="_(* #,##0.0000_);_(* \(#,##0.0000\);_(* &quot;-&quot;??_);_(@_)"/>
    <numFmt numFmtId="194" formatCode="#,##0.000000000000000"/>
  </numFmts>
  <fonts count="13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8"/>
      <name val="Arial"/>
      <family val="2"/>
    </font>
    <font>
      <b/>
      <sz val="8"/>
      <name val="Arial"/>
      <family val="2"/>
    </font>
    <font>
      <b/>
      <sz val="8"/>
      <name val="Arial"/>
      <family val="2"/>
    </font>
    <font>
      <b/>
      <sz val="8"/>
      <color indexed="9"/>
      <name val="Arial"/>
      <family val="2"/>
    </font>
    <font>
      <u/>
      <sz val="8"/>
      <color indexed="12"/>
      <name val="Arial"/>
      <family val="2"/>
    </font>
    <font>
      <sz val="8"/>
      <color indexed="10"/>
      <name val="Arial"/>
      <family val="2"/>
    </font>
    <font>
      <b/>
      <sz val="8"/>
      <color indexed="9"/>
      <name val="Arial"/>
      <family val="2"/>
    </font>
    <font>
      <b/>
      <sz val="8"/>
      <color indexed="10"/>
      <name val="Arial"/>
      <family val="2"/>
    </font>
    <font>
      <sz val="8"/>
      <color indexed="9"/>
      <name val="Arial"/>
      <family val="2"/>
    </font>
    <font>
      <b/>
      <sz val="10"/>
      <name val="Arial"/>
      <family val="2"/>
    </font>
    <font>
      <b/>
      <sz val="12"/>
      <name val="Arial"/>
      <family val="2"/>
    </font>
    <font>
      <sz val="10"/>
      <name val="Arial"/>
      <family val="2"/>
    </font>
    <font>
      <sz val="11"/>
      <name val="Arial"/>
      <family val="2"/>
    </font>
    <font>
      <u/>
      <sz val="9"/>
      <color indexed="12"/>
      <name val="Arial"/>
      <family val="2"/>
    </font>
    <font>
      <sz val="8"/>
      <color indexed="14"/>
      <name val="Arial"/>
      <family val="2"/>
    </font>
    <font>
      <sz val="10"/>
      <name val="Arial"/>
      <family val="2"/>
    </font>
    <font>
      <sz val="10"/>
      <name val="Arial"/>
      <family val="2"/>
    </font>
    <font>
      <sz val="14"/>
      <name val="AngsanaUPC"/>
      <family val="1"/>
    </font>
    <font>
      <sz val="12"/>
      <name val="¹ÙÅÁÃ¼"/>
      <family val="1"/>
      <charset val="129"/>
    </font>
    <font>
      <sz val="12"/>
      <name val="Helv"/>
    </font>
    <font>
      <sz val="8"/>
      <name val="Times New Roman"/>
      <family val="1"/>
    </font>
    <font>
      <sz val="12"/>
      <name val="¹ÙÅÁÃ¼"/>
      <charset val="129"/>
    </font>
    <font>
      <sz val="10"/>
      <color indexed="8"/>
      <name val="Verdana"/>
      <family val="2"/>
    </font>
    <font>
      <sz val="12"/>
      <name val="Arial"/>
      <family val="2"/>
    </font>
    <font>
      <sz val="10"/>
      <name val="MS Serif"/>
      <family val="1"/>
    </font>
    <font>
      <sz val="10"/>
      <name val="Courier"/>
      <family val="3"/>
    </font>
    <font>
      <sz val="11"/>
      <name val="Book Antiqua"/>
      <family val="1"/>
    </font>
    <font>
      <sz val="10"/>
      <color indexed="16"/>
      <name val="MS Serif"/>
      <family val="1"/>
    </font>
    <font>
      <sz val="10"/>
      <name val="Arial"/>
      <family val="2"/>
      <charset val="1"/>
    </font>
    <font>
      <sz val="10"/>
      <color indexed="10"/>
      <name val="Arial"/>
      <family val="2"/>
    </font>
    <font>
      <sz val="12"/>
      <color indexed="9"/>
      <name val="Helv"/>
    </font>
    <font>
      <sz val="7"/>
      <name val="Small Fonts"/>
      <family val="2"/>
    </font>
    <font>
      <b/>
      <i/>
      <sz val="16"/>
      <name val="Helv"/>
    </font>
    <font>
      <b/>
      <sz val="10"/>
      <name val="Arial CE"/>
      <family val="2"/>
      <charset val="238"/>
    </font>
    <font>
      <sz val="10"/>
      <name val="Tms Rmn"/>
    </font>
    <font>
      <sz val="10"/>
      <name val="MS Sans Serif"/>
      <family val="2"/>
    </font>
    <font>
      <u/>
      <sz val="9"/>
      <color indexed="36"/>
      <name val="Arial"/>
      <family val="2"/>
    </font>
    <font>
      <sz val="10"/>
      <color indexed="8"/>
      <name val="Arial"/>
      <family val="2"/>
    </font>
    <font>
      <b/>
      <sz val="8"/>
      <color indexed="8"/>
      <name val="Helv"/>
    </font>
    <font>
      <sz val="11"/>
      <color indexed="8"/>
      <name val="Calibri"/>
      <family val="2"/>
    </font>
    <font>
      <sz val="11"/>
      <color indexed="8"/>
      <name val="Calibri"/>
      <family val="2"/>
    </font>
    <font>
      <sz val="11"/>
      <color indexed="8"/>
      <name val="Calibri"/>
      <family val="2"/>
      <charset val="1"/>
    </font>
    <font>
      <sz val="10"/>
      <name val="Arial"/>
      <family val="2"/>
    </font>
    <font>
      <sz val="11"/>
      <color indexed="8"/>
      <name val="Calibri"/>
      <family val="2"/>
    </font>
    <font>
      <sz val="10"/>
      <color indexed="8"/>
      <name val="MS Shell Dlg 2"/>
      <charset val="1"/>
    </font>
    <font>
      <sz val="12"/>
      <color indexed="8"/>
      <name val="Calibri"/>
      <family val="2"/>
    </font>
    <font>
      <sz val="11"/>
      <color theme="1"/>
      <name val="Calibri"/>
      <family val="2"/>
      <scheme val="minor"/>
    </font>
    <font>
      <sz val="12"/>
      <color theme="1"/>
      <name val="Calibri"/>
      <family val="2"/>
      <scheme val="minor"/>
    </font>
    <font>
      <sz val="10"/>
      <name val="Arial"/>
      <family val="2"/>
    </font>
    <font>
      <b/>
      <sz val="11"/>
      <color indexed="9"/>
      <name val="Calibri"/>
      <family val="2"/>
    </font>
    <font>
      <b/>
      <sz val="11"/>
      <color indexed="8"/>
      <name val="Calibri"/>
      <family val="2"/>
    </font>
    <font>
      <sz val="11"/>
      <color indexed="9"/>
      <name val="Calibri"/>
      <family val="2"/>
    </font>
    <font>
      <sz val="11"/>
      <color indexed="20"/>
      <name val="Calibri"/>
      <family val="2"/>
    </font>
    <font>
      <b/>
      <sz val="11"/>
      <color indexed="52"/>
      <name val="Calibri"/>
      <family val="2"/>
    </font>
    <font>
      <sz val="11"/>
      <color theme="1"/>
      <name val="Times New Roman"/>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2"/>
      <color theme="1"/>
      <name val="Times New Roman"/>
      <family val="2"/>
    </font>
    <font>
      <b/>
      <sz val="11"/>
      <color indexed="63"/>
      <name val="Calibri"/>
      <family val="2"/>
    </font>
    <font>
      <b/>
      <sz val="18"/>
      <color indexed="56"/>
      <name val="Cambria"/>
      <family val="2"/>
    </font>
    <font>
      <sz val="11"/>
      <color indexed="10"/>
      <name val="Calibri"/>
      <family val="2"/>
    </font>
    <font>
      <sz val="10"/>
      <name val="Arial"/>
      <family val="2"/>
    </font>
    <font>
      <b/>
      <sz val="8"/>
      <name val="Cambria"/>
      <family val="1"/>
      <scheme val="major"/>
    </font>
    <font>
      <sz val="8"/>
      <name val="Cambria"/>
      <family val="1"/>
      <scheme val="major"/>
    </font>
    <font>
      <b/>
      <sz val="8"/>
      <color indexed="9"/>
      <name val="Cambria"/>
      <family val="1"/>
      <scheme val="major"/>
    </font>
    <font>
      <u/>
      <sz val="10"/>
      <color indexed="12"/>
      <name val="Cambria"/>
      <family val="1"/>
      <scheme val="major"/>
    </font>
    <font>
      <sz val="10"/>
      <color theme="1"/>
      <name val="Cambria"/>
      <family val="1"/>
      <scheme val="major"/>
    </font>
    <font>
      <b/>
      <sz val="9"/>
      <name val="Cambria"/>
      <family val="1"/>
      <scheme val="major"/>
    </font>
    <font>
      <sz val="9"/>
      <name val="Cambria"/>
      <family val="1"/>
      <scheme val="major"/>
    </font>
    <font>
      <b/>
      <sz val="9"/>
      <color indexed="9"/>
      <name val="Cambria"/>
      <family val="1"/>
      <scheme val="major"/>
    </font>
    <font>
      <u/>
      <sz val="9"/>
      <color indexed="12"/>
      <name val="Cambria"/>
      <family val="1"/>
      <scheme val="major"/>
    </font>
    <font>
      <sz val="9"/>
      <color theme="1"/>
      <name val="Cambria"/>
      <family val="1"/>
      <scheme val="major"/>
    </font>
    <font>
      <sz val="10"/>
      <name val="Cambria"/>
      <family val="1"/>
      <scheme val="major"/>
    </font>
    <font>
      <b/>
      <sz val="10"/>
      <name val="Cambria"/>
      <family val="1"/>
      <scheme val="major"/>
    </font>
    <font>
      <u/>
      <sz val="8"/>
      <color indexed="12"/>
      <name val="Cambria"/>
      <family val="1"/>
      <scheme val="major"/>
    </font>
    <font>
      <sz val="8"/>
      <color indexed="9"/>
      <name val="Cambria"/>
      <family val="1"/>
      <scheme val="major"/>
    </font>
    <font>
      <b/>
      <sz val="8"/>
      <color theme="0"/>
      <name val="Cambria"/>
      <family val="1"/>
      <scheme val="major"/>
    </font>
    <font>
      <b/>
      <sz val="8"/>
      <color indexed="10"/>
      <name val="Cambria"/>
      <family val="1"/>
      <scheme val="major"/>
    </font>
    <font>
      <b/>
      <sz val="10"/>
      <color theme="0"/>
      <name val="Cambria"/>
      <family val="1"/>
      <scheme val="major"/>
    </font>
    <font>
      <b/>
      <sz val="8"/>
      <color indexed="8"/>
      <name val="Cambria"/>
      <family val="1"/>
      <scheme val="major"/>
    </font>
    <font>
      <sz val="8"/>
      <color indexed="8"/>
      <name val="Cambria"/>
      <family val="1"/>
      <scheme val="major"/>
    </font>
    <font>
      <sz val="8"/>
      <color theme="1"/>
      <name val="Cambria"/>
      <family val="1"/>
      <scheme val="major"/>
    </font>
    <font>
      <b/>
      <sz val="11"/>
      <name val="Cambria"/>
      <family val="1"/>
      <scheme val="major"/>
    </font>
    <font>
      <sz val="11"/>
      <name val="Cambria"/>
      <family val="1"/>
      <scheme val="major"/>
    </font>
    <font>
      <b/>
      <sz val="10"/>
      <color indexed="9"/>
      <name val="Cambria"/>
      <family val="1"/>
      <scheme val="major"/>
    </font>
    <font>
      <b/>
      <sz val="8"/>
      <color theme="1"/>
      <name val="Cambria"/>
      <family val="1"/>
      <scheme val="major"/>
    </font>
    <font>
      <sz val="8"/>
      <color indexed="10"/>
      <name val="Cambria"/>
      <family val="1"/>
      <scheme val="major"/>
    </font>
    <font>
      <b/>
      <sz val="8"/>
      <color theme="2"/>
      <name val="Cambria"/>
      <family val="1"/>
      <scheme val="major"/>
    </font>
    <font>
      <sz val="10"/>
      <color indexed="9"/>
      <name val="Cambria"/>
      <family val="1"/>
      <scheme val="major"/>
    </font>
    <font>
      <b/>
      <sz val="10"/>
      <color indexed="8"/>
      <name val="Cambria"/>
      <family val="1"/>
      <scheme val="major"/>
    </font>
    <font>
      <sz val="10"/>
      <color indexed="8"/>
      <name val="Cambria"/>
      <family val="1"/>
      <scheme val="major"/>
    </font>
    <font>
      <sz val="8"/>
      <color indexed="48"/>
      <name val="Cambria"/>
      <family val="1"/>
      <scheme val="major"/>
    </font>
    <font>
      <b/>
      <sz val="10"/>
      <color theme="1"/>
      <name val="Cambria"/>
      <family val="1"/>
      <scheme val="major"/>
    </font>
    <font>
      <sz val="10"/>
      <color indexed="10"/>
      <name val="Cambria"/>
      <family val="1"/>
      <scheme val="major"/>
    </font>
    <font>
      <sz val="10"/>
      <color theme="0"/>
      <name val="Cambria"/>
      <family val="1"/>
      <scheme val="major"/>
    </font>
    <font>
      <vertAlign val="superscript"/>
      <sz val="10"/>
      <name val="Cambria"/>
      <family val="1"/>
      <scheme val="major"/>
    </font>
    <font>
      <sz val="10"/>
      <color rgb="FF000000"/>
      <name val="Cambria"/>
      <family val="1"/>
      <scheme val="major"/>
    </font>
    <font>
      <b/>
      <vertAlign val="superscript"/>
      <sz val="10"/>
      <name val="Cambria"/>
      <family val="1"/>
      <scheme val="major"/>
    </font>
    <font>
      <sz val="12"/>
      <name val="Cambria"/>
      <family val="1"/>
      <scheme val="major"/>
    </font>
    <font>
      <sz val="14"/>
      <name val="Cambria"/>
      <family val="1"/>
      <scheme val="major"/>
    </font>
    <font>
      <sz val="12"/>
      <color rgb="FF000000"/>
      <name val="Calibri"/>
      <family val="2"/>
    </font>
    <font>
      <b/>
      <sz val="8"/>
      <color rgb="FFFF0000"/>
      <name val="Cambria"/>
      <family val="1"/>
      <scheme val="major"/>
    </font>
    <font>
      <sz val="10"/>
      <name val="Arial"/>
      <family val="2"/>
    </font>
    <font>
      <sz val="8"/>
      <color rgb="FFFF0000"/>
      <name val="Cambria"/>
      <family val="1"/>
      <scheme val="major"/>
    </font>
    <font>
      <sz val="9"/>
      <color indexed="8"/>
      <name val="Cambria"/>
      <family val="1"/>
      <scheme val="major"/>
    </font>
    <font>
      <sz val="9"/>
      <name val="Arial"/>
      <family val="2"/>
    </font>
    <font>
      <b/>
      <sz val="10"/>
      <color theme="5"/>
      <name val="Cambria"/>
      <family val="1"/>
      <scheme val="major"/>
    </font>
    <font>
      <b/>
      <sz val="10"/>
      <color indexed="10"/>
      <name val="Cambria"/>
      <family val="1"/>
      <scheme val="major"/>
    </font>
    <font>
      <sz val="12"/>
      <name val="Cambria"/>
      <family val="2"/>
      <scheme val="major"/>
    </font>
    <font>
      <sz val="11"/>
      <name val="Calibri"/>
      <family val="2"/>
    </font>
    <font>
      <b/>
      <sz val="12"/>
      <name val="Cambria"/>
      <family val="1"/>
      <scheme val="major"/>
    </font>
    <font>
      <b/>
      <vertAlign val="superscript"/>
      <sz val="12"/>
      <name val="Cambria"/>
      <family val="1"/>
      <scheme val="major"/>
    </font>
    <font>
      <b/>
      <sz val="12"/>
      <color indexed="8"/>
      <name val="Cambria"/>
      <family val="1"/>
      <scheme val="major"/>
    </font>
    <font>
      <sz val="8"/>
      <color rgb="FF000000"/>
      <name val="Cambria"/>
      <family val="1"/>
      <scheme val="major"/>
    </font>
    <font>
      <sz val="9"/>
      <color rgb="FF000000"/>
      <name val="Cambria"/>
      <family val="1"/>
      <scheme val="major"/>
    </font>
    <font>
      <b/>
      <sz val="11"/>
      <color theme="1"/>
      <name val="Cambria"/>
      <family val="1"/>
      <scheme val="major"/>
    </font>
    <font>
      <u/>
      <sz val="10"/>
      <name val="Cambria"/>
      <family val="1"/>
      <scheme val="major"/>
    </font>
  </fonts>
  <fills count="63">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15"/>
      </patternFill>
    </fill>
    <fill>
      <patternFill patternType="solid">
        <fgColor indexed="12"/>
      </patternFill>
    </fill>
    <fill>
      <patternFill patternType="solid">
        <fgColor indexed="23"/>
        <bgColor indexed="64"/>
      </patternFill>
    </fill>
    <fill>
      <patternFill patternType="solid">
        <fgColor indexed="43"/>
        <bgColor indexed="64"/>
      </patternFill>
    </fill>
    <fill>
      <patternFill patternType="solid">
        <fgColor indexed="55"/>
        <bgColor indexed="64"/>
      </patternFill>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3"/>
        <bgColor indexed="64"/>
      </patternFill>
    </fill>
    <fill>
      <patternFill patternType="solid">
        <fgColor indexed="27"/>
        <bgColor indexed="8"/>
      </patternFill>
    </fill>
    <fill>
      <patternFill patternType="solid">
        <fgColor indexed="9"/>
        <bgColor indexed="8"/>
      </patternFill>
    </fill>
    <fill>
      <patternFill patternType="solid">
        <fgColor indexed="36"/>
        <bgColor indexed="8"/>
      </patternFill>
    </fill>
    <fill>
      <patternFill patternType="solid">
        <fgColor indexed="44"/>
        <bgColor indexed="8"/>
      </patternFill>
    </fill>
    <fill>
      <patternFill patternType="solid">
        <fgColor indexed="29"/>
        <bgColor indexed="8"/>
      </patternFill>
    </fill>
    <fill>
      <patternFill patternType="solid">
        <fgColor indexed="36"/>
        <bgColor indexed="64"/>
      </patternFill>
    </fill>
    <fill>
      <patternFill patternType="solid">
        <fgColor indexed="29"/>
        <bgColor indexed="64"/>
      </patternFill>
    </fill>
    <fill>
      <patternFill patternType="solid">
        <fgColor indexed="51"/>
        <bgColor indexed="64"/>
      </patternFill>
    </fill>
    <fill>
      <patternFill patternType="solid">
        <fgColor theme="0" tint="-0.499984740745262"/>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bgColor indexed="64"/>
      </patternFill>
    </fill>
    <fill>
      <patternFill patternType="solid">
        <fgColor theme="0"/>
        <bgColor indexed="8"/>
      </patternFill>
    </fill>
    <fill>
      <patternFill patternType="solid">
        <fgColor rgb="FFFFFF00"/>
        <bgColor indexed="64"/>
      </patternFill>
    </fill>
    <fill>
      <patternFill patternType="solid">
        <fgColor theme="8" tint="0.59999389629810485"/>
        <bgColor indexed="64"/>
      </patternFill>
    </fill>
    <fill>
      <patternFill patternType="solid">
        <fgColor rgb="FFFFC000"/>
        <bgColor indexed="8"/>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bgColor indexed="64"/>
      </patternFill>
    </fill>
    <fill>
      <patternFill patternType="solid">
        <fgColor indexed="43"/>
      </patternFill>
    </fill>
    <fill>
      <patternFill patternType="solid">
        <fgColor indexed="26"/>
      </patternFill>
    </fill>
    <fill>
      <patternFill patternType="solid">
        <fgColor rgb="FF92D050"/>
        <bgColor rgb="FFFFFFFF"/>
      </patternFill>
    </fill>
    <fill>
      <patternFill patternType="solid">
        <fgColor rgb="FFFFFFFF"/>
        <bgColor rgb="FFFFFFFF"/>
      </patternFill>
    </fill>
    <fill>
      <patternFill patternType="solid">
        <fgColor rgb="FFFFC000"/>
        <bgColor rgb="FFFFFFFF"/>
      </patternFill>
    </fill>
    <fill>
      <patternFill patternType="solid">
        <fgColor rgb="FF92D050"/>
        <bgColor indexed="64"/>
      </patternFill>
    </fill>
    <fill>
      <patternFill patternType="solid">
        <fgColor rgb="FFFFFF00"/>
        <bgColor indexed="8"/>
      </patternFill>
    </fill>
    <fill>
      <patternFill patternType="solid">
        <fgColor theme="5" tint="0.59999389629810485"/>
        <bgColor indexed="64"/>
      </patternFill>
    </fill>
    <fill>
      <patternFill patternType="solid">
        <fgColor theme="9" tint="0.59999389629810485"/>
        <bgColor indexed="64"/>
      </patternFill>
    </fill>
    <fill>
      <patternFill patternType="solid">
        <fgColor theme="2" tint="-0.249977111117893"/>
        <bgColor indexed="64"/>
      </patternFill>
    </fill>
  </fills>
  <borders count="81">
    <border>
      <left/>
      <right/>
      <top/>
      <bottom/>
      <diagonal/>
    </border>
    <border>
      <left/>
      <right/>
      <top style="medium">
        <color indexed="64"/>
      </top>
      <bottom/>
      <diagonal/>
    </border>
    <border>
      <left style="thin">
        <color indexed="64"/>
      </left>
      <right style="thin">
        <color indexed="64"/>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medium">
        <color indexed="64"/>
      </right>
      <top style="thin">
        <color indexed="64"/>
      </top>
      <bottom/>
      <diagonal/>
    </border>
    <border>
      <left/>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style="medium">
        <color indexed="64"/>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64"/>
      </top>
      <bottom style="medium">
        <color indexed="64"/>
      </bottom>
      <diagonal/>
    </border>
    <border>
      <left style="thin">
        <color indexed="8"/>
      </left>
      <right style="thin">
        <color indexed="8"/>
      </right>
      <top/>
      <bottom style="thin">
        <color indexed="8"/>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s>
  <cellStyleXfs count="30002">
    <xf numFmtId="0" fontId="0" fillId="0" borderId="0"/>
    <xf numFmtId="9" fontId="28" fillId="0" borderId="0"/>
    <xf numFmtId="171" fontId="29" fillId="0" borderId="0" applyFont="0" applyFill="0" applyBorder="0" applyAlignment="0" applyProtection="0"/>
    <xf numFmtId="172" fontId="29" fillId="0" borderId="0" applyFont="0" applyFill="0" applyBorder="0" applyAlignment="0" applyProtection="0"/>
    <xf numFmtId="0" fontId="30" fillId="0" borderId="0"/>
    <xf numFmtId="0" fontId="31" fillId="0" borderId="0">
      <alignment horizontal="center" vertical="top" wrapText="1"/>
      <protection locked="0"/>
    </xf>
    <xf numFmtId="164" fontId="29" fillId="0" borderId="0" applyFont="0" applyFill="0" applyBorder="0" applyAlignment="0" applyProtection="0"/>
    <xf numFmtId="165" fontId="29" fillId="0" borderId="0" applyFont="0" applyFill="0" applyBorder="0" applyAlignment="0" applyProtection="0"/>
    <xf numFmtId="0" fontId="32" fillId="0" borderId="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43" fontId="9" fillId="0" borderId="0" applyFont="0" applyFill="0" applyBorder="0" applyAlignment="0" applyProtection="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43"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5" fontId="50" fillId="0" borderId="0" applyFont="0" applyFill="0" applyBorder="0" applyAlignment="0" applyProtection="0"/>
    <xf numFmtId="5" fontId="8" fillId="0" borderId="0" applyFont="0" applyFill="0" applyBorder="0" applyAlignment="0" applyProtection="0"/>
    <xf numFmtId="5" fontId="8" fillId="0" borderId="0" applyFont="0" applyFill="0" applyBorder="0" applyAlignment="0" applyProtection="0"/>
    <xf numFmtId="5" fontId="8" fillId="0" borderId="0" applyFont="0" applyFill="0" applyBorder="0" applyAlignment="0" applyProtection="0"/>
    <xf numFmtId="5" fontId="8" fillId="0" borderId="0" applyFont="0" applyFill="0" applyBorder="0" applyAlignment="0" applyProtection="0"/>
    <xf numFmtId="5" fontId="8" fillId="0" borderId="0" applyFont="0" applyFill="0" applyBorder="0" applyAlignment="0" applyProtection="0"/>
    <xf numFmtId="5" fontId="8" fillId="0" borderId="0" applyFont="0" applyFill="0" applyBorder="0" applyAlignment="0" applyProtection="0"/>
    <xf numFmtId="5" fontId="8" fillId="0" borderId="0" applyFont="0" applyFill="0" applyBorder="0" applyAlignment="0" applyProtection="0"/>
    <xf numFmtId="5" fontId="8" fillId="0" borderId="0" applyFont="0" applyFill="0" applyBorder="0" applyAlignment="0" applyProtection="0"/>
    <xf numFmtId="5" fontId="8" fillId="0" borderId="0" applyFont="0" applyFill="0" applyBorder="0" applyAlignment="0" applyProtection="0"/>
    <xf numFmtId="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5" fontId="8" fillId="0" borderId="0" applyFont="0" applyFill="0" applyBorder="0" applyAlignment="0" applyProtection="0"/>
    <xf numFmtId="5" fontId="8" fillId="0" borderId="0" applyFont="0" applyFill="0" applyBorder="0" applyAlignment="0" applyProtection="0"/>
    <xf numFmtId="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5" fontId="8" fillId="0" borderId="0" applyFont="0" applyFill="0" applyBorder="0" applyAlignment="0" applyProtection="0"/>
    <xf numFmtId="43" fontId="9" fillId="0" borderId="0" applyFont="0" applyFill="0" applyBorder="0" applyAlignment="0" applyProtection="0"/>
    <xf numFmtId="17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33" fillId="0" borderId="0" applyFont="0" applyFill="0" applyBorder="0" applyAlignment="0" applyProtection="0"/>
    <xf numFmtId="43" fontId="9"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165" fontId="9"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165" fontId="9" fillId="0" borderId="0" applyFont="0" applyFill="0" applyBorder="0" applyAlignment="0" applyProtection="0"/>
    <xf numFmtId="174"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4" fontId="9" fillId="0" borderId="0" applyFont="0" applyFill="0" applyBorder="0" applyAlignment="0" applyProtection="0"/>
    <xf numFmtId="174" fontId="9" fillId="0" borderId="0" applyFont="0" applyFill="0" applyBorder="0" applyAlignment="0" applyProtection="0"/>
    <xf numFmtId="174" fontId="9" fillId="0" borderId="0" applyFont="0" applyFill="0" applyBorder="0" applyAlignment="0" applyProtection="0"/>
    <xf numFmtId="174" fontId="9" fillId="0" borderId="0" applyFont="0" applyFill="0" applyBorder="0" applyAlignment="0" applyProtection="0"/>
    <xf numFmtId="174" fontId="9" fillId="0" borderId="0" applyFont="0" applyFill="0" applyBorder="0" applyAlignment="0" applyProtection="0"/>
    <xf numFmtId="174"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9" fillId="0" borderId="0" applyFont="0" applyFill="0" applyBorder="0" applyAlignment="0" applyProtection="0"/>
    <xf numFmtId="43" fontId="34" fillId="0" borderId="0" applyFont="0" applyFill="0" applyBorder="0" applyAlignment="0" applyProtection="0"/>
    <xf numFmtId="43" fontId="9" fillId="0" borderId="0" applyFont="0" applyFill="0" applyBorder="0" applyAlignment="0" applyProtection="0"/>
    <xf numFmtId="43" fontId="34" fillId="0" borderId="0" applyFont="0" applyFill="0" applyBorder="0" applyAlignment="0" applyProtection="0"/>
    <xf numFmtId="165" fontId="34" fillId="0" borderId="0" applyFont="0" applyFill="0" applyBorder="0" applyAlignment="0" applyProtection="0"/>
    <xf numFmtId="165" fontId="9" fillId="0" borderId="0" applyFont="0" applyFill="0" applyBorder="0" applyAlignment="0" applyProtection="0"/>
    <xf numFmtId="165" fontId="34" fillId="0" borderId="0" applyFont="0" applyFill="0" applyBorder="0" applyAlignment="0" applyProtection="0"/>
    <xf numFmtId="43" fontId="34" fillId="0" borderId="0" applyFont="0" applyFill="0" applyBorder="0" applyAlignment="0" applyProtection="0"/>
    <xf numFmtId="165" fontId="34" fillId="0" borderId="0" applyFont="0" applyFill="0" applyBorder="0" applyAlignment="0" applyProtection="0"/>
    <xf numFmtId="43" fontId="34" fillId="0" borderId="0" applyFont="0" applyFill="0" applyBorder="0" applyAlignment="0" applyProtection="0"/>
    <xf numFmtId="165" fontId="34" fillId="0" borderId="0" applyFont="0" applyFill="0" applyBorder="0" applyAlignment="0" applyProtection="0"/>
    <xf numFmtId="43" fontId="34" fillId="0" borderId="0" applyFont="0" applyFill="0" applyBorder="0" applyAlignment="0" applyProtection="0"/>
    <xf numFmtId="165" fontId="34" fillId="0" borderId="0" applyFont="0" applyFill="0" applyBorder="0" applyAlignment="0" applyProtection="0"/>
    <xf numFmtId="43" fontId="34" fillId="0" borderId="0" applyFont="0" applyFill="0" applyBorder="0" applyAlignment="0" applyProtection="0"/>
    <xf numFmtId="165" fontId="34" fillId="0" borderId="0" applyFont="0" applyFill="0" applyBorder="0" applyAlignment="0" applyProtection="0"/>
    <xf numFmtId="43" fontId="34" fillId="0" borderId="0" applyFont="0" applyFill="0" applyBorder="0" applyAlignment="0" applyProtection="0"/>
    <xf numFmtId="165" fontId="34" fillId="0" borderId="0" applyFont="0" applyFill="0" applyBorder="0" applyAlignment="0" applyProtection="0"/>
    <xf numFmtId="43" fontId="34" fillId="0" borderId="0" applyFont="0" applyFill="0" applyBorder="0" applyAlignment="0" applyProtection="0"/>
    <xf numFmtId="165" fontId="34" fillId="0" borderId="0" applyFont="0" applyFill="0" applyBorder="0" applyAlignment="0" applyProtection="0"/>
    <xf numFmtId="165"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33" fillId="0" borderId="0" applyFont="0" applyFill="0" applyBorder="0" applyAlignment="0" applyProtection="0"/>
    <xf numFmtId="43" fontId="9"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165" fontId="9"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165"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9" fillId="0" borderId="0" applyFont="0" applyFill="0" applyBorder="0" applyAlignment="0" applyProtection="0"/>
    <xf numFmtId="43" fontId="33" fillId="0" borderId="0" applyFont="0" applyFill="0" applyBorder="0" applyAlignment="0" applyProtection="0"/>
    <xf numFmtId="43" fontId="9"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165" fontId="9"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43" fontId="33" fillId="0" borderId="0" applyFont="0" applyFill="0" applyBorder="0" applyAlignment="0" applyProtection="0"/>
    <xf numFmtId="165" fontId="33" fillId="0" borderId="0" applyFont="0" applyFill="0" applyBorder="0" applyAlignment="0" applyProtection="0"/>
    <xf numFmtId="165"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54"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54"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5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43"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0" fontId="35" fillId="0" borderId="0" applyNumberFormat="0" applyAlignment="0">
      <alignment horizontal="left"/>
    </xf>
    <xf numFmtId="0" fontId="36" fillId="0" borderId="0" applyNumberFormat="0" applyAlignment="0"/>
    <xf numFmtId="15" fontId="37" fillId="0" borderId="1"/>
    <xf numFmtId="0" fontId="30" fillId="0" borderId="0"/>
    <xf numFmtId="0" fontId="30" fillId="0" borderId="0"/>
    <xf numFmtId="0" fontId="30" fillId="0" borderId="0"/>
    <xf numFmtId="0" fontId="38" fillId="0" borderId="0" applyNumberFormat="0" applyAlignment="0">
      <alignment horizontal="left"/>
    </xf>
    <xf numFmtId="0" fontId="39" fillId="0" borderId="0"/>
    <xf numFmtId="175" fontId="40" fillId="0" borderId="2">
      <alignment horizontal="right"/>
    </xf>
    <xf numFmtId="38" fontId="11" fillId="2" borderId="0" applyNumberFormat="0" applyBorder="0" applyAlignment="0" applyProtection="0"/>
    <xf numFmtId="0" fontId="21" fillId="0" borderId="3" applyNumberFormat="0" applyAlignment="0" applyProtection="0">
      <alignment horizontal="left"/>
    </xf>
    <xf numFmtId="0" fontId="21" fillId="0" borderId="3" applyNumberFormat="0" applyAlignment="0" applyProtection="0">
      <alignment horizontal="left" vertical="center"/>
    </xf>
    <xf numFmtId="0" fontId="21" fillId="0" borderId="3" applyNumberFormat="0" applyAlignment="0" applyProtection="0">
      <alignment horizontal="left"/>
    </xf>
    <xf numFmtId="0" fontId="21" fillId="0" borderId="3" applyNumberFormat="0" applyAlignment="0" applyProtection="0">
      <alignment horizontal="left" vertical="center"/>
    </xf>
    <xf numFmtId="0" fontId="21" fillId="0" borderId="3" applyNumberFormat="0" applyAlignment="0" applyProtection="0">
      <alignment horizontal="left" vertical="center"/>
    </xf>
    <xf numFmtId="0" fontId="21" fillId="0" borderId="3" applyNumberFormat="0" applyAlignment="0" applyProtection="0">
      <alignment horizontal="left" vertical="center"/>
    </xf>
    <xf numFmtId="0" fontId="21" fillId="0" borderId="3" applyNumberFormat="0" applyAlignment="0" applyProtection="0">
      <alignment horizontal="left" vertical="center"/>
    </xf>
    <xf numFmtId="0" fontId="21" fillId="0" borderId="3" applyNumberFormat="0" applyAlignment="0" applyProtection="0">
      <alignment horizontal="left" vertical="center"/>
    </xf>
    <xf numFmtId="0" fontId="21" fillId="0" borderId="3" applyNumberFormat="0" applyAlignment="0" applyProtection="0">
      <alignment horizontal="left" vertical="center"/>
    </xf>
    <xf numFmtId="0" fontId="21" fillId="0" borderId="3" applyNumberFormat="0" applyAlignment="0" applyProtection="0">
      <alignment horizontal="left" vertical="center"/>
    </xf>
    <xf numFmtId="0" fontId="21" fillId="0" borderId="4">
      <alignment horizontal="left"/>
    </xf>
    <xf numFmtId="0" fontId="21" fillId="0" borderId="4">
      <alignment horizontal="left" vertical="center"/>
    </xf>
    <xf numFmtId="0" fontId="21" fillId="0" borderId="4">
      <alignment horizontal="left"/>
    </xf>
    <xf numFmtId="0" fontId="21" fillId="0" borderId="4">
      <alignment horizontal="left" vertical="center"/>
    </xf>
    <xf numFmtId="0" fontId="21" fillId="0" borderId="4">
      <alignment horizontal="left" vertical="center"/>
    </xf>
    <xf numFmtId="0" fontId="21" fillId="0" borderId="4">
      <alignment horizontal="left" vertical="center"/>
    </xf>
    <xf numFmtId="0" fontId="21" fillId="0" borderId="4">
      <alignment horizontal="left" vertical="center"/>
    </xf>
    <xf numFmtId="0" fontId="21" fillId="0" borderId="4">
      <alignment horizontal="left" vertical="center"/>
    </xf>
    <xf numFmtId="0" fontId="21" fillId="0" borderId="4">
      <alignment horizontal="left" vertical="center"/>
    </xf>
    <xf numFmtId="0" fontId="21" fillId="0" borderId="4">
      <alignment horizontal="left" vertical="center"/>
    </xf>
    <xf numFmtId="0" fontId="10" fillId="0" borderId="0" applyNumberFormat="0" applyFill="0" applyBorder="0" applyAlignment="0" applyProtection="0">
      <alignment vertical="top"/>
      <protection locked="0"/>
    </xf>
    <xf numFmtId="0" fontId="10" fillId="0" borderId="0" applyNumberFormat="0" applyFill="0" applyBorder="0" applyAlignment="0" applyProtection="0"/>
    <xf numFmtId="0" fontId="24" fillId="0" borderId="0" applyNumberFormat="0" applyFill="0" applyBorder="0" applyAlignment="0" applyProtection="0">
      <alignment vertical="top"/>
      <protection locked="0"/>
    </xf>
    <xf numFmtId="10" fontId="11" fillId="3" borderId="5" applyNumberFormat="0" applyBorder="0" applyAlignment="0" applyProtection="0"/>
    <xf numFmtId="176" fontId="30" fillId="4" borderId="0"/>
    <xf numFmtId="176" fontId="41" fillId="5" borderId="0"/>
    <xf numFmtId="177" fontId="9" fillId="0" borderId="0" applyFont="0" applyFill="0" applyBorder="0" applyAlignment="0" applyProtection="0"/>
    <xf numFmtId="178" fontId="9" fillId="0" borderId="0" applyFont="0" applyFill="0" applyBorder="0" applyAlignment="0" applyProtection="0"/>
    <xf numFmtId="179" fontId="9" fillId="0" borderId="0" applyFont="0" applyFill="0" applyBorder="0" applyAlignment="0" applyProtection="0"/>
    <xf numFmtId="180" fontId="9" fillId="0" borderId="0" applyFont="0" applyFill="0" applyBorder="0" applyAlignment="0" applyProtection="0"/>
    <xf numFmtId="37" fontId="42" fillId="0" borderId="0"/>
    <xf numFmtId="181" fontId="43" fillId="0" borderId="0"/>
    <xf numFmtId="182" fontId="9" fillId="0" borderId="0"/>
    <xf numFmtId="181" fontId="43" fillId="0" borderId="0"/>
    <xf numFmtId="182" fontId="9" fillId="0" borderId="0"/>
    <xf numFmtId="182" fontId="9" fillId="0" borderId="0"/>
    <xf numFmtId="182" fontId="9" fillId="0" borderId="0"/>
    <xf numFmtId="182" fontId="9" fillId="0" borderId="0"/>
    <xf numFmtId="182" fontId="9" fillId="0" borderId="0"/>
    <xf numFmtId="182" fontId="9" fillId="0" borderId="0"/>
    <xf numFmtId="182" fontId="9" fillId="0" borderId="0"/>
    <xf numFmtId="0" fontId="30" fillId="0" borderId="0"/>
    <xf numFmtId="0" fontId="30" fillId="0" borderId="0"/>
    <xf numFmtId="0" fontId="30" fillId="0" borderId="0"/>
    <xf numFmtId="0" fontId="30"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9" fillId="0" borderId="0"/>
    <xf numFmtId="0" fontId="9" fillId="0" borderId="0"/>
    <xf numFmtId="0" fontId="9"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57" fillId="0" borderId="0"/>
    <xf numFmtId="0" fontId="57" fillId="0" borderId="0"/>
    <xf numFmtId="0" fontId="57" fillId="0" borderId="0"/>
    <xf numFmtId="0" fontId="57" fillId="0" borderId="0"/>
    <xf numFmtId="0" fontId="57" fillId="0" borderId="0"/>
    <xf numFmtId="0" fontId="57" fillId="0" borderId="0"/>
    <xf numFmtId="0" fontId="9" fillId="0" borderId="0"/>
    <xf numFmtId="0" fontId="57" fillId="0" borderId="0"/>
    <xf numFmtId="0" fontId="57" fillId="0" borderId="0"/>
    <xf numFmtId="0" fontId="57" fillId="0" borderId="0"/>
    <xf numFmtId="0" fontId="57" fillId="0" borderId="0"/>
    <xf numFmtId="0" fontId="48"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48"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57" fillId="0" borderId="0"/>
    <xf numFmtId="0" fontId="9" fillId="0" borderId="0"/>
    <xf numFmtId="0" fontId="57" fillId="0" borderId="0"/>
    <xf numFmtId="0" fontId="57" fillId="0" borderId="0"/>
    <xf numFmtId="0" fontId="9" fillId="0" borderId="0"/>
    <xf numFmtId="0" fontId="57" fillId="0" borderId="0"/>
    <xf numFmtId="0" fontId="57" fillId="0" borderId="0"/>
    <xf numFmtId="0" fontId="57" fillId="0" borderId="0"/>
    <xf numFmtId="0" fontId="57" fillId="0" borderId="0"/>
    <xf numFmtId="0" fontId="57"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57" fillId="0" borderId="0"/>
    <xf numFmtId="0" fontId="9" fillId="0" borderId="0"/>
    <xf numFmtId="0" fontId="9" fillId="0" borderId="0"/>
    <xf numFmtId="0" fontId="57" fillId="0" borderId="0"/>
    <xf numFmtId="0" fontId="57" fillId="0" borderId="0"/>
    <xf numFmtId="0" fontId="57" fillId="0" borderId="0"/>
    <xf numFmtId="0" fontId="57" fillId="0" borderId="0"/>
    <xf numFmtId="0" fontId="57" fillId="0" borderId="0"/>
    <xf numFmtId="0" fontId="57" fillId="0" borderId="0"/>
    <xf numFmtId="0" fontId="9" fillId="0" borderId="0"/>
    <xf numFmtId="0" fontId="57" fillId="0" borderId="0"/>
    <xf numFmtId="0" fontId="9"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2" fillId="0" borderId="0"/>
    <xf numFmtId="0" fontId="9"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57" fillId="0" borderId="0"/>
    <xf numFmtId="0" fontId="9" fillId="0" borderId="0"/>
    <xf numFmtId="0" fontId="9" fillId="0" borderId="0"/>
    <xf numFmtId="0" fontId="9" fillId="0" borderId="0"/>
    <xf numFmtId="0" fontId="57" fillId="0" borderId="0"/>
    <xf numFmtId="0" fontId="9" fillId="0" borderId="0"/>
    <xf numFmtId="0" fontId="9" fillId="0" borderId="0"/>
    <xf numFmtId="0" fontId="57" fillId="0" borderId="0"/>
    <xf numFmtId="0" fontId="9" fillId="0" borderId="0"/>
    <xf numFmtId="0" fontId="57" fillId="0" borderId="0"/>
    <xf numFmtId="0" fontId="2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33"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3" fillId="0" borderId="0"/>
    <xf numFmtId="0" fontId="9"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7" fillId="0" borderId="0"/>
    <xf numFmtId="0" fontId="33" fillId="0" borderId="0"/>
    <xf numFmtId="0" fontId="33" fillId="0" borderId="0"/>
    <xf numFmtId="0" fontId="33" fillId="0" borderId="0"/>
    <xf numFmtId="0" fontId="33" fillId="0" borderId="0"/>
    <xf numFmtId="0" fontId="33" fillId="0" borderId="0"/>
    <xf numFmtId="0" fontId="33"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57" fillId="0" borderId="0"/>
    <xf numFmtId="0" fontId="9" fillId="0" borderId="0"/>
    <xf numFmtId="0" fontId="5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 fillId="0" borderId="0"/>
    <xf numFmtId="0" fontId="57" fillId="0" borderId="0"/>
    <xf numFmtId="0" fontId="57" fillId="0" borderId="0"/>
    <xf numFmtId="0" fontId="57" fillId="0" borderId="0"/>
    <xf numFmtId="0" fontId="57" fillId="0" borderId="0"/>
    <xf numFmtId="0" fontId="57" fillId="0" borderId="0"/>
    <xf numFmtId="0" fontId="9" fillId="0" borderId="0"/>
    <xf numFmtId="0" fontId="9" fillId="0" borderId="0"/>
    <xf numFmtId="0" fontId="57" fillId="0" borderId="0"/>
    <xf numFmtId="0" fontId="57" fillId="0" borderId="0"/>
    <xf numFmtId="0" fontId="57" fillId="0" borderId="0"/>
    <xf numFmtId="0" fontId="57" fillId="0" borderId="0"/>
    <xf numFmtId="0" fontId="57" fillId="0" borderId="0"/>
    <xf numFmtId="0" fontId="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9"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9" fillId="0" borderId="0"/>
    <xf numFmtId="0" fontId="9" fillId="0" borderId="0">
      <alignment vertical="center"/>
    </xf>
    <xf numFmtId="170" fontId="9" fillId="0" borderId="0"/>
    <xf numFmtId="0" fontId="52" fillId="0" borderId="0"/>
    <xf numFmtId="0" fontId="27" fillId="0" borderId="0"/>
    <xf numFmtId="167" fontId="9" fillId="0" borderId="0" applyFont="0" applyFill="0" applyBorder="0" applyAlignment="0" applyProtection="0"/>
    <xf numFmtId="166" fontId="9" fillId="0" borderId="0" applyFont="0" applyFill="0" applyBorder="0" applyAlignment="0" applyProtection="0"/>
    <xf numFmtId="14" fontId="31" fillId="0" borderId="0">
      <alignment horizontal="center" vertical="top" wrapText="1"/>
      <protection locked="0"/>
    </xf>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4"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4" fillId="0" borderId="0" applyFont="0"/>
    <xf numFmtId="183" fontId="45" fillId="0" borderId="0"/>
    <xf numFmtId="0" fontId="46" fillId="0" borderId="0" applyNumberFormat="0" applyFont="0" applyFill="0" applyBorder="0" applyAlignment="0" applyProtection="0">
      <alignment horizontal="left"/>
    </xf>
    <xf numFmtId="184" fontId="9" fillId="0" borderId="0" applyNumberFormat="0" applyFill="0" applyBorder="0" applyAlignment="0" applyProtection="0">
      <alignment horizontal="left"/>
    </xf>
    <xf numFmtId="184" fontId="9" fillId="0" borderId="0" applyNumberFormat="0" applyFill="0" applyBorder="0" applyAlignment="0" applyProtection="0">
      <alignment horizontal="left"/>
    </xf>
    <xf numFmtId="184" fontId="9" fillId="0" borderId="0" applyNumberFormat="0" applyFill="0" applyBorder="0" applyAlignment="0" applyProtection="0">
      <alignment horizontal="left"/>
    </xf>
    <xf numFmtId="184" fontId="9" fillId="0" borderId="0" applyNumberFormat="0" applyFill="0" applyBorder="0" applyAlignment="0" applyProtection="0">
      <alignment horizontal="left"/>
    </xf>
    <xf numFmtId="184" fontId="9" fillId="0" borderId="0" applyNumberFormat="0" applyFill="0" applyBorder="0" applyAlignment="0" applyProtection="0">
      <alignment horizontal="left"/>
    </xf>
    <xf numFmtId="0" fontId="47" fillId="0" borderId="0" applyNumberFormat="0" applyFill="0" applyBorder="0" applyAlignment="0" applyProtection="0">
      <alignment vertical="top"/>
      <protection locked="0"/>
    </xf>
    <xf numFmtId="0" fontId="46" fillId="0" borderId="0"/>
    <xf numFmtId="0" fontId="48" fillId="0" borderId="0"/>
    <xf numFmtId="0" fontId="48" fillId="0" borderId="0"/>
    <xf numFmtId="40" fontId="49" fillId="0" borderId="0" applyBorder="0">
      <alignment horizontal="right"/>
    </xf>
    <xf numFmtId="0" fontId="30" fillId="0" borderId="0"/>
    <xf numFmtId="0" fontId="7" fillId="0" borderId="0"/>
    <xf numFmtId="0" fontId="6"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8" fillId="0" borderId="0" applyFont="0" applyFill="0" applyBorder="0" applyAlignment="0" applyProtection="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5"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9" fillId="0" borderId="0"/>
    <xf numFmtId="0" fontId="4" fillId="0" borderId="0"/>
    <xf numFmtId="5" fontId="8" fillId="0" borderId="0" applyFont="0" applyFill="0" applyBorder="0" applyAlignment="0" applyProtection="0"/>
    <xf numFmtId="43" fontId="8" fillId="0" borderId="0" applyFont="0" applyFill="0" applyBorder="0" applyAlignment="0" applyProtection="0"/>
    <xf numFmtId="0" fontId="4" fillId="0" borderId="0"/>
    <xf numFmtId="43"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4" fillId="0" borderId="0"/>
    <xf numFmtId="0" fontId="4" fillId="0" borderId="0"/>
    <xf numFmtId="0" fontId="4" fillId="0" borderId="0"/>
    <xf numFmtId="43" fontId="8" fillId="0" borderId="0" applyFont="0" applyFill="0" applyBorder="0" applyAlignment="0" applyProtection="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5"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5" fontId="8" fillId="0" borderId="0" applyFont="0" applyFill="0" applyBorder="0" applyAlignment="0" applyProtection="0"/>
    <xf numFmtId="0" fontId="4" fillId="0" borderId="0"/>
    <xf numFmtId="43" fontId="8" fillId="0" borderId="0" applyFont="0" applyFill="0" applyBorder="0" applyAlignment="0" applyProtection="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43"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43" fontId="8" fillId="0" borderId="0" applyFont="0" applyFill="0" applyBorder="0" applyAlignment="0" applyProtection="0"/>
    <xf numFmtId="0" fontId="4" fillId="0" borderId="0"/>
    <xf numFmtId="5"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5"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43" fontId="8" fillId="0" borderId="0" applyFont="0" applyFill="0" applyBorder="0" applyAlignment="0" applyProtection="0"/>
    <xf numFmtId="0" fontId="4" fillId="0" borderId="0"/>
    <xf numFmtId="0" fontId="4" fillId="0" borderId="0"/>
    <xf numFmtId="0" fontId="4"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8" fillId="0" borderId="0" applyFont="0" applyFill="0" applyBorder="0" applyAlignment="0" applyProtection="0"/>
    <xf numFmtId="0" fontId="4" fillId="0" borderId="0"/>
    <xf numFmtId="43" fontId="8" fillId="0" borderId="0" applyFont="0" applyFill="0" applyBorder="0" applyAlignment="0" applyProtection="0"/>
    <xf numFmtId="5" fontId="8" fillId="0" borderId="0" applyFont="0" applyFill="0" applyBorder="0" applyAlignment="0" applyProtection="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5"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43"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8" fillId="0" borderId="0" applyFont="0" applyFill="0" applyBorder="0" applyAlignment="0" applyProtection="0"/>
    <xf numFmtId="0" fontId="4" fillId="0" borderId="0"/>
    <xf numFmtId="0" fontId="4" fillId="0" borderId="0"/>
    <xf numFmtId="0" fontId="9" fillId="0" borderId="0"/>
    <xf numFmtId="0" fontId="4" fillId="0" borderId="0"/>
    <xf numFmtId="0" fontId="4" fillId="0" borderId="0"/>
    <xf numFmtId="0" fontId="9" fillId="0" borderId="0"/>
    <xf numFmtId="0" fontId="4" fillId="0" borderId="0"/>
    <xf numFmtId="0" fontId="4" fillId="0" borderId="0"/>
    <xf numFmtId="0" fontId="4" fillId="0" borderId="0"/>
    <xf numFmtId="5"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43" fontId="8" fillId="0" borderId="0" applyFont="0" applyFill="0" applyBorder="0" applyAlignment="0" applyProtection="0"/>
    <xf numFmtId="0" fontId="4" fillId="0" borderId="0"/>
    <xf numFmtId="0" fontId="4"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4" fillId="0" borderId="0"/>
    <xf numFmtId="5"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5"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43"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43"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8" fillId="0" borderId="0" applyFont="0" applyFill="0" applyBorder="0" applyAlignment="0" applyProtection="0"/>
    <xf numFmtId="43" fontId="8" fillId="0" borderId="0" applyFont="0" applyFill="0" applyBorder="0" applyAlignment="0" applyProtection="0"/>
    <xf numFmtId="0" fontId="4" fillId="0" borderId="0"/>
    <xf numFmtId="0" fontId="4" fillId="0" borderId="0"/>
    <xf numFmtId="43" fontId="8" fillId="0" borderId="0" applyFont="0" applyFill="0" applyBorder="0" applyAlignment="0" applyProtection="0"/>
    <xf numFmtId="0" fontId="4" fillId="0" borderId="0"/>
    <xf numFmtId="0" fontId="4" fillId="0" borderId="0"/>
    <xf numFmtId="0" fontId="4" fillId="0" borderId="0"/>
    <xf numFmtId="5" fontId="8" fillId="0" borderId="0" applyFont="0" applyFill="0" applyBorder="0" applyAlignment="0" applyProtection="0"/>
    <xf numFmtId="0" fontId="4" fillId="0" borderId="0"/>
    <xf numFmtId="0" fontId="4" fillId="0" borderId="0"/>
    <xf numFmtId="0" fontId="4" fillId="0" borderId="0"/>
    <xf numFmtId="0" fontId="9"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8" fillId="0" borderId="0" applyFont="0" applyFill="0" applyBorder="0" applyAlignment="0" applyProtection="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5"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5" fontId="8" fillId="0" borderId="0" applyFont="0" applyFill="0" applyBorder="0" applyAlignment="0" applyProtection="0"/>
    <xf numFmtId="0" fontId="4" fillId="0" borderId="0"/>
    <xf numFmtId="0" fontId="4" fillId="0" borderId="0"/>
    <xf numFmtId="0" fontId="4" fillId="0" borderId="0"/>
    <xf numFmtId="43" fontId="8" fillId="0" borderId="0" applyFont="0" applyFill="0" applyBorder="0" applyAlignment="0" applyProtection="0"/>
    <xf numFmtId="0" fontId="4" fillId="0" borderId="0"/>
    <xf numFmtId="0" fontId="4" fillId="0" borderId="0"/>
    <xf numFmtId="0" fontId="4" fillId="0" borderId="0"/>
    <xf numFmtId="0" fontId="4"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4" fillId="0" borderId="0"/>
    <xf numFmtId="0" fontId="4" fillId="0" borderId="0"/>
    <xf numFmtId="0" fontId="4" fillId="0" borderId="0"/>
    <xf numFmtId="43" fontId="8" fillId="0" borderId="0" applyFont="0" applyFill="0" applyBorder="0" applyAlignment="0" applyProtection="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5"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5" fontId="8" fillId="0" borderId="0" applyFont="0" applyFill="0" applyBorder="0" applyAlignment="0" applyProtection="0"/>
    <xf numFmtId="0" fontId="4" fillId="0" borderId="0"/>
    <xf numFmtId="43" fontId="8" fillId="0" borderId="0" applyFont="0" applyFill="0" applyBorder="0" applyAlignment="0" applyProtection="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8" fillId="0" borderId="0" applyFont="0" applyFill="0" applyBorder="0" applyAlignment="0" applyProtection="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8" fillId="0" borderId="0" applyFont="0" applyFill="0" applyBorder="0" applyAlignment="0" applyProtection="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9" fillId="0" borderId="0" applyFont="0" applyFill="0" applyBorder="0" applyAlignment="0" applyProtection="0"/>
    <xf numFmtId="0" fontId="3" fillId="0" borderId="0"/>
    <xf numFmtId="0" fontId="9" fillId="0" borderId="0"/>
    <xf numFmtId="5"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9" fillId="0" borderId="0" applyFont="0" applyFill="0" applyBorder="0" applyAlignment="0" applyProtection="0"/>
    <xf numFmtId="9" fontId="9" fillId="0" borderId="0" applyFont="0" applyFill="0" applyBorder="0" applyAlignment="0" applyProtection="0"/>
    <xf numFmtId="0" fontId="9" fillId="0" borderId="0" applyNumberFormat="0" applyFont="0" applyFill="0" applyBorder="0" applyAlignment="0" applyProtection="0">
      <alignment vertical="top"/>
    </xf>
    <xf numFmtId="0" fontId="24" fillId="0" borderId="0" applyNumberFormat="0" applyFill="0" applyBorder="0" applyAlignment="0" applyProtection="0">
      <alignment vertical="top"/>
      <protection locked="0"/>
    </xf>
    <xf numFmtId="0" fontId="10" fillId="0" borderId="0" applyNumberFormat="0" applyFill="0" applyBorder="0" applyAlignment="0" applyProtection="0"/>
    <xf numFmtId="0" fontId="39" fillId="0" borderId="0"/>
    <xf numFmtId="186" fontId="9" fillId="0" borderId="0" applyFont="0" applyFill="0" applyBorder="0" applyAlignment="0" applyProtection="0"/>
    <xf numFmtId="0" fontId="38" fillId="0" borderId="0" applyNumberFormat="0" applyAlignment="0">
      <alignment horizontal="left"/>
    </xf>
    <xf numFmtId="44" fontId="9" fillId="0" borderId="0" applyFont="0" applyFill="0" applyBorder="0" applyAlignment="0" applyProtection="0"/>
    <xf numFmtId="0" fontId="36" fillId="0" borderId="0" applyNumberFormat="0" applyAlignment="0"/>
    <xf numFmtId="0" fontId="35" fillId="0" borderId="0" applyNumberFormat="0" applyAlignment="0">
      <alignment horizontal="left"/>
    </xf>
    <xf numFmtId="190" fontId="39" fillId="0" borderId="0"/>
    <xf numFmtId="43" fontId="33" fillId="0" borderId="0" applyFont="0" applyFill="0" applyBorder="0" applyAlignment="0" applyProtection="0"/>
    <xf numFmtId="0" fontId="65" fillId="0" borderId="0" applyFont="0" applyFill="0" applyBorder="0" applyAlignment="0" applyProtection="0"/>
    <xf numFmtId="165" fontId="65" fillId="0" borderId="0" applyFon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61" fillId="0" borderId="76" applyNumberFormat="0" applyFill="0" applyAlignment="0" applyProtection="0"/>
    <xf numFmtId="0" fontId="61" fillId="0" borderId="76" applyNumberFormat="0" applyFill="0" applyAlignment="0" applyProtection="0"/>
    <xf numFmtId="0" fontId="61" fillId="0" borderId="76" applyNumberFormat="0" applyFill="0" applyAlignment="0" applyProtection="0"/>
    <xf numFmtId="0" fontId="61" fillId="0" borderId="76" applyNumberFormat="0" applyFill="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0" fontId="76" fillId="0" borderId="0" applyNumberFormat="0" applyFill="0" applyBorder="0" applyAlignment="0" applyProtection="0"/>
    <xf numFmtId="184" fontId="9" fillId="0" borderId="0" applyNumberFormat="0" applyFill="0" applyBorder="0" applyAlignment="0" applyProtection="0">
      <alignment horizontal="left"/>
    </xf>
    <xf numFmtId="184" fontId="9" fillId="0" borderId="0" applyNumberFormat="0" applyFill="0" applyBorder="0" applyAlignment="0" applyProtection="0">
      <alignment horizontal="left"/>
    </xf>
    <xf numFmtId="184" fontId="9" fillId="0" borderId="0" applyNumberFormat="0" applyFill="0" applyBorder="0" applyAlignment="0" applyProtection="0">
      <alignment horizontal="left"/>
    </xf>
    <xf numFmtId="184" fontId="9" fillId="0" borderId="0" applyNumberFormat="0" applyFill="0" applyBorder="0" applyAlignment="0" applyProtection="0">
      <alignment horizontal="left"/>
    </xf>
    <xf numFmtId="184" fontId="9" fillId="0" borderId="0" applyNumberFormat="0" applyFill="0" applyBorder="0" applyAlignment="0" applyProtection="0">
      <alignment horizontal="left"/>
    </xf>
    <xf numFmtId="184" fontId="9" fillId="0" borderId="0" applyNumberFormat="0" applyFill="0" applyBorder="0" applyAlignment="0" applyProtection="0">
      <alignment horizontal="left"/>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9"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5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4" fontId="31" fillId="0" borderId="0">
      <alignment horizontal="center" wrapText="1"/>
      <protection locked="0"/>
    </xf>
    <xf numFmtId="0" fontId="75" fillId="50" borderId="75" applyNumberFormat="0" applyAlignment="0" applyProtection="0"/>
    <xf numFmtId="0" fontId="75" fillId="50" borderId="75" applyNumberFormat="0" applyAlignment="0" applyProtection="0"/>
    <xf numFmtId="0" fontId="75" fillId="50" borderId="75" applyNumberFormat="0" applyAlignment="0" applyProtection="0"/>
    <xf numFmtId="0" fontId="75" fillId="50" borderId="75" applyNumberFormat="0" applyAlignment="0" applyProtection="0"/>
    <xf numFmtId="0" fontId="8" fillId="54" borderId="74" applyNumberFormat="0" applyFont="0" applyAlignment="0" applyProtection="0"/>
    <xf numFmtId="0" fontId="8" fillId="54" borderId="74" applyNumberFormat="0" applyFont="0" applyAlignment="0" applyProtection="0"/>
    <xf numFmtId="0" fontId="8" fillId="54" borderId="74" applyNumberFormat="0" applyFont="0" applyAlignment="0" applyProtection="0"/>
    <xf numFmtId="0" fontId="8" fillId="54" borderId="74" applyNumberFormat="0" applyFont="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48" fillId="0" borderId="0"/>
    <xf numFmtId="0" fontId="9" fillId="0" borderId="0"/>
    <xf numFmtId="0" fontId="9" fillId="0" borderId="0"/>
    <xf numFmtId="0" fontId="9" fillId="0" borderId="0"/>
    <xf numFmtId="0" fontId="9" fillId="0" borderId="0"/>
    <xf numFmtId="0" fontId="9" fillId="0" borderId="0"/>
    <xf numFmtId="0" fontId="33" fillId="0" borderId="0"/>
    <xf numFmtId="0" fontId="9" fillId="0" borderId="0"/>
    <xf numFmtId="0" fontId="2" fillId="0" borderId="0"/>
    <xf numFmtId="0" fontId="65" fillId="0" borderId="0"/>
    <xf numFmtId="0" fontId="9" fillId="0" borderId="0"/>
    <xf numFmtId="0" fontId="73" fillId="53" borderId="0" applyNumberFormat="0" applyBorder="0" applyAlignment="0" applyProtection="0"/>
    <xf numFmtId="0" fontId="21" fillId="0" borderId="4">
      <alignment horizontal="left"/>
    </xf>
    <xf numFmtId="0" fontId="21" fillId="0" borderId="4">
      <alignment horizontal="left"/>
    </xf>
    <xf numFmtId="0" fontId="21" fillId="0" borderId="4">
      <alignment horizontal="left"/>
    </xf>
    <xf numFmtId="0" fontId="21" fillId="0" borderId="4">
      <alignment horizontal="left" vertical="center"/>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xf>
    <xf numFmtId="0" fontId="21" fillId="0" borderId="3" applyNumberFormat="0" applyAlignment="0" applyProtection="0">
      <alignment horizontal="left" vertical="center"/>
    </xf>
    <xf numFmtId="165" fontId="9"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4" fontId="9" fillId="0" borderId="0" applyFont="0" applyFill="0" applyBorder="0" applyAlignment="0" applyProtection="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9" fontId="9" fillId="0" borderId="0" applyFont="0" applyFill="0" applyBorder="0" applyAlignment="0" applyProtection="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174" fontId="9" fillId="0" borderId="0"/>
    <xf numFmtId="0" fontId="60" fillId="51" borderId="69" applyNumberFormat="0" applyAlignment="0" applyProtection="0"/>
    <xf numFmtId="0" fontId="60" fillId="51" borderId="69" applyNumberFormat="0" applyAlignment="0" applyProtection="0"/>
    <xf numFmtId="0" fontId="60" fillId="51" borderId="69" applyNumberFormat="0" applyAlignment="0" applyProtection="0"/>
    <xf numFmtId="0" fontId="60" fillId="51" borderId="69" applyNumberFormat="0" applyAlignment="0" applyProtection="0"/>
    <xf numFmtId="0" fontId="64" fillId="50" borderId="68" applyNumberFormat="0" applyAlignment="0" applyProtection="0"/>
    <xf numFmtId="0" fontId="64" fillId="50" borderId="68" applyNumberFormat="0" applyAlignment="0" applyProtection="0"/>
    <xf numFmtId="0" fontId="64" fillId="50" borderId="68" applyNumberFormat="0" applyAlignment="0" applyProtection="0"/>
    <xf numFmtId="0" fontId="64" fillId="50" borderId="68" applyNumberFormat="0" applyAlignment="0" applyProtection="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173" fontId="9" fillId="0" borderId="0" applyFill="0" applyBorder="0" applyAlignment="0"/>
    <xf numFmtId="0" fontId="63" fillId="33" borderId="0" applyNumberFormat="0" applyBorder="0" applyAlignment="0" applyProtection="0"/>
    <xf numFmtId="0" fontId="63" fillId="33" borderId="0" applyNumberFormat="0" applyBorder="0" applyAlignment="0" applyProtection="0"/>
    <xf numFmtId="0" fontId="63" fillId="33" borderId="0" applyNumberFormat="0" applyBorder="0" applyAlignment="0" applyProtection="0"/>
    <xf numFmtId="0" fontId="63" fillId="33" borderId="0" applyNumberFormat="0" applyBorder="0" applyAlignment="0" applyProtection="0"/>
    <xf numFmtId="0" fontId="31" fillId="0" borderId="0">
      <alignment horizontal="center" wrapText="1"/>
      <protection locked="0"/>
    </xf>
    <xf numFmtId="0" fontId="62" fillId="49" borderId="0" applyNumberFormat="0" applyBorder="0" applyAlignment="0" applyProtection="0"/>
    <xf numFmtId="0" fontId="62" fillId="49" borderId="0" applyNumberFormat="0" applyBorder="0" applyAlignment="0" applyProtection="0"/>
    <xf numFmtId="0" fontId="62" fillId="49" borderId="0" applyNumberFormat="0" applyBorder="0" applyAlignment="0" applyProtection="0"/>
    <xf numFmtId="0" fontId="62" fillId="49" borderId="0" applyNumberFormat="0" applyBorder="0" applyAlignment="0" applyProtection="0"/>
    <xf numFmtId="0" fontId="62" fillId="44" borderId="0" applyNumberFormat="0" applyBorder="0" applyAlignment="0" applyProtection="0"/>
    <xf numFmtId="0" fontId="62" fillId="44" borderId="0" applyNumberFormat="0" applyBorder="0" applyAlignment="0" applyProtection="0"/>
    <xf numFmtId="0" fontId="62" fillId="44" borderId="0" applyNumberFormat="0" applyBorder="0" applyAlignment="0" applyProtection="0"/>
    <xf numFmtId="0" fontId="62" fillId="44" borderId="0" applyNumberFormat="0" applyBorder="0" applyAlignment="0" applyProtection="0"/>
    <xf numFmtId="0" fontId="62" fillId="43" borderId="0" applyNumberFormat="0" applyBorder="0" applyAlignment="0" applyProtection="0"/>
    <xf numFmtId="0" fontId="62" fillId="43" borderId="0" applyNumberFormat="0" applyBorder="0" applyAlignment="0" applyProtection="0"/>
    <xf numFmtId="0" fontId="62" fillId="43" borderId="0" applyNumberFormat="0" applyBorder="0" applyAlignment="0" applyProtection="0"/>
    <xf numFmtId="0" fontId="62" fillId="43" borderId="0" applyNumberFormat="0" applyBorder="0" applyAlignment="0" applyProtection="0"/>
    <xf numFmtId="0" fontId="62" fillId="48" borderId="0" applyNumberFormat="0" applyBorder="0" applyAlignment="0" applyProtection="0"/>
    <xf numFmtId="0" fontId="62" fillId="48" borderId="0" applyNumberFormat="0" applyBorder="0" applyAlignment="0" applyProtection="0"/>
    <xf numFmtId="0" fontId="62" fillId="48" borderId="0" applyNumberFormat="0" applyBorder="0" applyAlignment="0" applyProtection="0"/>
    <xf numFmtId="0" fontId="62" fillId="48" borderId="0" applyNumberFormat="0" applyBorder="0" applyAlignment="0" applyProtection="0"/>
    <xf numFmtId="0" fontId="62" fillId="47" borderId="0" applyNumberFormat="0" applyBorder="0" applyAlignment="0" applyProtection="0"/>
    <xf numFmtId="0" fontId="62" fillId="47" borderId="0" applyNumberFormat="0" applyBorder="0" applyAlignment="0" applyProtection="0"/>
    <xf numFmtId="0" fontId="62" fillId="47" borderId="0" applyNumberFormat="0" applyBorder="0" applyAlignment="0" applyProtection="0"/>
    <xf numFmtId="0" fontId="62" fillId="47" borderId="0" applyNumberFormat="0" applyBorder="0" applyAlignment="0" applyProtection="0"/>
    <xf numFmtId="0" fontId="62" fillId="46" borderId="0" applyNumberFormat="0" applyBorder="0" applyAlignment="0" applyProtection="0"/>
    <xf numFmtId="0" fontId="62" fillId="46" borderId="0" applyNumberFormat="0" applyBorder="0" applyAlignment="0" applyProtection="0"/>
    <xf numFmtId="0" fontId="62" fillId="46" borderId="0" applyNumberFormat="0" applyBorder="0" applyAlignment="0" applyProtection="0"/>
    <xf numFmtId="0" fontId="62" fillId="46" borderId="0" applyNumberFormat="0" applyBorder="0" applyAlignment="0" applyProtection="0"/>
    <xf numFmtId="0" fontId="62" fillId="45" borderId="0" applyNumberFormat="0" applyBorder="0" applyAlignment="0" applyProtection="0"/>
    <xf numFmtId="0" fontId="62" fillId="45" borderId="0" applyNumberFormat="0" applyBorder="0" applyAlignment="0" applyProtection="0"/>
    <xf numFmtId="0" fontId="62" fillId="45" borderId="0" applyNumberFormat="0" applyBorder="0" applyAlignment="0" applyProtection="0"/>
    <xf numFmtId="0" fontId="62" fillId="45" borderId="0" applyNumberFormat="0" applyBorder="0" applyAlignment="0" applyProtection="0"/>
    <xf numFmtId="0" fontId="62" fillId="44" borderId="0" applyNumberFormat="0" applyBorder="0" applyAlignment="0" applyProtection="0"/>
    <xf numFmtId="0" fontId="62" fillId="44" borderId="0" applyNumberFormat="0" applyBorder="0" applyAlignment="0" applyProtection="0"/>
    <xf numFmtId="0" fontId="62" fillId="44" borderId="0" applyNumberFormat="0" applyBorder="0" applyAlignment="0" applyProtection="0"/>
    <xf numFmtId="0" fontId="8" fillId="41" borderId="0" applyNumberFormat="0" applyBorder="0" applyAlignment="0" applyProtection="0"/>
    <xf numFmtId="0" fontId="8" fillId="39" borderId="0" applyNumberFormat="0" applyBorder="0" applyAlignment="0" applyProtection="0"/>
    <xf numFmtId="0" fontId="8" fillId="39"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6" borderId="0" applyNumberFormat="0" applyBorder="0" applyAlignment="0" applyProtection="0"/>
    <xf numFmtId="0" fontId="8" fillId="36" borderId="0" applyNumberFormat="0" applyBorder="0" applyAlignment="0" applyProtection="0"/>
    <xf numFmtId="0" fontId="8" fillId="36" borderId="0" applyNumberFormat="0" applyBorder="0" applyAlignment="0" applyProtection="0"/>
    <xf numFmtId="0" fontId="8" fillId="36"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2" borderId="0" applyNumberFormat="0" applyBorder="0" applyAlignment="0" applyProtection="0"/>
    <xf numFmtId="0" fontId="8" fillId="32" borderId="0" applyNumberFormat="0" applyBorder="0" applyAlignment="0" applyProtection="0"/>
    <xf numFmtId="0" fontId="8" fillId="32" borderId="0" applyNumberFormat="0" applyBorder="0" applyAlignment="0" applyProtection="0"/>
    <xf numFmtId="0" fontId="8" fillId="32" borderId="0" applyNumberFormat="0" applyBorder="0" applyAlignment="0" applyProtection="0"/>
    <xf numFmtId="0" fontId="9" fillId="0" borderId="0"/>
    <xf numFmtId="43" fontId="2" fillId="0" borderId="0" applyFont="0" applyFill="0" applyBorder="0" applyAlignment="0" applyProtection="0"/>
    <xf numFmtId="186" fontId="8" fillId="0" borderId="0"/>
    <xf numFmtId="0" fontId="9" fillId="0" borderId="0"/>
    <xf numFmtId="43" fontId="3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8" fillId="0" borderId="0"/>
    <xf numFmtId="0" fontId="58" fillId="0" borderId="0"/>
    <xf numFmtId="0" fontId="2" fillId="0" borderId="0"/>
    <xf numFmtId="0" fontId="9" fillId="0" borderId="0"/>
    <xf numFmtId="181" fontId="43" fillId="0" borderId="0"/>
    <xf numFmtId="0" fontId="69" fillId="0" borderId="71" applyNumberFormat="0" applyFill="0" applyAlignment="0" applyProtection="0"/>
    <xf numFmtId="0" fontId="66" fillId="0" borderId="0" applyNumberFormat="0" applyFill="0" applyBorder="0" applyAlignment="0" applyProtection="0"/>
    <xf numFmtId="165" fontId="9"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174" fontId="9" fillId="0" borderId="0" applyFont="0" applyFill="0" applyBorder="0" applyAlignment="0" applyProtection="0"/>
    <xf numFmtId="174" fontId="9" fillId="0" borderId="0"/>
    <xf numFmtId="0" fontId="62" fillId="39" borderId="0" applyNumberFormat="0" applyBorder="0" applyAlignment="0" applyProtection="0"/>
    <xf numFmtId="0" fontId="8" fillId="35" borderId="0" applyNumberFormat="0" applyBorder="0" applyAlignment="0" applyProtection="0"/>
    <xf numFmtId="0" fontId="9" fillId="0" borderId="0"/>
    <xf numFmtId="0" fontId="2" fillId="0" borderId="0"/>
    <xf numFmtId="0" fontId="46" fillId="0" borderId="0" applyNumberFormat="0" applyFont="0" applyFill="0" applyBorder="0" applyAlignment="0" applyProtection="0">
      <alignment horizontal="left"/>
    </xf>
    <xf numFmtId="9" fontId="9" fillId="0" borderId="0" applyFont="0" applyFill="0" applyBorder="0" applyAlignment="0" applyProtection="0"/>
    <xf numFmtId="0" fontId="9" fillId="0" borderId="0"/>
    <xf numFmtId="0" fontId="9" fillId="0" borderId="0"/>
    <xf numFmtId="0" fontId="2" fillId="0" borderId="0"/>
    <xf numFmtId="0" fontId="9" fillId="0" borderId="0"/>
    <xf numFmtId="0" fontId="2" fillId="0" borderId="0"/>
    <xf numFmtId="9" fontId="9" fillId="0" borderId="0" applyFont="0" applyFill="0" applyBorder="0" applyAlignment="0" applyProtection="0"/>
    <xf numFmtId="184" fontId="9" fillId="0" borderId="0" applyNumberFormat="0" applyFill="0" applyBorder="0" applyAlignment="0" applyProtection="0">
      <alignment horizontal="left"/>
    </xf>
    <xf numFmtId="186" fontId="9" fillId="0" borderId="0"/>
    <xf numFmtId="0" fontId="9" fillId="0" borderId="0"/>
    <xf numFmtId="0" fontId="9" fillId="0" borderId="0"/>
    <xf numFmtId="184" fontId="9" fillId="0" borderId="0" applyNumberFormat="0" applyFill="0" applyBorder="0" applyAlignment="0" applyProtection="0">
      <alignment horizontal="left"/>
    </xf>
    <xf numFmtId="9" fontId="2" fillId="0" borderId="0" applyFont="0" applyFill="0" applyBorder="0" applyAlignment="0" applyProtection="0"/>
    <xf numFmtId="0" fontId="9" fillId="0" borderId="0"/>
    <xf numFmtId="186" fontId="9" fillId="0" borderId="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58" fillId="0" borderId="0"/>
    <xf numFmtId="0" fontId="2" fillId="0" borderId="0"/>
    <xf numFmtId="0" fontId="8" fillId="0" borderId="0"/>
    <xf numFmtId="0" fontId="9" fillId="0" borderId="0"/>
    <xf numFmtId="0" fontId="9" fillId="0" borderId="0"/>
    <xf numFmtId="181" fontId="43" fillId="0" borderId="0"/>
    <xf numFmtId="0" fontId="71" fillId="37" borderId="68" applyNumberFormat="0" applyAlignment="0" applyProtection="0"/>
    <xf numFmtId="0" fontId="69" fillId="0" borderId="71" applyNumberFormat="0" applyFill="0" applyAlignment="0" applyProtection="0"/>
    <xf numFmtId="0" fontId="21" fillId="0" borderId="4">
      <alignment horizontal="left"/>
    </xf>
    <xf numFmtId="165" fontId="9" fillId="0" borderId="0" applyFont="0" applyFill="0" applyBorder="0" applyAlignment="0" applyProtection="0"/>
    <xf numFmtId="165" fontId="8" fillId="0" borderId="0" applyFont="0" applyFill="0" applyBorder="0" applyAlignment="0" applyProtection="0"/>
    <xf numFmtId="43" fontId="2"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174" fontId="9" fillId="0" borderId="0" applyFont="0" applyFill="0" applyBorder="0" applyAlignment="0" applyProtection="0"/>
    <xf numFmtId="0" fontId="9" fillId="0" borderId="0"/>
    <xf numFmtId="9" fontId="9" fillId="0" borderId="0" applyFont="0" applyFill="0" applyBorder="0" applyAlignment="0" applyProtection="0"/>
    <xf numFmtId="184" fontId="9" fillId="0" borderId="0" applyNumberFormat="0" applyFill="0" applyBorder="0" applyAlignment="0" applyProtection="0">
      <alignment horizontal="left"/>
    </xf>
    <xf numFmtId="0" fontId="9" fillId="0" borderId="0"/>
    <xf numFmtId="0" fontId="9" fillId="0" borderId="0"/>
    <xf numFmtId="0" fontId="2" fillId="0" borderId="0"/>
    <xf numFmtId="0" fontId="48" fillId="0" borderId="0"/>
    <xf numFmtId="184" fontId="9" fillId="0" borderId="0" applyNumberFormat="0" applyFill="0" applyBorder="0" applyAlignment="0" applyProtection="0">
      <alignment horizontal="left"/>
    </xf>
    <xf numFmtId="0" fontId="2" fillId="0" borderId="0"/>
    <xf numFmtId="0" fontId="9" fillId="0" borderId="0"/>
    <xf numFmtId="0" fontId="9" fillId="0" borderId="0"/>
    <xf numFmtId="184" fontId="9" fillId="0" borderId="0" applyNumberFormat="0" applyFill="0" applyBorder="0" applyAlignment="0" applyProtection="0">
      <alignment horizontal="left"/>
    </xf>
    <xf numFmtId="9" fontId="9" fillId="0" borderId="0" applyFont="0" applyFill="0" applyBorder="0" applyAlignment="0" applyProtection="0"/>
    <xf numFmtId="0" fontId="44" fillId="0" borderId="0" applyFont="0"/>
    <xf numFmtId="0" fontId="2" fillId="0" borderId="0"/>
    <xf numFmtId="184" fontId="9" fillId="0" borderId="0" applyNumberFormat="0" applyFill="0" applyBorder="0" applyAlignment="0" applyProtection="0">
      <alignment horizontal="left"/>
    </xf>
    <xf numFmtId="9" fontId="65" fillId="0" borderId="0" applyFont="0" applyFill="0" applyBorder="0" applyAlignment="0" applyProtection="0"/>
    <xf numFmtId="0" fontId="9" fillId="0" borderId="0"/>
    <xf numFmtId="0" fontId="9" fillId="0" borderId="0"/>
    <xf numFmtId="191" fontId="9" fillId="0" borderId="0"/>
    <xf numFmtId="183" fontId="9" fillId="0" borderId="0"/>
    <xf numFmtId="9" fontId="9" fillId="0" borderId="0" applyFont="0" applyFill="0" applyBorder="0" applyAlignment="0" applyProtection="0"/>
    <xf numFmtId="184" fontId="9" fillId="0" borderId="0" applyNumberFormat="0" applyFill="0" applyBorder="0" applyAlignment="0" applyProtection="0">
      <alignment horizontal="left"/>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2" fillId="0" borderId="0"/>
    <xf numFmtId="9" fontId="9" fillId="0" borderId="0" applyFont="0" applyFill="0" applyBorder="0" applyAlignment="0" applyProtection="0"/>
    <xf numFmtId="184" fontId="9" fillId="0" borderId="0" applyNumberFormat="0" applyFill="0" applyBorder="0" applyAlignment="0" applyProtection="0">
      <alignment horizontal="left"/>
    </xf>
    <xf numFmtId="0" fontId="9" fillId="0" borderId="0"/>
    <xf numFmtId="186" fontId="9" fillId="0" borderId="0"/>
    <xf numFmtId="0" fontId="2" fillId="0" borderId="0"/>
    <xf numFmtId="0" fontId="65" fillId="0" borderId="0"/>
    <xf numFmtId="0" fontId="65" fillId="0" borderId="0"/>
    <xf numFmtId="0" fontId="9" fillId="0" borderId="0" applyAlignment="0"/>
    <xf numFmtId="0" fontId="2" fillId="0" borderId="0"/>
    <xf numFmtId="184" fontId="9" fillId="0" borderId="0" applyNumberFormat="0" applyFill="0" applyBorder="0" applyAlignment="0" applyProtection="0">
      <alignment horizontal="left"/>
    </xf>
    <xf numFmtId="0" fontId="9" fillId="0" borderId="0"/>
    <xf numFmtId="9" fontId="65" fillId="0" borderId="0" applyFont="0" applyFill="0" applyBorder="0" applyAlignment="0" applyProtection="0"/>
    <xf numFmtId="9" fontId="9" fillId="0" borderId="0" applyFont="0" applyFill="0" applyBorder="0" applyAlignment="0" applyProtection="0"/>
    <xf numFmtId="0" fontId="47" fillId="0" borderId="0" applyNumberFormat="0" applyFill="0" applyBorder="0" applyAlignment="0" applyProtection="0">
      <alignment vertical="top"/>
      <protection locked="0"/>
    </xf>
    <xf numFmtId="0" fontId="2" fillId="0" borderId="0"/>
    <xf numFmtId="0" fontId="2" fillId="0" borderId="0"/>
    <xf numFmtId="9" fontId="9" fillId="0" borderId="0" applyFont="0" applyFill="0" applyBorder="0" applyAlignment="0" applyProtection="0"/>
    <xf numFmtId="184" fontId="9" fillId="0" borderId="0" applyNumberFormat="0" applyFill="0" applyBorder="0" applyAlignment="0" applyProtection="0">
      <alignment horizontal="left"/>
    </xf>
    <xf numFmtId="0" fontId="2" fillId="0" borderId="0"/>
    <xf numFmtId="174" fontId="9" fillId="0" borderId="0" applyFont="0" applyFill="0" applyBorder="0" applyAlignment="0" applyProtection="0"/>
    <xf numFmtId="43" fontId="9" fillId="0" borderId="0" applyFont="0" applyFill="0" applyBorder="0" applyAlignment="0" applyProtection="0"/>
    <xf numFmtId="43" fontId="33" fillId="0" borderId="0" applyFont="0" applyFill="0" applyBorder="0" applyAlignment="0" applyProtection="0"/>
    <xf numFmtId="43" fontId="9" fillId="0" borderId="0" applyFont="0" applyFill="0" applyBorder="0" applyAlignment="0" applyProtection="0"/>
    <xf numFmtId="43" fontId="33"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2"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0" fontId="21" fillId="0" borderId="4">
      <alignment horizontal="left"/>
    </xf>
    <xf numFmtId="0" fontId="69" fillId="0" borderId="71" applyNumberFormat="0" applyFill="0" applyAlignment="0" applyProtection="0"/>
    <xf numFmtId="0" fontId="71" fillId="37" borderId="68" applyNumberFormat="0" applyAlignment="0" applyProtection="0"/>
    <xf numFmtId="181" fontId="43" fillId="0" borderId="0"/>
    <xf numFmtId="0" fontId="9" fillId="0" borderId="0"/>
    <xf numFmtId="0" fontId="9" fillId="0" borderId="0"/>
    <xf numFmtId="43" fontId="9" fillId="0" borderId="0" applyFont="0" applyFill="0" applyBorder="0" applyAlignment="0" applyProtection="0"/>
    <xf numFmtId="0" fontId="8" fillId="0" borderId="0"/>
    <xf numFmtId="43" fontId="9" fillId="0" borderId="0" applyFont="0" applyFill="0" applyBorder="0" applyAlignment="0" applyProtection="0"/>
    <xf numFmtId="174" fontId="9" fillId="0" borderId="0"/>
    <xf numFmtId="0" fontId="62" fillId="39" borderId="0" applyNumberFormat="0" applyBorder="0" applyAlignment="0" applyProtection="0"/>
    <xf numFmtId="0" fontId="8" fillId="35" borderId="0" applyNumberFormat="0" applyBorder="0" applyAlignment="0" applyProtection="0"/>
    <xf numFmtId="174" fontId="9" fillId="0" borderId="0" applyFont="0" applyFill="0" applyBorder="0" applyAlignment="0" applyProtection="0"/>
    <xf numFmtId="17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33"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0" fontId="21" fillId="0" borderId="4">
      <alignment horizontal="left"/>
    </xf>
    <xf numFmtId="0" fontId="68" fillId="0" borderId="70" applyNumberFormat="0" applyFill="0" applyAlignment="0" applyProtection="0"/>
    <xf numFmtId="0" fontId="71" fillId="37" borderId="68" applyNumberFormat="0" applyAlignment="0" applyProtection="0"/>
    <xf numFmtId="182" fontId="9" fillId="0" borderId="0"/>
    <xf numFmtId="181" fontId="43"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174" fontId="9" fillId="0" borderId="0"/>
    <xf numFmtId="0" fontId="62" fillId="39" borderId="0" applyNumberFormat="0" applyBorder="0" applyAlignment="0" applyProtection="0"/>
    <xf numFmtId="0" fontId="8" fillId="40" borderId="0" applyNumberFormat="0" applyBorder="0" applyAlignment="0" applyProtection="0"/>
    <xf numFmtId="17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0" fontId="21" fillId="0" borderId="4">
      <alignment horizontal="left"/>
    </xf>
    <xf numFmtId="0" fontId="68" fillId="0" borderId="70" applyNumberFormat="0" applyFill="0" applyAlignment="0" applyProtection="0"/>
    <xf numFmtId="0" fontId="71" fillId="37" borderId="68" applyNumberFormat="0" applyAlignment="0" applyProtection="0"/>
    <xf numFmtId="181" fontId="43" fillId="0" borderId="0"/>
    <xf numFmtId="0" fontId="9" fillId="0" borderId="0"/>
    <xf numFmtId="0" fontId="9" fillId="0" borderId="0"/>
    <xf numFmtId="0" fontId="9" fillId="0" borderId="0"/>
    <xf numFmtId="0" fontId="9" fillId="0" borderId="0"/>
    <xf numFmtId="9" fontId="2" fillId="0" borderId="0" applyFont="0" applyFill="0" applyBorder="0" applyAlignment="0" applyProtection="0"/>
    <xf numFmtId="43" fontId="9" fillId="0" borderId="0" applyFont="0" applyFill="0" applyBorder="0" applyAlignment="0" applyProtection="0"/>
    <xf numFmtId="0" fontId="9" fillId="0" borderId="0"/>
    <xf numFmtId="174" fontId="9" fillId="0" borderId="0"/>
    <xf numFmtId="0" fontId="62" fillId="39" borderId="0" applyNumberFormat="0" applyBorder="0" applyAlignment="0" applyProtection="0"/>
    <xf numFmtId="0" fontId="8" fillId="40"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0" fontId="21" fillId="0" borderId="4">
      <alignment horizontal="left"/>
    </xf>
    <xf numFmtId="0" fontId="68" fillId="0" borderId="70" applyNumberFormat="0" applyFill="0" applyAlignment="0" applyProtection="0"/>
    <xf numFmtId="10" fontId="11" fillId="52" borderId="5" applyNumberFormat="0" applyBorder="0" applyAlignment="0" applyProtection="0"/>
    <xf numFmtId="0" fontId="73" fillId="53" borderId="0" applyNumberFormat="0" applyBorder="0" applyAlignment="0" applyProtection="0"/>
    <xf numFmtId="182" fontId="9" fillId="0" borderId="0"/>
    <xf numFmtId="0" fontId="9" fillId="0" borderId="0"/>
    <xf numFmtId="0" fontId="9" fillId="0" borderId="0"/>
    <xf numFmtId="0" fontId="9" fillId="0" borderId="0"/>
    <xf numFmtId="9" fontId="9" fillId="0" borderId="0" applyFont="0" applyFill="0" applyBorder="0" applyAlignment="0" applyProtection="0"/>
    <xf numFmtId="9" fontId="2" fillId="0" borderId="0" applyFont="0" applyFill="0" applyBorder="0" applyAlignment="0" applyProtection="0"/>
    <xf numFmtId="43" fontId="9" fillId="0" borderId="0" applyFont="0" applyFill="0" applyBorder="0" applyAlignment="0" applyProtection="0"/>
    <xf numFmtId="0" fontId="9" fillId="0" borderId="0"/>
    <xf numFmtId="174" fontId="9" fillId="0" borderId="0"/>
    <xf numFmtId="0" fontId="62" fillId="42" borderId="0" applyNumberFormat="0" applyBorder="0" applyAlignment="0" applyProtection="0"/>
    <xf numFmtId="0" fontId="8" fillId="40" borderId="0" applyNumberFormat="0" applyBorder="0" applyAlignment="0" applyProtection="0"/>
    <xf numFmtId="43" fontId="9" fillId="0" borderId="0" applyFont="0" applyFill="0" applyBorder="0" applyAlignment="0" applyProtection="0"/>
    <xf numFmtId="174" fontId="9"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192" fontId="9" fillId="0" borderId="0" applyAlignment="0"/>
    <xf numFmtId="43" fontId="2"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0" fontId="21" fillId="0" borderId="4">
      <alignment horizontal="left"/>
    </xf>
    <xf numFmtId="0" fontId="68" fillId="0" borderId="70" applyNumberFormat="0" applyFill="0" applyAlignment="0" applyProtection="0"/>
    <xf numFmtId="0" fontId="73" fillId="53" borderId="0" applyNumberFormat="0" applyBorder="0" applyAlignment="0" applyProtection="0"/>
    <xf numFmtId="181" fontId="43" fillId="0" borderId="0"/>
    <xf numFmtId="0" fontId="9" fillId="0" borderId="0"/>
    <xf numFmtId="0" fontId="9" fillId="0" borderId="0"/>
    <xf numFmtId="0" fontId="9" fillId="0" borderId="0"/>
    <xf numFmtId="0" fontId="74" fillId="0" borderId="0"/>
    <xf numFmtId="0" fontId="9" fillId="0" borderId="0"/>
    <xf numFmtId="9" fontId="9" fillId="0" borderId="0" applyFont="0" applyFill="0" applyBorder="0" applyAlignment="0" applyProtection="0"/>
    <xf numFmtId="9" fontId="2" fillId="0" borderId="0" applyFont="0" applyFill="0" applyBorder="0" applyAlignment="0" applyProtection="0"/>
    <xf numFmtId="43" fontId="9" fillId="0" borderId="0" applyFont="0" applyFill="0" applyBorder="0" applyAlignment="0" applyProtection="0"/>
    <xf numFmtId="0" fontId="9" fillId="0" borderId="0"/>
    <xf numFmtId="174" fontId="9" fillId="0" borderId="0"/>
    <xf numFmtId="0" fontId="62" fillId="42" borderId="0" applyNumberFormat="0" applyBorder="0" applyAlignment="0" applyProtection="0"/>
    <xf numFmtId="0" fontId="8" fillId="40" borderId="0" applyNumberFormat="0" applyBorder="0" applyAlignment="0" applyProtection="0"/>
    <xf numFmtId="17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165" fontId="8" fillId="0" borderId="0" applyFont="0" applyFill="0" applyBorder="0" applyAlignment="0" applyProtection="0"/>
    <xf numFmtId="165" fontId="9" fillId="0" borderId="0" applyFont="0" applyFill="0" applyBorder="0" applyAlignment="0" applyProtection="0"/>
    <xf numFmtId="0" fontId="21" fillId="0" borderId="4">
      <alignment horizontal="left"/>
    </xf>
    <xf numFmtId="0" fontId="21" fillId="0" borderId="4">
      <alignment horizontal="left"/>
    </xf>
    <xf numFmtId="0" fontId="73" fillId="53" borderId="0" applyNumberFormat="0" applyBorder="0" applyAlignment="0" applyProtection="0"/>
    <xf numFmtId="181" fontId="43" fillId="0" borderId="0"/>
    <xf numFmtId="0" fontId="9" fillId="0" borderId="0"/>
    <xf numFmtId="0" fontId="9" fillId="0" borderId="0"/>
    <xf numFmtId="0" fontId="9" fillId="0" borderId="0"/>
    <xf numFmtId="9" fontId="9" fillId="0" borderId="0" applyFont="0" applyFill="0" applyBorder="0" applyAlignment="0" applyProtection="0"/>
    <xf numFmtId="10" fontId="9" fillId="0" borderId="0" applyFont="0" applyFill="0" applyBorder="0" applyAlignment="0" applyProtection="0"/>
    <xf numFmtId="9" fontId="9" fillId="0" borderId="0" applyFont="0" applyFill="0" applyBorder="0" applyAlignment="0" applyProtection="0"/>
    <xf numFmtId="9" fontId="2" fillId="0" borderId="0" applyFont="0" applyFill="0" applyBorder="0" applyAlignment="0" applyProtection="0"/>
    <xf numFmtId="175" fontId="9" fillId="0" borderId="0" applyFont="0" applyFill="0" applyBorder="0" applyAlignment="0" applyProtection="0"/>
    <xf numFmtId="186" fontId="65" fillId="0" borderId="0"/>
    <xf numFmtId="174" fontId="9" fillId="0" borderId="0"/>
    <xf numFmtId="0" fontId="62" fillId="42" borderId="0" applyNumberFormat="0" applyBorder="0" applyAlignment="0" applyProtection="0"/>
    <xf numFmtId="0" fontId="8" fillId="39" borderId="0" applyNumberFormat="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7" fontId="65" fillId="0" borderId="0" applyFont="0" applyFill="0" applyBorder="0" applyAlignment="0" applyProtection="0"/>
    <xf numFmtId="0" fontId="70" fillId="0" borderId="0" applyNumberFormat="0" applyFill="0" applyBorder="0" applyAlignment="0" applyProtection="0"/>
    <xf numFmtId="0" fontId="8" fillId="0" borderId="0"/>
    <xf numFmtId="0" fontId="9" fillId="0" borderId="0"/>
    <xf numFmtId="0" fontId="9" fillId="0" borderId="0"/>
    <xf numFmtId="9" fontId="58" fillId="0" borderId="0" applyFont="0" applyFill="0" applyBorder="0" applyAlignment="0" applyProtection="0"/>
    <xf numFmtId="0" fontId="33" fillId="0" borderId="0"/>
    <xf numFmtId="0" fontId="9" fillId="0" borderId="0"/>
    <xf numFmtId="10" fontId="9" fillId="0" borderId="0" applyFont="0" applyFill="0" applyBorder="0" applyAlignment="0" applyProtection="0"/>
    <xf numFmtId="9" fontId="9" fillId="0" borderId="0" applyFont="0" applyFill="0" applyBorder="0" applyAlignment="0" applyProtection="0"/>
    <xf numFmtId="9" fontId="2" fillId="0" borderId="0" applyFont="0" applyFill="0" applyBorder="0" applyAlignment="0" applyProtection="0"/>
    <xf numFmtId="165" fontId="65" fillId="0" borderId="0" applyFont="0" applyFill="0" applyBorder="0" applyAlignment="0" applyProtection="0"/>
    <xf numFmtId="186" fontId="9" fillId="0" borderId="0"/>
    <xf numFmtId="174" fontId="9" fillId="0" borderId="0"/>
    <xf numFmtId="0" fontId="62" fillId="42" borderId="0" applyNumberFormat="0" applyBorder="0" applyAlignment="0" applyProtection="0"/>
    <xf numFmtId="0" fontId="8" fillId="39"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67" fillId="34" borderId="0" applyNumberFormat="0" applyBorder="0" applyAlignment="0" applyProtection="0"/>
    <xf numFmtId="0" fontId="70" fillId="0" borderId="0" applyNumberFormat="0" applyFill="0" applyBorder="0" applyAlignment="0" applyProtection="0"/>
    <xf numFmtId="0" fontId="9" fillId="0" borderId="0"/>
    <xf numFmtId="0" fontId="9" fillId="0" borderId="0"/>
    <xf numFmtId="9" fontId="58" fillId="0" borderId="0" applyFont="0" applyFill="0" applyBorder="0" applyAlignment="0" applyProtection="0"/>
    <xf numFmtId="10" fontId="9" fillId="0" borderId="0" applyFont="0" applyFill="0" applyBorder="0" applyAlignment="0" applyProtection="0"/>
    <xf numFmtId="9" fontId="9" fillId="0" borderId="0" applyFont="0" applyFill="0" applyBorder="0" applyAlignment="0" applyProtection="0"/>
    <xf numFmtId="9" fontId="2" fillId="0" borderId="0" applyFont="0" applyFill="0" applyBorder="0" applyAlignment="0" applyProtection="0"/>
    <xf numFmtId="165" fontId="65" fillId="0" borderId="0" applyFont="0" applyFill="0" applyBorder="0" applyAlignment="0" applyProtection="0"/>
    <xf numFmtId="183" fontId="9" fillId="0" borderId="0"/>
    <xf numFmtId="174" fontId="9" fillId="0" borderId="0"/>
    <xf numFmtId="0" fontId="62" fillId="44" borderId="0" applyNumberFormat="0" applyBorder="0" applyAlignment="0" applyProtection="0"/>
    <xf numFmtId="0" fontId="8" fillId="41" borderId="0" applyNumberFormat="0" applyBorder="0" applyAlignment="0" applyProtection="0"/>
    <xf numFmtId="165"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67" fillId="34" borderId="0" applyNumberFormat="0" applyBorder="0" applyAlignment="0" applyProtection="0"/>
    <xf numFmtId="0" fontId="70" fillId="0" borderId="0" applyNumberFormat="0" applyFill="0" applyBorder="0" applyAlignment="0" applyProtection="0"/>
    <xf numFmtId="181" fontId="43" fillId="0" borderId="0"/>
    <xf numFmtId="0" fontId="9" fillId="0" borderId="0"/>
    <xf numFmtId="0" fontId="9" fillId="0" borderId="0"/>
    <xf numFmtId="0" fontId="58" fillId="0" borderId="0"/>
    <xf numFmtId="9" fontId="58" fillId="0" borderId="0" applyFont="0" applyFill="0" applyBorder="0" applyAlignment="0" applyProtection="0"/>
    <xf numFmtId="0" fontId="9" fillId="0" borderId="0"/>
    <xf numFmtId="0" fontId="9" fillId="0" borderId="0"/>
    <xf numFmtId="10" fontId="9" fillId="0" borderId="0" applyFont="0" applyFill="0" applyBorder="0" applyAlignment="0" applyProtection="0"/>
    <xf numFmtId="9" fontId="2" fillId="0" borderId="0" applyFont="0" applyFill="0" applyBorder="0" applyAlignment="0" applyProtection="0"/>
    <xf numFmtId="165" fontId="65" fillId="0" borderId="0" applyFont="0" applyFill="0" applyBorder="0" applyAlignment="0" applyProtection="0"/>
    <xf numFmtId="0" fontId="9" fillId="0" borderId="0"/>
    <xf numFmtId="174" fontId="9" fillId="0" borderId="0"/>
    <xf numFmtId="0" fontId="62" fillId="43" borderId="0" applyNumberFormat="0" applyBorder="0" applyAlignment="0" applyProtection="0"/>
    <xf numFmtId="0" fontId="8" fillId="41" borderId="0" applyNumberFormat="0" applyBorder="0" applyAlignment="0" applyProtection="0"/>
    <xf numFmtId="165"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0" fontId="67" fillId="34" borderId="0" applyNumberFormat="0" applyBorder="0" applyAlignment="0" applyProtection="0"/>
    <xf numFmtId="0" fontId="70" fillId="0" borderId="0" applyNumberFormat="0" applyFill="0" applyBorder="0" applyAlignment="0" applyProtection="0"/>
    <xf numFmtId="181" fontId="43" fillId="0" borderId="0"/>
    <xf numFmtId="0" fontId="9" fillId="0" borderId="0"/>
    <xf numFmtId="0" fontId="2" fillId="0" borderId="0"/>
    <xf numFmtId="0" fontId="9" fillId="0" borderId="0"/>
    <xf numFmtId="0" fontId="58" fillId="0" borderId="0"/>
    <xf numFmtId="9" fontId="58" fillId="0" borderId="0" applyFont="0" applyFill="0" applyBorder="0" applyAlignment="0" applyProtection="0"/>
    <xf numFmtId="0" fontId="9" fillId="0" borderId="0"/>
    <xf numFmtId="10" fontId="9" fillId="0" borderId="0" applyFont="0" applyFill="0" applyBorder="0" applyAlignment="0" applyProtection="0"/>
    <xf numFmtId="9" fontId="9" fillId="0" borderId="0" applyFont="0" applyFill="0" applyBorder="0" applyAlignment="0" applyProtection="0"/>
    <xf numFmtId="41" fontId="9" fillId="0" borderId="0" applyFont="0" applyFill="0" applyBorder="0" applyAlignment="0" applyProtection="0"/>
    <xf numFmtId="174" fontId="9" fillId="0" borderId="0"/>
    <xf numFmtId="0" fontId="62" fillId="43" borderId="0" applyNumberFormat="0" applyBorder="0" applyAlignment="0" applyProtection="0"/>
    <xf numFmtId="0" fontId="8" fillId="41" borderId="0" applyNumberFormat="0" applyBorder="0" applyAlignment="0" applyProtection="0"/>
    <xf numFmtId="165"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0" fontId="67" fillId="34" borderId="0" applyNumberFormat="0" applyBorder="0" applyAlignment="0" applyProtection="0"/>
    <xf numFmtId="0" fontId="70" fillId="0" borderId="72" applyNumberFormat="0" applyFill="0" applyAlignment="0" applyProtection="0"/>
    <xf numFmtId="181" fontId="43" fillId="0" borderId="0"/>
    <xf numFmtId="0" fontId="9" fillId="0" borderId="0"/>
    <xf numFmtId="0" fontId="2" fillId="0" borderId="0"/>
    <xf numFmtId="0" fontId="9" fillId="0" borderId="0"/>
    <xf numFmtId="0" fontId="58" fillId="0" borderId="0"/>
    <xf numFmtId="9" fontId="58" fillId="0" borderId="0" applyFont="0" applyFill="0" applyBorder="0" applyAlignment="0" applyProtection="0"/>
    <xf numFmtId="0" fontId="9" fillId="0" borderId="0"/>
    <xf numFmtId="9" fontId="58" fillId="0" borderId="0" applyFont="0" applyFill="0" applyBorder="0" applyAlignment="0" applyProtection="0"/>
    <xf numFmtId="173" fontId="9" fillId="0" borderId="0" applyFill="0" applyBorder="0" applyAlignment="0"/>
    <xf numFmtId="174" fontId="9" fillId="0" borderId="0"/>
    <xf numFmtId="0" fontId="62" fillId="43" borderId="0" applyNumberFormat="0" applyBorder="0" applyAlignment="0" applyProtection="0"/>
    <xf numFmtId="0" fontId="8" fillId="38" borderId="0" applyNumberFormat="0" applyBorder="0" applyAlignment="0" applyProtection="0"/>
    <xf numFmtId="43" fontId="9" fillId="0" borderId="0" applyFont="0" applyFill="0" applyBorder="0" applyAlignment="0" applyProtection="0"/>
    <xf numFmtId="165"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1" fillId="0" borderId="4">
      <alignment horizontal="left"/>
    </xf>
    <xf numFmtId="0" fontId="70" fillId="0" borderId="72" applyNumberFormat="0" applyFill="0" applyAlignment="0" applyProtection="0"/>
    <xf numFmtId="0" fontId="72" fillId="0" borderId="73" applyNumberFormat="0" applyFill="0" applyAlignment="0" applyProtection="0"/>
    <xf numFmtId="181" fontId="43" fillId="0" borderId="0"/>
    <xf numFmtId="181" fontId="43" fillId="0" borderId="0"/>
    <xf numFmtId="0" fontId="9" fillId="0" borderId="0"/>
    <xf numFmtId="0" fontId="2" fillId="0" borderId="0"/>
    <xf numFmtId="0" fontId="58" fillId="0" borderId="0"/>
    <xf numFmtId="9" fontId="58" fillId="0" borderId="0" applyFont="0" applyFill="0" applyBorder="0" applyAlignment="0" applyProtection="0"/>
    <xf numFmtId="0" fontId="48" fillId="0" borderId="0"/>
    <xf numFmtId="0" fontId="9" fillId="0" borderId="0"/>
    <xf numFmtId="9" fontId="9" fillId="0" borderId="0" applyFont="0" applyFill="0" applyBorder="0" applyAlignment="0" applyProtection="0"/>
    <xf numFmtId="186" fontId="9" fillId="0" borderId="0"/>
    <xf numFmtId="174" fontId="9" fillId="0" borderId="0"/>
    <xf numFmtId="0" fontId="62" fillId="43" borderId="0" applyNumberFormat="0" applyBorder="0" applyAlignment="0" applyProtection="0"/>
    <xf numFmtId="0" fontId="8" fillId="38" borderId="0" applyNumberFormat="0" applyBorder="0" applyAlignment="0" applyProtection="0"/>
    <xf numFmtId="43" fontId="9" fillId="0" borderId="0" applyFont="0" applyFill="0" applyBorder="0" applyAlignment="0" applyProtection="0"/>
    <xf numFmtId="165"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66" fillId="0" borderId="0" applyNumberFormat="0" applyFill="0" applyBorder="0" applyAlignment="0" applyProtection="0"/>
    <xf numFmtId="0" fontId="21" fillId="0" borderId="4">
      <alignment horizontal="left"/>
    </xf>
    <xf numFmtId="0" fontId="70" fillId="0" borderId="72" applyNumberFormat="0" applyFill="0" applyAlignment="0" applyProtection="0"/>
    <xf numFmtId="0" fontId="72" fillId="0" borderId="73" applyNumberFormat="0" applyFill="0" applyAlignment="0" applyProtection="0"/>
    <xf numFmtId="181" fontId="43" fillId="0" borderId="0"/>
    <xf numFmtId="0" fontId="2" fillId="0" borderId="0"/>
    <xf numFmtId="0" fontId="9" fillId="0" borderId="0"/>
    <xf numFmtId="0" fontId="2" fillId="0" borderId="0"/>
    <xf numFmtId="0" fontId="58" fillId="0" borderId="0"/>
    <xf numFmtId="9" fontId="58" fillId="0" borderId="0" applyFont="0" applyFill="0" applyBorder="0" applyAlignment="0" applyProtection="0"/>
    <xf numFmtId="0" fontId="9" fillId="0" borderId="0"/>
    <xf numFmtId="10" fontId="9" fillId="0" borderId="0" applyFont="0" applyFill="0" applyBorder="0" applyAlignment="0" applyProtection="0"/>
    <xf numFmtId="9" fontId="9" fillId="0" borderId="0" applyFont="0" applyFill="0" applyBorder="0" applyAlignment="0" applyProtection="0"/>
    <xf numFmtId="186" fontId="9" fillId="0" borderId="0"/>
    <xf numFmtId="174" fontId="9" fillId="0" borderId="0"/>
    <xf numFmtId="0" fontId="62" fillId="40" borderId="0" applyNumberFormat="0" applyBorder="0" applyAlignment="0" applyProtection="0"/>
    <xf numFmtId="0" fontId="8" fillId="38" borderId="0" applyNumberFormat="0" applyBorder="0" applyAlignment="0" applyProtection="0"/>
    <xf numFmtId="43" fontId="9" fillId="0" borderId="0" applyFont="0" applyFill="0" applyBorder="0" applyAlignment="0" applyProtection="0"/>
    <xf numFmtId="165"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66" fillId="0" borderId="0" applyNumberFormat="0" applyFill="0" applyBorder="0" applyAlignment="0" applyProtection="0"/>
    <xf numFmtId="0" fontId="70" fillId="0" borderId="72" applyNumberFormat="0" applyFill="0" applyAlignment="0" applyProtection="0"/>
    <xf numFmtId="0" fontId="72" fillId="0" borderId="73" applyNumberFormat="0" applyFill="0" applyAlignment="0" applyProtection="0"/>
    <xf numFmtId="182" fontId="9" fillId="0" borderId="0"/>
    <xf numFmtId="0" fontId="9" fillId="0" borderId="0"/>
    <xf numFmtId="0" fontId="33" fillId="0" borderId="0"/>
    <xf numFmtId="0" fontId="2" fillId="0" borderId="0"/>
    <xf numFmtId="0" fontId="2" fillId="0" borderId="0"/>
    <xf numFmtId="0" fontId="58" fillId="0" borderId="0"/>
    <xf numFmtId="9" fontId="58" fillId="0" borderId="0" applyFont="0" applyFill="0" applyBorder="0" applyAlignment="0" applyProtection="0"/>
    <xf numFmtId="0" fontId="9" fillId="0" borderId="0"/>
    <xf numFmtId="9" fontId="9" fillId="0" borderId="0" applyFont="0" applyFill="0" applyBorder="0" applyAlignment="0" applyProtection="0"/>
    <xf numFmtId="9" fontId="2" fillId="0" borderId="0" applyFont="0" applyFill="0" applyBorder="0" applyAlignment="0" applyProtection="0"/>
    <xf numFmtId="0" fontId="77" fillId="0" borderId="0" applyNumberFormat="0" applyFill="0" applyBorder="0" applyAlignment="0" applyProtection="0"/>
    <xf numFmtId="0" fontId="62" fillId="40" borderId="0" applyNumberFormat="0" applyBorder="0" applyAlignment="0" applyProtection="0"/>
    <xf numFmtId="0" fontId="8" fillId="38" borderId="0" applyNumberFormat="0" applyBorder="0" applyAlignment="0" applyProtection="0"/>
    <xf numFmtId="43" fontId="9" fillId="0" borderId="0" applyFont="0" applyFill="0" applyBorder="0" applyAlignment="0" applyProtection="0"/>
    <xf numFmtId="165"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5" fontId="8" fillId="0" borderId="0" applyFont="0" applyFill="0" applyBorder="0" applyAlignment="0" applyProtection="0"/>
    <xf numFmtId="0" fontId="66" fillId="0" borderId="0" applyNumberFormat="0" applyFill="0" applyBorder="0" applyAlignment="0" applyProtection="0"/>
    <xf numFmtId="0" fontId="69" fillId="0" borderId="71" applyNumberFormat="0" applyFill="0" applyAlignment="0" applyProtection="0"/>
    <xf numFmtId="0" fontId="72" fillId="0" borderId="73" applyNumberFormat="0" applyFill="0" applyAlignment="0" applyProtection="0"/>
    <xf numFmtId="182" fontId="9" fillId="0" borderId="0"/>
    <xf numFmtId="0" fontId="9" fillId="0" borderId="0"/>
    <xf numFmtId="0" fontId="2" fillId="0" borderId="0"/>
    <xf numFmtId="0" fontId="58" fillId="0" borderId="0"/>
    <xf numFmtId="0" fontId="9" fillId="0" borderId="0"/>
    <xf numFmtId="10" fontId="9" fillId="0" borderId="0" applyFont="0" applyFill="0" applyBorder="0" applyAlignment="0" applyProtection="0"/>
    <xf numFmtId="9" fontId="9" fillId="0" borderId="0" applyFont="0" applyFill="0" applyBorder="0" applyAlignment="0" applyProtection="0"/>
    <xf numFmtId="9" fontId="2" fillId="0" borderId="0" applyFont="0" applyFill="0" applyBorder="0" applyAlignment="0" applyProtection="0"/>
    <xf numFmtId="0" fontId="77" fillId="0" borderId="0" applyNumberFormat="0" applyFill="0" applyBorder="0" applyAlignment="0" applyProtection="0"/>
    <xf numFmtId="174" fontId="9" fillId="0" borderId="0"/>
    <xf numFmtId="0" fontId="62" fillId="40" borderId="0" applyNumberFormat="0" applyBorder="0" applyAlignment="0" applyProtection="0"/>
    <xf numFmtId="0" fontId="8" fillId="35" borderId="0" applyNumberFormat="0" applyBorder="0" applyAlignment="0" applyProtection="0"/>
    <xf numFmtId="174" fontId="9" fillId="0" borderId="0"/>
    <xf numFmtId="0" fontId="62" fillId="40" borderId="0" applyNumberFormat="0" applyBorder="0" applyAlignment="0" applyProtection="0"/>
    <xf numFmtId="0" fontId="8" fillId="35" borderId="0" applyNumberFormat="0" applyBorder="0" applyAlignment="0" applyProtection="0"/>
    <xf numFmtId="0" fontId="7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5"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5"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9"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5"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9"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8"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7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9" fontId="8"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7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44" fontId="119" fillId="0" borderId="0" applyFont="0" applyFill="0" applyBorder="0" applyAlignment="0" applyProtection="0"/>
  </cellStyleXfs>
  <cellXfs count="1956">
    <xf numFmtId="0" fontId="0" fillId="0" borderId="0" xfId="0"/>
    <xf numFmtId="0" fontId="15" fillId="0" borderId="0" xfId="582" applyFont="1" applyAlignment="1" applyProtection="1"/>
    <xf numFmtId="0" fontId="11" fillId="0" borderId="0" xfId="0" applyFont="1"/>
    <xf numFmtId="0" fontId="13" fillId="0" borderId="0" xfId="0" applyFont="1"/>
    <xf numFmtId="0" fontId="11" fillId="0" borderId="5" xfId="0" applyFont="1" applyBorder="1"/>
    <xf numFmtId="2" fontId="11" fillId="0" borderId="5" xfId="0" applyNumberFormat="1" applyFont="1" applyBorder="1" applyProtection="1">
      <protection locked="0"/>
    </xf>
    <xf numFmtId="2" fontId="11" fillId="2" borderId="5" xfId="0" applyNumberFormat="1" applyFont="1" applyFill="1" applyBorder="1"/>
    <xf numFmtId="2" fontId="13" fillId="8" borderId="5" xfId="0" applyNumberFormat="1" applyFont="1" applyFill="1" applyBorder="1"/>
    <xf numFmtId="0" fontId="18" fillId="0" borderId="0" xfId="0" applyFont="1"/>
    <xf numFmtId="0" fontId="13" fillId="0" borderId="0" xfId="0" applyFont="1" applyAlignment="1">
      <alignment horizontal="left"/>
    </xf>
    <xf numFmtId="0" fontId="13" fillId="0" borderId="0" xfId="0" applyFont="1" applyAlignment="1">
      <alignment horizontal="center"/>
    </xf>
    <xf numFmtId="0" fontId="13" fillId="9" borderId="5" xfId="0" applyFont="1" applyFill="1" applyBorder="1" applyAlignment="1">
      <alignment vertical="center"/>
    </xf>
    <xf numFmtId="2" fontId="13" fillId="9" borderId="5" xfId="0" applyNumberFormat="1" applyFont="1" applyFill="1" applyBorder="1"/>
    <xf numFmtId="0" fontId="11" fillId="0" borderId="5" xfId="0" applyFont="1" applyBorder="1" applyAlignment="1">
      <alignment horizontal="left" indent="1"/>
    </xf>
    <xf numFmtId="169" fontId="11" fillId="7" borderId="5" xfId="0" applyNumberFormat="1" applyFont="1" applyFill="1" applyBorder="1"/>
    <xf numFmtId="0" fontId="13" fillId="8" borderId="5" xfId="0" applyFont="1" applyFill="1" applyBorder="1" applyAlignment="1">
      <alignment vertical="center"/>
    </xf>
    <xf numFmtId="1" fontId="11" fillId="0" borderId="5" xfId="0" applyNumberFormat="1" applyFont="1" applyBorder="1" applyProtection="1">
      <protection locked="0"/>
    </xf>
    <xf numFmtId="1" fontId="13" fillId="9" borderId="5" xfId="0" applyNumberFormat="1" applyFont="1" applyFill="1" applyBorder="1"/>
    <xf numFmtId="0" fontId="11" fillId="8" borderId="5" xfId="0" applyFont="1" applyFill="1" applyBorder="1"/>
    <xf numFmtId="1" fontId="13" fillId="8" borderId="5" xfId="0" applyNumberFormat="1" applyFont="1" applyFill="1" applyBorder="1"/>
    <xf numFmtId="2" fontId="11" fillId="10" borderId="5" xfId="0" applyNumberFormat="1" applyFont="1" applyFill="1" applyBorder="1"/>
    <xf numFmtId="0" fontId="11" fillId="9" borderId="5" xfId="0" applyFont="1" applyFill="1" applyBorder="1"/>
    <xf numFmtId="2" fontId="11" fillId="0" borderId="5" xfId="0" applyNumberFormat="1" applyFont="1" applyBorder="1" applyAlignment="1" applyProtection="1">
      <alignment horizontal="right"/>
      <protection locked="0"/>
    </xf>
    <xf numFmtId="0" fontId="17" fillId="6" borderId="5" xfId="0" applyFont="1" applyFill="1" applyBorder="1"/>
    <xf numFmtId="0" fontId="19" fillId="6" borderId="5" xfId="0" applyFont="1" applyFill="1" applyBorder="1"/>
    <xf numFmtId="0" fontId="17" fillId="6" borderId="5" xfId="0" applyFont="1" applyFill="1" applyBorder="1" applyAlignment="1">
      <alignment horizontal="center" vertical="center" wrapText="1"/>
    </xf>
    <xf numFmtId="0" fontId="11" fillId="0" borderId="5" xfId="0" applyFont="1" applyBorder="1" applyAlignment="1" applyProtection="1">
      <alignment horizontal="left" wrapText="1"/>
      <protection locked="0"/>
    </xf>
    <xf numFmtId="0" fontId="11" fillId="0" borderId="0" xfId="0" applyFont="1" applyAlignment="1">
      <alignment horizontal="left" indent="1"/>
    </xf>
    <xf numFmtId="2" fontId="12" fillId="7" borderId="5" xfId="0" applyNumberFormat="1" applyFont="1" applyFill="1" applyBorder="1" applyAlignment="1" applyProtection="1">
      <alignment horizontal="center"/>
      <protection locked="0"/>
    </xf>
    <xf numFmtId="2" fontId="11" fillId="0" borderId="5" xfId="0" applyNumberFormat="1" applyFont="1" applyBorder="1" applyAlignment="1" applyProtection="1">
      <alignment horizontal="left"/>
      <protection locked="0"/>
    </xf>
    <xf numFmtId="40" fontId="12" fillId="7" borderId="5" xfId="0" applyNumberFormat="1" applyFont="1" applyFill="1" applyBorder="1" applyAlignment="1" applyProtection="1">
      <alignment horizontal="center"/>
      <protection locked="0"/>
    </xf>
    <xf numFmtId="40" fontId="12" fillId="7" borderId="34" xfId="0" applyNumberFormat="1" applyFont="1" applyFill="1" applyBorder="1" applyAlignment="1" applyProtection="1">
      <alignment horizontal="center"/>
      <protection locked="0"/>
    </xf>
    <xf numFmtId="0" fontId="11" fillId="6" borderId="5" xfId="0" applyFont="1" applyFill="1" applyBorder="1" applyAlignment="1" applyProtection="1">
      <alignment horizontal="left" wrapText="1"/>
      <protection locked="0"/>
    </xf>
    <xf numFmtId="40" fontId="12" fillId="0" borderId="5" xfId="0" applyNumberFormat="1" applyFont="1" applyBorder="1" applyAlignment="1" applyProtection="1">
      <alignment horizontal="center"/>
      <protection locked="0"/>
    </xf>
    <xf numFmtId="0" fontId="0" fillId="0" borderId="0" xfId="0" applyAlignment="1" applyProtection="1">
      <alignment horizontal="center"/>
      <protection hidden="1"/>
    </xf>
    <xf numFmtId="0" fontId="0" fillId="0" borderId="0" xfId="0" applyProtection="1">
      <protection hidden="1"/>
    </xf>
    <xf numFmtId="169" fontId="11" fillId="7" borderId="5" xfId="0" applyNumberFormat="1" applyFont="1" applyFill="1" applyBorder="1" applyAlignment="1">
      <alignment horizontal="left" indent="1"/>
    </xf>
    <xf numFmtId="169" fontId="11" fillId="7" borderId="5" xfId="0" applyNumberFormat="1" applyFont="1" applyFill="1" applyBorder="1" applyProtection="1">
      <protection locked="0"/>
    </xf>
    <xf numFmtId="2" fontId="11" fillId="2" borderId="5" xfId="0" applyNumberFormat="1" applyFont="1" applyFill="1" applyBorder="1" applyProtection="1">
      <protection hidden="1"/>
    </xf>
    <xf numFmtId="0" fontId="16" fillId="0" borderId="5" xfId="0" applyFont="1" applyBorder="1" applyAlignment="1">
      <alignment horizontal="left" indent="1"/>
    </xf>
    <xf numFmtId="169" fontId="16" fillId="7" borderId="5" xfId="0" applyNumberFormat="1" applyFont="1" applyFill="1" applyBorder="1"/>
    <xf numFmtId="0" fontId="25" fillId="0" borderId="5" xfId="0" applyFont="1" applyBorder="1"/>
    <xf numFmtId="0" fontId="11" fillId="7" borderId="5" xfId="0" applyFont="1" applyFill="1" applyBorder="1"/>
    <xf numFmtId="0" fontId="25" fillId="0" borderId="5" xfId="0" applyFont="1" applyBorder="1" applyProtection="1">
      <protection locked="0"/>
    </xf>
    <xf numFmtId="0" fontId="25" fillId="7" borderId="5" xfId="0" applyFont="1" applyFill="1" applyBorder="1" applyProtection="1">
      <protection locked="0"/>
    </xf>
    <xf numFmtId="0" fontId="11" fillId="12" borderId="5" xfId="0" applyFont="1" applyFill="1" applyBorder="1" applyAlignment="1">
      <alignment horizontal="left" indent="1"/>
    </xf>
    <xf numFmtId="0" fontId="16" fillId="12" borderId="5" xfId="0" applyFont="1" applyFill="1" applyBorder="1" applyAlignment="1">
      <alignment horizontal="left" indent="1"/>
    </xf>
    <xf numFmtId="0" fontId="10" fillId="0" borderId="34" xfId="582" applyBorder="1" applyAlignment="1" applyProtection="1"/>
    <xf numFmtId="0" fontId="11" fillId="0" borderId="34" xfId="0" applyFont="1" applyBorder="1"/>
    <xf numFmtId="0" fontId="15" fillId="0" borderId="0" xfId="582" applyFont="1" applyAlignment="1" applyProtection="1">
      <protection hidden="1"/>
    </xf>
    <xf numFmtId="0" fontId="11" fillId="0" borderId="0" xfId="0" applyFont="1" applyProtection="1">
      <protection hidden="1"/>
    </xf>
    <xf numFmtId="2" fontId="11" fillId="0" borderId="0" xfId="0" applyNumberFormat="1" applyFont="1" applyProtection="1">
      <protection hidden="1"/>
    </xf>
    <xf numFmtId="2" fontId="16" fillId="0" borderId="0" xfId="0" applyNumberFormat="1" applyFont="1" applyProtection="1">
      <protection hidden="1"/>
    </xf>
    <xf numFmtId="0" fontId="11" fillId="0" borderId="0" xfId="0" applyFont="1" applyAlignment="1" applyProtection="1">
      <alignment vertical="center" wrapText="1"/>
      <protection hidden="1"/>
    </xf>
    <xf numFmtId="2" fontId="14" fillId="6" borderId="8" xfId="0" applyNumberFormat="1" applyFont="1" applyFill="1" applyBorder="1" applyAlignment="1" applyProtection="1">
      <alignment vertical="center" wrapText="1"/>
      <protection hidden="1"/>
    </xf>
    <xf numFmtId="0" fontId="11" fillId="0" borderId="5" xfId="0" applyFont="1" applyBorder="1" applyAlignment="1" applyProtection="1">
      <alignment horizontal="left" wrapText="1"/>
      <protection hidden="1"/>
    </xf>
    <xf numFmtId="10" fontId="11" fillId="0" borderId="0" xfId="0" applyNumberFormat="1" applyFont="1" applyProtection="1">
      <protection hidden="1"/>
    </xf>
    <xf numFmtId="0" fontId="11" fillId="0" borderId="0" xfId="0" applyFont="1" applyAlignment="1" applyProtection="1">
      <alignment wrapText="1"/>
      <protection hidden="1"/>
    </xf>
    <xf numFmtId="0" fontId="11" fillId="0" borderId="0" xfId="0" applyFont="1" applyAlignment="1" applyProtection="1">
      <alignment horizontal="center"/>
      <protection hidden="1"/>
    </xf>
    <xf numFmtId="0" fontId="20" fillId="0" borderId="0" xfId="0" applyFont="1" applyAlignment="1" applyProtection="1">
      <alignment horizontal="center"/>
      <protection hidden="1"/>
    </xf>
    <xf numFmtId="0" fontId="20" fillId="0" borderId="0" xfId="0" applyFont="1" applyAlignment="1" applyProtection="1">
      <alignment horizontal="left"/>
      <protection hidden="1"/>
    </xf>
    <xf numFmtId="2" fontId="20" fillId="0" borderId="0" xfId="0" applyNumberFormat="1" applyFont="1" applyProtection="1">
      <protection hidden="1"/>
    </xf>
    <xf numFmtId="2" fontId="9" fillId="0" borderId="0" xfId="0" applyNumberFormat="1" applyFont="1" applyProtection="1">
      <protection hidden="1"/>
    </xf>
    <xf numFmtId="0" fontId="9" fillId="0" borderId="0" xfId="0" applyFont="1" applyProtection="1">
      <protection hidden="1"/>
    </xf>
    <xf numFmtId="0" fontId="12" fillId="0" borderId="0" xfId="0" applyFont="1" applyAlignment="1" applyProtection="1">
      <alignment horizontal="center"/>
      <protection hidden="1"/>
    </xf>
    <xf numFmtId="2" fontId="12" fillId="0" borderId="0" xfId="0" applyNumberFormat="1" applyFont="1" applyProtection="1">
      <protection hidden="1"/>
    </xf>
    <xf numFmtId="2" fontId="12" fillId="0" borderId="0" xfId="0" applyNumberFormat="1" applyFont="1" applyAlignment="1" applyProtection="1">
      <alignment horizontal="center"/>
      <protection hidden="1"/>
    </xf>
    <xf numFmtId="2" fontId="14" fillId="6" borderId="6" xfId="0" applyNumberFormat="1" applyFont="1" applyFill="1" applyBorder="1" applyAlignment="1" applyProtection="1">
      <alignment horizontal="center" vertical="center" wrapText="1"/>
      <protection hidden="1"/>
    </xf>
    <xf numFmtId="2" fontId="14" fillId="6" borderId="9" xfId="0" applyNumberFormat="1" applyFont="1" applyFill="1" applyBorder="1" applyAlignment="1" applyProtection="1">
      <alignment horizontal="center" vertical="center" wrapText="1"/>
      <protection hidden="1"/>
    </xf>
    <xf numFmtId="40" fontId="12" fillId="0" borderId="5" xfId="0" applyNumberFormat="1" applyFont="1" applyBorder="1" applyAlignment="1" applyProtection="1">
      <alignment horizontal="center"/>
      <protection hidden="1"/>
    </xf>
    <xf numFmtId="2" fontId="11" fillId="2" borderId="5" xfId="0" applyNumberFormat="1" applyFont="1" applyFill="1" applyBorder="1" applyAlignment="1" applyProtection="1">
      <alignment horizontal="right"/>
      <protection hidden="1"/>
    </xf>
    <xf numFmtId="40" fontId="12" fillId="2" borderId="28" xfId="0" applyNumberFormat="1" applyFont="1" applyFill="1" applyBorder="1" applyAlignment="1" applyProtection="1">
      <alignment horizontal="center"/>
      <protection hidden="1"/>
    </xf>
    <xf numFmtId="40" fontId="12" fillId="2" borderId="5" xfId="0" applyNumberFormat="1" applyFont="1" applyFill="1" applyBorder="1" applyAlignment="1" applyProtection="1">
      <alignment horizontal="center"/>
      <protection hidden="1"/>
    </xf>
    <xf numFmtId="0" fontId="11" fillId="0" borderId="0" xfId="0" applyFont="1" applyAlignment="1" applyProtection="1">
      <alignment horizontal="left" wrapText="1"/>
      <protection hidden="1"/>
    </xf>
    <xf numFmtId="0" fontId="12" fillId="0" borderId="5" xfId="0" applyFont="1" applyBorder="1" applyAlignment="1" applyProtection="1">
      <alignment horizontal="center"/>
      <protection hidden="1"/>
    </xf>
    <xf numFmtId="40" fontId="12" fillId="2" borderId="34" xfId="0" applyNumberFormat="1" applyFont="1" applyFill="1" applyBorder="1" applyAlignment="1" applyProtection="1">
      <alignment horizontal="center"/>
      <protection hidden="1"/>
    </xf>
    <xf numFmtId="0" fontId="0" fillId="0" borderId="5" xfId="0" applyBorder="1" applyAlignment="1" applyProtection="1">
      <alignment horizontal="center"/>
      <protection hidden="1"/>
    </xf>
    <xf numFmtId="40" fontId="21" fillId="8" borderId="5" xfId="0" applyNumberFormat="1" applyFont="1" applyFill="1" applyBorder="1" applyAlignment="1" applyProtection="1">
      <alignment horizontal="center"/>
      <protection hidden="1"/>
    </xf>
    <xf numFmtId="0" fontId="0" fillId="8" borderId="34" xfId="0" applyFill="1" applyBorder="1" applyAlignment="1" applyProtection="1">
      <alignment horizontal="center"/>
      <protection hidden="1"/>
    </xf>
    <xf numFmtId="2" fontId="0" fillId="8" borderId="5" xfId="0" applyNumberFormat="1" applyFill="1" applyBorder="1" applyProtection="1">
      <protection hidden="1"/>
    </xf>
    <xf numFmtId="0" fontId="0" fillId="8" borderId="5" xfId="0" applyFill="1" applyBorder="1" applyProtection="1">
      <protection hidden="1"/>
    </xf>
    <xf numFmtId="2" fontId="14" fillId="6" borderId="9" xfId="0" applyNumberFormat="1" applyFont="1" applyFill="1" applyBorder="1" applyAlignment="1" applyProtection="1">
      <alignment horizontal="center" wrapText="1"/>
      <protection hidden="1"/>
    </xf>
    <xf numFmtId="40" fontId="12" fillId="0" borderId="5" xfId="0" applyNumberFormat="1" applyFont="1" applyBorder="1" applyAlignment="1" applyProtection="1">
      <alignment horizontal="left"/>
      <protection locked="0"/>
    </xf>
    <xf numFmtId="0" fontId="12" fillId="0" borderId="5" xfId="0" applyFont="1" applyBorder="1" applyAlignment="1" applyProtection="1">
      <alignment horizontal="left"/>
      <protection locked="0"/>
    </xf>
    <xf numFmtId="40" fontId="12" fillId="7" borderId="34" xfId="0" applyNumberFormat="1" applyFont="1" applyFill="1" applyBorder="1" applyAlignment="1" applyProtection="1">
      <alignment horizontal="left"/>
      <protection locked="0"/>
    </xf>
    <xf numFmtId="2" fontId="12" fillId="7" borderId="5" xfId="0" applyNumberFormat="1" applyFont="1" applyFill="1" applyBorder="1" applyAlignment="1" applyProtection="1">
      <alignment horizontal="left"/>
      <protection locked="0"/>
    </xf>
    <xf numFmtId="40" fontId="12" fillId="7" borderId="5" xfId="0" applyNumberFormat="1" applyFont="1" applyFill="1" applyBorder="1" applyAlignment="1" applyProtection="1">
      <alignment horizontal="left"/>
      <protection locked="0"/>
    </xf>
    <xf numFmtId="40" fontId="12" fillId="2" borderId="5" xfId="0" applyNumberFormat="1" applyFont="1" applyFill="1" applyBorder="1" applyAlignment="1" applyProtection="1">
      <alignment horizontal="left"/>
      <protection hidden="1"/>
    </xf>
    <xf numFmtId="0" fontId="23" fillId="0" borderId="5" xfId="1405" applyFont="1" applyBorder="1" applyAlignment="1" applyProtection="1">
      <alignment horizontal="left"/>
      <protection locked="0"/>
    </xf>
    <xf numFmtId="40" fontId="12" fillId="2" borderId="34" xfId="0" applyNumberFormat="1" applyFont="1" applyFill="1" applyBorder="1" applyAlignment="1" applyProtection="1">
      <alignment horizontal="left"/>
      <protection hidden="1"/>
    </xf>
    <xf numFmtId="40" fontId="11" fillId="0" borderId="5" xfId="0" applyNumberFormat="1" applyFont="1" applyBorder="1" applyAlignment="1" applyProtection="1">
      <alignment horizontal="left"/>
      <protection locked="0"/>
    </xf>
    <xf numFmtId="0" fontId="79" fillId="0" borderId="0" xfId="0" applyFont="1"/>
    <xf numFmtId="0" fontId="80" fillId="0" borderId="0" xfId="0" applyFont="1"/>
    <xf numFmtId="0" fontId="79" fillId="0" borderId="0" xfId="0" applyFont="1" applyAlignment="1">
      <alignment horizontal="center"/>
    </xf>
    <xf numFmtId="0" fontId="81" fillId="6" borderId="5" xfId="0" applyFont="1" applyFill="1" applyBorder="1" applyAlignment="1">
      <alignment horizontal="center" vertical="center" wrapText="1"/>
    </xf>
    <xf numFmtId="0" fontId="80" fillId="0" borderId="5" xfId="0" applyFont="1" applyBorder="1" applyAlignment="1">
      <alignment vertical="center"/>
    </xf>
    <xf numFmtId="0" fontId="82" fillId="0" borderId="5" xfId="582" applyFont="1" applyBorder="1" applyAlignment="1" applyProtection="1">
      <alignment vertical="center"/>
    </xf>
    <xf numFmtId="0" fontId="82" fillId="0" borderId="5" xfId="582" quotePrefix="1" applyFont="1" applyBorder="1" applyAlignment="1" applyProtection="1">
      <alignment vertical="center"/>
    </xf>
    <xf numFmtId="2" fontId="79" fillId="9" borderId="5" xfId="0" applyNumberFormat="1" applyFont="1" applyFill="1" applyBorder="1" applyAlignment="1">
      <alignment horizontal="center" vertical="center"/>
    </xf>
    <xf numFmtId="2" fontId="80" fillId="0" borderId="5" xfId="0" applyNumberFormat="1" applyFont="1" applyBorder="1" applyAlignment="1" applyProtection="1">
      <alignment horizontal="center" vertical="center"/>
      <protection locked="0"/>
    </xf>
    <xf numFmtId="0" fontId="80" fillId="0" borderId="5" xfId="0" applyFont="1" applyBorder="1" applyAlignment="1">
      <alignment horizontal="center"/>
    </xf>
    <xf numFmtId="0" fontId="80" fillId="0" borderId="5" xfId="0" applyFont="1" applyBorder="1"/>
    <xf numFmtId="0" fontId="79" fillId="8" borderId="5" xfId="0" applyFont="1" applyFill="1" applyBorder="1" applyAlignment="1">
      <alignment vertical="center"/>
    </xf>
    <xf numFmtId="2" fontId="79" fillId="8" borderId="5" xfId="0" applyNumberFormat="1" applyFont="1" applyFill="1" applyBorder="1" applyAlignment="1">
      <alignment horizontal="center" vertical="center"/>
    </xf>
    <xf numFmtId="2" fontId="80" fillId="0" borderId="0" xfId="0" applyNumberFormat="1" applyFont="1"/>
    <xf numFmtId="0" fontId="84" fillId="0" borderId="0" xfId="0" applyFont="1"/>
    <xf numFmtId="0" fontId="85" fillId="0" borderId="0" xfId="0" applyFont="1"/>
    <xf numFmtId="0" fontId="84" fillId="0" borderId="0" xfId="0" applyFont="1" applyAlignment="1">
      <alignment horizontal="center"/>
    </xf>
    <xf numFmtId="0" fontId="85" fillId="0" borderId="5" xfId="0" applyFont="1" applyBorder="1" applyAlignment="1">
      <alignment vertical="center"/>
    </xf>
    <xf numFmtId="0" fontId="87" fillId="0" borderId="5" xfId="582" applyFont="1" applyBorder="1" applyAlignment="1" applyProtection="1">
      <alignment vertical="center"/>
    </xf>
    <xf numFmtId="2" fontId="85" fillId="0" borderId="5" xfId="0" applyNumberFormat="1" applyFont="1" applyBorder="1" applyAlignment="1">
      <alignment horizontal="center" vertical="center"/>
    </xf>
    <xf numFmtId="0" fontId="87" fillId="0" borderId="5" xfId="582" quotePrefix="1" applyFont="1" applyBorder="1" applyAlignment="1" applyProtection="1">
      <alignment vertical="center"/>
    </xf>
    <xf numFmtId="2" fontId="84" fillId="9" borderId="5" xfId="0" applyNumberFormat="1" applyFont="1" applyFill="1" applyBorder="1" applyAlignment="1">
      <alignment horizontal="center" vertical="center"/>
    </xf>
    <xf numFmtId="0" fontId="85" fillId="3" borderId="5" xfId="0" applyFont="1" applyFill="1" applyBorder="1" applyAlignment="1">
      <alignment vertical="center"/>
    </xf>
    <xf numFmtId="2" fontId="85" fillId="0" borderId="5" xfId="0" applyNumberFormat="1" applyFont="1" applyBorder="1" applyAlignment="1" applyProtection="1">
      <alignment horizontal="center" vertical="center"/>
      <protection locked="0"/>
    </xf>
    <xf numFmtId="2" fontId="85" fillId="3" borderId="5" xfId="0" applyNumberFormat="1" applyFont="1" applyFill="1" applyBorder="1" applyAlignment="1" applyProtection="1">
      <alignment horizontal="left" vertical="center"/>
      <protection locked="0"/>
    </xf>
    <xf numFmtId="2" fontId="85" fillId="13" borderId="5" xfId="0" applyNumberFormat="1" applyFont="1" applyFill="1" applyBorder="1" applyAlignment="1" applyProtection="1">
      <alignment horizontal="left"/>
      <protection locked="0"/>
    </xf>
    <xf numFmtId="0" fontId="85" fillId="0" borderId="5" xfId="0" applyFont="1" applyBorder="1"/>
    <xf numFmtId="2" fontId="85" fillId="0" borderId="5" xfId="0" applyNumberFormat="1" applyFont="1" applyBorder="1" applyAlignment="1" applyProtection="1">
      <alignment horizontal="center"/>
      <protection locked="0"/>
    </xf>
    <xf numFmtId="0" fontId="85" fillId="13" borderId="5" xfId="0" applyFont="1" applyFill="1" applyBorder="1" applyAlignment="1" applyProtection="1">
      <alignment horizontal="left"/>
      <protection locked="0"/>
    </xf>
    <xf numFmtId="0" fontId="85" fillId="7" borderId="5" xfId="0" applyFont="1" applyFill="1" applyBorder="1" applyProtection="1">
      <protection locked="0"/>
    </xf>
    <xf numFmtId="0" fontId="89" fillId="0" borderId="0" xfId="0" applyFont="1"/>
    <xf numFmtId="0" fontId="90" fillId="0" borderId="16" xfId="0" applyFont="1" applyBorder="1" applyAlignment="1">
      <alignment vertical="center"/>
    </xf>
    <xf numFmtId="0" fontId="89" fillId="0" borderId="5" xfId="0" applyFont="1" applyBorder="1"/>
    <xf numFmtId="0" fontId="84" fillId="0" borderId="7" xfId="0" applyFont="1" applyBorder="1" applyAlignment="1">
      <alignment vertical="center"/>
    </xf>
    <xf numFmtId="168" fontId="84" fillId="3" borderId="45" xfId="14" applyNumberFormat="1" applyFont="1" applyFill="1" applyBorder="1" applyAlignment="1" applyProtection="1">
      <alignment horizontal="left" vertical="center"/>
      <protection locked="0"/>
    </xf>
    <xf numFmtId="0" fontId="84" fillId="0" borderId="16" xfId="0" applyFont="1" applyBorder="1" applyAlignment="1">
      <alignment vertical="center"/>
    </xf>
    <xf numFmtId="14" fontId="84" fillId="3" borderId="46" xfId="14" applyNumberFormat="1" applyFont="1" applyFill="1" applyBorder="1" applyAlignment="1" applyProtection="1">
      <alignment horizontal="left" vertical="center"/>
      <protection locked="0"/>
    </xf>
    <xf numFmtId="168" fontId="84" fillId="3" borderId="46" xfId="14" applyNumberFormat="1" applyFont="1" applyFill="1" applyBorder="1" applyAlignment="1" applyProtection="1">
      <alignment horizontal="left" vertical="center"/>
      <protection locked="0"/>
    </xf>
    <xf numFmtId="0" fontId="84" fillId="0" borderId="23" xfId="0" applyFont="1" applyBorder="1" applyAlignment="1">
      <alignment vertical="center"/>
    </xf>
    <xf numFmtId="168" fontId="84" fillId="3" borderId="47" xfId="14" applyNumberFormat="1" applyFont="1" applyFill="1" applyBorder="1" applyAlignment="1" applyProtection="1">
      <alignment vertical="center"/>
      <protection locked="0"/>
    </xf>
    <xf numFmtId="0" fontId="85" fillId="0" borderId="16" xfId="0" applyFont="1" applyBorder="1" applyAlignment="1">
      <alignment horizontal="center"/>
    </xf>
    <xf numFmtId="0" fontId="87" fillId="0" borderId="25" xfId="582" applyFont="1" applyBorder="1" applyAlignment="1" applyProtection="1">
      <alignment horizontal="center"/>
    </xf>
    <xf numFmtId="0" fontId="85" fillId="0" borderId="23" xfId="0" applyFont="1" applyBorder="1" applyAlignment="1">
      <alignment horizontal="center"/>
    </xf>
    <xf numFmtId="0" fontId="85" fillId="0" borderId="9" xfId="0" applyFont="1" applyBorder="1"/>
    <xf numFmtId="0" fontId="87" fillId="0" borderId="24" xfId="582" applyFont="1" applyBorder="1" applyAlignment="1" applyProtection="1">
      <alignment horizontal="center"/>
    </xf>
    <xf numFmtId="0" fontId="91" fillId="0" borderId="0" xfId="582" applyFont="1" applyAlignment="1" applyProtection="1"/>
    <xf numFmtId="0" fontId="92" fillId="0" borderId="0" xfId="0" applyFont="1"/>
    <xf numFmtId="0" fontId="80" fillId="0" borderId="0" xfId="0" applyFont="1" applyAlignment="1">
      <alignment horizontal="center"/>
    </xf>
    <xf numFmtId="0" fontId="79" fillId="8" borderId="4" xfId="0" applyFont="1" applyFill="1" applyBorder="1" applyAlignment="1">
      <alignment vertical="center"/>
    </xf>
    <xf numFmtId="43" fontId="79" fillId="0" borderId="16" xfId="14" applyFont="1" applyFill="1" applyBorder="1" applyAlignment="1">
      <alignment horizontal="left" vertical="center" wrapText="1"/>
    </xf>
    <xf numFmtId="2" fontId="80" fillId="26" borderId="5" xfId="0" applyNumberFormat="1" applyFont="1" applyFill="1" applyBorder="1" applyAlignment="1">
      <alignment vertical="center"/>
    </xf>
    <xf numFmtId="43" fontId="80" fillId="26" borderId="5" xfId="0" applyNumberFormat="1" applyFont="1" applyFill="1" applyBorder="1" applyAlignment="1">
      <alignment vertical="center"/>
    </xf>
    <xf numFmtId="43" fontId="80" fillId="26" borderId="5" xfId="0" applyNumberFormat="1" applyFont="1" applyFill="1" applyBorder="1" applyAlignment="1">
      <alignment horizontal="center" vertical="center"/>
    </xf>
    <xf numFmtId="0" fontId="80" fillId="26" borderId="5" xfId="0" applyFont="1" applyFill="1" applyBorder="1" applyAlignment="1">
      <alignment horizontal="center" vertical="center"/>
    </xf>
    <xf numFmtId="0" fontId="80" fillId="26" borderId="5" xfId="0" applyFont="1" applyFill="1" applyBorder="1" applyAlignment="1">
      <alignment vertical="center"/>
    </xf>
    <xf numFmtId="0" fontId="80" fillId="0" borderId="25" xfId="0" applyFont="1" applyBorder="1" applyAlignment="1">
      <alignment vertical="center"/>
    </xf>
    <xf numFmtId="0" fontId="80" fillId="26" borderId="4" xfId="0" applyFont="1" applyFill="1" applyBorder="1" applyAlignment="1">
      <alignment vertical="center"/>
    </xf>
    <xf numFmtId="0" fontId="80" fillId="26" borderId="4" xfId="0" applyFont="1" applyFill="1" applyBorder="1" applyAlignment="1">
      <alignment horizontal="center" vertical="center"/>
    </xf>
    <xf numFmtId="0" fontId="79" fillId="0" borderId="23" xfId="0" applyFont="1" applyBorder="1" applyAlignment="1">
      <alignment vertical="center"/>
    </xf>
    <xf numFmtId="0" fontId="79" fillId="0" borderId="9" xfId="0" applyFont="1" applyBorder="1" applyAlignment="1">
      <alignment vertical="center"/>
    </xf>
    <xf numFmtId="2" fontId="79" fillId="0" borderId="9" xfId="0" applyNumberFormat="1" applyFont="1" applyBorder="1" applyAlignment="1">
      <alignment horizontal="center" vertical="center"/>
    </xf>
    <xf numFmtId="43" fontId="79" fillId="0" borderId="9" xfId="0" applyNumberFormat="1" applyFont="1" applyBorder="1" applyAlignment="1">
      <alignment horizontal="center" vertical="center"/>
    </xf>
    <xf numFmtId="0" fontId="80" fillId="0" borderId="0" xfId="607" applyFont="1" applyAlignment="1">
      <alignment wrapText="1"/>
    </xf>
    <xf numFmtId="1" fontId="79" fillId="0" borderId="0" xfId="607" applyNumberFormat="1" applyFont="1" applyAlignment="1">
      <alignment horizontal="center"/>
    </xf>
    <xf numFmtId="2" fontId="79" fillId="0" borderId="0" xfId="607" applyNumberFormat="1" applyFont="1" applyAlignment="1">
      <alignment horizontal="center" vertical="center"/>
    </xf>
    <xf numFmtId="2" fontId="79" fillId="0" borderId="0" xfId="607" applyNumberFormat="1" applyFont="1" applyAlignment="1">
      <alignment horizontal="right"/>
    </xf>
    <xf numFmtId="2" fontId="80" fillId="0" borderId="0" xfId="607" applyNumberFormat="1" applyFont="1" applyAlignment="1">
      <alignment horizontal="right"/>
    </xf>
    <xf numFmtId="2" fontId="80" fillId="0" borderId="0" xfId="607" applyNumberFormat="1" applyFont="1"/>
    <xf numFmtId="2" fontId="80" fillId="0" borderId="0" xfId="607" applyNumberFormat="1" applyFont="1" applyAlignment="1">
      <alignment horizontal="center"/>
    </xf>
    <xf numFmtId="0" fontId="80" fillId="0" borderId="0" xfId="607" applyFont="1"/>
    <xf numFmtId="1" fontId="80" fillId="0" borderId="0" xfId="607" applyNumberFormat="1" applyFont="1" applyAlignment="1">
      <alignment horizontal="center"/>
    </xf>
    <xf numFmtId="2" fontId="80" fillId="0" borderId="0" xfId="607" applyNumberFormat="1" applyFont="1" applyAlignment="1">
      <alignment horizontal="center" vertical="center"/>
    </xf>
    <xf numFmtId="2" fontId="94" fillId="0" borderId="0" xfId="607" applyNumberFormat="1" applyFont="1" applyAlignment="1">
      <alignment horizontal="right"/>
    </xf>
    <xf numFmtId="0" fontId="79" fillId="0" borderId="0" xfId="607" applyFont="1" applyAlignment="1">
      <alignment wrapText="1"/>
    </xf>
    <xf numFmtId="0" fontId="79" fillId="0" borderId="0" xfId="607" applyFont="1" applyAlignment="1">
      <alignment horizontal="left"/>
    </xf>
    <xf numFmtId="43" fontId="80" fillId="0" borderId="0" xfId="607" applyNumberFormat="1" applyFont="1"/>
    <xf numFmtId="0" fontId="81" fillId="6" borderId="7" xfId="0" applyFont="1" applyFill="1" applyBorder="1" applyAlignment="1">
      <alignment horizontal="left" vertical="center" wrapText="1"/>
    </xf>
    <xf numFmtId="2" fontId="81" fillId="6" borderId="6" xfId="0" applyNumberFormat="1" applyFont="1" applyFill="1" applyBorder="1" applyAlignment="1">
      <alignment vertical="center" wrapText="1"/>
    </xf>
    <xf numFmtId="0" fontId="81" fillId="6" borderId="16" xfId="0" applyFont="1" applyFill="1" applyBorder="1" applyAlignment="1">
      <alignment horizontal="center" vertical="center" wrapText="1"/>
    </xf>
    <xf numFmtId="2" fontId="81" fillId="6" borderId="5" xfId="0" applyNumberFormat="1" applyFont="1" applyFill="1" applyBorder="1" applyAlignment="1">
      <alignment horizontal="center" vertical="center" wrapText="1"/>
    </xf>
    <xf numFmtId="2" fontId="81" fillId="6" borderId="5" xfId="0" applyNumberFormat="1" applyFont="1" applyFill="1" applyBorder="1" applyAlignment="1">
      <alignment horizontal="center" vertical="center"/>
    </xf>
    <xf numFmtId="182" fontId="80" fillId="0" borderId="0" xfId="0" applyNumberFormat="1" applyFont="1"/>
    <xf numFmtId="43" fontId="92" fillId="16" borderId="16" xfId="14" applyFont="1" applyFill="1" applyBorder="1" applyAlignment="1">
      <alignment horizontal="left" vertical="center" wrapText="1"/>
    </xf>
    <xf numFmtId="43" fontId="81" fillId="16" borderId="5" xfId="14" applyFont="1" applyFill="1" applyBorder="1" applyAlignment="1">
      <alignment horizontal="left" vertical="center" wrapText="1"/>
    </xf>
    <xf numFmtId="43" fontId="79" fillId="16" borderId="5" xfId="14" applyFont="1" applyFill="1" applyBorder="1" applyAlignment="1">
      <alignment horizontal="left" vertical="center" wrapText="1"/>
    </xf>
    <xf numFmtId="0" fontId="80" fillId="0" borderId="25" xfId="0" applyFont="1" applyBorder="1"/>
    <xf numFmtId="43" fontId="80" fillId="0" borderId="0" xfId="0" applyNumberFormat="1" applyFont="1"/>
    <xf numFmtId="43" fontId="96" fillId="17" borderId="16" xfId="14" applyFont="1" applyFill="1" applyBorder="1" applyAlignment="1">
      <alignment horizontal="left" vertical="center" wrapText="1"/>
    </xf>
    <xf numFmtId="168" fontId="79" fillId="17" borderId="5" xfId="14" applyNumberFormat="1" applyFont="1" applyFill="1" applyBorder="1" applyAlignment="1">
      <alignment horizontal="left" vertical="center" wrapText="1"/>
    </xf>
    <xf numFmtId="43" fontId="96" fillId="17" borderId="5" xfId="14" applyFont="1" applyFill="1" applyBorder="1" applyAlignment="1">
      <alignment vertical="center" wrapText="1"/>
    </xf>
    <xf numFmtId="43" fontId="79" fillId="17" borderId="5" xfId="14" applyFont="1" applyFill="1" applyBorder="1" applyAlignment="1">
      <alignment horizontal="left" vertical="center" wrapText="1"/>
    </xf>
    <xf numFmtId="43" fontId="79" fillId="17" borderId="25" xfId="14" applyFont="1" applyFill="1" applyBorder="1" applyAlignment="1">
      <alignment horizontal="left" vertical="center" wrapText="1"/>
    </xf>
    <xf numFmtId="43" fontId="79" fillId="14" borderId="16" xfId="14" applyFont="1" applyFill="1" applyBorder="1" applyAlignment="1">
      <alignment horizontal="left" vertical="center" wrapText="1"/>
    </xf>
    <xf numFmtId="168" fontId="79" fillId="14" borderId="5" xfId="14" applyNumberFormat="1" applyFont="1" applyFill="1" applyBorder="1" applyAlignment="1">
      <alignment horizontal="left" vertical="center" wrapText="1"/>
    </xf>
    <xf numFmtId="43" fontId="96" fillId="14" borderId="5" xfId="14" applyFont="1" applyFill="1" applyBorder="1" applyAlignment="1">
      <alignment horizontal="left" vertical="center" wrapText="1"/>
    </xf>
    <xf numFmtId="43" fontId="79" fillId="14" borderId="5" xfId="14" applyFont="1" applyFill="1" applyBorder="1" applyAlignment="1">
      <alignment horizontal="left" vertical="center" wrapText="1"/>
    </xf>
    <xf numFmtId="43" fontId="79" fillId="14" borderId="25" xfId="14" applyFont="1" applyFill="1" applyBorder="1" applyAlignment="1">
      <alignment horizontal="left" vertical="center" wrapText="1"/>
    </xf>
    <xf numFmtId="170" fontId="80" fillId="0" borderId="0" xfId="0" applyNumberFormat="1" applyFont="1"/>
    <xf numFmtId="43" fontId="80" fillId="15" borderId="16" xfId="14" applyFont="1" applyFill="1" applyBorder="1" applyAlignment="1">
      <alignment horizontal="left" vertical="center" wrapText="1"/>
    </xf>
    <xf numFmtId="168" fontId="97" fillId="15" borderId="5" xfId="14" applyNumberFormat="1" applyFont="1" applyFill="1" applyBorder="1" applyAlignment="1">
      <alignment horizontal="left" vertical="center" wrapText="1"/>
    </xf>
    <xf numFmtId="43" fontId="80" fillId="15" borderId="5" xfId="14" applyFont="1" applyFill="1" applyBorder="1" applyAlignment="1">
      <alignment horizontal="left" vertical="center" wrapText="1"/>
    </xf>
    <xf numFmtId="168" fontId="97" fillId="15" borderId="5" xfId="14" applyNumberFormat="1" applyFont="1" applyFill="1" applyBorder="1" applyAlignment="1">
      <alignment horizontal="center" vertical="center" wrapText="1"/>
    </xf>
    <xf numFmtId="168" fontId="80" fillId="15" borderId="5" xfId="14" applyNumberFormat="1" applyFont="1" applyFill="1" applyBorder="1" applyAlignment="1">
      <alignment horizontal="left" vertical="center" wrapText="1"/>
    </xf>
    <xf numFmtId="43" fontId="97" fillId="15" borderId="5" xfId="14" applyFont="1" applyFill="1" applyBorder="1" applyAlignment="1">
      <alignment horizontal="left" vertical="center" wrapText="1"/>
    </xf>
    <xf numFmtId="43" fontId="80" fillId="0" borderId="5" xfId="14" applyFont="1" applyFill="1" applyBorder="1" applyAlignment="1">
      <alignment horizontal="center" vertical="center"/>
    </xf>
    <xf numFmtId="43" fontId="80" fillId="0" borderId="5" xfId="14" applyFont="1" applyBorder="1" applyAlignment="1">
      <alignment horizontal="center" vertical="center"/>
    </xf>
    <xf numFmtId="43" fontId="80" fillId="0" borderId="5" xfId="905" applyNumberFormat="1" applyFont="1" applyBorder="1" applyAlignment="1" applyProtection="1">
      <alignment horizontal="right"/>
      <protection locked="0"/>
    </xf>
    <xf numFmtId="43" fontId="80" fillId="0" borderId="5" xfId="14" applyFont="1" applyFill="1" applyBorder="1" applyAlignment="1" applyProtection="1">
      <alignment horizontal="right" vertical="center"/>
      <protection locked="0"/>
    </xf>
    <xf numFmtId="43" fontId="79" fillId="0" borderId="5" xfId="14" applyFont="1" applyFill="1" applyBorder="1" applyAlignment="1">
      <alignment horizontal="left" vertical="center" wrapText="1"/>
    </xf>
    <xf numFmtId="43" fontId="98" fillId="0" borderId="5" xfId="14" applyFont="1" applyFill="1" applyBorder="1" applyAlignment="1">
      <alignment vertical="center" wrapText="1"/>
    </xf>
    <xf numFmtId="43" fontId="80" fillId="0" borderId="25" xfId="14" applyFont="1" applyFill="1" applyBorder="1" applyAlignment="1">
      <alignment horizontal="center" vertical="center"/>
    </xf>
    <xf numFmtId="43" fontId="97" fillId="27" borderId="5" xfId="14" applyFont="1" applyFill="1" applyBorder="1" applyAlignment="1">
      <alignment horizontal="left" vertical="center" wrapText="1"/>
    </xf>
    <xf numFmtId="43" fontId="80" fillId="0" borderId="5" xfId="14" applyFont="1" applyFill="1" applyBorder="1" applyAlignment="1">
      <alignment vertical="center" wrapText="1"/>
    </xf>
    <xf numFmtId="43" fontId="79" fillId="17" borderId="16" xfId="14" applyFont="1" applyFill="1" applyBorder="1" applyAlignment="1">
      <alignment horizontal="left" vertical="center" wrapText="1"/>
    </xf>
    <xf numFmtId="43" fontId="96" fillId="17" borderId="5" xfId="14" applyFont="1" applyFill="1" applyBorder="1" applyAlignment="1">
      <alignment horizontal="center" vertical="center" wrapText="1"/>
    </xf>
    <xf numFmtId="43" fontId="96" fillId="17" borderId="5" xfId="14" applyFont="1" applyFill="1" applyBorder="1" applyAlignment="1">
      <alignment horizontal="left" vertical="center" wrapText="1"/>
    </xf>
    <xf numFmtId="43" fontId="96" fillId="14" borderId="5" xfId="14" applyFont="1" applyFill="1" applyBorder="1" applyAlignment="1">
      <alignment horizontal="center" vertical="center" wrapText="1"/>
    </xf>
    <xf numFmtId="43" fontId="80" fillId="14" borderId="16" xfId="14" applyFont="1" applyFill="1" applyBorder="1" applyAlignment="1">
      <alignment horizontal="left" vertical="center" wrapText="1"/>
    </xf>
    <xf numFmtId="168" fontId="80" fillId="14" borderId="5" xfId="14" applyNumberFormat="1" applyFont="1" applyFill="1" applyBorder="1" applyAlignment="1">
      <alignment horizontal="left" vertical="center" wrapText="1"/>
    </xf>
    <xf numFmtId="43" fontId="80" fillId="14" borderId="5" xfId="14" applyFont="1" applyFill="1" applyBorder="1" applyAlignment="1">
      <alignment horizontal="left" vertical="center" wrapText="1"/>
    </xf>
    <xf numFmtId="168" fontId="96" fillId="17" borderId="5" xfId="14" applyNumberFormat="1" applyFont="1" applyFill="1" applyBorder="1" applyAlignment="1">
      <alignment horizontal="center" vertical="center" wrapText="1"/>
    </xf>
    <xf numFmtId="168" fontId="96" fillId="17" borderId="5" xfId="14" applyNumberFormat="1" applyFont="1" applyFill="1" applyBorder="1" applyAlignment="1">
      <alignment horizontal="left" vertical="center" wrapText="1"/>
    </xf>
    <xf numFmtId="43" fontId="80" fillId="0" borderId="16" xfId="14" applyFont="1" applyFill="1" applyBorder="1" applyAlignment="1">
      <alignment horizontal="left" vertical="center" wrapText="1"/>
    </xf>
    <xf numFmtId="43" fontId="79" fillId="17" borderId="5" xfId="14" applyFont="1" applyFill="1" applyBorder="1" applyAlignment="1">
      <alignment vertical="center" wrapText="1"/>
    </xf>
    <xf numFmtId="43" fontId="79" fillId="14" borderId="16" xfId="14" applyFont="1" applyFill="1" applyBorder="1" applyAlignment="1">
      <alignment vertical="center" wrapText="1"/>
    </xf>
    <xf numFmtId="168" fontId="79" fillId="14" borderId="5" xfId="14" applyNumberFormat="1" applyFont="1" applyFill="1" applyBorder="1" applyAlignment="1">
      <alignment vertical="center" wrapText="1"/>
    </xf>
    <xf numFmtId="43" fontId="79" fillId="14" borderId="5" xfId="14" applyFont="1" applyFill="1" applyBorder="1" applyAlignment="1">
      <alignment vertical="center" wrapText="1"/>
    </xf>
    <xf numFmtId="43" fontId="96" fillId="14" borderId="5" xfId="14" applyFont="1" applyFill="1" applyBorder="1" applyAlignment="1">
      <alignment vertical="center" wrapText="1"/>
    </xf>
    <xf numFmtId="43" fontId="79" fillId="14" borderId="25" xfId="14" applyFont="1" applyFill="1" applyBorder="1" applyAlignment="1">
      <alignment vertical="center" wrapText="1"/>
    </xf>
    <xf numFmtId="0" fontId="80" fillId="0" borderId="16" xfId="0" applyFont="1" applyBorder="1" applyAlignment="1">
      <alignment vertical="center" wrapText="1"/>
    </xf>
    <xf numFmtId="43" fontId="80" fillId="0" borderId="5" xfId="0" applyNumberFormat="1" applyFont="1" applyBorder="1" applyAlignment="1">
      <alignment vertical="center" wrapText="1"/>
    </xf>
    <xf numFmtId="168" fontId="96" fillId="14" borderId="5" xfId="14" applyNumberFormat="1" applyFont="1" applyFill="1" applyBorder="1" applyAlignment="1">
      <alignment vertical="center" wrapText="1"/>
    </xf>
    <xf numFmtId="43" fontId="81" fillId="16" borderId="16" xfId="14" applyFont="1" applyFill="1" applyBorder="1" applyAlignment="1">
      <alignment horizontal="left" vertical="center" wrapText="1"/>
    </xf>
    <xf numFmtId="168" fontId="81" fillId="16" borderId="5" xfId="14" applyNumberFormat="1" applyFont="1" applyFill="1" applyBorder="1" applyAlignment="1">
      <alignment horizontal="left" vertical="center" wrapText="1"/>
    </xf>
    <xf numFmtId="43" fontId="81" fillId="16" borderId="25" xfId="14" applyFont="1" applyFill="1" applyBorder="1" applyAlignment="1">
      <alignment horizontal="left" vertical="center" wrapText="1"/>
    </xf>
    <xf numFmtId="43" fontId="79" fillId="15" borderId="16" xfId="14" applyFont="1" applyFill="1" applyBorder="1" applyAlignment="1">
      <alignment horizontal="left" vertical="center" wrapText="1"/>
    </xf>
    <xf numFmtId="43" fontId="79" fillId="15" borderId="5" xfId="14" applyFont="1" applyFill="1" applyBorder="1" applyAlignment="1">
      <alignment horizontal="left" vertical="center" wrapText="1"/>
    </xf>
    <xf numFmtId="43" fontId="96" fillId="15" borderId="5" xfId="14" applyFont="1" applyFill="1" applyBorder="1" applyAlignment="1">
      <alignment horizontal="left" vertical="center" wrapText="1"/>
    </xf>
    <xf numFmtId="43" fontId="79" fillId="15" borderId="25" xfId="14" applyFont="1" applyFill="1" applyBorder="1" applyAlignment="1">
      <alignment horizontal="left" vertical="center" wrapText="1"/>
    </xf>
    <xf numFmtId="43" fontId="79" fillId="16" borderId="16" xfId="14" applyFont="1" applyFill="1" applyBorder="1" applyAlignment="1">
      <alignment horizontal="left" vertical="center" wrapText="1"/>
    </xf>
    <xf numFmtId="43" fontId="79" fillId="16" borderId="25" xfId="14" applyFont="1" applyFill="1" applyBorder="1" applyAlignment="1">
      <alignment horizontal="left" vertical="center" wrapText="1"/>
    </xf>
    <xf numFmtId="43" fontId="79" fillId="18" borderId="16" xfId="14" applyFont="1" applyFill="1" applyBorder="1" applyAlignment="1">
      <alignment horizontal="left" vertical="center" wrapText="1"/>
    </xf>
    <xf numFmtId="43" fontId="79" fillId="18" borderId="5" xfId="14" applyFont="1" applyFill="1" applyBorder="1" applyAlignment="1">
      <alignment horizontal="left" vertical="center" wrapText="1"/>
    </xf>
    <xf numFmtId="43" fontId="96" fillId="18" borderId="5" xfId="14" applyFont="1" applyFill="1" applyBorder="1" applyAlignment="1">
      <alignment horizontal="left" vertical="center" wrapText="1"/>
    </xf>
    <xf numFmtId="43" fontId="79" fillId="18" borderId="25" xfId="14" applyFont="1" applyFill="1" applyBorder="1" applyAlignment="1">
      <alignment horizontal="left" vertical="center" wrapText="1"/>
    </xf>
    <xf numFmtId="43" fontId="80" fillId="0" borderId="16" xfId="14" applyFont="1" applyFill="1" applyBorder="1" applyAlignment="1">
      <alignment vertical="center" wrapText="1"/>
    </xf>
    <xf numFmtId="168" fontId="80" fillId="0" borderId="5" xfId="14" applyNumberFormat="1" applyFont="1" applyFill="1" applyBorder="1" applyAlignment="1">
      <alignment vertical="center" wrapText="1"/>
    </xf>
    <xf numFmtId="43" fontId="79" fillId="0" borderId="5" xfId="14" applyFont="1" applyFill="1" applyBorder="1" applyAlignment="1">
      <alignment vertical="center" wrapText="1"/>
    </xf>
    <xf numFmtId="43" fontId="81" fillId="19" borderId="16" xfId="14" applyFont="1" applyFill="1" applyBorder="1" applyAlignment="1">
      <alignment horizontal="left" vertical="center" wrapText="1"/>
    </xf>
    <xf numFmtId="43" fontId="81" fillId="19" borderId="5" xfId="14" applyFont="1" applyFill="1" applyBorder="1" applyAlignment="1">
      <alignment horizontal="left" vertical="center" wrapText="1"/>
    </xf>
    <xf numFmtId="43" fontId="81" fillId="19" borderId="25" xfId="14" applyFont="1" applyFill="1" applyBorder="1" applyAlignment="1">
      <alignment horizontal="left" vertical="center" wrapText="1"/>
    </xf>
    <xf numFmtId="0" fontId="79" fillId="0" borderId="0" xfId="607" applyFont="1"/>
    <xf numFmtId="43" fontId="96" fillId="30" borderId="5" xfId="14" applyFont="1" applyFill="1" applyBorder="1" applyAlignment="1">
      <alignment horizontal="center" vertical="center" wrapText="1"/>
    </xf>
    <xf numFmtId="43" fontId="80" fillId="31" borderId="16" xfId="14" applyFont="1" applyFill="1" applyBorder="1" applyAlignment="1">
      <alignment vertical="center" wrapText="1"/>
    </xf>
    <xf numFmtId="2" fontId="80" fillId="15" borderId="16" xfId="14" applyNumberFormat="1" applyFont="1" applyFill="1" applyBorder="1" applyAlignment="1">
      <alignment horizontal="left" vertical="center" wrapText="1"/>
    </xf>
    <xf numFmtId="168" fontId="80" fillId="0" borderId="16" xfId="14" applyNumberFormat="1" applyFont="1" applyFill="1" applyBorder="1" applyAlignment="1">
      <alignment vertical="center" wrapText="1"/>
    </xf>
    <xf numFmtId="43" fontId="80" fillId="0" borderId="25" xfId="14" applyFont="1" applyFill="1" applyBorder="1" applyAlignment="1">
      <alignment vertical="center" wrapText="1"/>
    </xf>
    <xf numFmtId="43" fontId="96" fillId="0" borderId="5" xfId="14" applyFont="1" applyFill="1" applyBorder="1" applyAlignment="1">
      <alignment horizontal="left" vertical="center" wrapText="1"/>
    </xf>
    <xf numFmtId="43" fontId="79" fillId="0" borderId="25" xfId="14" applyFont="1" applyFill="1" applyBorder="1" applyAlignment="1">
      <alignment horizontal="left" vertical="center" wrapText="1"/>
    </xf>
    <xf numFmtId="168" fontId="81" fillId="19" borderId="5" xfId="14" applyNumberFormat="1" applyFont="1" applyFill="1" applyBorder="1" applyAlignment="1">
      <alignment horizontal="left" vertical="center" wrapText="1"/>
    </xf>
    <xf numFmtId="43" fontId="80" fillId="14" borderId="16" xfId="14" applyFont="1" applyFill="1" applyBorder="1" applyAlignment="1">
      <alignment vertical="center" wrapText="1"/>
    </xf>
    <xf numFmtId="43" fontId="80" fillId="28" borderId="5" xfId="905" applyNumberFormat="1" applyFont="1" applyFill="1" applyBorder="1" applyAlignment="1" applyProtection="1">
      <alignment horizontal="right"/>
      <protection locked="0"/>
    </xf>
    <xf numFmtId="43" fontId="79" fillId="0" borderId="16" xfId="14" applyFont="1" applyFill="1" applyBorder="1" applyAlignment="1">
      <alignment vertical="center" wrapText="1"/>
    </xf>
    <xf numFmtId="43" fontId="80" fillId="15" borderId="25" xfId="14" applyFont="1" applyFill="1" applyBorder="1" applyAlignment="1">
      <alignment horizontal="left" vertical="center" wrapText="1"/>
    </xf>
    <xf numFmtId="168" fontId="79" fillId="18" borderId="5" xfId="14" applyNumberFormat="1" applyFont="1" applyFill="1" applyBorder="1" applyAlignment="1">
      <alignment horizontal="left" vertical="center" wrapText="1"/>
    </xf>
    <xf numFmtId="170" fontId="79" fillId="0" borderId="0" xfId="0" applyNumberFormat="1" applyFont="1"/>
    <xf numFmtId="168" fontId="96" fillId="15" borderId="5" xfId="14" applyNumberFormat="1" applyFont="1" applyFill="1" applyBorder="1" applyAlignment="1">
      <alignment horizontal="left" vertical="center" wrapText="1"/>
    </xf>
    <xf numFmtId="43" fontId="79" fillId="0" borderId="5" xfId="14" applyFont="1" applyBorder="1" applyAlignment="1">
      <alignment horizontal="center" vertical="center"/>
    </xf>
    <xf numFmtId="43" fontId="79" fillId="0" borderId="25" xfId="14" applyFont="1" applyFill="1" applyBorder="1" applyAlignment="1">
      <alignment vertical="center" wrapText="1"/>
    </xf>
    <xf numFmtId="4" fontId="80" fillId="0" borderId="0" xfId="607" applyNumberFormat="1" applyFont="1"/>
    <xf numFmtId="43" fontId="97" fillId="30" borderId="5" xfId="14" applyFont="1" applyFill="1" applyBorder="1" applyAlignment="1">
      <alignment horizontal="left" vertical="center" wrapText="1"/>
    </xf>
    <xf numFmtId="43" fontId="81" fillId="19" borderId="23" xfId="14" applyFont="1" applyFill="1" applyBorder="1" applyAlignment="1">
      <alignment horizontal="left" vertical="center" wrapText="1"/>
    </xf>
    <xf numFmtId="168" fontId="81" fillId="19" borderId="9" xfId="14" applyNumberFormat="1" applyFont="1" applyFill="1" applyBorder="1" applyAlignment="1">
      <alignment horizontal="left" vertical="center" wrapText="1"/>
    </xf>
    <xf numFmtId="43" fontId="81" fillId="19" borderId="9" xfId="14" applyFont="1" applyFill="1" applyBorder="1" applyAlignment="1">
      <alignment horizontal="left" vertical="center" wrapText="1"/>
    </xf>
    <xf numFmtId="43" fontId="81" fillId="19" borderId="24" xfId="14" applyFont="1" applyFill="1" applyBorder="1" applyAlignment="1">
      <alignment horizontal="left" vertical="center" wrapText="1"/>
    </xf>
    <xf numFmtId="193" fontId="80" fillId="0" borderId="0" xfId="607" applyNumberFormat="1" applyFont="1"/>
    <xf numFmtId="0" fontId="101" fillId="6" borderId="7" xfId="0" applyFont="1" applyFill="1" applyBorder="1" applyAlignment="1">
      <alignment horizontal="center" vertical="center" wrapText="1"/>
    </xf>
    <xf numFmtId="0" fontId="101" fillId="6" borderId="6" xfId="0" applyFont="1" applyFill="1" applyBorder="1" applyAlignment="1">
      <alignment horizontal="center" vertical="center" wrapText="1"/>
    </xf>
    <xf numFmtId="0" fontId="101" fillId="6" borderId="15" xfId="0" applyFont="1" applyFill="1" applyBorder="1" applyAlignment="1">
      <alignment horizontal="center" vertical="center" wrapText="1"/>
    </xf>
    <xf numFmtId="0" fontId="80" fillId="0" borderId="0" xfId="0" applyFont="1" applyAlignment="1">
      <alignment vertical="center"/>
    </xf>
    <xf numFmtId="0" fontId="89" fillId="0" borderId="5" xfId="0" applyFont="1" applyBorder="1" applyAlignment="1">
      <alignment vertical="center"/>
    </xf>
    <xf numFmtId="2" fontId="89" fillId="0" borderId="5" xfId="0" applyNumberFormat="1" applyFont="1" applyBorder="1" applyAlignment="1" applyProtection="1">
      <alignment horizontal="center" vertical="center"/>
      <protection locked="0"/>
    </xf>
    <xf numFmtId="2" fontId="89" fillId="0" borderId="25" xfId="0" applyNumberFormat="1" applyFont="1" applyBorder="1" applyAlignment="1" applyProtection="1">
      <alignment horizontal="center" vertical="center"/>
      <protection locked="0"/>
    </xf>
    <xf numFmtId="0" fontId="89" fillId="0" borderId="16" xfId="0" applyFont="1" applyBorder="1" applyAlignment="1">
      <alignment vertical="center"/>
    </xf>
    <xf numFmtId="0" fontId="89" fillId="0" borderId="5" xfId="0" applyFont="1" applyBorder="1" applyAlignment="1" applyProtection="1">
      <alignment vertical="center"/>
      <protection locked="0"/>
    </xf>
    <xf numFmtId="0" fontId="89" fillId="0" borderId="16" xfId="0" applyFont="1" applyBorder="1" applyAlignment="1" applyProtection="1">
      <alignment vertical="center" wrapText="1"/>
      <protection locked="0"/>
    </xf>
    <xf numFmtId="0" fontId="80" fillId="0" borderId="5" xfId="0" applyFont="1" applyBorder="1" applyAlignment="1" applyProtection="1">
      <alignment wrapText="1"/>
      <protection locked="0"/>
    </xf>
    <xf numFmtId="0" fontId="90" fillId="8" borderId="23" xfId="0" applyFont="1" applyFill="1" applyBorder="1" applyAlignment="1">
      <alignment horizontal="center" vertical="center" wrapText="1"/>
    </xf>
    <xf numFmtId="0" fontId="90" fillId="8" borderId="9" xfId="0" applyFont="1" applyFill="1" applyBorder="1" applyAlignment="1">
      <alignment horizontal="center" vertical="center" wrapText="1"/>
    </xf>
    <xf numFmtId="2" fontId="90" fillId="8" borderId="9" xfId="0" applyNumberFormat="1" applyFont="1" applyFill="1" applyBorder="1" applyAlignment="1">
      <alignment horizontal="center" vertical="center"/>
    </xf>
    <xf numFmtId="2" fontId="90" fillId="8" borderId="24" xfId="0" applyNumberFormat="1" applyFont="1" applyFill="1" applyBorder="1" applyAlignment="1">
      <alignment horizontal="center" vertical="center"/>
    </xf>
    <xf numFmtId="1" fontId="80" fillId="0" borderId="0" xfId="0" applyNumberFormat="1" applyFont="1"/>
    <xf numFmtId="2" fontId="79" fillId="0" borderId="0" xfId="0" applyNumberFormat="1" applyFont="1"/>
    <xf numFmtId="1" fontId="79" fillId="0" borderId="0" xfId="0" applyNumberFormat="1" applyFont="1"/>
    <xf numFmtId="1" fontId="91" fillId="0" borderId="0" xfId="582" applyNumberFormat="1" applyFont="1" applyAlignment="1" applyProtection="1"/>
    <xf numFmtId="1" fontId="81" fillId="6" borderId="5" xfId="0" applyNumberFormat="1" applyFont="1" applyFill="1" applyBorder="1" applyAlignment="1">
      <alignment horizontal="center" vertical="center" wrapText="1"/>
    </xf>
    <xf numFmtId="43" fontId="92" fillId="16" borderId="5" xfId="14" applyFont="1" applyFill="1" applyBorder="1" applyAlignment="1">
      <alignment horizontal="left" vertical="center" wrapText="1"/>
    </xf>
    <xf numFmtId="43" fontId="92" fillId="16" borderId="25" xfId="14" applyFont="1" applyFill="1" applyBorder="1" applyAlignment="1">
      <alignment horizontal="left" vertical="center" wrapText="1"/>
    </xf>
    <xf numFmtId="0" fontId="80" fillId="0" borderId="5" xfId="0" applyFont="1" applyBorder="1" applyAlignment="1">
      <alignment vertical="center" wrapText="1"/>
    </xf>
    <xf numFmtId="0" fontId="80" fillId="0" borderId="25" xfId="0" applyFont="1" applyBorder="1" applyAlignment="1">
      <alignment vertical="center" wrapText="1"/>
    </xf>
    <xf numFmtId="43" fontId="96" fillId="15" borderId="16" xfId="14" applyFont="1" applyFill="1" applyBorder="1" applyAlignment="1">
      <alignment horizontal="left" vertical="center" wrapText="1"/>
    </xf>
    <xf numFmtId="43" fontId="96" fillId="15" borderId="25" xfId="14" applyFont="1" applyFill="1" applyBorder="1" applyAlignment="1">
      <alignment horizontal="left" vertical="center" wrapText="1"/>
    </xf>
    <xf numFmtId="43" fontId="96" fillId="18" borderId="16" xfId="14" applyFont="1" applyFill="1" applyBorder="1" applyAlignment="1">
      <alignment horizontal="left" vertical="center" wrapText="1"/>
    </xf>
    <xf numFmtId="43" fontId="96" fillId="18" borderId="25" xfId="14" applyFont="1" applyFill="1" applyBorder="1" applyAlignment="1">
      <alignment horizontal="left" vertical="center" wrapText="1"/>
    </xf>
    <xf numFmtId="43" fontId="102" fillId="18" borderId="16" xfId="14" applyFont="1" applyFill="1" applyBorder="1" applyAlignment="1">
      <alignment horizontal="left" vertical="center" wrapText="1"/>
    </xf>
    <xf numFmtId="43" fontId="102" fillId="18" borderId="5" xfId="14" applyFont="1" applyFill="1" applyBorder="1" applyAlignment="1">
      <alignment horizontal="left" vertical="center" wrapText="1"/>
    </xf>
    <xf numFmtId="43" fontId="102" fillId="18" borderId="25" xfId="14" applyFont="1" applyFill="1" applyBorder="1" applyAlignment="1">
      <alignment horizontal="left" vertical="center" wrapText="1"/>
    </xf>
    <xf numFmtId="43" fontId="97" fillId="15" borderId="16" xfId="14" applyFont="1" applyFill="1" applyBorder="1" applyAlignment="1">
      <alignment horizontal="left" vertical="center" wrapText="1"/>
    </xf>
    <xf numFmtId="43" fontId="97" fillId="15" borderId="25" xfId="14" applyFont="1" applyFill="1" applyBorder="1" applyAlignment="1">
      <alignment horizontal="left" vertical="center" wrapText="1"/>
    </xf>
    <xf numFmtId="0" fontId="80" fillId="0" borderId="16" xfId="0" applyFont="1" applyBorder="1" applyAlignment="1">
      <alignment vertical="center"/>
    </xf>
    <xf numFmtId="0" fontId="80" fillId="0" borderId="0" xfId="0" applyFont="1" applyAlignment="1">
      <alignment wrapText="1"/>
    </xf>
    <xf numFmtId="0" fontId="103" fillId="0" borderId="0" xfId="0" applyFont="1"/>
    <xf numFmtId="0" fontId="79" fillId="0" borderId="0" xfId="0" applyFont="1" applyAlignment="1">
      <alignment wrapText="1"/>
    </xf>
    <xf numFmtId="0" fontId="89" fillId="0" borderId="0" xfId="0" applyFont="1" applyAlignment="1">
      <alignment vertical="center"/>
    </xf>
    <xf numFmtId="0" fontId="90" fillId="0" borderId="0" xfId="0" applyFont="1"/>
    <xf numFmtId="0" fontId="101" fillId="6" borderId="7" xfId="0" applyFont="1" applyFill="1" applyBorder="1" applyAlignment="1">
      <alignment horizontal="left" vertical="center" wrapText="1"/>
    </xf>
    <xf numFmtId="2" fontId="89" fillId="0" borderId="5" xfId="0" applyNumberFormat="1" applyFont="1" applyBorder="1" applyAlignment="1">
      <alignment horizontal="center" vertical="center"/>
    </xf>
    <xf numFmtId="0" fontId="89" fillId="2" borderId="16" xfId="0" applyFont="1" applyFill="1" applyBorder="1" applyAlignment="1">
      <alignment vertical="center"/>
    </xf>
    <xf numFmtId="0" fontId="89" fillId="2" borderId="5" xfId="0" applyFont="1" applyFill="1" applyBorder="1" applyAlignment="1">
      <alignment vertical="center"/>
    </xf>
    <xf numFmtId="2" fontId="89" fillId="2" borderId="5" xfId="0" applyNumberFormat="1" applyFont="1" applyFill="1" applyBorder="1" applyAlignment="1">
      <alignment horizontal="center" vertical="center"/>
    </xf>
    <xf numFmtId="2" fontId="89" fillId="2" borderId="25" xfId="0" applyNumberFormat="1" applyFont="1" applyFill="1" applyBorder="1" applyAlignment="1">
      <alignment horizontal="center" vertical="center"/>
    </xf>
    <xf numFmtId="0" fontId="89" fillId="0" borderId="16" xfId="0" applyFont="1" applyBorder="1" applyAlignment="1">
      <alignment horizontal="left" vertical="center" wrapText="1" indent="2"/>
    </xf>
    <xf numFmtId="0" fontId="89" fillId="0" borderId="16" xfId="0" applyFont="1" applyBorder="1" applyAlignment="1">
      <alignment horizontal="left" vertical="center" indent="2"/>
    </xf>
    <xf numFmtId="0" fontId="89" fillId="0" borderId="16" xfId="0" applyFont="1" applyBorder="1" applyAlignment="1" applyProtection="1">
      <alignment horizontal="left" indent="1"/>
      <protection locked="0"/>
    </xf>
    <xf numFmtId="0" fontId="82" fillId="0" borderId="5" xfId="582" applyFont="1" applyBorder="1" applyAlignment="1" applyProtection="1">
      <protection locked="0"/>
    </xf>
    <xf numFmtId="2" fontId="89" fillId="10" borderId="5" xfId="0" applyNumberFormat="1" applyFont="1" applyFill="1" applyBorder="1" applyAlignment="1" applyProtection="1">
      <alignment horizontal="center"/>
      <protection locked="0"/>
    </xf>
    <xf numFmtId="0" fontId="90" fillId="8" borderId="23" xfId="0" applyFont="1" applyFill="1" applyBorder="1" applyAlignment="1">
      <alignment vertical="center" wrapText="1"/>
    </xf>
    <xf numFmtId="0" fontId="90" fillId="8" borderId="9" xfId="0" applyFont="1" applyFill="1" applyBorder="1" applyAlignment="1">
      <alignment vertical="center"/>
    </xf>
    <xf numFmtId="2" fontId="79" fillId="0" borderId="0" xfId="0" applyNumberFormat="1" applyFont="1" applyAlignment="1">
      <alignment horizontal="right" readingOrder="1"/>
    </xf>
    <xf numFmtId="0" fontId="91" fillId="0" borderId="0" xfId="582" applyFont="1" applyFill="1" applyBorder="1" applyAlignment="1" applyProtection="1"/>
    <xf numFmtId="3" fontId="79" fillId="0" borderId="0" xfId="0" applyNumberFormat="1" applyFont="1" applyAlignment="1">
      <alignment horizontal="right"/>
    </xf>
    <xf numFmtId="43" fontId="79" fillId="0" borderId="0" xfId="0" applyNumberFormat="1" applyFont="1" applyAlignment="1">
      <alignment vertical="center"/>
    </xf>
    <xf numFmtId="2" fontId="79" fillId="0" borderId="0" xfId="0" applyNumberFormat="1" applyFont="1" applyAlignment="1">
      <alignment horizontal="right"/>
    </xf>
    <xf numFmtId="2" fontId="80" fillId="0" borderId="0" xfId="0" applyNumberFormat="1" applyFont="1" applyAlignment="1">
      <alignment horizontal="right"/>
    </xf>
    <xf numFmtId="3" fontId="80" fillId="0" borderId="0" xfId="0" applyNumberFormat="1" applyFont="1" applyAlignment="1">
      <alignment horizontal="right"/>
    </xf>
    <xf numFmtId="43" fontId="80" fillId="0" borderId="0" xfId="0" applyNumberFormat="1" applyFont="1" applyAlignment="1">
      <alignment vertical="center"/>
    </xf>
    <xf numFmtId="2" fontId="94" fillId="0" borderId="0" xfId="0" applyNumberFormat="1" applyFont="1" applyAlignment="1">
      <alignment horizontal="right"/>
    </xf>
    <xf numFmtId="3" fontId="79" fillId="0" borderId="0" xfId="0" applyNumberFormat="1" applyFont="1" applyAlignment="1">
      <alignment horizontal="left"/>
    </xf>
    <xf numFmtId="43" fontId="79" fillId="6" borderId="5" xfId="0" applyNumberFormat="1" applyFont="1" applyFill="1" applyBorder="1" applyAlignment="1">
      <alignment vertical="center" wrapText="1"/>
    </xf>
    <xf numFmtId="43" fontId="79" fillId="6" borderId="5" xfId="0" applyNumberFormat="1" applyFont="1" applyFill="1" applyBorder="1" applyAlignment="1">
      <alignment horizontal="center" vertical="center" wrapText="1"/>
    </xf>
    <xf numFmtId="43" fontId="79" fillId="16" borderId="5" xfId="14" applyFont="1" applyFill="1" applyBorder="1" applyAlignment="1">
      <alignment vertical="center" wrapText="1"/>
    </xf>
    <xf numFmtId="43" fontId="80" fillId="0" borderId="5" xfId="904" applyNumberFormat="1" applyFont="1" applyBorder="1" applyAlignment="1" applyProtection="1">
      <alignment horizontal="right"/>
      <protection locked="0"/>
    </xf>
    <xf numFmtId="168" fontId="79" fillId="15" borderId="5" xfId="14" applyNumberFormat="1" applyFont="1" applyFill="1" applyBorder="1" applyAlignment="1">
      <alignment horizontal="left" vertical="center" wrapText="1"/>
    </xf>
    <xf numFmtId="43" fontId="104" fillId="16" borderId="16" xfId="14" applyFont="1" applyFill="1" applyBorder="1" applyAlignment="1">
      <alignment horizontal="left" vertical="center" wrapText="1"/>
    </xf>
    <xf numFmtId="168" fontId="79" fillId="16" borderId="5" xfId="14" applyNumberFormat="1" applyFont="1" applyFill="1" applyBorder="1" applyAlignment="1">
      <alignment horizontal="left" vertical="center" wrapText="1"/>
    </xf>
    <xf numFmtId="43" fontId="80" fillId="17" borderId="5" xfId="14" applyFont="1" applyFill="1" applyBorder="1" applyAlignment="1">
      <alignment vertical="center" wrapText="1"/>
    </xf>
    <xf numFmtId="43" fontId="79" fillId="0" borderId="20" xfId="14" applyFont="1" applyFill="1" applyBorder="1" applyAlignment="1">
      <alignment vertical="center" wrapText="1"/>
    </xf>
    <xf numFmtId="43" fontId="80" fillId="0" borderId="21" xfId="14" applyFont="1" applyFill="1" applyBorder="1" applyAlignment="1">
      <alignment vertical="center" wrapText="1"/>
    </xf>
    <xf numFmtId="168" fontId="80" fillId="0" borderId="21" xfId="14" applyNumberFormat="1" applyFont="1" applyFill="1" applyBorder="1" applyAlignment="1">
      <alignment vertical="center" wrapText="1"/>
    </xf>
    <xf numFmtId="43" fontId="80" fillId="15" borderId="21" xfId="14" applyFont="1" applyFill="1" applyBorder="1" applyAlignment="1">
      <alignment horizontal="left" vertical="center" wrapText="1"/>
    </xf>
    <xf numFmtId="43" fontId="80" fillId="0" borderId="21" xfId="14" applyFont="1" applyFill="1" applyBorder="1" applyAlignment="1">
      <alignment horizontal="center" vertical="center"/>
    </xf>
    <xf numFmtId="43" fontId="80" fillId="0" borderId="21" xfId="14" applyFont="1" applyBorder="1" applyAlignment="1">
      <alignment horizontal="center" vertical="center"/>
    </xf>
    <xf numFmtId="43" fontId="80" fillId="0" borderId="21" xfId="904" applyNumberFormat="1" applyFont="1" applyBorder="1" applyAlignment="1" applyProtection="1">
      <alignment horizontal="right"/>
      <protection locked="0"/>
    </xf>
    <xf numFmtId="43" fontId="79" fillId="0" borderId="36" xfId="14" applyFont="1" applyFill="1" applyBorder="1" applyAlignment="1">
      <alignment horizontal="left" vertical="center" wrapText="1"/>
    </xf>
    <xf numFmtId="168" fontId="80" fillId="0" borderId="0" xfId="14" applyNumberFormat="1" applyFont="1" applyFill="1" applyBorder="1" applyAlignment="1">
      <alignment vertical="center" wrapText="1"/>
    </xf>
    <xf numFmtId="43" fontId="80" fillId="0" borderId="0" xfId="14" applyFont="1" applyFill="1" applyBorder="1" applyAlignment="1">
      <alignment vertical="center" wrapText="1"/>
    </xf>
    <xf numFmtId="43" fontId="80" fillId="0" borderId="0" xfId="14" applyFont="1" applyFill="1" applyBorder="1" applyAlignment="1">
      <alignment horizontal="center" vertical="center"/>
    </xf>
    <xf numFmtId="43" fontId="80" fillId="0" borderId="0" xfId="14" applyFont="1" applyBorder="1" applyAlignment="1">
      <alignment horizontal="center" vertical="center"/>
    </xf>
    <xf numFmtId="43" fontId="80" fillId="0" borderId="0" xfId="904" applyNumberFormat="1" applyFont="1" applyAlignment="1" applyProtection="1">
      <alignment horizontal="right"/>
      <protection locked="0"/>
    </xf>
    <xf numFmtId="43" fontId="80" fillId="0" borderId="0" xfId="14" applyFont="1" applyFill="1" applyBorder="1" applyAlignment="1" applyProtection="1">
      <alignment horizontal="right" vertical="center"/>
      <protection locked="0"/>
    </xf>
    <xf numFmtId="43" fontId="79" fillId="0" borderId="0" xfId="14" applyFont="1" applyFill="1" applyBorder="1" applyAlignment="1">
      <alignment horizontal="left" vertical="center" wrapText="1"/>
    </xf>
    <xf numFmtId="168" fontId="79" fillId="0" borderId="0" xfId="14" applyNumberFormat="1" applyFont="1" applyFill="1" applyBorder="1" applyAlignment="1">
      <alignment horizontal="left" vertical="center" wrapText="1"/>
    </xf>
    <xf numFmtId="43" fontId="96" fillId="0" borderId="0" xfId="14" applyFont="1" applyFill="1" applyBorder="1" applyAlignment="1">
      <alignment horizontal="left" vertical="center" wrapText="1"/>
    </xf>
    <xf numFmtId="43" fontId="79" fillId="18" borderId="19" xfId="14" applyFont="1" applyFill="1" applyBorder="1" applyAlignment="1">
      <alignment horizontal="left" vertical="center" wrapText="1"/>
    </xf>
    <xf numFmtId="168" fontId="79" fillId="18" borderId="10" xfId="14" applyNumberFormat="1" applyFont="1" applyFill="1" applyBorder="1" applyAlignment="1">
      <alignment horizontal="left" vertical="center" wrapText="1"/>
    </xf>
    <xf numFmtId="43" fontId="79" fillId="20" borderId="10" xfId="14" applyFont="1" applyFill="1" applyBorder="1" applyAlignment="1" applyProtection="1">
      <alignment horizontal="center" vertical="center"/>
      <protection locked="0"/>
    </xf>
    <xf numFmtId="168" fontId="79" fillId="20" borderId="10" xfId="14" applyNumberFormat="1" applyFont="1" applyFill="1" applyBorder="1" applyAlignment="1" applyProtection="1">
      <alignment horizontal="center" vertical="center"/>
      <protection locked="0"/>
    </xf>
    <xf numFmtId="43" fontId="96" fillId="18" borderId="10" xfId="14" applyFont="1" applyFill="1" applyBorder="1" applyAlignment="1">
      <alignment horizontal="left" vertical="center" wrapText="1"/>
    </xf>
    <xf numFmtId="43" fontId="79" fillId="18" borderId="10" xfId="14" applyFont="1" applyFill="1" applyBorder="1" applyAlignment="1">
      <alignment horizontal="left" vertical="center" wrapText="1"/>
    </xf>
    <xf numFmtId="168" fontId="96" fillId="14" borderId="5" xfId="14" applyNumberFormat="1" applyFont="1" applyFill="1" applyBorder="1" applyAlignment="1">
      <alignment horizontal="center" vertical="center" wrapText="1"/>
    </xf>
    <xf numFmtId="43" fontId="79" fillId="0" borderId="28" xfId="14" applyFont="1" applyFill="1" applyBorder="1" applyAlignment="1">
      <alignment horizontal="left" vertical="center" wrapText="1"/>
    </xf>
    <xf numFmtId="43" fontId="80" fillId="28" borderId="5" xfId="904" applyNumberFormat="1" applyFont="1" applyFill="1" applyBorder="1" applyAlignment="1" applyProtection="1">
      <alignment horizontal="right"/>
      <protection locked="0"/>
    </xf>
    <xf numFmtId="168" fontId="80" fillId="15" borderId="21" xfId="14" applyNumberFormat="1" applyFont="1" applyFill="1" applyBorder="1" applyAlignment="1">
      <alignment horizontal="left" vertical="center" wrapText="1"/>
    </xf>
    <xf numFmtId="43" fontId="81" fillId="0" borderId="0" xfId="14" applyFont="1" applyFill="1" applyBorder="1" applyAlignment="1">
      <alignment horizontal="left" vertical="center" wrapText="1"/>
    </xf>
    <xf numFmtId="168" fontId="81" fillId="0" borderId="0" xfId="14" applyNumberFormat="1" applyFont="1" applyFill="1" applyBorder="1" applyAlignment="1">
      <alignment horizontal="center" vertical="center" wrapText="1"/>
    </xf>
    <xf numFmtId="43" fontId="81" fillId="0" borderId="0" xfId="14" applyFont="1" applyFill="1" applyBorder="1" applyAlignment="1">
      <alignment vertical="center" wrapText="1"/>
    </xf>
    <xf numFmtId="168" fontId="79" fillId="0" borderId="5" xfId="14" applyNumberFormat="1" applyFont="1" applyFill="1" applyBorder="1" applyAlignment="1">
      <alignment horizontal="left" vertical="center" wrapText="1"/>
    </xf>
    <xf numFmtId="43" fontId="79" fillId="20" borderId="5" xfId="14" applyFont="1" applyFill="1" applyBorder="1" applyAlignment="1" applyProtection="1">
      <alignment horizontal="center" vertical="center"/>
      <protection locked="0"/>
    </xf>
    <xf numFmtId="168" fontId="79" fillId="20" borderId="5" xfId="14" applyNumberFormat="1" applyFont="1" applyFill="1" applyBorder="1" applyAlignment="1" applyProtection="1">
      <alignment horizontal="center" vertical="center"/>
      <protection locked="0"/>
    </xf>
    <xf numFmtId="43" fontId="80" fillId="0" borderId="0" xfId="0" applyNumberFormat="1" applyFont="1" applyAlignment="1">
      <alignment horizontal="right"/>
    </xf>
    <xf numFmtId="0" fontId="82" fillId="0" borderId="0" xfId="582" applyFont="1" applyAlignment="1" applyProtection="1"/>
    <xf numFmtId="0" fontId="90" fillId="0" borderId="0" xfId="0" applyFont="1" applyAlignment="1">
      <alignment horizontal="center"/>
    </xf>
    <xf numFmtId="0" fontId="89" fillId="0" borderId="4" xfId="0" applyFont="1" applyBorder="1" applyAlignment="1">
      <alignment horizontal="center" vertical="center" wrapText="1"/>
    </xf>
    <xf numFmtId="0" fontId="89" fillId="0" borderId="34" xfId="0" applyFont="1" applyBorder="1" applyAlignment="1">
      <alignment horizontal="center" vertical="center" wrapText="1"/>
    </xf>
    <xf numFmtId="0" fontId="89" fillId="0" borderId="0" xfId="0" applyFont="1" applyAlignment="1">
      <alignment horizontal="left" vertical="center" wrapText="1"/>
    </xf>
    <xf numFmtId="0" fontId="101" fillId="6" borderId="43" xfId="0" applyFont="1" applyFill="1" applyBorder="1" applyAlignment="1">
      <alignment horizontal="center" vertical="center" wrapText="1"/>
    </xf>
    <xf numFmtId="0" fontId="89" fillId="0" borderId="6" xfId="0" applyFont="1" applyBorder="1" applyAlignment="1">
      <alignment vertical="center"/>
    </xf>
    <xf numFmtId="0" fontId="89" fillId="0" borderId="14" xfId="0" applyFont="1" applyBorder="1" applyAlignment="1" applyProtection="1">
      <alignment horizontal="left" vertical="center" wrapText="1"/>
      <protection locked="0"/>
    </xf>
    <xf numFmtId="0" fontId="89" fillId="0" borderId="5" xfId="0" applyFont="1" applyBorder="1" applyAlignment="1">
      <alignment horizontal="center" vertical="center"/>
    </xf>
    <xf numFmtId="0" fontId="89" fillId="0" borderId="14" xfId="0" applyFont="1" applyBorder="1" applyAlignment="1" applyProtection="1">
      <alignment horizontal="left" wrapText="1"/>
      <protection locked="0"/>
    </xf>
    <xf numFmtId="0" fontId="89" fillId="0" borderId="12" xfId="0" applyFont="1" applyBorder="1" applyAlignment="1" applyProtection="1">
      <alignment horizontal="left" wrapText="1"/>
      <protection locked="0"/>
    </xf>
    <xf numFmtId="2" fontId="89" fillId="0" borderId="0" xfId="0" applyNumberFormat="1" applyFont="1"/>
    <xf numFmtId="0" fontId="82" fillId="0" borderId="0" xfId="582" applyFont="1" applyAlignment="1" applyProtection="1">
      <alignment vertical="center" wrapText="1"/>
    </xf>
    <xf numFmtId="0" fontId="89" fillId="0" borderId="0" xfId="0" applyFont="1" applyAlignment="1">
      <alignment vertical="center" wrapText="1"/>
    </xf>
    <xf numFmtId="0" fontId="90" fillId="0" borderId="0" xfId="0" applyFont="1" applyAlignment="1">
      <alignment vertical="center" wrapText="1"/>
    </xf>
    <xf numFmtId="0" fontId="90" fillId="0" borderId="0" xfId="0" applyFont="1" applyAlignment="1">
      <alignment vertical="center"/>
    </xf>
    <xf numFmtId="0" fontId="90" fillId="0" borderId="0" xfId="0" applyFont="1" applyAlignment="1">
      <alignment horizontal="center" vertical="center" wrapText="1"/>
    </xf>
    <xf numFmtId="0" fontId="90" fillId="0" borderId="0" xfId="0" applyFont="1" applyAlignment="1">
      <alignment horizontal="left" vertical="center" wrapText="1"/>
    </xf>
    <xf numFmtId="0" fontId="101" fillId="6" borderId="5" xfId="0" applyFont="1" applyFill="1" applyBorder="1" applyAlignment="1">
      <alignment horizontal="center" vertical="center" wrapText="1"/>
    </xf>
    <xf numFmtId="0" fontId="101" fillId="6" borderId="34" xfId="0" applyFont="1" applyFill="1" applyBorder="1" applyAlignment="1">
      <alignment horizontal="center" vertical="center" wrapText="1"/>
    </xf>
    <xf numFmtId="2" fontId="89" fillId="0" borderId="5" xfId="0" applyNumberFormat="1" applyFont="1" applyBorder="1" applyProtection="1">
      <protection locked="0"/>
    </xf>
    <xf numFmtId="43" fontId="106" fillId="15" borderId="16" xfId="14" applyFont="1" applyFill="1" applyBorder="1" applyAlignment="1">
      <alignment horizontal="left" vertical="center" wrapText="1"/>
    </xf>
    <xf numFmtId="0" fontId="90" fillId="8" borderId="16" xfId="0" applyFont="1" applyFill="1" applyBorder="1" applyAlignment="1">
      <alignment vertical="center"/>
    </xf>
    <xf numFmtId="168" fontId="107" fillId="18" borderId="5" xfId="14" applyNumberFormat="1" applyFont="1" applyFill="1" applyBorder="1" applyAlignment="1">
      <alignment horizontal="left" vertical="center" wrapText="1"/>
    </xf>
    <xf numFmtId="168" fontId="107" fillId="17" borderId="5" xfId="14" applyNumberFormat="1" applyFont="1" applyFill="1" applyBorder="1" applyAlignment="1">
      <alignment horizontal="left" vertical="center" wrapText="1"/>
    </xf>
    <xf numFmtId="43" fontId="89" fillId="0" borderId="16" xfId="14" applyFont="1" applyFill="1" applyBorder="1" applyAlignment="1">
      <alignment vertical="center" wrapText="1"/>
    </xf>
    <xf numFmtId="43" fontId="106" fillId="0" borderId="16" xfId="14" applyFont="1" applyFill="1" applyBorder="1" applyAlignment="1">
      <alignment horizontal="left" vertical="center" wrapText="1"/>
    </xf>
    <xf numFmtId="43" fontId="105" fillId="19" borderId="9" xfId="14" applyFont="1" applyFill="1" applyBorder="1" applyAlignment="1">
      <alignment horizontal="left" vertical="center" wrapText="1"/>
    </xf>
    <xf numFmtId="43" fontId="105" fillId="19" borderId="0" xfId="14" applyFont="1" applyFill="1" applyBorder="1" applyAlignment="1">
      <alignment horizontal="left" vertical="center" wrapText="1"/>
    </xf>
    <xf numFmtId="2" fontId="89" fillId="0" borderId="0" xfId="0" applyNumberFormat="1" applyFont="1" applyAlignment="1">
      <alignment vertical="center" wrapText="1"/>
    </xf>
    <xf numFmtId="0" fontId="89" fillId="0" borderId="5" xfId="0" applyFont="1" applyBorder="1" applyAlignment="1">
      <alignment vertical="center" wrapText="1"/>
    </xf>
    <xf numFmtId="1" fontId="91" fillId="9" borderId="5" xfId="582" applyNumberFormat="1" applyFont="1" applyFill="1" applyBorder="1" applyAlignment="1" applyProtection="1"/>
    <xf numFmtId="1" fontId="79" fillId="9" borderId="5" xfId="0" applyNumberFormat="1" applyFont="1" applyFill="1" applyBorder="1"/>
    <xf numFmtId="2" fontId="79" fillId="9" borderId="5" xfId="0" applyNumberFormat="1" applyFont="1" applyFill="1" applyBorder="1"/>
    <xf numFmtId="0" fontId="80" fillId="0" borderId="5" xfId="0" applyFont="1" applyBorder="1" applyAlignment="1" applyProtection="1">
      <alignment horizontal="left" indent="1"/>
      <protection locked="0"/>
    </xf>
    <xf numFmtId="1" fontId="80" fillId="2" borderId="5" xfId="0" applyNumberFormat="1" applyFont="1" applyFill="1" applyBorder="1" applyProtection="1">
      <protection locked="0"/>
    </xf>
    <xf numFmtId="2" fontId="80" fillId="2" borderId="5" xfId="0" applyNumberFormat="1" applyFont="1" applyFill="1" applyBorder="1" applyProtection="1">
      <protection locked="0"/>
    </xf>
    <xf numFmtId="169" fontId="80" fillId="0" borderId="5" xfId="0" applyNumberFormat="1" applyFont="1" applyBorder="1" applyAlignment="1" applyProtection="1">
      <alignment horizontal="left" indent="1"/>
      <protection locked="0"/>
    </xf>
    <xf numFmtId="0" fontId="79" fillId="9" borderId="5" xfId="0" applyFont="1" applyFill="1" applyBorder="1" applyAlignment="1">
      <alignment vertical="center"/>
    </xf>
    <xf numFmtId="2" fontId="97" fillId="15" borderId="5" xfId="14" applyNumberFormat="1" applyFont="1" applyFill="1" applyBorder="1" applyAlignment="1">
      <alignment horizontal="left" vertical="center" wrapText="1"/>
    </xf>
    <xf numFmtId="0" fontId="79" fillId="8" borderId="16" xfId="0" applyFont="1" applyFill="1" applyBorder="1" applyAlignment="1">
      <alignment vertical="center"/>
    </xf>
    <xf numFmtId="0" fontId="79" fillId="8" borderId="25" xfId="0" applyFont="1" applyFill="1" applyBorder="1" applyAlignment="1">
      <alignment vertical="center"/>
    </xf>
    <xf numFmtId="168" fontId="79" fillId="0" borderId="5" xfId="14" applyNumberFormat="1" applyFont="1" applyFill="1" applyBorder="1" applyAlignment="1">
      <alignment vertical="center" wrapText="1"/>
    </xf>
    <xf numFmtId="0" fontId="94" fillId="0" borderId="0" xfId="0" applyFont="1"/>
    <xf numFmtId="0" fontId="80" fillId="9" borderId="5" xfId="0" applyFont="1" applyFill="1" applyBorder="1" applyAlignment="1">
      <alignment vertical="center"/>
    </xf>
    <xf numFmtId="0" fontId="108" fillId="0" borderId="5" xfId="0" applyFont="1" applyBorder="1" applyAlignment="1">
      <alignment vertical="center"/>
    </xf>
    <xf numFmtId="2" fontId="80" fillId="0" borderId="5" xfId="0" applyNumberFormat="1" applyFont="1" applyBorder="1" applyAlignment="1">
      <alignment horizontal="center" vertical="center"/>
    </xf>
    <xf numFmtId="2" fontId="80" fillId="10" borderId="5" xfId="0" applyNumberFormat="1" applyFont="1" applyFill="1" applyBorder="1" applyAlignment="1">
      <alignment horizontal="center" vertical="center"/>
    </xf>
    <xf numFmtId="2" fontId="80" fillId="9" borderId="5" xfId="0" applyNumberFormat="1" applyFont="1" applyFill="1" applyBorder="1" applyAlignment="1">
      <alignment horizontal="center" vertical="center"/>
    </xf>
    <xf numFmtId="2" fontId="80" fillId="8" borderId="5" xfId="0" applyNumberFormat="1" applyFont="1" applyFill="1" applyBorder="1" applyAlignment="1">
      <alignment horizontal="center" vertical="center"/>
    </xf>
    <xf numFmtId="2" fontId="80" fillId="8" borderId="5" xfId="0" applyNumberFormat="1" applyFont="1" applyFill="1" applyBorder="1" applyAlignment="1">
      <alignment vertical="center"/>
    </xf>
    <xf numFmtId="2" fontId="79" fillId="0" borderId="5" xfId="0" applyNumberFormat="1" applyFont="1" applyBorder="1" applyAlignment="1">
      <alignment horizontal="center" vertical="center"/>
    </xf>
    <xf numFmtId="2" fontId="89" fillId="0" borderId="0" xfId="0" applyNumberFormat="1" applyFont="1" applyAlignment="1">
      <alignment horizontal="center"/>
    </xf>
    <xf numFmtId="0" fontId="89" fillId="0" borderId="0" xfId="0" applyFont="1" applyAlignment="1">
      <alignment horizontal="left" wrapText="1"/>
    </xf>
    <xf numFmtId="2" fontId="89" fillId="0" borderId="0" xfId="0" applyNumberFormat="1" applyFont="1" applyProtection="1">
      <protection locked="0"/>
    </xf>
    <xf numFmtId="2" fontId="90" fillId="0" borderId="0" xfId="0" applyNumberFormat="1" applyFont="1" applyAlignment="1">
      <alignment horizontal="center"/>
    </xf>
    <xf numFmtId="2" fontId="90" fillId="0" borderId="0" xfId="0" applyNumberFormat="1" applyFont="1" applyAlignment="1">
      <alignment horizontal="right"/>
    </xf>
    <xf numFmtId="0" fontId="89" fillId="0" borderId="0" xfId="0" applyFont="1" applyAlignment="1" applyProtection="1">
      <alignment horizontal="left" wrapText="1"/>
      <protection locked="0"/>
    </xf>
    <xf numFmtId="2" fontId="89" fillId="0" borderId="0" xfId="0" applyNumberFormat="1" applyFont="1" applyAlignment="1" applyProtection="1">
      <alignment vertical="center"/>
      <protection locked="0"/>
    </xf>
    <xf numFmtId="2" fontId="89" fillId="0" borderId="0" xfId="0" applyNumberFormat="1" applyFont="1" applyAlignment="1">
      <alignment vertical="center"/>
    </xf>
    <xf numFmtId="2" fontId="101" fillId="6" borderId="5" xfId="0" applyNumberFormat="1" applyFont="1" applyFill="1" applyBorder="1" applyAlignment="1">
      <alignment horizontal="center" vertical="center"/>
    </xf>
    <xf numFmtId="2" fontId="101" fillId="6" borderId="25" xfId="0" applyNumberFormat="1" applyFont="1" applyFill="1" applyBorder="1" applyAlignment="1">
      <alignment horizontal="center" vertical="center"/>
    </xf>
    <xf numFmtId="0" fontId="90" fillId="2" borderId="5" xfId="0" applyFont="1" applyFill="1" applyBorder="1"/>
    <xf numFmtId="0" fontId="89" fillId="0" borderId="16" xfId="0" applyFont="1" applyBorder="1"/>
    <xf numFmtId="0" fontId="89" fillId="0" borderId="0" xfId="0" applyFont="1" applyAlignment="1">
      <alignment horizontal="center"/>
    </xf>
    <xf numFmtId="2" fontId="89" fillId="0" borderId="25" xfId="0" applyNumberFormat="1" applyFont="1" applyBorder="1" applyAlignment="1">
      <alignment horizontal="center" vertical="center"/>
    </xf>
    <xf numFmtId="2" fontId="89" fillId="0" borderId="5" xfId="0" applyNumberFormat="1" applyFont="1" applyBorder="1" applyAlignment="1" applyProtection="1">
      <alignment vertical="center"/>
      <protection locked="0"/>
    </xf>
    <xf numFmtId="2" fontId="90" fillId="8" borderId="9" xfId="0" applyNumberFormat="1" applyFont="1" applyFill="1" applyBorder="1" applyAlignment="1">
      <alignment vertical="center" wrapText="1"/>
    </xf>
    <xf numFmtId="2" fontId="101" fillId="6" borderId="5" xfId="1376" applyNumberFormat="1" applyFont="1" applyFill="1" applyBorder="1" applyAlignment="1">
      <alignment horizontal="center" vertical="center"/>
    </xf>
    <xf numFmtId="0" fontId="106" fillId="0" borderId="0" xfId="0" applyFont="1" applyAlignment="1">
      <alignment vertical="center"/>
    </xf>
    <xf numFmtId="0" fontId="89" fillId="0" borderId="0" xfId="0" applyFont="1" applyAlignment="1">
      <alignment horizontal="left" vertical="center"/>
    </xf>
    <xf numFmtId="2" fontId="89" fillId="0" borderId="0" xfId="0" applyNumberFormat="1" applyFont="1" applyAlignment="1">
      <alignment horizontal="left" vertical="center"/>
    </xf>
    <xf numFmtId="0" fontId="89" fillId="0" borderId="0" xfId="0" applyFont="1" applyAlignment="1">
      <alignment wrapText="1"/>
    </xf>
    <xf numFmtId="0" fontId="90" fillId="0" borderId="34" xfId="0" applyFont="1" applyBorder="1"/>
    <xf numFmtId="0" fontId="105" fillId="0" borderId="34" xfId="0" applyFont="1" applyBorder="1" applyAlignment="1">
      <alignment horizontal="center" wrapText="1"/>
    </xf>
    <xf numFmtId="2" fontId="90" fillId="8" borderId="34" xfId="0" applyNumberFormat="1" applyFont="1" applyFill="1" applyBorder="1" applyAlignment="1">
      <alignment horizontal="center"/>
    </xf>
    <xf numFmtId="2" fontId="90" fillId="2" borderId="34" xfId="0" applyNumberFormat="1" applyFont="1" applyFill="1" applyBorder="1" applyAlignment="1">
      <alignment horizontal="center"/>
    </xf>
    <xf numFmtId="0" fontId="101" fillId="0" borderId="0" xfId="0" applyFont="1" applyAlignment="1">
      <alignment horizontal="center" wrapText="1"/>
    </xf>
    <xf numFmtId="0" fontId="90" fillId="2" borderId="0" xfId="0" applyFont="1" applyFill="1"/>
    <xf numFmtId="0" fontId="90" fillId="8" borderId="0" xfId="0" applyFont="1" applyFill="1"/>
    <xf numFmtId="182" fontId="90" fillId="2" borderId="0" xfId="0" applyNumberFormat="1" applyFont="1" applyFill="1" applyAlignment="1">
      <alignment horizontal="center" vertical="center" wrapText="1"/>
    </xf>
    <xf numFmtId="2" fontId="89" fillId="0" borderId="0" xfId="0" applyNumberFormat="1" applyFont="1" applyAlignment="1">
      <alignment horizontal="center" vertical="center"/>
    </xf>
    <xf numFmtId="0" fontId="110" fillId="0" borderId="0" xfId="0" applyFont="1"/>
    <xf numFmtId="0" fontId="90" fillId="0" borderId="0" xfId="0" applyFont="1" applyAlignment="1">
      <alignment horizontal="left"/>
    </xf>
    <xf numFmtId="0" fontId="89" fillId="0" borderId="0" xfId="0" applyFont="1" applyProtection="1">
      <protection locked="0"/>
    </xf>
    <xf numFmtId="2" fontId="107" fillId="0" borderId="5" xfId="0" applyNumberFormat="1" applyFont="1" applyBorder="1" applyAlignment="1" applyProtection="1">
      <alignment horizontal="center" vertical="center"/>
      <protection locked="0"/>
    </xf>
    <xf numFmtId="10" fontId="107" fillId="0" borderId="5" xfId="0" applyNumberFormat="1" applyFont="1" applyBorder="1" applyAlignment="1" applyProtection="1">
      <alignment horizontal="center" vertical="center"/>
      <protection locked="0"/>
    </xf>
    <xf numFmtId="10" fontId="107" fillId="0" borderId="5" xfId="0" applyNumberFormat="1" applyFont="1" applyBorder="1" applyAlignment="1">
      <alignment horizontal="center" vertical="center"/>
    </xf>
    <xf numFmtId="0" fontId="89" fillId="0" borderId="23" xfId="0" applyFont="1" applyBorder="1" applyAlignment="1">
      <alignment vertical="center"/>
    </xf>
    <xf numFmtId="0" fontId="89" fillId="0" borderId="9" xfId="0" applyFont="1" applyBorder="1" applyAlignment="1">
      <alignment horizontal="center" vertical="center"/>
    </xf>
    <xf numFmtId="2" fontId="89" fillId="0" borderId="9" xfId="0" applyNumberFormat="1" applyFont="1" applyBorder="1" applyAlignment="1" applyProtection="1">
      <alignment horizontal="center" vertical="center"/>
      <protection locked="0"/>
    </xf>
    <xf numFmtId="0" fontId="89" fillId="3" borderId="35" xfId="0" applyFont="1" applyFill="1" applyBorder="1" applyProtection="1">
      <protection locked="0"/>
    </xf>
    <xf numFmtId="0" fontId="89" fillId="3" borderId="0" xfId="0" applyFont="1" applyFill="1" applyProtection="1">
      <protection locked="0"/>
    </xf>
    <xf numFmtId="2" fontId="89" fillId="3" borderId="0" xfId="0" applyNumberFormat="1" applyFont="1" applyFill="1" applyProtection="1">
      <protection locked="0"/>
    </xf>
    <xf numFmtId="0" fontId="89" fillId="3" borderId="32" xfId="0" applyFont="1" applyFill="1" applyBorder="1" applyProtection="1">
      <protection locked="0"/>
    </xf>
    <xf numFmtId="0" fontId="89" fillId="3" borderId="29" xfId="0" applyFont="1" applyFill="1" applyBorder="1" applyProtection="1">
      <protection locked="0"/>
    </xf>
    <xf numFmtId="2" fontId="89" fillId="3" borderId="29" xfId="0" applyNumberFormat="1" applyFont="1" applyFill="1" applyBorder="1" applyProtection="1">
      <protection locked="0"/>
    </xf>
    <xf numFmtId="0" fontId="90" fillId="0" borderId="0" xfId="0" applyFont="1" applyAlignment="1">
      <alignment horizontal="left" vertical="center"/>
    </xf>
    <xf numFmtId="0" fontId="101" fillId="6" borderId="28" xfId="0" applyFont="1" applyFill="1" applyBorder="1" applyAlignment="1">
      <alignment horizontal="center" vertical="center" wrapText="1"/>
    </xf>
    <xf numFmtId="2" fontId="101" fillId="6" borderId="6" xfId="0" applyNumberFormat="1" applyFont="1" applyFill="1" applyBorder="1" applyAlignment="1">
      <alignment horizontal="center" vertical="center" wrapText="1"/>
    </xf>
    <xf numFmtId="2" fontId="101" fillId="6" borderId="15" xfId="0" applyNumberFormat="1" applyFont="1" applyFill="1" applyBorder="1" applyAlignment="1">
      <alignment horizontal="center" vertical="center" wrapText="1"/>
    </xf>
    <xf numFmtId="0" fontId="89" fillId="0" borderId="28" xfId="1406" applyFont="1" applyBorder="1">
      <alignment vertical="center"/>
    </xf>
    <xf numFmtId="0" fontId="90" fillId="0" borderId="16" xfId="1406" applyFont="1" applyBorder="1">
      <alignment vertical="center"/>
    </xf>
    <xf numFmtId="0" fontId="90" fillId="0" borderId="5" xfId="1406" applyFont="1" applyBorder="1">
      <alignment vertical="center"/>
    </xf>
    <xf numFmtId="2" fontId="90" fillId="0" borderId="5" xfId="1406" applyNumberFormat="1" applyFont="1" applyBorder="1">
      <alignment vertical="center"/>
    </xf>
    <xf numFmtId="2" fontId="90" fillId="0" borderId="25" xfId="1406" applyNumberFormat="1" applyFont="1" applyBorder="1">
      <alignment vertical="center"/>
    </xf>
    <xf numFmtId="0" fontId="89" fillId="0" borderId="16" xfId="1406" applyFont="1" applyBorder="1">
      <alignment vertical="center"/>
    </xf>
    <xf numFmtId="0" fontId="89" fillId="0" borderId="5" xfId="1406" applyFont="1" applyBorder="1">
      <alignment vertical="center"/>
    </xf>
    <xf numFmtId="0" fontId="89" fillId="0" borderId="5" xfId="1406" applyFont="1" applyBorder="1" applyAlignment="1">
      <alignment horizontal="center" vertical="center" wrapText="1"/>
    </xf>
    <xf numFmtId="0" fontId="89" fillId="0" borderId="5" xfId="1406" applyFont="1" applyBorder="1" applyAlignment="1">
      <alignment horizontal="center" vertical="center"/>
    </xf>
    <xf numFmtId="2" fontId="89" fillId="0" borderId="5" xfId="1406" applyNumberFormat="1" applyFont="1" applyBorder="1" applyAlignment="1">
      <alignment horizontal="right" vertical="center"/>
    </xf>
    <xf numFmtId="2" fontId="89" fillId="0" borderId="25" xfId="1406" applyNumberFormat="1" applyFont="1" applyBorder="1" applyAlignment="1">
      <alignment horizontal="right" vertical="center"/>
    </xf>
    <xf numFmtId="0" fontId="89" fillId="0" borderId="5" xfId="1406" applyFont="1" applyBorder="1" applyAlignment="1">
      <alignment vertical="center" wrapText="1"/>
    </xf>
    <xf numFmtId="2" fontId="89" fillId="3" borderId="5" xfId="1406" applyNumberFormat="1" applyFont="1" applyFill="1" applyBorder="1" applyAlignment="1" applyProtection="1">
      <alignment horizontal="right" vertical="center"/>
      <protection locked="0"/>
    </xf>
    <xf numFmtId="2" fontId="89" fillId="0" borderId="5" xfId="1406" applyNumberFormat="1" applyFont="1" applyBorder="1" applyAlignment="1" applyProtection="1">
      <alignment horizontal="right" vertical="center"/>
      <protection locked="0"/>
    </xf>
    <xf numFmtId="2" fontId="89" fillId="0" borderId="25" xfId="1406" applyNumberFormat="1" applyFont="1" applyBorder="1" applyAlignment="1" applyProtection="1">
      <alignment horizontal="right" vertical="center"/>
      <protection locked="0"/>
    </xf>
    <xf numFmtId="2" fontId="89" fillId="3" borderId="5" xfId="1406" applyNumberFormat="1" applyFont="1" applyFill="1" applyBorder="1" applyAlignment="1">
      <alignment horizontal="right" vertical="center"/>
    </xf>
    <xf numFmtId="2" fontId="89" fillId="0" borderId="5" xfId="1406" applyNumberFormat="1" applyFont="1" applyBorder="1" applyAlignment="1">
      <alignment horizontal="center" vertical="center"/>
    </xf>
    <xf numFmtId="2" fontId="89" fillId="23" borderId="5" xfId="1406" applyNumberFormat="1" applyFont="1" applyFill="1" applyBorder="1" applyAlignment="1" applyProtection="1">
      <alignment horizontal="right" vertical="center"/>
      <protection locked="0"/>
    </xf>
    <xf numFmtId="2" fontId="89" fillId="23" borderId="25" xfId="1406" applyNumberFormat="1" applyFont="1" applyFill="1" applyBorder="1" applyAlignment="1" applyProtection="1">
      <alignment horizontal="right" vertical="center"/>
      <protection locked="0"/>
    </xf>
    <xf numFmtId="2" fontId="89" fillId="3" borderId="25" xfId="1406" applyNumberFormat="1" applyFont="1" applyFill="1" applyBorder="1" applyAlignment="1" applyProtection="1">
      <alignment horizontal="right" vertical="center"/>
      <protection locked="0"/>
    </xf>
    <xf numFmtId="0" fontId="90" fillId="2" borderId="5" xfId="1406" applyFont="1" applyFill="1" applyBorder="1">
      <alignment vertical="center"/>
    </xf>
    <xf numFmtId="0" fontId="90" fillId="2" borderId="5" xfId="1406" applyFont="1" applyFill="1" applyBorder="1" applyAlignment="1">
      <alignment horizontal="center" vertical="center" wrapText="1"/>
    </xf>
    <xf numFmtId="0" fontId="90" fillId="2" borderId="5" xfId="1406" applyFont="1" applyFill="1" applyBorder="1" applyAlignment="1">
      <alignment horizontal="center" vertical="center"/>
    </xf>
    <xf numFmtId="2" fontId="90" fillId="2" borderId="5" xfId="1406" applyNumberFormat="1" applyFont="1" applyFill="1" applyBorder="1" applyAlignment="1">
      <alignment horizontal="right" vertical="center"/>
    </xf>
    <xf numFmtId="2" fontId="90" fillId="2" borderId="25" xfId="1406" applyNumberFormat="1" applyFont="1" applyFill="1" applyBorder="1" applyAlignment="1">
      <alignment horizontal="right" vertical="center"/>
    </xf>
    <xf numFmtId="182" fontId="90" fillId="2" borderId="5" xfId="1406" applyNumberFormat="1" applyFont="1" applyFill="1" applyBorder="1" applyAlignment="1">
      <alignment horizontal="right" vertical="center"/>
    </xf>
    <xf numFmtId="182" fontId="90" fillId="2" borderId="25" xfId="1406" applyNumberFormat="1" applyFont="1" applyFill="1" applyBorder="1" applyAlignment="1">
      <alignment horizontal="right" vertical="center"/>
    </xf>
    <xf numFmtId="2" fontId="90" fillId="0" borderId="5" xfId="1406" applyNumberFormat="1" applyFont="1" applyBorder="1" applyAlignment="1">
      <alignment horizontal="right" vertical="center"/>
    </xf>
    <xf numFmtId="2" fontId="90" fillId="0" borderId="25" xfId="1406" applyNumberFormat="1" applyFont="1" applyBorder="1" applyAlignment="1">
      <alignment horizontal="right" vertical="center"/>
    </xf>
    <xf numFmtId="2" fontId="89" fillId="2" borderId="5" xfId="1406" applyNumberFormat="1" applyFont="1" applyFill="1" applyBorder="1" applyAlignment="1">
      <alignment horizontal="right" vertical="center"/>
    </xf>
    <xf numFmtId="2" fontId="89" fillId="2" borderId="25" xfId="1406" applyNumberFormat="1" applyFont="1" applyFill="1" applyBorder="1" applyAlignment="1">
      <alignment horizontal="right" vertical="center"/>
    </xf>
    <xf numFmtId="0" fontId="89" fillId="0" borderId="16" xfId="1406" applyFont="1" applyBorder="1" applyAlignment="1">
      <alignment horizontal="center" vertical="center"/>
    </xf>
    <xf numFmtId="182" fontId="90" fillId="2" borderId="5" xfId="1406" applyNumberFormat="1" applyFont="1" applyFill="1" applyBorder="1" applyAlignment="1">
      <alignment horizontal="center" vertical="center"/>
    </xf>
    <xf numFmtId="182" fontId="90" fillId="2" borderId="5" xfId="1406" applyNumberFormat="1" applyFont="1" applyFill="1" applyBorder="1">
      <alignment vertical="center"/>
    </xf>
    <xf numFmtId="182" fontId="90" fillId="2" borderId="25" xfId="1406" applyNumberFormat="1" applyFont="1" applyFill="1" applyBorder="1">
      <alignment vertical="center"/>
    </xf>
    <xf numFmtId="2" fontId="89" fillId="2" borderId="0" xfId="1406" applyNumberFormat="1" applyFont="1" applyFill="1" applyAlignment="1">
      <alignment horizontal="right"/>
    </xf>
    <xf numFmtId="2" fontId="89" fillId="10" borderId="5" xfId="1406" applyNumberFormat="1" applyFont="1" applyFill="1" applyBorder="1" applyAlignment="1">
      <alignment horizontal="right" vertical="center"/>
    </xf>
    <xf numFmtId="2" fontId="89" fillId="10" borderId="25" xfId="1406" applyNumberFormat="1" applyFont="1" applyFill="1" applyBorder="1" applyAlignment="1">
      <alignment horizontal="right" vertical="center"/>
    </xf>
    <xf numFmtId="0" fontId="90" fillId="8" borderId="5" xfId="1406" applyFont="1" applyFill="1" applyBorder="1">
      <alignment vertical="center"/>
    </xf>
    <xf numFmtId="0" fontId="90" fillId="8" borderId="5" xfId="1406" applyFont="1" applyFill="1" applyBorder="1" applyAlignment="1">
      <alignment horizontal="center" vertical="center" wrapText="1"/>
    </xf>
    <xf numFmtId="0" fontId="90" fillId="8" borderId="5" xfId="1406" applyFont="1" applyFill="1" applyBorder="1" applyAlignment="1">
      <alignment horizontal="center" vertical="center"/>
    </xf>
    <xf numFmtId="2" fontId="90" fillId="8" borderId="5" xfId="1406" applyNumberFormat="1" applyFont="1" applyFill="1" applyBorder="1" applyAlignment="1">
      <alignment horizontal="right" vertical="center"/>
    </xf>
    <xf numFmtId="2" fontId="90" fillId="8" borderId="25" xfId="1406" applyNumberFormat="1" applyFont="1" applyFill="1" applyBorder="1" applyAlignment="1">
      <alignment horizontal="right" vertical="center"/>
    </xf>
    <xf numFmtId="0" fontId="89" fillId="0" borderId="28" xfId="0" applyFont="1" applyBorder="1"/>
    <xf numFmtId="2" fontId="89" fillId="0" borderId="5" xfId="0" applyNumberFormat="1" applyFont="1" applyBorder="1" applyAlignment="1">
      <alignment horizontal="right" vertical="center"/>
    </xf>
    <xf numFmtId="2" fontId="89" fillId="0" borderId="25" xfId="0" applyNumberFormat="1" applyFont="1" applyBorder="1" applyAlignment="1">
      <alignment horizontal="right" vertical="center"/>
    </xf>
    <xf numFmtId="0" fontId="90" fillId="0" borderId="23" xfId="1406" applyFont="1" applyBorder="1">
      <alignment vertical="center"/>
    </xf>
    <xf numFmtId="0" fontId="90" fillId="8" borderId="9" xfId="1406" applyFont="1" applyFill="1" applyBorder="1">
      <alignment vertical="center"/>
    </xf>
    <xf numFmtId="0" fontId="90" fillId="8" borderId="9" xfId="1406" applyFont="1" applyFill="1" applyBorder="1" applyAlignment="1">
      <alignment horizontal="center" vertical="center" wrapText="1"/>
    </xf>
    <xf numFmtId="0" fontId="90" fillId="8" borderId="9" xfId="1406" applyFont="1" applyFill="1" applyBorder="1" applyAlignment="1">
      <alignment horizontal="center" vertical="center"/>
    </xf>
    <xf numFmtId="2" fontId="90" fillId="8" borderId="9" xfId="1406" applyNumberFormat="1" applyFont="1" applyFill="1" applyBorder="1" applyAlignment="1">
      <alignment horizontal="right" vertical="center"/>
    </xf>
    <xf numFmtId="2" fontId="90" fillId="8" borderId="24" xfId="1406" applyNumberFormat="1" applyFont="1" applyFill="1" applyBorder="1" applyAlignment="1">
      <alignment horizontal="right" vertical="center"/>
    </xf>
    <xf numFmtId="2" fontId="90" fillId="2" borderId="5" xfId="0" applyNumberFormat="1" applyFont="1" applyFill="1" applyBorder="1" applyAlignment="1">
      <alignment horizontal="center" vertical="center"/>
    </xf>
    <xf numFmtId="2" fontId="89" fillId="10" borderId="5" xfId="0" applyNumberFormat="1" applyFont="1" applyFill="1" applyBorder="1" applyAlignment="1">
      <alignment horizontal="center" vertical="center"/>
    </xf>
    <xf numFmtId="0" fontId="89" fillId="7" borderId="16" xfId="0" applyFont="1" applyFill="1" applyBorder="1" applyAlignment="1">
      <alignment vertical="center"/>
    </xf>
    <xf numFmtId="0" fontId="89" fillId="8" borderId="16" xfId="0" applyFont="1" applyFill="1" applyBorder="1" applyAlignment="1">
      <alignment vertical="center"/>
    </xf>
    <xf numFmtId="2" fontId="90" fillId="8" borderId="5" xfId="0" applyNumberFormat="1" applyFont="1" applyFill="1" applyBorder="1" applyAlignment="1">
      <alignment horizontal="center" vertical="center"/>
    </xf>
    <xf numFmtId="2" fontId="90" fillId="8" borderId="25" xfId="0" applyNumberFormat="1" applyFont="1" applyFill="1" applyBorder="1" applyAlignment="1">
      <alignment horizontal="center" vertical="center"/>
    </xf>
    <xf numFmtId="0" fontId="89" fillId="0" borderId="23" xfId="0" applyFont="1" applyBorder="1" applyAlignment="1">
      <alignment horizontal="left" vertical="center"/>
    </xf>
    <xf numFmtId="0" fontId="89" fillId="0" borderId="9" xfId="0" applyFont="1" applyBorder="1" applyAlignment="1">
      <alignment vertical="center"/>
    </xf>
    <xf numFmtId="2" fontId="89" fillId="2" borderId="9" xfId="0" applyNumberFormat="1" applyFont="1" applyFill="1" applyBorder="1" applyAlignment="1">
      <alignment horizontal="center" vertical="center"/>
    </xf>
    <xf numFmtId="0" fontId="80" fillId="3" borderId="30" xfId="0" applyFont="1" applyFill="1" applyBorder="1"/>
    <xf numFmtId="0" fontId="90" fillId="3" borderId="30" xfId="0" applyFont="1" applyFill="1" applyBorder="1"/>
    <xf numFmtId="0" fontId="89" fillId="3" borderId="33" xfId="0" applyFont="1" applyFill="1" applyBorder="1"/>
    <xf numFmtId="0" fontId="89" fillId="3" borderId="0" xfId="0" applyFont="1" applyFill="1"/>
    <xf numFmtId="0" fontId="80" fillId="3" borderId="32" xfId="0" applyFont="1" applyFill="1" applyBorder="1"/>
    <xf numFmtId="0" fontId="89" fillId="3" borderId="35" xfId="0" applyFont="1" applyFill="1" applyBorder="1"/>
    <xf numFmtId="0" fontId="89" fillId="3" borderId="32" xfId="0" applyFont="1" applyFill="1" applyBorder="1"/>
    <xf numFmtId="0" fontId="89" fillId="3" borderId="29" xfId="0" applyFont="1" applyFill="1" applyBorder="1"/>
    <xf numFmtId="2" fontId="89" fillId="3" borderId="29" xfId="0" applyNumberFormat="1" applyFont="1" applyFill="1" applyBorder="1"/>
    <xf numFmtId="0" fontId="79" fillId="0" borderId="19" xfId="0" applyFont="1" applyBorder="1"/>
    <xf numFmtId="0" fontId="80" fillId="0" borderId="10" xfId="0" applyFont="1" applyBorder="1"/>
    <xf numFmtId="2" fontId="79" fillId="2" borderId="10" xfId="0" applyNumberFormat="1" applyFont="1" applyFill="1" applyBorder="1"/>
    <xf numFmtId="0" fontId="80" fillId="0" borderId="16" xfId="0" applyFont="1" applyBorder="1"/>
    <xf numFmtId="2" fontId="80" fillId="10" borderId="5" xfId="0" applyNumberFormat="1" applyFont="1" applyFill="1" applyBorder="1"/>
    <xf numFmtId="2" fontId="80" fillId="10" borderId="10" xfId="0" applyNumberFormat="1" applyFont="1" applyFill="1" applyBorder="1"/>
    <xf numFmtId="2" fontId="80" fillId="0" borderId="5" xfId="0" applyNumberFormat="1" applyFont="1" applyBorder="1"/>
    <xf numFmtId="0" fontId="79" fillId="0" borderId="16" xfId="0" applyFont="1" applyBorder="1"/>
    <xf numFmtId="2" fontId="79" fillId="2" borderId="5" xfId="0" applyNumberFormat="1" applyFont="1" applyFill="1" applyBorder="1"/>
    <xf numFmtId="2" fontId="80" fillId="2" borderId="5" xfId="0" applyNumberFormat="1" applyFont="1" applyFill="1" applyBorder="1"/>
    <xf numFmtId="2" fontId="80" fillId="2" borderId="5" xfId="0" applyNumberFormat="1" applyFont="1" applyFill="1" applyBorder="1" applyAlignment="1">
      <alignment horizontal="right"/>
    </xf>
    <xf numFmtId="0" fontId="80" fillId="7" borderId="16" xfId="0" applyFont="1" applyFill="1" applyBorder="1"/>
    <xf numFmtId="2" fontId="80" fillId="0" borderId="5" xfId="0" applyNumberFormat="1" applyFont="1" applyBorder="1" applyProtection="1">
      <protection locked="0"/>
    </xf>
    <xf numFmtId="2" fontId="80" fillId="10" borderId="5" xfId="0" applyNumberFormat="1" applyFont="1" applyFill="1" applyBorder="1" applyAlignment="1">
      <alignment horizontal="right"/>
    </xf>
    <xf numFmtId="0" fontId="80" fillId="8" borderId="16" xfId="0" applyFont="1" applyFill="1" applyBorder="1"/>
    <xf numFmtId="2" fontId="79" fillId="8" borderId="5" xfId="0" applyNumberFormat="1" applyFont="1" applyFill="1" applyBorder="1"/>
    <xf numFmtId="0" fontId="80" fillId="0" borderId="20" xfId="0" applyFont="1" applyBorder="1"/>
    <xf numFmtId="0" fontId="80" fillId="0" borderId="21" xfId="0" applyFont="1" applyBorder="1" applyAlignment="1">
      <alignment horizontal="center"/>
    </xf>
    <xf numFmtId="2" fontId="80" fillId="10" borderId="21" xfId="0" applyNumberFormat="1" applyFont="1" applyFill="1" applyBorder="1"/>
    <xf numFmtId="0" fontId="80" fillId="0" borderId="23" xfId="0" applyFont="1" applyBorder="1" applyAlignment="1">
      <alignment horizontal="left" indent="2"/>
    </xf>
    <xf numFmtId="0" fontId="80" fillId="0" borderId="9" xfId="0" applyFont="1" applyBorder="1"/>
    <xf numFmtId="2" fontId="80" fillId="2" borderId="9" xfId="0" applyNumberFormat="1" applyFont="1" applyFill="1" applyBorder="1"/>
    <xf numFmtId="0" fontId="80" fillId="3" borderId="33" xfId="0" applyFont="1" applyFill="1" applyBorder="1"/>
    <xf numFmtId="2" fontId="80" fillId="3" borderId="33" xfId="0" applyNumberFormat="1" applyFont="1" applyFill="1" applyBorder="1"/>
    <xf numFmtId="0" fontId="80" fillId="3" borderId="29" xfId="0" applyFont="1" applyFill="1" applyBorder="1"/>
    <xf numFmtId="2" fontId="80" fillId="3" borderId="29" xfId="0" applyNumberFormat="1" applyFont="1" applyFill="1" applyBorder="1"/>
    <xf numFmtId="0" fontId="80" fillId="0" borderId="19" xfId="0" applyFont="1" applyBorder="1"/>
    <xf numFmtId="0" fontId="80" fillId="0" borderId="10" xfId="0" applyFont="1" applyBorder="1" applyAlignment="1">
      <alignment horizontal="center"/>
    </xf>
    <xf numFmtId="0" fontId="80" fillId="0" borderId="0" xfId="607" applyFont="1" applyAlignment="1">
      <alignment horizontal="left"/>
    </xf>
    <xf numFmtId="0" fontId="80" fillId="0" borderId="0" xfId="607" applyFont="1" applyAlignment="1">
      <alignment horizontal="center"/>
    </xf>
    <xf numFmtId="0" fontId="79" fillId="0" borderId="0" xfId="607" applyFont="1" applyAlignment="1">
      <alignment vertical="center"/>
    </xf>
    <xf numFmtId="0" fontId="80" fillId="0" borderId="0" xfId="607" applyFont="1" applyAlignment="1">
      <alignment vertical="center"/>
    </xf>
    <xf numFmtId="0" fontId="79" fillId="0" borderId="0" xfId="607" applyFont="1" applyAlignment="1">
      <alignment horizontal="left" vertical="center"/>
    </xf>
    <xf numFmtId="0" fontId="80" fillId="0" borderId="0" xfId="607" applyFont="1" applyAlignment="1">
      <alignment horizontal="left" vertical="center"/>
    </xf>
    <xf numFmtId="0" fontId="79" fillId="0" borderId="0" xfId="607" applyFont="1" applyAlignment="1">
      <alignment horizontal="center" vertical="center"/>
    </xf>
    <xf numFmtId="0" fontId="80" fillId="0" borderId="0" xfId="607" applyFont="1" applyAlignment="1">
      <alignment horizontal="center" vertical="center"/>
    </xf>
    <xf numFmtId="0" fontId="79" fillId="3" borderId="21" xfId="607" applyFont="1" applyFill="1" applyBorder="1" applyAlignment="1">
      <alignment vertical="center"/>
    </xf>
    <xf numFmtId="0" fontId="80" fillId="0" borderId="21" xfId="607" applyFont="1" applyBorder="1" applyAlignment="1">
      <alignment vertical="center"/>
    </xf>
    <xf numFmtId="0" fontId="80" fillId="3" borderId="30" xfId="607" applyFont="1" applyFill="1" applyBorder="1" applyAlignment="1">
      <alignment horizontal="left" vertical="center"/>
    </xf>
    <xf numFmtId="0" fontId="80" fillId="3" borderId="33" xfId="607" applyFont="1" applyFill="1" applyBorder="1" applyAlignment="1">
      <alignment horizontal="left" vertical="center"/>
    </xf>
    <xf numFmtId="0" fontId="80" fillId="3" borderId="31" xfId="607" applyFont="1" applyFill="1" applyBorder="1" applyAlignment="1">
      <alignment horizontal="left" vertical="center"/>
    </xf>
    <xf numFmtId="0" fontId="80" fillId="3" borderId="22" xfId="607" applyFont="1" applyFill="1" applyBorder="1" applyAlignment="1">
      <alignment vertical="center"/>
    </xf>
    <xf numFmtId="0" fontId="80" fillId="3" borderId="35" xfId="607" applyFont="1" applyFill="1" applyBorder="1" applyAlignment="1">
      <alignment horizontal="left" vertical="center"/>
    </xf>
    <xf numFmtId="0" fontId="80" fillId="3" borderId="0" xfId="607" applyFont="1" applyFill="1" applyAlignment="1">
      <alignment horizontal="left" vertical="center"/>
    </xf>
    <xf numFmtId="0" fontId="80" fillId="3" borderId="17" xfId="607" applyFont="1" applyFill="1" applyBorder="1" applyAlignment="1">
      <alignment horizontal="left" vertical="center"/>
    </xf>
    <xf numFmtId="0" fontId="80" fillId="3" borderId="10" xfId="607" applyFont="1" applyFill="1" applyBorder="1" applyAlignment="1">
      <alignment vertical="center"/>
    </xf>
    <xf numFmtId="0" fontId="80" fillId="0" borderId="0" xfId="0" applyFont="1" applyAlignment="1">
      <alignment vertical="center" wrapText="1"/>
    </xf>
    <xf numFmtId="0" fontId="80" fillId="0" borderId="0" xfId="607" applyFont="1" applyAlignment="1">
      <alignment horizontal="left" vertical="center" wrapText="1"/>
    </xf>
    <xf numFmtId="0" fontId="80" fillId="0" borderId="0" xfId="607" applyFont="1" applyAlignment="1" applyProtection="1">
      <alignment vertical="center"/>
      <protection locked="0"/>
    </xf>
    <xf numFmtId="0" fontId="80" fillId="7" borderId="40" xfId="607" applyFont="1" applyFill="1" applyBorder="1" applyAlignment="1" applyProtection="1">
      <alignment horizontal="center" vertical="center"/>
      <protection locked="0"/>
    </xf>
    <xf numFmtId="0" fontId="97" fillId="0" borderId="16" xfId="607" applyFont="1" applyBorder="1" applyAlignment="1" applyProtection="1">
      <alignment horizontal="center" vertical="center" wrapText="1"/>
      <protection locked="0"/>
    </xf>
    <xf numFmtId="0" fontId="97" fillId="0" borderId="5" xfId="607" applyFont="1" applyBorder="1" applyAlignment="1" applyProtection="1">
      <alignment horizontal="center" vertical="center" wrapText="1"/>
      <protection locked="0"/>
    </xf>
    <xf numFmtId="43" fontId="97" fillId="0" borderId="28" xfId="14" applyFont="1" applyFill="1" applyBorder="1" applyAlignment="1">
      <alignment horizontal="left" vertical="center" wrapText="1"/>
    </xf>
    <xf numFmtId="0" fontId="97" fillId="0" borderId="25" xfId="607" applyFont="1" applyBorder="1" applyAlignment="1" applyProtection="1">
      <alignment horizontal="center" vertical="center" wrapText="1"/>
      <protection locked="0"/>
    </xf>
    <xf numFmtId="0" fontId="80" fillId="0" borderId="0" xfId="607" applyFont="1" applyAlignment="1" applyProtection="1">
      <alignment vertical="center" wrapText="1"/>
      <protection locked="0"/>
    </xf>
    <xf numFmtId="0" fontId="80" fillId="7" borderId="40" xfId="607" applyFont="1" applyFill="1" applyBorder="1" applyAlignment="1" applyProtection="1">
      <alignment horizontal="center" vertical="center" wrapText="1"/>
      <protection locked="0"/>
    </xf>
    <xf numFmtId="0" fontId="80" fillId="0" borderId="5" xfId="607" applyFont="1" applyBorder="1" applyAlignment="1">
      <alignment vertical="center" wrapText="1"/>
    </xf>
    <xf numFmtId="0" fontId="80" fillId="0" borderId="0" xfId="607" applyFont="1" applyProtection="1">
      <protection locked="0"/>
    </xf>
    <xf numFmtId="0" fontId="80" fillId="7" borderId="44" xfId="607" applyFont="1" applyFill="1" applyBorder="1" applyAlignment="1" applyProtection="1">
      <alignment horizontal="center" vertical="center"/>
      <protection locked="0"/>
    </xf>
    <xf numFmtId="0" fontId="97" fillId="0" borderId="16" xfId="607" applyFont="1" applyBorder="1" applyAlignment="1" applyProtection="1">
      <alignment horizontal="left" vertical="center" wrapText="1"/>
      <protection locked="0"/>
    </xf>
    <xf numFmtId="0" fontId="97" fillId="0" borderId="28" xfId="14" applyNumberFormat="1" applyFont="1" applyFill="1" applyBorder="1" applyAlignment="1">
      <alignment horizontal="left" vertical="center" wrapText="1"/>
    </xf>
    <xf numFmtId="0" fontId="80" fillId="7" borderId="44" xfId="607" applyFont="1" applyFill="1" applyBorder="1" applyAlignment="1" applyProtection="1">
      <alignment horizontal="center" vertical="center" wrapText="1"/>
      <protection locked="0"/>
    </xf>
    <xf numFmtId="0" fontId="80" fillId="0" borderId="28" xfId="14" applyNumberFormat="1" applyFont="1" applyFill="1" applyBorder="1" applyAlignment="1">
      <alignment vertical="center" wrapText="1"/>
    </xf>
    <xf numFmtId="0" fontId="80" fillId="7" borderId="48" xfId="607" applyFont="1" applyFill="1" applyBorder="1" applyAlignment="1" applyProtection="1">
      <alignment horizontal="center" vertical="center"/>
      <protection locked="0"/>
    </xf>
    <xf numFmtId="0" fontId="80" fillId="0" borderId="16" xfId="607" applyFont="1" applyBorder="1" applyAlignment="1" applyProtection="1">
      <alignment horizontal="left" vertical="center" wrapText="1"/>
      <protection locked="0"/>
    </xf>
    <xf numFmtId="0" fontId="80" fillId="0" borderId="5" xfId="607" applyFont="1" applyBorder="1" applyAlignment="1" applyProtection="1">
      <alignment horizontal="left" vertical="center" wrapText="1"/>
      <protection locked="0"/>
    </xf>
    <xf numFmtId="43" fontId="80" fillId="0" borderId="28" xfId="14" applyFont="1" applyFill="1" applyBorder="1" applyAlignment="1">
      <alignment vertical="center" wrapText="1"/>
    </xf>
    <xf numFmtId="0" fontId="80" fillId="0" borderId="25" xfId="607" applyFont="1" applyBorder="1" applyAlignment="1" applyProtection="1">
      <alignment horizontal="left" vertical="center" wrapText="1"/>
      <protection locked="0"/>
    </xf>
    <xf numFmtId="0" fontId="80" fillId="0" borderId="5" xfId="607" applyFont="1" applyBorder="1" applyAlignment="1">
      <alignment horizontal="left" vertical="center" wrapText="1"/>
    </xf>
    <xf numFmtId="0" fontId="80" fillId="0" borderId="23" xfId="0" applyFont="1" applyBorder="1" applyAlignment="1">
      <alignment vertical="center"/>
    </xf>
    <xf numFmtId="0" fontId="80" fillId="0" borderId="9" xfId="0" applyFont="1" applyBorder="1" applyAlignment="1">
      <alignment vertical="center"/>
    </xf>
    <xf numFmtId="0" fontId="80" fillId="0" borderId="24" xfId="0" applyFont="1" applyBorder="1" applyAlignment="1">
      <alignment vertical="center"/>
    </xf>
    <xf numFmtId="0" fontId="80" fillId="0" borderId="10" xfId="0" applyFont="1" applyBorder="1" applyAlignment="1">
      <alignment vertical="center"/>
    </xf>
    <xf numFmtId="0" fontId="80" fillId="7" borderId="26" xfId="607" applyFont="1" applyFill="1" applyBorder="1" applyAlignment="1" applyProtection="1">
      <alignment horizontal="center" vertical="center"/>
      <protection locked="0"/>
    </xf>
    <xf numFmtId="0" fontId="80" fillId="0" borderId="16" xfId="607" applyFont="1" applyBorder="1" applyAlignment="1">
      <alignment horizontal="left" vertical="center" wrapText="1"/>
    </xf>
    <xf numFmtId="0" fontId="80" fillId="0" borderId="25" xfId="607" applyFont="1" applyBorder="1" applyAlignment="1">
      <alignment vertical="center" wrapText="1"/>
    </xf>
    <xf numFmtId="0" fontId="80" fillId="0" borderId="23" xfId="607" applyFont="1" applyBorder="1" applyAlignment="1">
      <alignment horizontal="left" vertical="center" wrapText="1"/>
    </xf>
    <xf numFmtId="0" fontId="80" fillId="0" borderId="9" xfId="607" applyFont="1" applyBorder="1" applyAlignment="1">
      <alignment horizontal="left" vertical="center" wrapText="1"/>
    </xf>
    <xf numFmtId="0" fontId="80" fillId="0" borderId="24" xfId="607" applyFont="1" applyBorder="1" applyAlignment="1">
      <alignment vertical="center" wrapText="1"/>
    </xf>
    <xf numFmtId="0" fontId="80" fillId="0" borderId="0" xfId="607" applyFont="1" applyAlignment="1">
      <alignment vertical="center" wrapText="1"/>
    </xf>
    <xf numFmtId="0" fontId="81" fillId="6" borderId="44" xfId="607" applyFont="1" applyFill="1" applyBorder="1" applyAlignment="1">
      <alignment horizontal="center" vertical="center"/>
    </xf>
    <xf numFmtId="0" fontId="81" fillId="3" borderId="25" xfId="607" applyFont="1" applyFill="1" applyBorder="1" applyAlignment="1">
      <alignment vertical="center" wrapText="1"/>
    </xf>
    <xf numFmtId="0" fontId="80" fillId="3" borderId="0" xfId="607" applyFont="1" applyFill="1" applyAlignment="1">
      <alignment vertical="center" wrapText="1"/>
    </xf>
    <xf numFmtId="0" fontId="81" fillId="3" borderId="44" xfId="607" applyFont="1" applyFill="1" applyBorder="1" applyAlignment="1">
      <alignment vertical="center" wrapText="1"/>
    </xf>
    <xf numFmtId="0" fontId="81" fillId="3" borderId="25" xfId="607" applyFont="1" applyFill="1" applyBorder="1" applyAlignment="1">
      <alignment horizontal="center" vertical="center" wrapText="1"/>
    </xf>
    <xf numFmtId="0" fontId="80" fillId="0" borderId="16" xfId="607" applyFont="1" applyBorder="1" applyAlignment="1" applyProtection="1">
      <alignment vertical="center" wrapText="1"/>
      <protection locked="0"/>
    </xf>
    <xf numFmtId="0" fontId="80" fillId="0" borderId="5" xfId="607" applyFont="1" applyBorder="1" applyAlignment="1" applyProtection="1">
      <alignment vertical="center" wrapText="1"/>
      <protection locked="0"/>
    </xf>
    <xf numFmtId="4" fontId="80" fillId="0" borderId="25" xfId="607" applyNumberFormat="1" applyFont="1" applyBorder="1" applyAlignment="1" applyProtection="1">
      <alignment vertical="center" wrapText="1"/>
      <protection locked="0"/>
    </xf>
    <xf numFmtId="0" fontId="80" fillId="7" borderId="40" xfId="607" applyFont="1" applyFill="1" applyBorder="1" applyAlignment="1" applyProtection="1">
      <alignment vertical="center" wrapText="1"/>
      <protection locked="0"/>
    </xf>
    <xf numFmtId="0" fontId="80" fillId="0" borderId="25" xfId="607" applyFont="1" applyBorder="1" applyAlignment="1" applyProtection="1">
      <alignment horizontal="left" vertical="center"/>
      <protection locked="0"/>
    </xf>
    <xf numFmtId="0" fontId="80" fillId="7" borderId="49" xfId="607" applyFont="1" applyFill="1" applyBorder="1" applyAlignment="1" applyProtection="1">
      <alignment horizontal="center" vertical="center"/>
      <protection locked="0"/>
    </xf>
    <xf numFmtId="4" fontId="80" fillId="0" borderId="16" xfId="607" applyNumberFormat="1" applyFont="1" applyBorder="1" applyAlignment="1" applyProtection="1">
      <alignment vertical="center" wrapText="1"/>
      <protection locked="0"/>
    </xf>
    <xf numFmtId="0" fontId="80" fillId="0" borderId="25" xfId="607" applyFont="1" applyBorder="1" applyAlignment="1" applyProtection="1">
      <alignment vertical="center" wrapText="1"/>
      <protection locked="0"/>
    </xf>
    <xf numFmtId="0" fontId="80" fillId="7" borderId="49" xfId="607" applyFont="1" applyFill="1" applyBorder="1" applyAlignment="1" applyProtection="1">
      <alignment vertical="center" wrapText="1"/>
      <protection locked="0"/>
    </xf>
    <xf numFmtId="4" fontId="80" fillId="0" borderId="5" xfId="607" applyNumberFormat="1" applyFont="1" applyBorder="1" applyAlignment="1" applyProtection="1">
      <alignment vertical="center" wrapText="1"/>
      <protection locked="0"/>
    </xf>
    <xf numFmtId="0" fontId="80" fillId="7" borderId="26" xfId="607" applyFont="1" applyFill="1" applyBorder="1" applyAlignment="1" applyProtection="1">
      <alignment vertical="center" wrapText="1"/>
      <protection locked="0"/>
    </xf>
    <xf numFmtId="0" fontId="80" fillId="0" borderId="16" xfId="607" applyFont="1" applyBorder="1" applyAlignment="1">
      <alignment vertical="center" wrapText="1"/>
    </xf>
    <xf numFmtId="0" fontId="80" fillId="0" borderId="25" xfId="607" applyFont="1" applyBorder="1" applyAlignment="1">
      <alignment horizontal="left" vertical="center"/>
    </xf>
    <xf numFmtId="0" fontId="80" fillId="0" borderId="23" xfId="607" applyFont="1" applyBorder="1" applyAlignment="1">
      <alignment vertical="center" wrapText="1"/>
    </xf>
    <xf numFmtId="0" fontId="80" fillId="0" borderId="9" xfId="607" applyFont="1" applyBorder="1" applyAlignment="1">
      <alignment vertical="center" wrapText="1"/>
    </xf>
    <xf numFmtId="43" fontId="80" fillId="0" borderId="9" xfId="14" applyFont="1" applyFill="1" applyBorder="1" applyAlignment="1">
      <alignment vertical="center" wrapText="1"/>
    </xf>
    <xf numFmtId="0" fontId="80" fillId="0" borderId="24" xfId="607" applyFont="1" applyBorder="1" applyAlignment="1">
      <alignment horizontal="left" vertical="center"/>
    </xf>
    <xf numFmtId="0" fontId="80" fillId="0" borderId="16" xfId="23957" applyFont="1" applyBorder="1" applyAlignment="1">
      <alignment vertical="center" wrapText="1"/>
    </xf>
    <xf numFmtId="43" fontId="80" fillId="0" borderId="28" xfId="216" applyFont="1" applyFill="1" applyBorder="1" applyAlignment="1">
      <alignment vertical="center" wrapText="1"/>
    </xf>
    <xf numFmtId="0" fontId="80" fillId="0" borderId="5" xfId="607" applyFont="1" applyBorder="1" applyAlignment="1">
      <alignment horizontal="center"/>
    </xf>
    <xf numFmtId="0" fontId="80" fillId="0" borderId="5" xfId="607" applyFont="1" applyBorder="1" applyAlignment="1">
      <alignment horizontal="left"/>
    </xf>
    <xf numFmtId="0" fontId="82" fillId="0" borderId="0" xfId="582" applyFont="1" applyAlignment="1" applyProtection="1">
      <alignment vertical="center"/>
    </xf>
    <xf numFmtId="2" fontId="89" fillId="0" borderId="0" xfId="0" applyNumberFormat="1" applyFont="1" applyAlignment="1">
      <alignment horizontal="right" vertical="center"/>
    </xf>
    <xf numFmtId="2" fontId="90" fillId="0" borderId="0" xfId="0" applyNumberFormat="1" applyFont="1" applyAlignment="1">
      <alignment horizontal="right" vertical="center"/>
    </xf>
    <xf numFmtId="0" fontId="90" fillId="8" borderId="7" xfId="0" applyFont="1" applyFill="1" applyBorder="1" applyAlignment="1">
      <alignment vertical="center"/>
    </xf>
    <xf numFmtId="0" fontId="90" fillId="8" borderId="6" xfId="0" applyFont="1" applyFill="1" applyBorder="1" applyAlignment="1">
      <alignment vertical="center"/>
    </xf>
    <xf numFmtId="0" fontId="90" fillId="8" borderId="15" xfId="0" applyFont="1" applyFill="1" applyBorder="1" applyAlignment="1">
      <alignment vertical="center"/>
    </xf>
    <xf numFmtId="0" fontId="90" fillId="8" borderId="5" xfId="0" applyFont="1" applyFill="1" applyBorder="1" applyAlignment="1">
      <alignment vertical="center"/>
    </xf>
    <xf numFmtId="0" fontId="90" fillId="8" borderId="25" xfId="0" applyFont="1" applyFill="1" applyBorder="1" applyAlignment="1">
      <alignment vertical="center"/>
    </xf>
    <xf numFmtId="0" fontId="101" fillId="6" borderId="0" xfId="0" applyFont="1" applyFill="1" applyAlignment="1">
      <alignment horizontal="center" vertical="center" wrapText="1"/>
    </xf>
    <xf numFmtId="43" fontId="107" fillId="0" borderId="16" xfId="14" applyFont="1" applyFill="1" applyBorder="1" applyAlignment="1">
      <alignment horizontal="left" vertical="center" wrapText="1"/>
    </xf>
    <xf numFmtId="0" fontId="90" fillId="9" borderId="16" xfId="0" applyFont="1" applyFill="1" applyBorder="1" applyAlignment="1">
      <alignment vertical="center"/>
    </xf>
    <xf numFmtId="2" fontId="90" fillId="9" borderId="5" xfId="0" applyNumberFormat="1" applyFont="1" applyFill="1" applyBorder="1" applyAlignment="1">
      <alignment horizontal="center" vertical="center"/>
    </xf>
    <xf numFmtId="2" fontId="90" fillId="9" borderId="25" xfId="0" applyNumberFormat="1" applyFont="1" applyFill="1" applyBorder="1" applyAlignment="1">
      <alignment horizontal="center" vertical="center"/>
    </xf>
    <xf numFmtId="2" fontId="90" fillId="0" borderId="25" xfId="0" applyNumberFormat="1" applyFont="1" applyBorder="1" applyAlignment="1">
      <alignment horizontal="center" vertical="center"/>
    </xf>
    <xf numFmtId="0" fontId="95" fillId="8" borderId="16" xfId="0" applyFont="1" applyFill="1" applyBorder="1" applyAlignment="1">
      <alignment vertical="center"/>
    </xf>
    <xf numFmtId="2" fontId="95" fillId="8" borderId="5" xfId="0" applyNumberFormat="1" applyFont="1" applyFill="1" applyBorder="1" applyAlignment="1">
      <alignment horizontal="center" vertical="center"/>
    </xf>
    <xf numFmtId="2" fontId="95" fillId="8" borderId="25" xfId="0" applyNumberFormat="1" applyFont="1" applyFill="1" applyBorder="1" applyAlignment="1">
      <alignment horizontal="center" vertical="center"/>
    </xf>
    <xf numFmtId="43" fontId="107" fillId="15" borderId="16" xfId="14" applyFont="1" applyFill="1" applyBorder="1" applyAlignment="1">
      <alignment horizontal="left" vertical="center" wrapText="1"/>
    </xf>
    <xf numFmtId="43" fontId="100" fillId="0" borderId="5" xfId="14" applyFont="1" applyFill="1" applyBorder="1" applyAlignment="1">
      <alignment vertical="center" wrapText="1"/>
    </xf>
    <xf numFmtId="43" fontId="90" fillId="0" borderId="16" xfId="14" applyFont="1" applyFill="1" applyBorder="1" applyAlignment="1">
      <alignment horizontal="left" vertical="center" wrapText="1"/>
    </xf>
    <xf numFmtId="43" fontId="99" fillId="0" borderId="5" xfId="14" applyFont="1" applyFill="1" applyBorder="1" applyAlignment="1">
      <alignment vertical="center" wrapText="1"/>
    </xf>
    <xf numFmtId="0" fontId="90" fillId="8" borderId="23" xfId="0" applyFont="1" applyFill="1" applyBorder="1" applyAlignment="1">
      <alignment vertical="center"/>
    </xf>
    <xf numFmtId="0" fontId="90" fillId="0" borderId="44" xfId="0" applyFont="1" applyBorder="1" applyAlignment="1">
      <alignment vertical="center"/>
    </xf>
    <xf numFmtId="2" fontId="90" fillId="0" borderId="0" xfId="0" applyNumberFormat="1" applyFont="1" applyAlignment="1">
      <alignment horizontal="center" vertical="center"/>
    </xf>
    <xf numFmtId="2" fontId="89" fillId="0" borderId="18" xfId="0" applyNumberFormat="1" applyFont="1" applyBorder="1" applyAlignment="1">
      <alignment horizontal="center" vertical="center"/>
    </xf>
    <xf numFmtId="2" fontId="90" fillId="8" borderId="6" xfId="0" applyNumberFormat="1" applyFont="1" applyFill="1" applyBorder="1" applyAlignment="1">
      <alignment horizontal="center" vertical="center"/>
    </xf>
    <xf numFmtId="2" fontId="90" fillId="8" borderId="15" xfId="0" applyNumberFormat="1" applyFont="1" applyFill="1" applyBorder="1" applyAlignment="1">
      <alignment horizontal="center" vertical="center"/>
    </xf>
    <xf numFmtId="0" fontId="90" fillId="8" borderId="20" xfId="0" applyFont="1" applyFill="1" applyBorder="1" applyAlignment="1">
      <alignment vertical="center"/>
    </xf>
    <xf numFmtId="0" fontId="89" fillId="0" borderId="21" xfId="0" applyFont="1" applyBorder="1" applyAlignment="1">
      <alignment vertical="center"/>
    </xf>
    <xf numFmtId="2" fontId="90" fillId="8" borderId="21" xfId="0" applyNumberFormat="1" applyFont="1" applyFill="1" applyBorder="1" applyAlignment="1">
      <alignment horizontal="center" vertical="center"/>
    </xf>
    <xf numFmtId="2" fontId="90" fillId="8" borderId="36" xfId="0" applyNumberFormat="1" applyFont="1" applyFill="1" applyBorder="1" applyAlignment="1">
      <alignment horizontal="center" vertical="center"/>
    </xf>
    <xf numFmtId="2" fontId="90" fillId="0" borderId="5" xfId="0" applyNumberFormat="1" applyFont="1" applyBorder="1" applyAlignment="1">
      <alignment horizontal="center" vertical="center"/>
    </xf>
    <xf numFmtId="43" fontId="100" fillId="0" borderId="28" xfId="14" applyFont="1" applyFill="1" applyBorder="1" applyAlignment="1">
      <alignment vertical="center" wrapText="1"/>
    </xf>
    <xf numFmtId="2" fontId="90" fillId="0" borderId="1" xfId="0" applyNumberFormat="1" applyFont="1" applyBorder="1" applyAlignment="1">
      <alignment horizontal="left" vertical="center"/>
    </xf>
    <xf numFmtId="0" fontId="89" fillId="0" borderId="1" xfId="0" applyFont="1" applyBorder="1" applyAlignment="1">
      <alignment vertical="center"/>
    </xf>
    <xf numFmtId="2" fontId="89" fillId="0" borderId="1" xfId="0" applyNumberFormat="1" applyFont="1" applyBorder="1" applyAlignment="1">
      <alignment horizontal="center" vertical="center"/>
    </xf>
    <xf numFmtId="2" fontId="90" fillId="0" borderId="1" xfId="0" applyNumberFormat="1" applyFont="1" applyBorder="1" applyAlignment="1">
      <alignment horizontal="center" vertical="center"/>
    </xf>
    <xf numFmtId="2" fontId="90" fillId="0" borderId="0" xfId="0" applyNumberFormat="1" applyFont="1" applyAlignment="1">
      <alignment horizontal="left" vertical="center"/>
    </xf>
    <xf numFmtId="0" fontId="90" fillId="0" borderId="57" xfId="0" applyFont="1" applyBorder="1" applyAlignment="1">
      <alignment vertical="center"/>
    </xf>
    <xf numFmtId="2" fontId="90" fillId="0" borderId="58" xfId="0" applyNumberFormat="1" applyFont="1" applyBorder="1" applyAlignment="1">
      <alignment horizontal="center" vertical="center"/>
    </xf>
    <xf numFmtId="43" fontId="83" fillId="0" borderId="5" xfId="1727" applyFont="1" applyBorder="1" applyAlignment="1">
      <alignment horizontal="center"/>
    </xf>
    <xf numFmtId="43" fontId="83" fillId="0" borderId="5" xfId="1728" applyFont="1" applyBorder="1" applyAlignment="1">
      <alignment horizontal="center"/>
    </xf>
    <xf numFmtId="43" fontId="83" fillId="0" borderId="5" xfId="1729" applyFont="1" applyBorder="1" applyAlignment="1">
      <alignment horizontal="center"/>
    </xf>
    <xf numFmtId="43" fontId="83" fillId="0" borderId="5" xfId="1730" applyFont="1" applyBorder="1" applyAlignment="1">
      <alignment horizontal="center"/>
    </xf>
    <xf numFmtId="43" fontId="83" fillId="0" borderId="5" xfId="1731" applyFont="1" applyBorder="1" applyAlignment="1">
      <alignment horizontal="center"/>
    </xf>
    <xf numFmtId="43" fontId="83" fillId="0" borderId="5" xfId="1732" applyFont="1" applyBorder="1" applyAlignment="1">
      <alignment horizontal="center"/>
    </xf>
    <xf numFmtId="43" fontId="83" fillId="0" borderId="5" xfId="1733" applyFont="1" applyBorder="1" applyAlignment="1">
      <alignment horizontal="center"/>
    </xf>
    <xf numFmtId="43" fontId="83" fillId="0" borderId="5" xfId="1734" applyFont="1" applyBorder="1" applyAlignment="1">
      <alignment horizontal="center"/>
    </xf>
    <xf numFmtId="43" fontId="83" fillId="0" borderId="5" xfId="1735" applyFont="1" applyBorder="1" applyAlignment="1">
      <alignment horizontal="center"/>
    </xf>
    <xf numFmtId="43" fontId="83" fillId="0" borderId="5" xfId="1736" applyFont="1" applyBorder="1" applyAlignment="1">
      <alignment horizontal="center"/>
    </xf>
    <xf numFmtId="43" fontId="83" fillId="0" borderId="5" xfId="1931" applyFont="1" applyBorder="1" applyAlignment="1">
      <alignment horizontal="center"/>
    </xf>
    <xf numFmtId="0" fontId="90" fillId="0" borderId="37" xfId="0" applyFont="1" applyBorder="1" applyAlignment="1">
      <alignment vertical="center"/>
    </xf>
    <xf numFmtId="0" fontId="89" fillId="0" borderId="37" xfId="0" applyFont="1" applyBorder="1" applyAlignment="1">
      <alignment vertical="center"/>
    </xf>
    <xf numFmtId="2" fontId="89" fillId="0" borderId="37" xfId="0" applyNumberFormat="1" applyFont="1" applyBorder="1" applyAlignment="1">
      <alignment horizontal="center" vertical="center"/>
    </xf>
    <xf numFmtId="2" fontId="90" fillId="0" borderId="37" xfId="0" applyNumberFormat="1" applyFont="1" applyBorder="1" applyAlignment="1">
      <alignment horizontal="center" vertical="center"/>
    </xf>
    <xf numFmtId="2" fontId="90" fillId="9" borderId="16" xfId="0" applyNumberFormat="1" applyFont="1" applyFill="1" applyBorder="1" applyAlignment="1">
      <alignment horizontal="left" vertical="center"/>
    </xf>
    <xf numFmtId="0" fontId="111" fillId="0" borderId="0" xfId="0" applyFont="1" applyAlignment="1">
      <alignment horizontal="left" vertical="center" wrapText="1"/>
    </xf>
    <xf numFmtId="0" fontId="111" fillId="0" borderId="0" xfId="0" applyFont="1" applyAlignment="1">
      <alignment vertical="center"/>
    </xf>
    <xf numFmtId="0" fontId="111" fillId="0" borderId="5" xfId="0" applyFont="1" applyBorder="1" applyAlignment="1">
      <alignment vertical="center"/>
    </xf>
    <xf numFmtId="2" fontId="109" fillId="9" borderId="25" xfId="0" applyNumberFormat="1" applyFont="1" applyFill="1" applyBorder="1" applyAlignment="1">
      <alignment horizontal="center" vertical="center"/>
    </xf>
    <xf numFmtId="0" fontId="95" fillId="8" borderId="38" xfId="0" applyFont="1" applyFill="1" applyBorder="1" applyAlignment="1">
      <alignment vertical="center"/>
    </xf>
    <xf numFmtId="2" fontId="89" fillId="0" borderId="28" xfId="0" applyNumberFormat="1" applyFont="1" applyBorder="1" applyAlignment="1">
      <alignment horizontal="center" vertical="center"/>
    </xf>
    <xf numFmtId="2" fontId="90" fillId="0" borderId="0" xfId="0" applyNumberFormat="1" applyFont="1"/>
    <xf numFmtId="2" fontId="101" fillId="6" borderId="5" xfId="0" applyNumberFormat="1" applyFont="1" applyFill="1" applyBorder="1" applyAlignment="1">
      <alignment horizontal="center" vertical="center" wrapText="1"/>
    </xf>
    <xf numFmtId="2" fontId="101" fillId="6" borderId="25" xfId="0" applyNumberFormat="1" applyFont="1" applyFill="1" applyBorder="1" applyAlignment="1">
      <alignment horizontal="center" vertical="center" wrapText="1"/>
    </xf>
    <xf numFmtId="0" fontId="101" fillId="8" borderId="16" xfId="0" applyFont="1" applyFill="1" applyBorder="1" applyAlignment="1">
      <alignment vertical="center"/>
    </xf>
    <xf numFmtId="0" fontId="101" fillId="8" borderId="5" xfId="0" applyFont="1" applyFill="1" applyBorder="1" applyAlignment="1">
      <alignment vertical="center"/>
    </xf>
    <xf numFmtId="43" fontId="105" fillId="8" borderId="5" xfId="0" applyNumberFormat="1" applyFont="1" applyFill="1" applyBorder="1" applyAlignment="1">
      <alignment vertical="center"/>
    </xf>
    <xf numFmtId="0" fontId="90" fillId="0" borderId="5" xfId="0" applyFont="1" applyBorder="1" applyAlignment="1">
      <alignment vertical="center"/>
    </xf>
    <xf numFmtId="2" fontId="89" fillId="0" borderId="5" xfId="0" applyNumberFormat="1" applyFont="1" applyBorder="1" applyAlignment="1">
      <alignment vertical="center"/>
    </xf>
    <xf numFmtId="43" fontId="89" fillId="0" borderId="5" xfId="14" applyFont="1" applyFill="1" applyBorder="1" applyAlignment="1">
      <alignment horizontal="left" vertical="center" wrapText="1"/>
    </xf>
    <xf numFmtId="0" fontId="101" fillId="8" borderId="23" xfId="0" applyFont="1" applyFill="1" applyBorder="1" applyAlignment="1">
      <alignment vertical="center"/>
    </xf>
    <xf numFmtId="0" fontId="101" fillId="8" borderId="9" xfId="0" applyFont="1" applyFill="1" applyBorder="1" applyAlignment="1">
      <alignment vertical="center"/>
    </xf>
    <xf numFmtId="2" fontId="105" fillId="8" borderId="9" xfId="0" applyNumberFormat="1" applyFont="1" applyFill="1" applyBorder="1" applyAlignment="1">
      <alignment vertical="center"/>
    </xf>
    <xf numFmtId="43" fontId="105" fillId="8" borderId="9" xfId="0" applyNumberFormat="1" applyFont="1" applyFill="1" applyBorder="1" applyAlignment="1">
      <alignment vertical="center"/>
    </xf>
    <xf numFmtId="0" fontId="89" fillId="0" borderId="5" xfId="0" applyFont="1" applyBorder="1" applyAlignment="1">
      <alignment wrapText="1"/>
    </xf>
    <xf numFmtId="2" fontId="101" fillId="6" borderId="27" xfId="0" applyNumberFormat="1" applyFont="1" applyFill="1" applyBorder="1" applyAlignment="1">
      <alignment horizontal="center" vertical="center" wrapText="1"/>
    </xf>
    <xf numFmtId="2" fontId="101" fillId="6" borderId="9" xfId="0" applyNumberFormat="1" applyFont="1" applyFill="1" applyBorder="1" applyAlignment="1">
      <alignment horizontal="center" vertical="center" wrapText="1"/>
    </xf>
    <xf numFmtId="2" fontId="101" fillId="6" borderId="24" xfId="0" applyNumberFormat="1" applyFont="1" applyFill="1" applyBorder="1" applyAlignment="1">
      <alignment horizontal="center" vertical="center" wrapText="1"/>
    </xf>
    <xf numFmtId="3" fontId="89" fillId="0" borderId="16" xfId="0" applyNumberFormat="1" applyFont="1" applyBorder="1" applyAlignment="1">
      <alignment horizontal="center" vertical="center"/>
    </xf>
    <xf numFmtId="2" fontId="89" fillId="0" borderId="5" xfId="904" applyNumberFormat="1" applyFont="1" applyBorder="1" applyAlignment="1" applyProtection="1">
      <alignment vertical="center" wrapText="1"/>
      <protection locked="0"/>
    </xf>
    <xf numFmtId="0" fontId="89" fillId="0" borderId="5" xfId="0" applyFont="1" applyBorder="1" applyAlignment="1" applyProtection="1">
      <alignment horizontal="center" vertical="center"/>
      <protection locked="0"/>
    </xf>
    <xf numFmtId="182" fontId="89" fillId="0" borderId="5" xfId="14" applyNumberFormat="1" applyFont="1" applyFill="1" applyBorder="1" applyAlignment="1" applyProtection="1">
      <alignment horizontal="center" vertical="center"/>
      <protection locked="0"/>
    </xf>
    <xf numFmtId="182" fontId="89" fillId="0" borderId="5" xfId="0" applyNumberFormat="1" applyFont="1" applyBorder="1" applyAlignment="1" applyProtection="1">
      <alignment horizontal="center" vertical="center"/>
      <protection locked="0"/>
    </xf>
    <xf numFmtId="0" fontId="89" fillId="0" borderId="29" xfId="0" applyFont="1" applyBorder="1" applyAlignment="1" applyProtection="1">
      <alignment horizontal="left" wrapText="1"/>
      <protection locked="0"/>
    </xf>
    <xf numFmtId="0" fontId="89" fillId="0" borderId="6" xfId="0" applyFont="1" applyBorder="1" applyProtection="1">
      <protection locked="0"/>
    </xf>
    <xf numFmtId="2" fontId="89" fillId="0" borderId="15" xfId="0" applyNumberFormat="1" applyFont="1" applyBorder="1" applyProtection="1">
      <protection locked="0"/>
    </xf>
    <xf numFmtId="2" fontId="89" fillId="0" borderId="5" xfId="904" applyNumberFormat="1" applyFont="1" applyBorder="1" applyAlignment="1" applyProtection="1">
      <alignment horizontal="left" vertical="center" wrapText="1"/>
      <protection locked="0"/>
    </xf>
    <xf numFmtId="0" fontId="89" fillId="0" borderId="29" xfId="0" applyFont="1" applyBorder="1" applyAlignment="1" applyProtection="1">
      <alignment horizontal="left" vertical="center" wrapText="1"/>
      <protection locked="0"/>
    </xf>
    <xf numFmtId="0" fontId="89" fillId="0" borderId="25" xfId="0" applyFont="1" applyBorder="1" applyAlignment="1" applyProtection="1">
      <alignment vertical="center"/>
      <protection locked="0"/>
    </xf>
    <xf numFmtId="2" fontId="89" fillId="0" borderId="25" xfId="0" applyNumberFormat="1" applyFont="1" applyBorder="1" applyAlignment="1" applyProtection="1">
      <alignment vertical="center"/>
      <protection locked="0"/>
    </xf>
    <xf numFmtId="0" fontId="89" fillId="21" borderId="0" xfId="0" applyFont="1" applyFill="1" applyAlignment="1">
      <alignment vertical="center"/>
    </xf>
    <xf numFmtId="186" fontId="89" fillId="3" borderId="5" xfId="1407" applyNumberFormat="1" applyFont="1" applyFill="1" applyBorder="1" applyAlignment="1" applyProtection="1">
      <alignment vertical="center" wrapText="1"/>
      <protection locked="0"/>
    </xf>
    <xf numFmtId="2" fontId="89" fillId="0" borderId="5" xfId="14" applyNumberFormat="1" applyFont="1" applyFill="1" applyBorder="1" applyAlignment="1" applyProtection="1">
      <alignment horizontal="center" vertical="center"/>
      <protection locked="0"/>
    </xf>
    <xf numFmtId="9" fontId="89" fillId="0" borderId="14" xfId="0" applyNumberFormat="1" applyFont="1" applyBorder="1" applyAlignment="1" applyProtection="1">
      <alignment horizontal="left" wrapText="1"/>
      <protection locked="0"/>
    </xf>
    <xf numFmtId="0" fontId="89" fillId="0" borderId="5" xfId="0" applyFont="1" applyBorder="1" applyProtection="1">
      <protection locked="0"/>
    </xf>
    <xf numFmtId="2" fontId="89" fillId="0" borderId="25" xfId="0" applyNumberFormat="1" applyFont="1" applyBorder="1" applyProtection="1">
      <protection locked="0"/>
    </xf>
    <xf numFmtId="0" fontId="89" fillId="0" borderId="5" xfId="838" applyFont="1" applyBorder="1" applyAlignment="1">
      <alignment vertical="center" wrapText="1"/>
    </xf>
    <xf numFmtId="0" fontId="90" fillId="8" borderId="9" xfId="0" applyFont="1" applyFill="1" applyBorder="1" applyAlignment="1">
      <alignment horizontal="center" vertical="center"/>
    </xf>
    <xf numFmtId="0" fontId="89" fillId="0" borderId="37" xfId="0" applyFont="1" applyBorder="1" applyAlignment="1" applyProtection="1">
      <alignment horizontal="left" wrapText="1"/>
      <protection locked="0"/>
    </xf>
    <xf numFmtId="0" fontId="89" fillId="0" borderId="9" xfId="0" applyFont="1" applyBorder="1" applyProtection="1">
      <protection locked="0"/>
    </xf>
    <xf numFmtId="0" fontId="89" fillId="0" borderId="24" xfId="0" applyFont="1" applyBorder="1" applyProtection="1">
      <protection locked="0"/>
    </xf>
    <xf numFmtId="2" fontId="90" fillId="8" borderId="0" xfId="0" applyNumberFormat="1" applyFont="1" applyFill="1" applyAlignment="1">
      <alignment horizontal="center" vertical="center"/>
    </xf>
    <xf numFmtId="170" fontId="89" fillId="0" borderId="0" xfId="0" applyNumberFormat="1" applyFont="1"/>
    <xf numFmtId="0" fontId="90" fillId="0" borderId="0" xfId="0" applyFont="1" applyAlignment="1">
      <alignment horizontal="center" vertical="center"/>
    </xf>
    <xf numFmtId="2" fontId="101" fillId="6" borderId="10" xfId="0" applyNumberFormat="1" applyFont="1" applyFill="1" applyBorder="1" applyAlignment="1">
      <alignment horizontal="center" vertical="center" wrapText="1"/>
    </xf>
    <xf numFmtId="0" fontId="89" fillId="0" borderId="23" xfId="0" applyFont="1" applyBorder="1" applyAlignment="1">
      <alignment horizontal="center" vertical="center"/>
    </xf>
    <xf numFmtId="2" fontId="89" fillId="0" borderId="9" xfId="0" applyNumberFormat="1" applyFont="1" applyBorder="1" applyAlignment="1">
      <alignment horizontal="center" vertical="center"/>
    </xf>
    <xf numFmtId="2" fontId="89" fillId="0" borderId="9" xfId="14" applyNumberFormat="1" applyFont="1" applyBorder="1" applyAlignment="1" applyProtection="1">
      <alignment horizontal="center" vertical="center"/>
      <protection locked="0"/>
    </xf>
    <xf numFmtId="2" fontId="89" fillId="0" borderId="24" xfId="14" applyNumberFormat="1" applyFont="1" applyBorder="1" applyAlignment="1" applyProtection="1">
      <alignment horizontal="center" vertical="center"/>
      <protection locked="0"/>
    </xf>
    <xf numFmtId="2" fontId="89" fillId="0" borderId="0" xfId="0" applyNumberFormat="1" applyFont="1" applyAlignment="1">
      <alignment horizontal="right"/>
    </xf>
    <xf numFmtId="2" fontId="101" fillId="6" borderId="28" xfId="0" applyNumberFormat="1" applyFont="1" applyFill="1" applyBorder="1" applyAlignment="1">
      <alignment horizontal="center" vertical="center" wrapText="1"/>
    </xf>
    <xf numFmtId="2" fontId="101" fillId="6" borderId="25" xfId="0" applyNumberFormat="1" applyFont="1" applyFill="1" applyBorder="1" applyAlignment="1">
      <alignment vertical="center" wrapText="1"/>
    </xf>
    <xf numFmtId="0" fontId="89" fillId="0" borderId="16" xfId="0" applyFont="1" applyBorder="1" applyAlignment="1">
      <alignment horizontal="center" vertical="center"/>
    </xf>
    <xf numFmtId="2" fontId="89" fillId="2" borderId="5" xfId="0" applyNumberFormat="1" applyFont="1" applyFill="1" applyBorder="1" applyAlignment="1" applyProtection="1">
      <alignment horizontal="center" vertical="center"/>
      <protection locked="0"/>
    </xf>
    <xf numFmtId="2" fontId="89" fillId="2" borderId="25" xfId="0" applyNumberFormat="1" applyFont="1" applyFill="1" applyBorder="1" applyAlignment="1" applyProtection="1">
      <alignment horizontal="center" vertical="center"/>
      <protection locked="0"/>
    </xf>
    <xf numFmtId="2" fontId="89" fillId="0" borderId="5" xfId="824" applyNumberFormat="1" applyFont="1" applyBorder="1" applyAlignment="1">
      <alignment horizontal="center" vertical="center"/>
    </xf>
    <xf numFmtId="2" fontId="89" fillId="0" borderId="25" xfId="824" applyNumberFormat="1" applyFont="1" applyBorder="1" applyAlignment="1">
      <alignment horizontal="center" vertical="center"/>
    </xf>
    <xf numFmtId="0" fontId="90" fillId="0" borderId="23" xfId="0" applyFont="1" applyBorder="1" applyAlignment="1">
      <alignment horizontal="center" vertical="center"/>
    </xf>
    <xf numFmtId="0" fontId="90" fillId="0" borderId="9" xfId="0" applyFont="1" applyBorder="1" applyAlignment="1">
      <alignment vertical="center"/>
    </xf>
    <xf numFmtId="0" fontId="90" fillId="3" borderId="21" xfId="0" applyFont="1" applyFill="1" applyBorder="1" applyAlignment="1">
      <alignment horizontal="left"/>
    </xf>
    <xf numFmtId="2" fontId="89" fillId="3" borderId="33" xfId="0" applyNumberFormat="1" applyFont="1" applyFill="1" applyBorder="1" applyAlignment="1">
      <alignment horizontal="right"/>
    </xf>
    <xf numFmtId="0" fontId="89" fillId="0" borderId="31" xfId="0" applyFont="1" applyBorder="1"/>
    <xf numFmtId="0" fontId="89" fillId="3" borderId="10" xfId="0" applyFont="1" applyFill="1" applyBorder="1"/>
    <xf numFmtId="2" fontId="89" fillId="3" borderId="29" xfId="0" applyNumberFormat="1" applyFont="1" applyFill="1" applyBorder="1" applyAlignment="1">
      <alignment horizontal="right"/>
    </xf>
    <xf numFmtId="0" fontId="89" fillId="0" borderId="14" xfId="0" applyFont="1" applyBorder="1"/>
    <xf numFmtId="0" fontId="90" fillId="0" borderId="5" xfId="0" applyFont="1" applyBorder="1" applyAlignment="1">
      <alignment horizontal="center" vertical="center"/>
    </xf>
    <xf numFmtId="0" fontId="89" fillId="0" borderId="30" xfId="0" applyFont="1" applyBorder="1" applyAlignment="1">
      <alignment horizontal="left"/>
    </xf>
    <xf numFmtId="0" fontId="89" fillId="0" borderId="33" xfId="0" applyFont="1" applyBorder="1" applyAlignment="1">
      <alignment horizontal="left"/>
    </xf>
    <xf numFmtId="0" fontId="89" fillId="0" borderId="31" xfId="0" applyFont="1" applyBorder="1" applyAlignment="1">
      <alignment horizontal="left"/>
    </xf>
    <xf numFmtId="0" fontId="89" fillId="0" borderId="35" xfId="0" applyFont="1" applyBorder="1" applyAlignment="1">
      <alignment horizontal="left"/>
    </xf>
    <xf numFmtId="0" fontId="89" fillId="0" borderId="32" xfId="0" applyFont="1" applyBorder="1" applyAlignment="1">
      <alignment horizontal="left"/>
    </xf>
    <xf numFmtId="0" fontId="89" fillId="0" borderId="29" xfId="0" applyFont="1" applyBorder="1" applyAlignment="1">
      <alignment horizontal="left"/>
    </xf>
    <xf numFmtId="0" fontId="89" fillId="0" borderId="14" xfId="0" applyFont="1" applyBorder="1" applyAlignment="1">
      <alignment horizontal="left"/>
    </xf>
    <xf numFmtId="2" fontId="101" fillId="6" borderId="6" xfId="0" applyNumberFormat="1" applyFont="1" applyFill="1" applyBorder="1" applyAlignment="1">
      <alignment vertical="center" wrapText="1"/>
    </xf>
    <xf numFmtId="2" fontId="89" fillId="0" borderId="5" xfId="14" applyNumberFormat="1" applyFont="1" applyBorder="1" applyAlignment="1" applyProtection="1">
      <alignment vertical="center"/>
      <protection locked="0"/>
    </xf>
    <xf numFmtId="2" fontId="89" fillId="2" borderId="5" xfId="0" applyNumberFormat="1" applyFont="1" applyFill="1" applyBorder="1" applyAlignment="1">
      <alignment vertical="center"/>
    </xf>
    <xf numFmtId="2" fontId="89" fillId="0" borderId="5" xfId="1409" applyNumberFormat="1" applyFont="1" applyBorder="1" applyAlignment="1" applyProtection="1">
      <alignment vertical="center"/>
      <protection locked="0"/>
    </xf>
    <xf numFmtId="0" fontId="90" fillId="8" borderId="9" xfId="0" applyFont="1" applyFill="1" applyBorder="1" applyAlignment="1">
      <alignment vertical="center" wrapText="1"/>
    </xf>
    <xf numFmtId="0" fontId="83" fillId="0" borderId="5" xfId="1404" applyFont="1" applyBorder="1" applyAlignment="1" applyProtection="1">
      <alignment vertical="center"/>
      <protection locked="0"/>
    </xf>
    <xf numFmtId="0" fontId="107" fillId="0" borderId="5" xfId="1404" applyFont="1" applyBorder="1" applyAlignment="1" applyProtection="1">
      <alignment vertical="center"/>
      <protection locked="0"/>
    </xf>
    <xf numFmtId="0" fontId="90" fillId="3" borderId="30" xfId="0" applyFont="1" applyFill="1" applyBorder="1" applyAlignment="1">
      <alignment wrapText="1"/>
    </xf>
    <xf numFmtId="0" fontId="90" fillId="3" borderId="32" xfId="0" applyFont="1" applyFill="1" applyBorder="1" applyAlignment="1">
      <alignment wrapText="1"/>
    </xf>
    <xf numFmtId="0" fontId="89" fillId="3" borderId="29" xfId="0" applyFont="1" applyFill="1" applyBorder="1" applyAlignment="1">
      <alignment vertical="center" wrapText="1"/>
    </xf>
    <xf numFmtId="0" fontId="89" fillId="3" borderId="14" xfId="0" applyFont="1" applyFill="1" applyBorder="1" applyAlignment="1">
      <alignment vertical="center" wrapText="1"/>
    </xf>
    <xf numFmtId="0" fontId="90" fillId="0" borderId="0" xfId="0" applyFont="1" applyAlignment="1">
      <alignment wrapText="1"/>
    </xf>
    <xf numFmtId="0" fontId="90" fillId="0" borderId="16" xfId="0" applyFont="1" applyBorder="1" applyAlignment="1">
      <alignment horizontal="center" vertical="center" wrapText="1"/>
    </xf>
    <xf numFmtId="0" fontId="90" fillId="0" borderId="5" xfId="0" applyFont="1" applyBorder="1" applyAlignment="1">
      <alignment horizontal="left" vertical="center" wrapText="1"/>
    </xf>
    <xf numFmtId="0" fontId="89" fillId="0" borderId="5" xfId="0" applyFont="1" applyBorder="1" applyAlignment="1">
      <alignment horizontal="center" wrapText="1"/>
    </xf>
    <xf numFmtId="2" fontId="89" fillId="2" borderId="5" xfId="14" applyNumberFormat="1" applyFont="1" applyFill="1" applyBorder="1" applyAlignment="1" applyProtection="1">
      <alignment horizontal="right" wrapText="1"/>
    </xf>
    <xf numFmtId="0" fontId="89" fillId="0" borderId="25" xfId="0" applyFont="1" applyBorder="1" applyAlignment="1" applyProtection="1">
      <alignment horizontal="left" wrapText="1"/>
      <protection locked="0"/>
    </xf>
    <xf numFmtId="0" fontId="89" fillId="0" borderId="16" xfId="0" applyFont="1" applyBorder="1" applyAlignment="1">
      <alignment horizontal="right" vertical="center" wrapText="1"/>
    </xf>
    <xf numFmtId="0" fontId="89" fillId="0" borderId="5" xfId="0" applyFont="1" applyBorder="1" applyAlignment="1">
      <alignment horizontal="left" vertical="center" wrapText="1"/>
    </xf>
    <xf numFmtId="2" fontId="89" fillId="0" borderId="5" xfId="14" applyNumberFormat="1" applyFont="1" applyBorder="1" applyAlignment="1" applyProtection="1">
      <alignment horizontal="right" wrapText="1"/>
      <protection locked="0"/>
    </xf>
    <xf numFmtId="2" fontId="89" fillId="0" borderId="5" xfId="0" applyNumberFormat="1" applyFont="1" applyBorder="1" applyAlignment="1" applyProtection="1">
      <alignment horizontal="right" wrapText="1"/>
      <protection locked="0"/>
    </xf>
    <xf numFmtId="0" fontId="90" fillId="0" borderId="16" xfId="0" applyFont="1" applyBorder="1" applyAlignment="1">
      <alignment horizontal="center" wrapText="1"/>
    </xf>
    <xf numFmtId="0" fontId="90" fillId="0" borderId="5" xfId="0" applyFont="1" applyBorder="1" applyAlignment="1">
      <alignment wrapText="1"/>
    </xf>
    <xf numFmtId="2" fontId="89" fillId="2" borderId="5" xfId="0" applyNumberFormat="1" applyFont="1" applyFill="1" applyBorder="1" applyAlignment="1">
      <alignment horizontal="right" wrapText="1"/>
    </xf>
    <xf numFmtId="0" fontId="89" fillId="7" borderId="5" xfId="0" applyFont="1" applyFill="1" applyBorder="1" applyAlignment="1" applyProtection="1">
      <alignment horizontal="left" wrapText="1"/>
      <protection locked="0"/>
    </xf>
    <xf numFmtId="2" fontId="90" fillId="2" borderId="9" xfId="0" applyNumberFormat="1" applyFont="1" applyFill="1" applyBorder="1" applyAlignment="1">
      <alignment vertical="center" wrapText="1"/>
    </xf>
    <xf numFmtId="0" fontId="89" fillId="0" borderId="24" xfId="0" applyFont="1" applyBorder="1" applyAlignment="1" applyProtection="1">
      <alignment horizontal="left" wrapText="1"/>
      <protection locked="0"/>
    </xf>
    <xf numFmtId="2" fontId="89" fillId="0" borderId="5" xfId="0" applyNumberFormat="1" applyFont="1" applyBorder="1" applyAlignment="1" applyProtection="1">
      <alignment horizontal="right"/>
      <protection locked="0"/>
    </xf>
    <xf numFmtId="0" fontId="82" fillId="0" borderId="0" xfId="582" applyFont="1" applyAlignment="1" applyProtection="1">
      <protection locked="0"/>
    </xf>
    <xf numFmtId="0" fontId="89" fillId="0" borderId="0" xfId="0" applyFont="1" applyAlignment="1" applyProtection="1">
      <alignment horizontal="center"/>
      <protection locked="0"/>
    </xf>
    <xf numFmtId="0" fontId="90" fillId="0" borderId="0" xfId="0" applyFont="1" applyAlignment="1" applyProtection="1">
      <alignment horizontal="center"/>
      <protection locked="0"/>
    </xf>
    <xf numFmtId="2" fontId="90" fillId="0" borderId="0" xfId="0" applyNumberFormat="1" applyFont="1" applyProtection="1">
      <protection locked="0"/>
    </xf>
    <xf numFmtId="2" fontId="90" fillId="0" borderId="0" xfId="0" applyNumberFormat="1" applyFont="1" applyAlignment="1">
      <alignment horizontal="center" vertical="center" wrapText="1"/>
    </xf>
    <xf numFmtId="0" fontId="89" fillId="0" borderId="0" xfId="0" applyFont="1" applyAlignment="1">
      <alignment horizontal="center" vertical="center" wrapText="1"/>
    </xf>
    <xf numFmtId="2" fontId="110" fillId="0" borderId="0" xfId="0" applyNumberFormat="1" applyFont="1" applyAlignment="1">
      <alignment vertical="center" wrapText="1"/>
    </xf>
    <xf numFmtId="0" fontId="89" fillId="0" borderId="0" xfId="0" applyFont="1" applyAlignment="1" applyProtection="1">
      <alignment vertical="center" wrapText="1"/>
      <protection locked="0"/>
    </xf>
    <xf numFmtId="2" fontId="101" fillId="6" borderId="5" xfId="0" applyNumberFormat="1" applyFont="1" applyFill="1" applyBorder="1" applyAlignment="1">
      <alignment vertical="center" wrapText="1"/>
    </xf>
    <xf numFmtId="0" fontId="89" fillId="0" borderId="0" xfId="0" applyFont="1" applyProtection="1">
      <protection hidden="1"/>
    </xf>
    <xf numFmtId="40" fontId="90" fillId="0" borderId="5" xfId="607" applyNumberFormat="1" applyFont="1" applyBorder="1" applyAlignment="1">
      <alignment horizontal="left" vertical="center" wrapText="1"/>
    </xf>
    <xf numFmtId="0" fontId="83" fillId="0" borderId="5" xfId="1408" applyFont="1" applyBorder="1" applyAlignment="1">
      <alignment horizontal="left" vertical="center" wrapText="1"/>
    </xf>
    <xf numFmtId="2" fontId="90" fillId="0" borderId="5" xfId="607" applyNumberFormat="1" applyFont="1" applyBorder="1" applyAlignment="1" applyProtection="1">
      <alignment horizontal="center" vertical="center"/>
      <protection locked="0"/>
    </xf>
    <xf numFmtId="2" fontId="89" fillId="0" borderId="5" xfId="607" applyNumberFormat="1" applyFont="1" applyBorder="1" applyAlignment="1" applyProtection="1">
      <alignment horizontal="center" vertical="center"/>
      <protection locked="0"/>
    </xf>
    <xf numFmtId="2" fontId="89" fillId="2" borderId="5" xfId="607" applyNumberFormat="1" applyFont="1" applyFill="1" applyBorder="1" applyAlignment="1">
      <alignment horizontal="right" vertical="center"/>
    </xf>
    <xf numFmtId="2" fontId="89" fillId="2" borderId="5" xfId="607" applyNumberFormat="1" applyFont="1" applyFill="1" applyBorder="1" applyAlignment="1">
      <alignment vertical="center"/>
    </xf>
    <xf numFmtId="0" fontId="89" fillId="0" borderId="5" xfId="607" applyFont="1" applyBorder="1" applyAlignment="1" applyProtection="1">
      <alignment horizontal="left" vertical="center" wrapText="1"/>
      <protection locked="0"/>
    </xf>
    <xf numFmtId="40" fontId="90" fillId="25" borderId="5" xfId="607" applyNumberFormat="1" applyFont="1" applyFill="1" applyBorder="1" applyAlignment="1">
      <alignment horizontal="left" vertical="center" wrapText="1"/>
    </xf>
    <xf numFmtId="40" fontId="90" fillId="25" borderId="5" xfId="607" applyNumberFormat="1" applyFont="1" applyFill="1" applyBorder="1" applyAlignment="1">
      <alignment horizontal="center" vertical="center" wrapText="1"/>
    </xf>
    <xf numFmtId="40" fontId="90" fillId="25" borderId="5" xfId="607" applyNumberFormat="1" applyFont="1" applyFill="1" applyBorder="1" applyAlignment="1">
      <alignment horizontal="center" vertical="center"/>
    </xf>
    <xf numFmtId="2" fontId="90" fillId="25" borderId="5" xfId="607" applyNumberFormat="1" applyFont="1" applyFill="1" applyBorder="1" applyAlignment="1">
      <alignment horizontal="center" vertical="center"/>
    </xf>
    <xf numFmtId="0" fontId="90" fillId="25" borderId="5" xfId="607" applyFont="1" applyFill="1" applyBorder="1" applyAlignment="1" applyProtection="1">
      <alignment horizontal="left" vertical="center" wrapText="1"/>
      <protection locked="0"/>
    </xf>
    <xf numFmtId="40" fontId="89" fillId="0" borderId="5" xfId="607" applyNumberFormat="1" applyFont="1" applyBorder="1" applyAlignment="1" applyProtection="1">
      <alignment horizontal="left" vertical="center" wrapText="1"/>
      <protection locked="0"/>
    </xf>
    <xf numFmtId="40" fontId="90" fillId="0" borderId="5" xfId="607" applyNumberFormat="1" applyFont="1" applyBorder="1" applyAlignment="1" applyProtection="1">
      <alignment horizontal="center" vertical="center"/>
      <protection locked="0"/>
    </xf>
    <xf numFmtId="0" fontId="109" fillId="0" borderId="5" xfId="1408" applyFont="1" applyBorder="1" applyAlignment="1">
      <alignment horizontal="left" vertical="center" wrapText="1"/>
    </xf>
    <xf numFmtId="40" fontId="90" fillId="25" borderId="5" xfId="607" applyNumberFormat="1" applyFont="1" applyFill="1" applyBorder="1" applyAlignment="1">
      <alignment vertical="center" wrapText="1"/>
    </xf>
    <xf numFmtId="2" fontId="90" fillId="25" borderId="5" xfId="607" applyNumberFormat="1" applyFont="1" applyFill="1" applyBorder="1" applyAlignment="1" applyProtection="1">
      <alignment horizontal="center" vertical="center"/>
      <protection locked="0"/>
    </xf>
    <xf numFmtId="0" fontId="90" fillId="0" borderId="5" xfId="607" applyFont="1" applyBorder="1" applyAlignment="1">
      <alignment horizontal="left" vertical="center" wrapText="1"/>
    </xf>
    <xf numFmtId="2" fontId="113" fillId="0" borderId="5" xfId="0" applyNumberFormat="1" applyFont="1" applyBorder="1" applyAlignment="1">
      <alignment horizontal="center" vertical="center" wrapText="1"/>
    </xf>
    <xf numFmtId="40" fontId="90" fillId="0" borderId="5" xfId="607" applyNumberFormat="1" applyFont="1" applyBorder="1" applyAlignment="1" applyProtection="1">
      <alignment horizontal="center" vertical="center" wrapText="1"/>
      <protection locked="0"/>
    </xf>
    <xf numFmtId="40" fontId="90" fillId="25" borderId="5" xfId="607" applyNumberFormat="1" applyFont="1" applyFill="1" applyBorder="1" applyAlignment="1" applyProtection="1">
      <alignment horizontal="center" vertical="center" wrapText="1"/>
      <protection locked="0"/>
    </xf>
    <xf numFmtId="2" fontId="89" fillId="25" borderId="5" xfId="607" applyNumberFormat="1" applyFont="1" applyFill="1" applyBorder="1" applyAlignment="1">
      <alignment horizontal="center" vertical="center"/>
    </xf>
    <xf numFmtId="2" fontId="89" fillId="0" borderId="5" xfId="607" applyNumberFormat="1" applyFont="1" applyBorder="1" applyAlignment="1">
      <alignment horizontal="center" vertical="center"/>
    </xf>
    <xf numFmtId="0" fontId="83" fillId="0" borderId="5" xfId="1408" applyFont="1" applyBorder="1" applyAlignment="1">
      <alignment vertical="center" wrapText="1"/>
    </xf>
    <xf numFmtId="0" fontId="83" fillId="0" borderId="5" xfId="1725" applyFont="1" applyBorder="1" applyAlignment="1">
      <alignment vertical="center" wrapText="1"/>
    </xf>
    <xf numFmtId="2" fontId="89" fillId="0" borderId="5" xfId="1725" applyNumberFormat="1" applyFont="1" applyBorder="1" applyAlignment="1">
      <alignment horizontal="center" vertical="center"/>
    </xf>
    <xf numFmtId="0" fontId="89" fillId="25" borderId="5" xfId="607" applyFont="1" applyFill="1" applyBorder="1" applyAlignment="1" applyProtection="1">
      <alignment horizontal="left" vertical="center" wrapText="1"/>
      <protection locked="0"/>
    </xf>
    <xf numFmtId="2" fontId="90" fillId="2" borderId="5" xfId="607" applyNumberFormat="1" applyFont="1" applyFill="1" applyBorder="1" applyAlignment="1">
      <alignment horizontal="right" vertical="center"/>
    </xf>
    <xf numFmtId="2" fontId="90" fillId="2" borderId="5" xfId="607" applyNumberFormat="1" applyFont="1" applyFill="1" applyBorder="1" applyAlignment="1">
      <alignment vertical="center"/>
    </xf>
    <xf numFmtId="0" fontId="90" fillId="25" borderId="5" xfId="607" applyFont="1" applyFill="1" applyBorder="1" applyAlignment="1">
      <alignment horizontal="center" vertical="center" wrapText="1"/>
    </xf>
    <xf numFmtId="0" fontId="90" fillId="25" borderId="5" xfId="607" applyFont="1" applyFill="1" applyBorder="1" applyAlignment="1">
      <alignment horizontal="center" vertical="center"/>
    </xf>
    <xf numFmtId="0" fontId="89" fillId="0" borderId="0" xfId="0" applyFont="1" applyAlignment="1" applyProtection="1">
      <alignment horizontal="center"/>
      <protection hidden="1"/>
    </xf>
    <xf numFmtId="0" fontId="82" fillId="0" borderId="0" xfId="582" applyFont="1" applyFill="1" applyAlignment="1" applyProtection="1">
      <alignment vertical="center" wrapText="1"/>
    </xf>
    <xf numFmtId="2" fontId="90" fillId="0" borderId="0" xfId="0" applyNumberFormat="1" applyFont="1" applyAlignment="1">
      <alignment vertical="center" wrapText="1"/>
    </xf>
    <xf numFmtId="0" fontId="89" fillId="0" borderId="18" xfId="0" applyFont="1" applyBorder="1" applyAlignment="1">
      <alignment vertical="center" wrapText="1"/>
    </xf>
    <xf numFmtId="0" fontId="89" fillId="0" borderId="18" xfId="607" applyFont="1" applyBorder="1" applyAlignment="1">
      <alignment vertical="center"/>
    </xf>
    <xf numFmtId="40" fontId="90" fillId="0" borderId="34" xfId="607" applyNumberFormat="1" applyFont="1" applyBorder="1" applyAlignment="1">
      <alignment horizontal="left" vertical="center" wrapText="1"/>
    </xf>
    <xf numFmtId="0" fontId="83" fillId="0" borderId="64" xfId="1408" applyFont="1" applyBorder="1" applyAlignment="1">
      <alignment horizontal="left" vertical="center" wrapText="1"/>
    </xf>
    <xf numFmtId="2" fontId="89" fillId="0" borderId="10" xfId="607" applyNumberFormat="1" applyFont="1" applyBorder="1" applyAlignment="1" applyProtection="1">
      <alignment horizontal="center" vertical="center"/>
      <protection locked="0"/>
    </xf>
    <xf numFmtId="0" fontId="89" fillId="0" borderId="25" xfId="607" applyFont="1" applyBorder="1" applyAlignment="1" applyProtection="1">
      <alignment horizontal="left" vertical="center" wrapText="1"/>
      <protection locked="0"/>
    </xf>
    <xf numFmtId="0" fontId="89" fillId="0" borderId="0" xfId="607" applyFont="1" applyAlignment="1">
      <alignment vertical="center"/>
    </xf>
    <xf numFmtId="0" fontId="90" fillId="0" borderId="18" xfId="607" applyFont="1" applyBorder="1" applyAlignment="1">
      <alignment vertical="center"/>
    </xf>
    <xf numFmtId="40" fontId="90" fillId="25" borderId="4" xfId="607" applyNumberFormat="1" applyFont="1" applyFill="1" applyBorder="1" applyAlignment="1">
      <alignment horizontal="left" vertical="center" wrapText="1"/>
    </xf>
    <xf numFmtId="0" fontId="90" fillId="25" borderId="25" xfId="607" applyFont="1" applyFill="1" applyBorder="1" applyAlignment="1" applyProtection="1">
      <alignment horizontal="left" vertical="center" wrapText="1"/>
      <protection locked="0"/>
    </xf>
    <xf numFmtId="0" fontId="90" fillId="25" borderId="0" xfId="607" applyFont="1" applyFill="1" applyAlignment="1">
      <alignment vertical="center"/>
    </xf>
    <xf numFmtId="0" fontId="83" fillId="0" borderId="50" xfId="1408" applyFont="1" applyBorder="1" applyAlignment="1">
      <alignment horizontal="left" vertical="center" wrapText="1"/>
    </xf>
    <xf numFmtId="0" fontId="107" fillId="0" borderId="5" xfId="0" applyFont="1" applyBorder="1" applyAlignment="1">
      <alignment horizontal="left" vertical="center" wrapText="1"/>
    </xf>
    <xf numFmtId="10" fontId="89" fillId="0" borderId="0" xfId="607" applyNumberFormat="1" applyFont="1" applyAlignment="1">
      <alignment vertical="center"/>
    </xf>
    <xf numFmtId="40" fontId="90" fillId="25" borderId="34" xfId="607" applyNumberFormat="1" applyFont="1" applyFill="1" applyBorder="1" applyAlignment="1">
      <alignment horizontal="left" vertical="center" wrapText="1"/>
    </xf>
    <xf numFmtId="0" fontId="109" fillId="0" borderId="34" xfId="1408" applyFont="1" applyBorder="1" applyAlignment="1">
      <alignment horizontal="left" vertical="center" wrapText="1"/>
    </xf>
    <xf numFmtId="0" fontId="83" fillId="0" borderId="65" xfId="1408" applyFont="1" applyBorder="1" applyAlignment="1">
      <alignment horizontal="left" vertical="center" wrapText="1"/>
    </xf>
    <xf numFmtId="40" fontId="90" fillId="0" borderId="34" xfId="607" applyNumberFormat="1" applyFont="1" applyBorder="1" applyAlignment="1" applyProtection="1">
      <alignment horizontal="center" vertical="center"/>
      <protection locked="0"/>
    </xf>
    <xf numFmtId="40" fontId="90" fillId="25" borderId="33" xfId="607" applyNumberFormat="1" applyFont="1" applyFill="1" applyBorder="1" applyAlignment="1">
      <alignment horizontal="left" vertical="center" wrapText="1"/>
    </xf>
    <xf numFmtId="40" fontId="90" fillId="25" borderId="31" xfId="607" applyNumberFormat="1" applyFont="1" applyFill="1" applyBorder="1" applyAlignment="1">
      <alignment vertical="center" wrapText="1"/>
    </xf>
    <xf numFmtId="40" fontId="90" fillId="25" borderId="34" xfId="607" applyNumberFormat="1" applyFont="1" applyFill="1" applyBorder="1" applyAlignment="1" applyProtection="1">
      <alignment horizontal="center" vertical="center"/>
      <protection locked="0"/>
    </xf>
    <xf numFmtId="0" fontId="90" fillId="0" borderId="34" xfId="607" applyFont="1" applyBorder="1" applyAlignment="1">
      <alignment horizontal="left" vertical="center" wrapText="1"/>
    </xf>
    <xf numFmtId="40" fontId="90" fillId="0" borderId="34" xfId="607" applyNumberFormat="1" applyFont="1" applyBorder="1" applyAlignment="1" applyProtection="1">
      <alignment horizontal="center" vertical="center" wrapText="1"/>
      <protection locked="0"/>
    </xf>
    <xf numFmtId="40" fontId="90" fillId="25" borderId="34" xfId="607" applyNumberFormat="1" applyFont="1" applyFill="1" applyBorder="1" applyAlignment="1" applyProtection="1">
      <alignment horizontal="center" vertical="center" wrapText="1"/>
      <protection locked="0"/>
    </xf>
    <xf numFmtId="0" fontId="83" fillId="0" borderId="64" xfId="1408" applyFont="1" applyBorder="1" applyAlignment="1">
      <alignment vertical="center" wrapText="1"/>
    </xf>
    <xf numFmtId="189" fontId="90" fillId="25" borderId="5" xfId="607" applyNumberFormat="1" applyFont="1" applyFill="1" applyBorder="1" applyAlignment="1">
      <alignment horizontal="center" vertical="center"/>
    </xf>
    <xf numFmtId="0" fontId="89" fillId="25" borderId="25" xfId="607" applyFont="1" applyFill="1" applyBorder="1" applyAlignment="1" applyProtection="1">
      <alignment horizontal="left" vertical="center" wrapText="1"/>
      <protection locked="0"/>
    </xf>
    <xf numFmtId="0" fontId="89" fillId="25" borderId="0" xfId="607" applyFont="1" applyFill="1" applyAlignment="1">
      <alignment vertical="center"/>
    </xf>
    <xf numFmtId="40" fontId="90" fillId="25" borderId="27" xfId="607" applyNumberFormat="1" applyFont="1" applyFill="1" applyBorder="1" applyAlignment="1">
      <alignment horizontal="left" vertical="center" wrapText="1"/>
    </xf>
    <xf numFmtId="0" fontId="90" fillId="25" borderId="27" xfId="607" applyFont="1" applyFill="1" applyBorder="1" applyAlignment="1">
      <alignment horizontal="center" vertical="center" wrapText="1"/>
    </xf>
    <xf numFmtId="0" fontId="90" fillId="25" borderId="27" xfId="607" applyFont="1" applyFill="1" applyBorder="1" applyAlignment="1">
      <alignment horizontal="center" vertical="center"/>
    </xf>
    <xf numFmtId="2" fontId="90" fillId="25" borderId="9" xfId="607" applyNumberFormat="1" applyFont="1" applyFill="1" applyBorder="1" applyAlignment="1">
      <alignment horizontal="center" vertical="center"/>
    </xf>
    <xf numFmtId="2" fontId="89" fillId="2" borderId="9" xfId="607" applyNumberFormat="1" applyFont="1" applyFill="1" applyBorder="1" applyAlignment="1">
      <alignment horizontal="right" vertical="center"/>
    </xf>
    <xf numFmtId="2" fontId="89" fillId="2" borderId="9" xfId="607" applyNumberFormat="1" applyFont="1" applyFill="1" applyBorder="1" applyAlignment="1">
      <alignment vertical="center"/>
    </xf>
    <xf numFmtId="0" fontId="82" fillId="0" borderId="0" xfId="582" applyFont="1" applyAlignment="1" applyProtection="1">
      <alignment vertical="center"/>
      <protection hidden="1"/>
    </xf>
    <xf numFmtId="0" fontId="89" fillId="0" borderId="0" xfId="0" applyFont="1" applyAlignment="1" applyProtection="1">
      <alignment vertical="center"/>
      <protection hidden="1"/>
    </xf>
    <xf numFmtId="0" fontId="89" fillId="0" borderId="0" xfId="0" applyFont="1" applyAlignment="1" applyProtection="1">
      <alignment vertical="center" wrapText="1"/>
      <protection hidden="1"/>
    </xf>
    <xf numFmtId="2" fontId="89" fillId="0" borderId="0" xfId="0" applyNumberFormat="1" applyFont="1" applyAlignment="1" applyProtection="1">
      <alignment vertical="center"/>
      <protection hidden="1"/>
    </xf>
    <xf numFmtId="2" fontId="89" fillId="0" borderId="0" xfId="0" applyNumberFormat="1" applyFont="1" applyAlignment="1" applyProtection="1">
      <alignment vertical="center" wrapText="1"/>
      <protection hidden="1"/>
    </xf>
    <xf numFmtId="0" fontId="90" fillId="0" borderId="0" xfId="0" applyFont="1" applyAlignment="1" applyProtection="1">
      <alignment vertical="center" wrapText="1"/>
      <protection hidden="1"/>
    </xf>
    <xf numFmtId="0" fontId="90" fillId="0" borderId="0" xfId="0" applyFont="1" applyAlignment="1" applyProtection="1">
      <alignment vertical="center"/>
      <protection hidden="1"/>
    </xf>
    <xf numFmtId="2" fontId="90" fillId="0" borderId="0" xfId="0" applyNumberFormat="1" applyFont="1" applyAlignment="1" applyProtection="1">
      <alignment vertical="center"/>
      <protection hidden="1"/>
    </xf>
    <xf numFmtId="2" fontId="90" fillId="0" borderId="0" xfId="0" applyNumberFormat="1" applyFont="1" applyAlignment="1" applyProtection="1">
      <alignment vertical="center" wrapText="1"/>
      <protection hidden="1"/>
    </xf>
    <xf numFmtId="0" fontId="89" fillId="0" borderId="0" xfId="0" applyFont="1" applyAlignment="1" applyProtection="1">
      <alignment horizontal="left" vertical="center" wrapText="1"/>
      <protection hidden="1"/>
    </xf>
    <xf numFmtId="2" fontId="90" fillId="0" borderId="0" xfId="0" applyNumberFormat="1" applyFont="1" applyAlignment="1" applyProtection="1">
      <alignment horizontal="center" vertical="center" wrapText="1"/>
      <protection hidden="1"/>
    </xf>
    <xf numFmtId="2" fontId="90" fillId="0" borderId="0" xfId="0" applyNumberFormat="1" applyFont="1" applyAlignment="1" applyProtection="1">
      <alignment horizontal="center" vertical="center"/>
      <protection hidden="1"/>
    </xf>
    <xf numFmtId="0" fontId="89" fillId="0" borderId="0" xfId="0" applyFont="1" applyAlignment="1" applyProtection="1">
      <alignment horizontal="left" vertical="center"/>
      <protection hidden="1"/>
    </xf>
    <xf numFmtId="0" fontId="90" fillId="0" borderId="0" xfId="0" applyFont="1" applyAlignment="1" applyProtection="1">
      <alignment horizontal="center" vertical="center"/>
      <protection hidden="1"/>
    </xf>
    <xf numFmtId="2" fontId="110" fillId="0" borderId="0" xfId="0" applyNumberFormat="1" applyFont="1" applyAlignment="1" applyProtection="1">
      <alignment vertical="center"/>
      <protection hidden="1"/>
    </xf>
    <xf numFmtId="0" fontId="101" fillId="6" borderId="5" xfId="0" applyFont="1" applyFill="1" applyBorder="1" applyAlignment="1" applyProtection="1">
      <alignment horizontal="center" vertical="center" wrapText="1"/>
      <protection hidden="1"/>
    </xf>
    <xf numFmtId="2" fontId="105" fillId="6" borderId="5" xfId="0" applyNumberFormat="1" applyFont="1" applyFill="1" applyBorder="1" applyAlignment="1" applyProtection="1">
      <alignment horizontal="center" vertical="center" wrapText="1"/>
      <protection hidden="1"/>
    </xf>
    <xf numFmtId="2" fontId="89" fillId="0" borderId="5" xfId="0" applyNumberFormat="1" applyFont="1" applyBorder="1" applyAlignment="1" applyProtection="1">
      <alignment horizontal="center" vertical="center"/>
      <protection hidden="1"/>
    </xf>
    <xf numFmtId="2" fontId="89" fillId="0" borderId="5" xfId="0" applyNumberFormat="1" applyFont="1" applyBorder="1" applyAlignment="1" applyProtection="1">
      <alignment horizontal="center" vertical="center" wrapText="1"/>
      <protection hidden="1"/>
    </xf>
    <xf numFmtId="2" fontId="89" fillId="0" borderId="5" xfId="0" applyNumberFormat="1" applyFont="1" applyBorder="1" applyAlignment="1" applyProtection="1">
      <alignment vertical="center"/>
      <protection hidden="1"/>
    </xf>
    <xf numFmtId="2" fontId="90" fillId="2" borderId="34" xfId="0" applyNumberFormat="1" applyFont="1" applyFill="1" applyBorder="1" applyAlignment="1" applyProtection="1">
      <alignment vertical="center"/>
      <protection hidden="1"/>
    </xf>
    <xf numFmtId="0" fontId="101" fillId="6" borderId="14" xfId="0" applyFont="1" applyFill="1" applyBorder="1" applyAlignment="1" applyProtection="1">
      <alignment horizontal="center" vertical="center"/>
      <protection hidden="1"/>
    </xf>
    <xf numFmtId="0" fontId="90" fillId="8" borderId="0" xfId="0" applyFont="1" applyFill="1" applyAlignment="1">
      <alignment vertical="center" wrapText="1"/>
    </xf>
    <xf numFmtId="0" fontId="89" fillId="0" borderId="14" xfId="0" applyFont="1" applyBorder="1" applyAlignment="1" applyProtection="1">
      <alignment horizontal="left" vertical="center" wrapText="1"/>
      <protection hidden="1"/>
    </xf>
    <xf numFmtId="0" fontId="89" fillId="0" borderId="34" xfId="0" applyFont="1" applyBorder="1" applyAlignment="1" applyProtection="1">
      <alignment horizontal="left" vertical="center" wrapText="1"/>
      <protection hidden="1"/>
    </xf>
    <xf numFmtId="0" fontId="89" fillId="0" borderId="5" xfId="923" applyFont="1" applyBorder="1" applyAlignment="1" applyProtection="1">
      <alignment vertical="center" wrapText="1"/>
      <protection locked="0"/>
    </xf>
    <xf numFmtId="0" fontId="89" fillId="3" borderId="5" xfId="923" applyFont="1" applyFill="1" applyBorder="1" applyAlignment="1" applyProtection="1">
      <alignment vertical="center" wrapText="1"/>
      <protection locked="0"/>
    </xf>
    <xf numFmtId="0" fontId="89" fillId="3" borderId="0" xfId="923" applyFont="1" applyFill="1" applyAlignment="1" applyProtection="1">
      <alignment vertical="center" wrapText="1"/>
      <protection locked="0"/>
    </xf>
    <xf numFmtId="0" fontId="89" fillId="0" borderId="0" xfId="923" applyFont="1" applyAlignment="1" applyProtection="1">
      <alignment vertical="center" wrapText="1"/>
      <protection locked="0"/>
    </xf>
    <xf numFmtId="40" fontId="89" fillId="3" borderId="5" xfId="923" applyNumberFormat="1" applyFont="1" applyFill="1" applyBorder="1" applyAlignment="1" applyProtection="1">
      <alignment vertical="center" wrapText="1"/>
      <protection locked="0"/>
    </xf>
    <xf numFmtId="2" fontId="79" fillId="0" borderId="0" xfId="0" applyNumberFormat="1" applyFont="1" applyAlignment="1">
      <alignment horizontal="center"/>
    </xf>
    <xf numFmtId="0" fontId="80" fillId="0" borderId="0" xfId="0" applyFont="1" applyAlignment="1">
      <alignment horizontal="left" vertical="center" wrapText="1" indent="1"/>
    </xf>
    <xf numFmtId="0" fontId="79" fillId="0" borderId="0" xfId="0" applyFont="1" applyAlignment="1">
      <alignment horizontal="center" wrapText="1"/>
    </xf>
    <xf numFmtId="0" fontId="80" fillId="11" borderId="0" xfId="0" applyFont="1" applyFill="1" applyAlignment="1">
      <alignment vertical="center"/>
    </xf>
    <xf numFmtId="0" fontId="80" fillId="7" borderId="5" xfId="0" applyFont="1" applyFill="1" applyBorder="1" applyAlignment="1" applyProtection="1">
      <alignment horizontal="left" vertical="center" wrapText="1"/>
      <protection locked="0"/>
    </xf>
    <xf numFmtId="2" fontId="80" fillId="0" borderId="5" xfId="0" applyNumberFormat="1" applyFont="1" applyBorder="1" applyAlignment="1" applyProtection="1">
      <alignment horizontal="right" vertical="center"/>
      <protection locked="0"/>
    </xf>
    <xf numFmtId="2" fontId="80" fillId="7" borderId="5" xfId="0" applyNumberFormat="1" applyFont="1" applyFill="1" applyBorder="1" applyAlignment="1" applyProtection="1">
      <alignment horizontal="right" vertical="center"/>
      <protection locked="0"/>
    </xf>
    <xf numFmtId="0" fontId="80" fillId="0" borderId="5" xfId="0" applyFont="1" applyBorder="1" applyAlignment="1" applyProtection="1">
      <alignment horizontal="left" vertical="center" wrapText="1"/>
      <protection locked="0"/>
    </xf>
    <xf numFmtId="2" fontId="80" fillId="0" borderId="5" xfId="0" applyNumberFormat="1" applyFont="1" applyBorder="1" applyAlignment="1" applyProtection="1">
      <alignment horizontal="left" vertical="center" wrapText="1"/>
      <protection locked="0"/>
    </xf>
    <xf numFmtId="0" fontId="79" fillId="2" borderId="5" xfId="0" applyFont="1" applyFill="1" applyBorder="1" applyAlignment="1">
      <alignment vertical="center" wrapText="1"/>
    </xf>
    <xf numFmtId="2" fontId="80" fillId="2" borderId="5" xfId="0" applyNumberFormat="1" applyFont="1" applyFill="1" applyBorder="1" applyAlignment="1">
      <alignment vertical="center"/>
    </xf>
    <xf numFmtId="2" fontId="79" fillId="11" borderId="5" xfId="0" applyNumberFormat="1" applyFont="1" applyFill="1" applyBorder="1" applyAlignment="1">
      <alignment vertical="center" wrapText="1"/>
    </xf>
    <xf numFmtId="0" fontId="80" fillId="11" borderId="5" xfId="0" applyFont="1" applyFill="1" applyBorder="1" applyAlignment="1">
      <alignment vertical="center"/>
    </xf>
    <xf numFmtId="2" fontId="80" fillId="0" borderId="5" xfId="0" applyNumberFormat="1" applyFont="1" applyBorder="1" applyAlignment="1">
      <alignment vertical="center"/>
    </xf>
    <xf numFmtId="2" fontId="80" fillId="0" borderId="5" xfId="0" applyNumberFormat="1" applyFont="1" applyBorder="1" applyAlignment="1">
      <alignment vertical="center" wrapText="1"/>
    </xf>
    <xf numFmtId="0" fontId="79" fillId="8" borderId="5" xfId="0" applyFont="1" applyFill="1" applyBorder="1" applyAlignment="1">
      <alignment horizontal="center" vertical="center" wrapText="1"/>
    </xf>
    <xf numFmtId="0" fontId="79" fillId="0" borderId="0" xfId="0" applyFont="1" applyAlignment="1">
      <alignment horizontal="center" vertical="center" wrapText="1"/>
    </xf>
    <xf numFmtId="2" fontId="80" fillId="0" borderId="0" xfId="0" applyNumberFormat="1" applyFont="1" applyAlignment="1">
      <alignment vertical="center"/>
    </xf>
    <xf numFmtId="0" fontId="80" fillId="0" borderId="0" xfId="0" applyFont="1" applyAlignment="1" applyProtection="1">
      <alignment horizontal="left" vertical="center" wrapText="1"/>
      <protection locked="0"/>
    </xf>
    <xf numFmtId="4" fontId="79" fillId="0" borderId="0" xfId="0" applyNumberFormat="1" applyFont="1" applyAlignment="1">
      <alignment vertical="center" wrapText="1"/>
    </xf>
    <xf numFmtId="2" fontId="80" fillId="0" borderId="0" xfId="0" applyNumberFormat="1" applyFont="1" applyAlignment="1">
      <alignment vertical="center" wrapText="1"/>
    </xf>
    <xf numFmtId="2" fontId="81" fillId="6" borderId="21" xfId="0" applyNumberFormat="1" applyFont="1" applyFill="1" applyBorder="1" applyAlignment="1">
      <alignment horizontal="center" vertical="center" wrapText="1"/>
    </xf>
    <xf numFmtId="2" fontId="79" fillId="11" borderId="29" xfId="0" applyNumberFormat="1" applyFont="1" applyFill="1" applyBorder="1" applyAlignment="1">
      <alignment vertical="center" wrapText="1"/>
    </xf>
    <xf numFmtId="0" fontId="80" fillId="0" borderId="4" xfId="0" applyFont="1" applyBorder="1" applyAlignment="1">
      <alignment vertical="top" wrapText="1"/>
    </xf>
    <xf numFmtId="0" fontId="80" fillId="0" borderId="34" xfId="0" applyFont="1" applyBorder="1" applyAlignment="1">
      <alignment vertical="top" wrapText="1"/>
    </xf>
    <xf numFmtId="0" fontId="80" fillId="0" borderId="0" xfId="0" applyFont="1" applyAlignment="1">
      <alignment horizontal="left" vertical="center" wrapText="1"/>
    </xf>
    <xf numFmtId="0" fontId="81" fillId="6" borderId="16" xfId="0" applyFont="1" applyFill="1" applyBorder="1" applyAlignment="1">
      <alignment horizontal="left"/>
    </xf>
    <xf numFmtId="2" fontId="80" fillId="0" borderId="5" xfId="0" applyNumberFormat="1" applyFont="1" applyBorder="1" applyAlignment="1" applyProtection="1">
      <alignment horizontal="right"/>
      <protection locked="0"/>
    </xf>
    <xf numFmtId="182" fontId="80" fillId="2" borderId="5" xfId="0" applyNumberFormat="1" applyFont="1" applyFill="1" applyBorder="1" applyAlignment="1">
      <alignment horizontal="right"/>
    </xf>
    <xf numFmtId="185" fontId="79" fillId="8" borderId="5" xfId="0" applyNumberFormat="1" applyFont="1" applyFill="1" applyBorder="1" applyAlignment="1">
      <alignment horizontal="right"/>
    </xf>
    <xf numFmtId="0" fontId="80" fillId="0" borderId="25" xfId="0" applyFont="1" applyBorder="1" applyAlignment="1" applyProtection="1">
      <alignment horizontal="left" wrapText="1"/>
      <protection locked="0"/>
    </xf>
    <xf numFmtId="2" fontId="80" fillId="0" borderId="5" xfId="0" applyNumberFormat="1" applyFont="1" applyBorder="1" applyAlignment="1">
      <alignment horizontal="right"/>
    </xf>
    <xf numFmtId="182" fontId="80" fillId="0" borderId="5" xfId="0" applyNumberFormat="1" applyFont="1" applyBorder="1" applyAlignment="1">
      <alignment horizontal="right"/>
    </xf>
    <xf numFmtId="185" fontId="79" fillId="0" borderId="5" xfId="0" applyNumberFormat="1" applyFont="1" applyBorder="1" applyAlignment="1">
      <alignment horizontal="right"/>
    </xf>
    <xf numFmtId="2" fontId="80" fillId="0" borderId="25" xfId="0" applyNumberFormat="1" applyFont="1" applyBorder="1" applyAlignment="1" applyProtection="1">
      <alignment horizontal="left" wrapText="1"/>
      <protection locked="0"/>
    </xf>
    <xf numFmtId="0" fontId="92" fillId="6" borderId="16" xfId="0" applyFont="1" applyFill="1" applyBorder="1" applyAlignment="1">
      <alignment horizontal="left" indent="2"/>
    </xf>
    <xf numFmtId="2" fontId="79" fillId="8" borderId="5" xfId="0" applyNumberFormat="1" applyFont="1" applyFill="1" applyBorder="1" applyAlignment="1">
      <alignment horizontal="right"/>
    </xf>
    <xf numFmtId="2" fontId="80" fillId="0" borderId="9" xfId="0" applyNumberFormat="1" applyFont="1" applyBorder="1"/>
    <xf numFmtId="2" fontId="80" fillId="0" borderId="9" xfId="0" applyNumberFormat="1" applyFont="1" applyBorder="1" applyAlignment="1">
      <alignment horizontal="right"/>
    </xf>
    <xf numFmtId="2" fontId="80" fillId="0" borderId="9" xfId="0" applyNumberFormat="1" applyFont="1" applyBorder="1" applyAlignment="1">
      <alignment vertical="center" wrapText="1"/>
    </xf>
    <xf numFmtId="2" fontId="80" fillId="0" borderId="24" xfId="0" applyNumberFormat="1" applyFont="1" applyBorder="1" applyAlignment="1">
      <alignment horizontal="center"/>
    </xf>
    <xf numFmtId="2" fontId="79" fillId="0" borderId="5" xfId="0" applyNumberFormat="1" applyFont="1" applyBorder="1" applyAlignment="1">
      <alignment horizontal="right"/>
    </xf>
    <xf numFmtId="0" fontId="92" fillId="6" borderId="0" xfId="0" applyFont="1" applyFill="1" applyAlignment="1">
      <alignment horizontal="left" vertical="center" indent="2"/>
    </xf>
    <xf numFmtId="2" fontId="80" fillId="0" borderId="0" xfId="0" applyNumberFormat="1" applyFont="1" applyAlignment="1" applyProtection="1">
      <alignment horizontal="right"/>
      <protection locked="0"/>
    </xf>
    <xf numFmtId="0" fontId="92" fillId="0" borderId="0" xfId="0" applyFont="1" applyAlignment="1">
      <alignment horizontal="left" indent="2"/>
    </xf>
    <xf numFmtId="2" fontId="80" fillId="2" borderId="0" xfId="0" applyNumberFormat="1" applyFont="1" applyFill="1" applyAlignment="1">
      <alignment horizontal="right"/>
    </xf>
    <xf numFmtId="43" fontId="80" fillId="0" borderId="25" xfId="0" applyNumberFormat="1" applyFont="1" applyBorder="1" applyAlignment="1" applyProtection="1">
      <alignment horizontal="left" wrapText="1"/>
      <protection locked="0"/>
    </xf>
    <xf numFmtId="187" fontId="80" fillId="0" borderId="0" xfId="0" applyNumberFormat="1" applyFont="1"/>
    <xf numFmtId="0" fontId="92" fillId="6" borderId="49" xfId="0" applyFont="1" applyFill="1" applyBorder="1" applyAlignment="1">
      <alignment horizontal="left" indent="2"/>
    </xf>
    <xf numFmtId="185" fontId="80" fillId="0" borderId="0" xfId="0" applyNumberFormat="1" applyFont="1"/>
    <xf numFmtId="0" fontId="92" fillId="6" borderId="26" xfId="0" applyFont="1" applyFill="1" applyBorder="1" applyAlignment="1">
      <alignment horizontal="left" indent="2"/>
    </xf>
    <xf numFmtId="2" fontId="80" fillId="0" borderId="9" xfId="0" applyNumberFormat="1" applyFont="1" applyBorder="1" applyAlignment="1" applyProtection="1">
      <alignment horizontal="right"/>
      <protection locked="0"/>
    </xf>
    <xf numFmtId="2" fontId="80" fillId="2" borderId="9" xfId="0" applyNumberFormat="1" applyFont="1" applyFill="1" applyBorder="1" applyAlignment="1">
      <alignment horizontal="right"/>
    </xf>
    <xf numFmtId="2" fontId="79" fillId="8" borderId="9" xfId="0" applyNumberFormat="1" applyFont="1" applyFill="1" applyBorder="1" applyAlignment="1">
      <alignment horizontal="right"/>
    </xf>
    <xf numFmtId="43" fontId="80" fillId="0" borderId="24" xfId="0" applyNumberFormat="1" applyFont="1" applyBorder="1" applyAlignment="1" applyProtection="1">
      <alignment horizontal="left" wrapText="1"/>
      <protection locked="0"/>
    </xf>
    <xf numFmtId="0" fontId="80" fillId="0" borderId="0" xfId="0" applyFont="1" applyAlignment="1">
      <alignment horizontal="left" indent="2"/>
    </xf>
    <xf numFmtId="0" fontId="80" fillId="0" borderId="0" xfId="0" applyFont="1" applyAlignment="1" applyProtection="1">
      <alignment horizontal="left" wrapText="1"/>
      <protection locked="0"/>
    </xf>
    <xf numFmtId="2" fontId="80" fillId="0" borderId="0" xfId="0" applyNumberFormat="1" applyFont="1" applyAlignment="1">
      <alignment wrapText="1"/>
    </xf>
    <xf numFmtId="0" fontId="80" fillId="0" borderId="0" xfId="0" applyFont="1" applyProtection="1">
      <protection locked="0"/>
    </xf>
    <xf numFmtId="0" fontId="80" fillId="11" borderId="0" xfId="0" applyFont="1" applyFill="1" applyProtection="1">
      <protection locked="0"/>
    </xf>
    <xf numFmtId="2" fontId="81" fillId="6" borderId="36" xfId="0" applyNumberFormat="1" applyFont="1" applyFill="1" applyBorder="1" applyAlignment="1">
      <alignment horizontal="center" vertical="center" wrapText="1"/>
    </xf>
    <xf numFmtId="0" fontId="80" fillId="0" borderId="16" xfId="0" applyFont="1" applyBorder="1" applyAlignment="1" applyProtection="1">
      <alignment vertical="center" wrapText="1"/>
      <protection locked="0"/>
    </xf>
    <xf numFmtId="2" fontId="97" fillId="0" borderId="5" xfId="0" applyNumberFormat="1" applyFont="1" applyBorder="1" applyAlignment="1" applyProtection="1">
      <alignment horizontal="right" vertical="center"/>
      <protection locked="0"/>
    </xf>
    <xf numFmtId="2" fontId="80" fillId="0" borderId="25" xfId="0" applyNumberFormat="1" applyFont="1" applyBorder="1" applyAlignment="1" applyProtection="1">
      <alignment horizontal="right" vertical="center"/>
      <protection locked="0"/>
    </xf>
    <xf numFmtId="0" fontId="80" fillId="0" borderId="34" xfId="0" applyFont="1" applyBorder="1" applyAlignment="1" applyProtection="1">
      <alignment horizontal="left" wrapText="1"/>
      <protection locked="0"/>
    </xf>
    <xf numFmtId="0" fontId="80" fillId="7" borderId="16" xfId="0" applyFont="1" applyFill="1" applyBorder="1" applyAlignment="1" applyProtection="1">
      <alignment horizontal="left" vertical="center" wrapText="1"/>
      <protection locked="0"/>
    </xf>
    <xf numFmtId="2" fontId="80" fillId="0" borderId="34" xfId="0" applyNumberFormat="1" applyFont="1" applyBorder="1" applyAlignment="1" applyProtection="1">
      <alignment horizontal="left" wrapText="1"/>
      <protection locked="0"/>
    </xf>
    <xf numFmtId="0" fontId="79" fillId="2" borderId="23" xfId="0" applyFont="1" applyFill="1" applyBorder="1" applyAlignment="1">
      <alignment vertical="center" wrapText="1"/>
    </xf>
    <xf numFmtId="2" fontId="80" fillId="2" borderId="9" xfId="0" applyNumberFormat="1" applyFont="1" applyFill="1" applyBorder="1" applyAlignment="1">
      <alignment vertical="center"/>
    </xf>
    <xf numFmtId="2" fontId="80" fillId="2" borderId="24" xfId="0" applyNumberFormat="1" applyFont="1" applyFill="1" applyBorder="1" applyAlignment="1">
      <alignment vertical="center"/>
    </xf>
    <xf numFmtId="2" fontId="79" fillId="11" borderId="0" xfId="0" applyNumberFormat="1" applyFont="1" applyFill="1" applyAlignment="1">
      <alignment vertical="center" wrapText="1"/>
    </xf>
    <xf numFmtId="2" fontId="80" fillId="0" borderId="5" xfId="0" applyNumberFormat="1" applyFont="1" applyBorder="1" applyAlignment="1">
      <alignment horizontal="right" vertical="center"/>
    </xf>
    <xf numFmtId="2" fontId="80" fillId="0" borderId="25" xfId="0" applyNumberFormat="1" applyFont="1" applyBorder="1" applyAlignment="1">
      <alignment horizontal="right" vertical="center"/>
    </xf>
    <xf numFmtId="0" fontId="79" fillId="3" borderId="0" xfId="0" applyFont="1" applyFill="1" applyProtection="1">
      <protection hidden="1"/>
    </xf>
    <xf numFmtId="0" fontId="80" fillId="3" borderId="0" xfId="0" applyFont="1" applyFill="1" applyProtection="1">
      <protection hidden="1"/>
    </xf>
    <xf numFmtId="0" fontId="89" fillId="3" borderId="56" xfId="0" applyFont="1" applyFill="1" applyBorder="1" applyAlignment="1" applyProtection="1">
      <alignment horizontal="center"/>
      <protection hidden="1"/>
    </xf>
    <xf numFmtId="0" fontId="89" fillId="3" borderId="6" xfId="0" applyFont="1" applyFill="1" applyBorder="1" applyAlignment="1">
      <alignment horizontal="center" vertical="center"/>
    </xf>
    <xf numFmtId="0" fontId="89" fillId="3" borderId="53" xfId="0" applyFont="1" applyFill="1" applyBorder="1" applyProtection="1">
      <protection hidden="1"/>
    </xf>
    <xf numFmtId="0" fontId="89" fillId="3" borderId="6" xfId="0" applyFont="1" applyFill="1" applyBorder="1" applyAlignment="1" applyProtection="1">
      <alignment vertical="center"/>
      <protection hidden="1"/>
    </xf>
    <xf numFmtId="0" fontId="89" fillId="3" borderId="1" xfId="0" applyFont="1" applyFill="1" applyBorder="1" applyProtection="1">
      <protection hidden="1"/>
    </xf>
    <xf numFmtId="0" fontId="80" fillId="3" borderId="58" xfId="0" applyFont="1" applyFill="1" applyBorder="1" applyProtection="1">
      <protection hidden="1"/>
    </xf>
    <xf numFmtId="0" fontId="89" fillId="3" borderId="59" xfId="0" applyFont="1" applyFill="1" applyBorder="1" applyAlignment="1" applyProtection="1">
      <alignment horizontal="center" vertical="center"/>
      <protection hidden="1"/>
    </xf>
    <xf numFmtId="0" fontId="107" fillId="3" borderId="5" xfId="0" applyFont="1" applyFill="1" applyBorder="1" applyAlignment="1">
      <alignment horizontal="center"/>
    </xf>
    <xf numFmtId="0" fontId="89" fillId="3" borderId="4" xfId="0" applyFont="1" applyFill="1" applyBorder="1" applyProtection="1">
      <protection hidden="1"/>
    </xf>
    <xf numFmtId="0" fontId="110" fillId="3" borderId="5" xfId="0" applyFont="1" applyFill="1" applyBorder="1" applyAlignment="1" applyProtection="1">
      <alignment vertical="center"/>
      <protection hidden="1"/>
    </xf>
    <xf numFmtId="0" fontId="110" fillId="3" borderId="0" xfId="0" applyFont="1" applyFill="1" applyProtection="1">
      <protection hidden="1"/>
    </xf>
    <xf numFmtId="0" fontId="89" fillId="3" borderId="0" xfId="0" applyFont="1" applyFill="1" applyProtection="1">
      <protection hidden="1"/>
    </xf>
    <xf numFmtId="0" fontId="80" fillId="3" borderId="18" xfId="0" applyFont="1" applyFill="1" applyBorder="1" applyProtection="1">
      <protection hidden="1"/>
    </xf>
    <xf numFmtId="0" fontId="89" fillId="3" borderId="59" xfId="0" applyFont="1" applyFill="1" applyBorder="1" applyAlignment="1" applyProtection="1">
      <alignment horizontal="center"/>
      <protection hidden="1"/>
    </xf>
    <xf numFmtId="0" fontId="107" fillId="3" borderId="5" xfId="0" applyFont="1" applyFill="1" applyBorder="1" applyProtection="1">
      <protection hidden="1"/>
    </xf>
    <xf numFmtId="0" fontId="110" fillId="3" borderId="0" xfId="0" applyFont="1" applyFill="1" applyAlignment="1" applyProtection="1">
      <alignment vertical="center"/>
      <protection hidden="1"/>
    </xf>
    <xf numFmtId="0" fontId="110" fillId="3" borderId="5" xfId="0" applyFont="1" applyFill="1" applyBorder="1" applyProtection="1">
      <protection hidden="1"/>
    </xf>
    <xf numFmtId="0" fontId="89" fillId="3" borderId="35" xfId="0" applyFont="1" applyFill="1" applyBorder="1" applyProtection="1">
      <protection hidden="1"/>
    </xf>
    <xf numFmtId="0" fontId="90" fillId="3" borderId="35" xfId="0" applyFont="1" applyFill="1" applyBorder="1" applyProtection="1">
      <protection hidden="1"/>
    </xf>
    <xf numFmtId="0" fontId="89" fillId="3" borderId="59" xfId="0" applyFont="1" applyFill="1" applyBorder="1" applyAlignment="1" applyProtection="1">
      <alignment horizontal="center" vertical="top"/>
      <protection hidden="1"/>
    </xf>
    <xf numFmtId="0" fontId="90" fillId="3" borderId="0" xfId="0" applyFont="1" applyFill="1" applyAlignment="1" applyProtection="1">
      <alignment wrapText="1"/>
      <protection hidden="1"/>
    </xf>
    <xf numFmtId="0" fontId="79" fillId="3" borderId="18" xfId="0" applyFont="1" applyFill="1" applyBorder="1" applyAlignment="1" applyProtection="1">
      <alignment wrapText="1"/>
      <protection hidden="1"/>
    </xf>
    <xf numFmtId="0" fontId="90" fillId="3" borderId="35" xfId="0" applyFont="1" applyFill="1" applyBorder="1" applyAlignment="1" applyProtection="1">
      <alignment vertical="top" wrapText="1"/>
      <protection hidden="1"/>
    </xf>
    <xf numFmtId="0" fontId="90" fillId="3" borderId="0" xfId="0" applyFont="1" applyFill="1" applyAlignment="1" applyProtection="1">
      <alignment vertical="top" wrapText="1"/>
      <protection hidden="1"/>
    </xf>
    <xf numFmtId="0" fontId="89" fillId="3" borderId="30" xfId="0" applyFont="1" applyFill="1" applyBorder="1" applyProtection="1">
      <protection hidden="1"/>
    </xf>
    <xf numFmtId="0" fontId="89" fillId="3" borderId="33" xfId="0" applyFont="1" applyFill="1" applyBorder="1" applyProtection="1">
      <protection hidden="1"/>
    </xf>
    <xf numFmtId="0" fontId="89" fillId="3" borderId="31" xfId="0" applyFont="1" applyFill="1" applyBorder="1" applyProtection="1">
      <protection hidden="1"/>
    </xf>
    <xf numFmtId="0" fontId="89" fillId="3" borderId="32" xfId="0" applyFont="1" applyFill="1" applyBorder="1" applyProtection="1">
      <protection hidden="1"/>
    </xf>
    <xf numFmtId="0" fontId="89" fillId="3" borderId="29" xfId="0" applyFont="1" applyFill="1" applyBorder="1" applyProtection="1">
      <protection hidden="1"/>
    </xf>
    <xf numFmtId="0" fontId="89" fillId="3" borderId="14" xfId="0" applyFont="1" applyFill="1" applyBorder="1" applyProtection="1">
      <protection hidden="1"/>
    </xf>
    <xf numFmtId="0" fontId="89" fillId="3" borderId="0" xfId="0" applyFont="1" applyFill="1" applyAlignment="1" applyProtection="1">
      <alignment vertical="top" wrapText="1"/>
      <protection hidden="1"/>
    </xf>
    <xf numFmtId="0" fontId="80" fillId="3" borderId="18" xfId="0" applyFont="1" applyFill="1" applyBorder="1" applyAlignment="1" applyProtection="1">
      <alignment vertical="top" wrapText="1"/>
      <protection hidden="1"/>
    </xf>
    <xf numFmtId="0" fontId="89" fillId="3" borderId="35" xfId="0" applyFont="1" applyFill="1" applyBorder="1" applyAlignment="1" applyProtection="1">
      <alignment vertical="top" wrapText="1"/>
      <protection hidden="1"/>
    </xf>
    <xf numFmtId="0" fontId="89" fillId="3" borderId="59" xfId="0" applyFont="1" applyFill="1" applyBorder="1" applyAlignment="1" applyProtection="1">
      <alignment horizontal="right" vertical="top"/>
      <protection hidden="1"/>
    </xf>
    <xf numFmtId="0" fontId="89" fillId="3" borderId="59" xfId="0" applyFont="1" applyFill="1" applyBorder="1" applyAlignment="1" applyProtection="1">
      <alignment horizontal="right"/>
      <protection hidden="1"/>
    </xf>
    <xf numFmtId="0" fontId="90" fillId="3" borderId="0" xfId="0" applyFont="1" applyFill="1" applyProtection="1">
      <protection hidden="1"/>
    </xf>
    <xf numFmtId="0" fontId="90" fillId="3" borderId="5" xfId="0" applyFont="1" applyFill="1" applyBorder="1" applyAlignment="1" applyProtection="1">
      <alignment horizontal="left" vertical="top" wrapText="1"/>
      <protection hidden="1"/>
    </xf>
    <xf numFmtId="0" fontId="89" fillId="3" borderId="5" xfId="0" applyFont="1" applyFill="1" applyBorder="1" applyAlignment="1" applyProtection="1">
      <alignment horizontal="left" vertical="top" wrapText="1"/>
      <protection hidden="1"/>
    </xf>
    <xf numFmtId="0" fontId="89" fillId="3" borderId="0" xfId="0" applyFont="1" applyFill="1" applyAlignment="1" applyProtection="1">
      <alignment horizontal="left" vertical="top" wrapText="1"/>
      <protection hidden="1"/>
    </xf>
    <xf numFmtId="0" fontId="89" fillId="3" borderId="0" xfId="0" applyFont="1" applyFill="1" applyAlignment="1" applyProtection="1">
      <alignment horizontal="right"/>
      <protection hidden="1"/>
    </xf>
    <xf numFmtId="0" fontId="89" fillId="3" borderId="5" xfId="0" applyFont="1" applyFill="1" applyBorder="1" applyAlignment="1" applyProtection="1">
      <alignment vertical="top"/>
      <protection hidden="1"/>
    </xf>
    <xf numFmtId="0" fontId="80" fillId="3" borderId="59" xfId="0" applyFont="1" applyFill="1" applyBorder="1" applyAlignment="1" applyProtection="1">
      <alignment horizontal="right"/>
      <protection hidden="1"/>
    </xf>
    <xf numFmtId="0" fontId="80" fillId="3" borderId="0" xfId="0" applyFont="1" applyFill="1" applyAlignment="1" applyProtection="1">
      <alignment horizontal="left" vertical="top" wrapText="1"/>
      <protection hidden="1"/>
    </xf>
    <xf numFmtId="0" fontId="80" fillId="3" borderId="39" xfId="0" applyFont="1" applyFill="1" applyBorder="1" applyAlignment="1" applyProtection="1">
      <alignment horizontal="right"/>
      <protection hidden="1"/>
    </xf>
    <xf numFmtId="0" fontId="80" fillId="3" borderId="60" xfId="0" applyFont="1" applyFill="1" applyBorder="1" applyProtection="1">
      <protection hidden="1"/>
    </xf>
    <xf numFmtId="0" fontId="80" fillId="3" borderId="37" xfId="0" applyFont="1" applyFill="1" applyBorder="1" applyProtection="1">
      <protection hidden="1"/>
    </xf>
    <xf numFmtId="0" fontId="80" fillId="3" borderId="13" xfId="0" applyFont="1" applyFill="1" applyBorder="1" applyProtection="1">
      <protection hidden="1"/>
    </xf>
    <xf numFmtId="0" fontId="87" fillId="0" borderId="0" xfId="582" applyFont="1" applyAlignment="1" applyProtection="1"/>
    <xf numFmtId="0" fontId="89" fillId="0" borderId="5" xfId="0" applyFont="1" applyBorder="1" applyAlignment="1" applyProtection="1">
      <alignment vertical="center"/>
      <protection hidden="1"/>
    </xf>
    <xf numFmtId="0" fontId="115" fillId="0" borderId="0" xfId="0" applyFont="1" applyAlignment="1">
      <alignment wrapText="1"/>
    </xf>
    <xf numFmtId="2" fontId="89" fillId="0" borderId="5" xfId="0" applyNumberFormat="1" applyFont="1" applyBorder="1" applyAlignment="1">
      <alignment horizontal="right"/>
    </xf>
    <xf numFmtId="2" fontId="90" fillId="2" borderId="5" xfId="0" applyNumberFormat="1" applyFont="1" applyFill="1" applyBorder="1" applyAlignment="1">
      <alignment horizontal="right"/>
    </xf>
    <xf numFmtId="0" fontId="90" fillId="0" borderId="5" xfId="0" applyFont="1" applyBorder="1"/>
    <xf numFmtId="2" fontId="90" fillId="0" borderId="5" xfId="0" applyNumberFormat="1" applyFont="1" applyBorder="1" applyAlignment="1">
      <alignment horizontal="right"/>
    </xf>
    <xf numFmtId="2" fontId="101" fillId="6" borderId="5" xfId="0" applyNumberFormat="1" applyFont="1" applyFill="1" applyBorder="1" applyAlignment="1">
      <alignment horizontal="right" vertical="center"/>
    </xf>
    <xf numFmtId="2" fontId="89" fillId="0" borderId="5" xfId="0" applyNumberFormat="1" applyFont="1" applyBorder="1" applyAlignment="1" applyProtection="1">
      <alignment horizontal="center"/>
      <protection locked="0"/>
    </xf>
    <xf numFmtId="0" fontId="89" fillId="0" borderId="33" xfId="0" applyFont="1" applyBorder="1" applyAlignment="1">
      <alignment vertical="center" wrapText="1"/>
    </xf>
    <xf numFmtId="1" fontId="89" fillId="0" borderId="5" xfId="0" applyNumberFormat="1" applyFont="1" applyBorder="1" applyAlignment="1" applyProtection="1">
      <alignment horizontal="center" vertical="center"/>
      <protection locked="0"/>
    </xf>
    <xf numFmtId="170" fontId="89" fillId="0" borderId="5" xfId="14" applyNumberFormat="1" applyFont="1" applyFill="1" applyBorder="1" applyAlignment="1" applyProtection="1">
      <alignment horizontal="center" vertical="center"/>
      <protection locked="0"/>
    </xf>
    <xf numFmtId="0" fontId="89" fillId="0" borderId="16" xfId="0" applyFont="1" applyBorder="1" applyAlignment="1" applyProtection="1">
      <alignment horizontal="left" vertical="center" wrapText="1"/>
      <protection locked="0"/>
    </xf>
    <xf numFmtId="0" fontId="99" fillId="0" borderId="0" xfId="0" applyFont="1" applyAlignment="1">
      <alignment vertical="center"/>
    </xf>
    <xf numFmtId="0" fontId="100" fillId="0" borderId="5" xfId="0" applyFont="1" applyBorder="1" applyAlignment="1">
      <alignment vertical="center"/>
    </xf>
    <xf numFmtId="0" fontId="89" fillId="0" borderId="5" xfId="0" applyFont="1" applyBorder="1" applyAlignment="1" applyProtection="1">
      <alignment vertical="center" wrapText="1"/>
      <protection locked="0"/>
    </xf>
    <xf numFmtId="0" fontId="90" fillId="8" borderId="5" xfId="0" applyFont="1" applyFill="1" applyBorder="1" applyAlignment="1">
      <alignment horizontal="center" vertical="center" wrapText="1"/>
    </xf>
    <xf numFmtId="0" fontId="19" fillId="6" borderId="26" xfId="0" applyFont="1" applyFill="1" applyBorder="1" applyAlignment="1">
      <alignment horizontal="left" indent="2"/>
    </xf>
    <xf numFmtId="4" fontId="80" fillId="0" borderId="0" xfId="0" applyNumberFormat="1" applyFont="1"/>
    <xf numFmtId="194" fontId="80" fillId="0" borderId="0" xfId="0" applyNumberFormat="1" applyFont="1"/>
    <xf numFmtId="2" fontId="11" fillId="0" borderId="5" xfId="0" applyNumberFormat="1" applyFont="1" applyBorder="1" applyAlignment="1" applyProtection="1">
      <alignment horizontal="right" vertical="center"/>
      <protection locked="0"/>
    </xf>
    <xf numFmtId="10" fontId="89" fillId="0" borderId="0" xfId="5130" applyNumberFormat="1" applyFont="1"/>
    <xf numFmtId="185" fontId="89" fillId="0" borderId="0" xfId="0" applyNumberFormat="1" applyFont="1"/>
    <xf numFmtId="2" fontId="101" fillId="8" borderId="9" xfId="0" applyNumberFormat="1" applyFont="1" applyFill="1" applyBorder="1" applyAlignment="1">
      <alignment vertical="center"/>
    </xf>
    <xf numFmtId="2" fontId="85" fillId="3" borderId="5" xfId="0" applyNumberFormat="1" applyFont="1" applyFill="1" applyBorder="1" applyAlignment="1" applyProtection="1">
      <alignment horizontal="left" vertical="center" wrapText="1"/>
      <protection locked="0"/>
    </xf>
    <xf numFmtId="0" fontId="117" fillId="0" borderId="0" xfId="0" applyFont="1"/>
    <xf numFmtId="43" fontId="118" fillId="0" borderId="0" xfId="14" applyFont="1" applyFill="1" applyBorder="1" applyAlignment="1">
      <alignment horizontal="left" vertical="center" wrapText="1"/>
    </xf>
    <xf numFmtId="0" fontId="0" fillId="0" borderId="0" xfId="0" applyAlignment="1">
      <alignment horizontal="left" vertical="center" wrapText="1"/>
    </xf>
    <xf numFmtId="170" fontId="80" fillId="0" borderId="0" xfId="0" applyNumberFormat="1" applyFont="1" applyAlignment="1">
      <alignment horizontal="right"/>
    </xf>
    <xf numFmtId="2" fontId="0" fillId="0" borderId="0" xfId="0" applyNumberFormat="1" applyAlignment="1">
      <alignment horizontal="left" vertical="center" wrapText="1"/>
    </xf>
    <xf numFmtId="0" fontId="105" fillId="0" borderId="0" xfId="0" applyFont="1" applyAlignment="1">
      <alignment horizontal="center" wrapText="1"/>
    </xf>
    <xf numFmtId="43" fontId="96" fillId="59" borderId="5" xfId="14" applyFont="1" applyFill="1" applyBorder="1" applyAlignment="1">
      <alignment horizontal="left" vertical="center" wrapText="1"/>
    </xf>
    <xf numFmtId="4" fontId="80" fillId="0" borderId="0" xfId="0" applyNumberFormat="1" applyFont="1" applyAlignment="1">
      <alignment wrapText="1"/>
    </xf>
    <xf numFmtId="2" fontId="84" fillId="0" borderId="0" xfId="0" applyNumberFormat="1" applyFont="1" applyAlignment="1">
      <alignment horizontal="center"/>
    </xf>
    <xf numFmtId="0" fontId="81" fillId="6" borderId="25" xfId="0" applyFont="1" applyFill="1" applyBorder="1" applyAlignment="1">
      <alignment horizontal="center" vertical="center" wrapText="1"/>
    </xf>
    <xf numFmtId="2" fontId="81" fillId="6" borderId="6" xfId="0" applyNumberFormat="1" applyFont="1" applyFill="1" applyBorder="1" applyAlignment="1">
      <alignment horizontal="center" vertical="center" wrapText="1"/>
    </xf>
    <xf numFmtId="0" fontId="101" fillId="6" borderId="8" xfId="0" applyFont="1" applyFill="1" applyBorder="1" applyAlignment="1">
      <alignment horizontal="center" vertical="center" wrapText="1"/>
    </xf>
    <xf numFmtId="0" fontId="101" fillId="6" borderId="10" xfId="0" applyFont="1" applyFill="1" applyBorder="1" applyAlignment="1">
      <alignment horizontal="center" vertical="center" wrapText="1"/>
    </xf>
    <xf numFmtId="0" fontId="81" fillId="8" borderId="5" xfId="0" applyFont="1" applyFill="1" applyBorder="1" applyAlignment="1">
      <alignment horizontal="center" vertical="center" wrapText="1"/>
    </xf>
    <xf numFmtId="2" fontId="89" fillId="0" borderId="21" xfId="0" applyNumberFormat="1" applyFont="1" applyBorder="1" applyAlignment="1" applyProtection="1">
      <alignment vertical="center"/>
      <protection hidden="1"/>
    </xf>
    <xf numFmtId="2" fontId="90" fillId="0" borderId="21" xfId="0" applyNumberFormat="1" applyFont="1" applyBorder="1" applyAlignment="1" applyProtection="1">
      <alignment vertical="center"/>
      <protection hidden="1"/>
    </xf>
    <xf numFmtId="2" fontId="89" fillId="0" borderId="10" xfId="0" applyNumberFormat="1" applyFont="1" applyBorder="1" applyAlignment="1" applyProtection="1">
      <alignment vertical="center"/>
      <protection hidden="1"/>
    </xf>
    <xf numFmtId="2" fontId="90" fillId="0" borderId="10" xfId="0" applyNumberFormat="1" applyFont="1" applyBorder="1" applyAlignment="1" applyProtection="1">
      <alignment vertical="center"/>
      <protection hidden="1"/>
    </xf>
    <xf numFmtId="2" fontId="89" fillId="0" borderId="35" xfId="0" applyNumberFormat="1" applyFont="1" applyBorder="1" applyAlignment="1" applyProtection="1">
      <alignment vertical="center"/>
      <protection hidden="1"/>
    </xf>
    <xf numFmtId="0" fontId="90" fillId="0" borderId="34" xfId="0" applyFont="1" applyBorder="1" applyAlignment="1" applyProtection="1">
      <alignment horizontal="left" vertical="center" wrapText="1"/>
      <protection hidden="1"/>
    </xf>
    <xf numFmtId="2" fontId="101" fillId="6" borderId="41" xfId="0" applyNumberFormat="1" applyFont="1" applyFill="1" applyBorder="1" applyAlignment="1" applyProtection="1">
      <alignment vertical="center" wrapText="1"/>
      <protection hidden="1"/>
    </xf>
    <xf numFmtId="2" fontId="101" fillId="6" borderId="78" xfId="0" applyNumberFormat="1" applyFont="1" applyFill="1" applyBorder="1" applyAlignment="1" applyProtection="1">
      <alignment horizontal="center" vertical="center" wrapText="1"/>
      <protection hidden="1"/>
    </xf>
    <xf numFmtId="2" fontId="90" fillId="0" borderId="25" xfId="0" applyNumberFormat="1" applyFont="1" applyBorder="1" applyAlignment="1" applyProtection="1">
      <alignment horizontal="center" vertical="center"/>
      <protection hidden="1"/>
    </xf>
    <xf numFmtId="0" fontId="79" fillId="0" borderId="0" xfId="0" applyFont="1" applyAlignment="1">
      <alignment horizontal="left"/>
    </xf>
    <xf numFmtId="2" fontId="103" fillId="0" borderId="0" xfId="0" applyNumberFormat="1" applyFont="1"/>
    <xf numFmtId="2" fontId="79" fillId="0" borderId="0" xfId="0" applyNumberFormat="1" applyFont="1" applyAlignment="1">
      <alignment horizontal="center" vertical="center"/>
    </xf>
    <xf numFmtId="40" fontId="79" fillId="0" borderId="16" xfId="607" applyNumberFormat="1" applyFont="1" applyBorder="1" applyAlignment="1">
      <alignment horizontal="left" vertical="center" wrapText="1"/>
    </xf>
    <xf numFmtId="0" fontId="98" fillId="0" borderId="5" xfId="1408" applyFont="1" applyBorder="1" applyAlignment="1">
      <alignment horizontal="left" vertical="center" wrapText="1"/>
    </xf>
    <xf numFmtId="2" fontId="79" fillId="0" borderId="5" xfId="607" applyNumberFormat="1" applyFont="1" applyBorder="1" applyAlignment="1" applyProtection="1">
      <alignment horizontal="center" vertical="center" wrapText="1"/>
      <protection locked="0"/>
    </xf>
    <xf numFmtId="1" fontId="80" fillId="0" borderId="5" xfId="607" applyNumberFormat="1" applyFont="1" applyBorder="1" applyAlignment="1" applyProtection="1">
      <alignment vertical="center" wrapText="1"/>
      <protection locked="0"/>
    </xf>
    <xf numFmtId="2" fontId="80" fillId="0" borderId="5" xfId="607" applyNumberFormat="1" applyFont="1" applyBorder="1" applyAlignment="1" applyProtection="1">
      <alignment vertical="center" wrapText="1"/>
      <protection locked="0"/>
    </xf>
    <xf numFmtId="40" fontId="80" fillId="0" borderId="5" xfId="607" applyNumberFormat="1" applyFont="1" applyBorder="1" applyAlignment="1" applyProtection="1">
      <alignment horizontal="center" vertical="center" wrapText="1"/>
      <protection locked="0"/>
    </xf>
    <xf numFmtId="2" fontId="80" fillId="0" borderId="5" xfId="607" applyNumberFormat="1" applyFont="1" applyBorder="1" applyAlignment="1" applyProtection="1">
      <alignment horizontal="center" vertical="center" wrapText="1"/>
      <protection locked="0"/>
    </xf>
    <xf numFmtId="2" fontId="80" fillId="0" borderId="5" xfId="607" applyNumberFormat="1" applyFont="1" applyBorder="1" applyAlignment="1" applyProtection="1">
      <alignment horizontal="right" vertical="center" wrapText="1"/>
      <protection locked="0"/>
    </xf>
    <xf numFmtId="2" fontId="80" fillId="2" borderId="5" xfId="607" applyNumberFormat="1" applyFont="1" applyFill="1" applyBorder="1" applyAlignment="1">
      <alignment horizontal="right" vertical="center" wrapText="1"/>
    </xf>
    <xf numFmtId="2" fontId="80" fillId="2" borderId="5" xfId="607" applyNumberFormat="1" applyFont="1" applyFill="1" applyBorder="1" applyAlignment="1">
      <alignment vertical="center" wrapText="1"/>
    </xf>
    <xf numFmtId="2" fontId="80" fillId="0" borderId="5" xfId="607" applyNumberFormat="1" applyFont="1" applyBorder="1" applyAlignment="1" applyProtection="1">
      <alignment horizontal="left" vertical="center" wrapText="1"/>
      <protection locked="0"/>
    </xf>
    <xf numFmtId="0" fontId="79" fillId="25" borderId="0" xfId="607" applyFont="1" applyFill="1" applyAlignment="1">
      <alignment vertical="center" wrapText="1"/>
    </xf>
    <xf numFmtId="40" fontId="79" fillId="25" borderId="16" xfId="607" applyNumberFormat="1" applyFont="1" applyFill="1" applyBorder="1" applyAlignment="1">
      <alignment horizontal="left" vertical="center" wrapText="1"/>
    </xf>
    <xf numFmtId="40" fontId="79" fillId="25" borderId="5" xfId="607" applyNumberFormat="1" applyFont="1" applyFill="1" applyBorder="1" applyAlignment="1">
      <alignment horizontal="center" vertical="center" wrapText="1"/>
    </xf>
    <xf numFmtId="1" fontId="79" fillId="25" borderId="5" xfId="607" applyNumberFormat="1" applyFont="1" applyFill="1" applyBorder="1" applyAlignment="1">
      <alignment vertical="center" wrapText="1"/>
    </xf>
    <xf numFmtId="2" fontId="79" fillId="25" borderId="5" xfId="607" applyNumberFormat="1" applyFont="1" applyFill="1" applyBorder="1" applyAlignment="1">
      <alignment vertical="center" wrapText="1"/>
    </xf>
    <xf numFmtId="2" fontId="79" fillId="25" borderId="5" xfId="607" applyNumberFormat="1" applyFont="1" applyFill="1" applyBorder="1" applyAlignment="1">
      <alignment horizontal="center" vertical="center" wrapText="1"/>
    </xf>
    <xf numFmtId="0" fontId="79" fillId="25" borderId="25" xfId="607" applyFont="1" applyFill="1" applyBorder="1" applyAlignment="1" applyProtection="1">
      <alignment horizontal="left" vertical="center" wrapText="1"/>
      <protection locked="0"/>
    </xf>
    <xf numFmtId="40" fontId="79" fillId="0" borderId="5" xfId="607" applyNumberFormat="1" applyFont="1" applyBorder="1" applyAlignment="1" applyProtection="1">
      <alignment horizontal="center" vertical="center" wrapText="1"/>
      <protection locked="0"/>
    </xf>
    <xf numFmtId="10" fontId="80" fillId="0" borderId="0" xfId="607" applyNumberFormat="1" applyFont="1" applyAlignment="1">
      <alignment vertical="center" wrapText="1"/>
    </xf>
    <xf numFmtId="0" fontId="102" fillId="0" borderId="16" xfId="1408" applyFont="1" applyBorder="1" applyAlignment="1">
      <alignment horizontal="left" vertical="center" wrapText="1"/>
    </xf>
    <xf numFmtId="2" fontId="80" fillId="25" borderId="5" xfId="607" applyNumberFormat="1" applyFont="1" applyFill="1" applyBorder="1" applyAlignment="1">
      <alignment vertical="center" wrapText="1"/>
    </xf>
    <xf numFmtId="40" fontId="79" fillId="25" borderId="5" xfId="607" applyNumberFormat="1" applyFont="1" applyFill="1" applyBorder="1" applyAlignment="1">
      <alignment vertical="center" wrapText="1"/>
    </xf>
    <xf numFmtId="40" fontId="79" fillId="25" borderId="5" xfId="607" applyNumberFormat="1" applyFont="1" applyFill="1" applyBorder="1" applyAlignment="1" applyProtection="1">
      <alignment horizontal="center" vertical="center" wrapText="1"/>
      <protection locked="0"/>
    </xf>
    <xf numFmtId="1" fontId="79" fillId="25" borderId="5" xfId="607" applyNumberFormat="1" applyFont="1" applyFill="1" applyBorder="1" applyAlignment="1" applyProtection="1">
      <alignment vertical="center" wrapText="1"/>
      <protection locked="0"/>
    </xf>
    <xf numFmtId="2" fontId="79" fillId="25" borderId="5" xfId="607" applyNumberFormat="1" applyFont="1" applyFill="1" applyBorder="1" applyAlignment="1" applyProtection="1">
      <alignment vertical="center" wrapText="1"/>
      <protection locked="0"/>
    </xf>
    <xf numFmtId="2" fontId="79" fillId="25" borderId="5" xfId="607" applyNumberFormat="1" applyFont="1" applyFill="1" applyBorder="1" applyAlignment="1" applyProtection="1">
      <alignment horizontal="center" vertical="center" wrapText="1"/>
      <protection locked="0"/>
    </xf>
    <xf numFmtId="2" fontId="79" fillId="25" borderId="5" xfId="607" applyNumberFormat="1" applyFont="1" applyFill="1" applyBorder="1" applyAlignment="1" applyProtection="1">
      <alignment horizontal="left" vertical="center" wrapText="1"/>
      <protection locked="0"/>
    </xf>
    <xf numFmtId="0" fontId="79" fillId="0" borderId="16" xfId="607" applyFont="1" applyBorder="1" applyAlignment="1">
      <alignment horizontal="left" vertical="center" wrapText="1"/>
    </xf>
    <xf numFmtId="2" fontId="80" fillId="0" borderId="5" xfId="607" applyNumberFormat="1" applyFont="1" applyBorder="1" applyAlignment="1">
      <alignment vertical="center" wrapText="1"/>
    </xf>
    <xf numFmtId="2" fontId="80" fillId="0" borderId="5" xfId="607" applyNumberFormat="1" applyFont="1" applyBorder="1" applyAlignment="1">
      <alignment horizontal="center" vertical="center" wrapText="1"/>
    </xf>
    <xf numFmtId="0" fontId="98" fillId="0" borderId="5" xfId="1408" applyFont="1" applyBorder="1" applyAlignment="1">
      <alignment vertical="center" wrapText="1"/>
    </xf>
    <xf numFmtId="0" fontId="80" fillId="26" borderId="5" xfId="1725" applyFont="1" applyFill="1" applyBorder="1" applyAlignment="1">
      <alignment vertical="center" wrapText="1"/>
    </xf>
    <xf numFmtId="0" fontId="98" fillId="26" borderId="5" xfId="1725" applyFont="1" applyFill="1" applyBorder="1" applyAlignment="1">
      <alignment vertical="center" wrapText="1"/>
    </xf>
    <xf numFmtId="0" fontId="98" fillId="0" borderId="5" xfId="607" applyFont="1" applyBorder="1" applyAlignment="1">
      <alignment vertical="center" wrapText="1"/>
    </xf>
    <xf numFmtId="0" fontId="98" fillId="0" borderId="5" xfId="607" applyFont="1" applyBorder="1" applyAlignment="1">
      <alignment horizontal="left" vertical="center" wrapText="1"/>
    </xf>
    <xf numFmtId="0" fontId="98" fillId="0" borderId="5" xfId="1725" applyFont="1" applyBorder="1" applyAlignment="1">
      <alignment vertical="center" wrapText="1"/>
    </xf>
    <xf numFmtId="170" fontId="80" fillId="0" borderId="5" xfId="607" applyNumberFormat="1" applyFont="1" applyBorder="1" applyAlignment="1">
      <alignment horizontal="center" vertical="center" wrapText="1"/>
    </xf>
    <xf numFmtId="0" fontId="80" fillId="25" borderId="25" xfId="607" applyFont="1" applyFill="1" applyBorder="1" applyAlignment="1" applyProtection="1">
      <alignment horizontal="left" vertical="center" wrapText="1"/>
      <protection locked="0"/>
    </xf>
    <xf numFmtId="0" fontId="80" fillId="25" borderId="0" xfId="607" applyFont="1" applyFill="1" applyAlignment="1">
      <alignment vertical="center" wrapText="1"/>
    </xf>
    <xf numFmtId="2" fontId="79" fillId="25" borderId="9" xfId="607" applyNumberFormat="1" applyFont="1" applyFill="1" applyBorder="1" applyAlignment="1">
      <alignment vertical="center" wrapText="1"/>
    </xf>
    <xf numFmtId="40" fontId="118" fillId="0" borderId="5" xfId="607" applyNumberFormat="1" applyFont="1" applyBorder="1" applyAlignment="1" applyProtection="1">
      <alignment horizontal="center" vertical="center" wrapText="1"/>
      <protection locked="0"/>
    </xf>
    <xf numFmtId="2" fontId="120" fillId="0" borderId="5" xfId="607" applyNumberFormat="1" applyFont="1" applyBorder="1" applyAlignment="1">
      <alignment vertical="center" wrapText="1"/>
    </xf>
    <xf numFmtId="2" fontId="120" fillId="0" borderId="5" xfId="607" applyNumberFormat="1" applyFont="1" applyBorder="1" applyAlignment="1" applyProtection="1">
      <alignment vertical="center" wrapText="1"/>
      <protection locked="0"/>
    </xf>
    <xf numFmtId="2" fontId="80" fillId="0" borderId="5" xfId="607" applyNumberFormat="1" applyFont="1" applyBorder="1" applyAlignment="1" applyProtection="1">
      <alignment horizontal="center" vertical="center" wrapText="1"/>
      <protection hidden="1"/>
    </xf>
    <xf numFmtId="40" fontId="79" fillId="25" borderId="23" xfId="607" applyNumberFormat="1" applyFont="1" applyFill="1" applyBorder="1" applyAlignment="1">
      <alignment horizontal="left" vertical="center" wrapText="1"/>
    </xf>
    <xf numFmtId="0" fontId="79" fillId="25" borderId="9" xfId="607" applyFont="1" applyFill="1" applyBorder="1" applyAlignment="1">
      <alignment horizontal="center" vertical="center" wrapText="1"/>
    </xf>
    <xf numFmtId="2" fontId="79" fillId="25" borderId="9" xfId="607" applyNumberFormat="1" applyFont="1" applyFill="1" applyBorder="1" applyAlignment="1">
      <alignment horizontal="center" vertical="center" wrapText="1"/>
    </xf>
    <xf numFmtId="0" fontId="79" fillId="25" borderId="24" xfId="607" applyFont="1" applyFill="1" applyBorder="1" applyAlignment="1" applyProtection="1">
      <alignment horizontal="left" vertical="center" wrapText="1"/>
      <protection locked="0"/>
    </xf>
    <xf numFmtId="0" fontId="80" fillId="3" borderId="21" xfId="0" applyFont="1" applyFill="1" applyBorder="1"/>
    <xf numFmtId="0" fontId="80" fillId="3" borderId="22" xfId="0" applyFont="1" applyFill="1" applyBorder="1"/>
    <xf numFmtId="0" fontId="79" fillId="3" borderId="0" xfId="0" applyFont="1" applyFill="1"/>
    <xf numFmtId="0" fontId="80" fillId="3" borderId="10" xfId="0" applyFont="1" applyFill="1" applyBorder="1"/>
    <xf numFmtId="2" fontId="85" fillId="0" borderId="0" xfId="0" applyNumberFormat="1" applyFont="1"/>
    <xf numFmtId="2" fontId="85" fillId="0" borderId="0" xfId="0" applyNumberFormat="1" applyFont="1" applyAlignment="1">
      <alignment wrapText="1"/>
    </xf>
    <xf numFmtId="0" fontId="85" fillId="0" borderId="0" xfId="0" applyFont="1" applyProtection="1">
      <protection locked="0"/>
    </xf>
    <xf numFmtId="0" fontId="85" fillId="0" borderId="0" xfId="0" applyFont="1" applyAlignment="1">
      <alignment vertical="top"/>
    </xf>
    <xf numFmtId="2" fontId="85" fillId="0" borderId="0" xfId="0" applyNumberFormat="1" applyFont="1" applyAlignment="1">
      <alignment vertical="top"/>
    </xf>
    <xf numFmtId="0" fontId="85" fillId="0" borderId="0" xfId="0" applyFont="1" applyAlignment="1" applyProtection="1">
      <alignment vertical="top"/>
      <protection locked="0"/>
    </xf>
    <xf numFmtId="0" fontId="85" fillId="3" borderId="4" xfId="0" applyFont="1" applyFill="1" applyBorder="1" applyAlignment="1">
      <alignment horizontal="left" vertical="center" wrapText="1" indent="1"/>
    </xf>
    <xf numFmtId="0" fontId="85" fillId="3" borderId="34" xfId="0" applyFont="1" applyFill="1" applyBorder="1" applyAlignment="1">
      <alignment horizontal="left" vertical="center" wrapText="1" indent="1"/>
    </xf>
    <xf numFmtId="0" fontId="84" fillId="0" borderId="0" xfId="0" applyFont="1" applyAlignment="1">
      <alignment wrapText="1"/>
    </xf>
    <xf numFmtId="0" fontId="85" fillId="11" borderId="0" xfId="0" applyFont="1" applyFill="1" applyProtection="1">
      <protection locked="0"/>
    </xf>
    <xf numFmtId="0" fontId="85" fillId="0" borderId="0" xfId="0" applyFont="1" applyAlignment="1">
      <alignment vertical="center" wrapText="1"/>
    </xf>
    <xf numFmtId="2" fontId="86" fillId="6" borderId="21" xfId="0" applyNumberFormat="1" applyFont="1" applyFill="1" applyBorder="1" applyAlignment="1">
      <alignment horizontal="center" vertical="center" wrapText="1"/>
    </xf>
    <xf numFmtId="2" fontId="86" fillId="6" borderId="36" xfId="0" applyNumberFormat="1" applyFont="1" applyFill="1" applyBorder="1" applyAlignment="1">
      <alignment horizontal="center" vertical="center" wrapText="1"/>
    </xf>
    <xf numFmtId="0" fontId="85" fillId="0" borderId="16" xfId="0" applyFont="1" applyBorder="1" applyAlignment="1" applyProtection="1">
      <alignment vertical="center" wrapText="1"/>
      <protection locked="0"/>
    </xf>
    <xf numFmtId="2" fontId="121" fillId="0" borderId="5" xfId="0" applyNumberFormat="1" applyFont="1" applyBorder="1" applyAlignment="1" applyProtection="1">
      <alignment horizontal="right" vertical="center"/>
      <protection locked="0"/>
    </xf>
    <xf numFmtId="2" fontId="85" fillId="0" borderId="5" xfId="0" applyNumberFormat="1" applyFont="1" applyBorder="1" applyAlignment="1" applyProtection="1">
      <alignment horizontal="right" vertical="center"/>
      <protection locked="0"/>
    </xf>
    <xf numFmtId="2" fontId="85" fillId="0" borderId="25" xfId="0" applyNumberFormat="1" applyFont="1" applyBorder="1" applyAlignment="1" applyProtection="1">
      <alignment horizontal="right" vertical="center"/>
      <protection locked="0"/>
    </xf>
    <xf numFmtId="0" fontId="85" fillId="0" borderId="34" xfId="0" applyFont="1" applyBorder="1" applyAlignment="1" applyProtection="1">
      <alignment horizontal="left" wrapText="1"/>
      <protection locked="0"/>
    </xf>
    <xf numFmtId="0" fontId="85" fillId="7" borderId="16" xfId="0" applyFont="1" applyFill="1" applyBorder="1" applyAlignment="1" applyProtection="1">
      <alignment horizontal="left" vertical="center" wrapText="1"/>
      <protection locked="0"/>
    </xf>
    <xf numFmtId="2" fontId="85" fillId="0" borderId="34" xfId="0" applyNumberFormat="1" applyFont="1" applyBorder="1" applyAlignment="1" applyProtection="1">
      <alignment horizontal="left" wrapText="1"/>
      <protection locked="0"/>
    </xf>
    <xf numFmtId="0" fontId="84" fillId="2" borderId="23" xfId="0" applyFont="1" applyFill="1" applyBorder="1" applyAlignment="1">
      <alignment vertical="center" wrapText="1"/>
    </xf>
    <xf numFmtId="2" fontId="85" fillId="2" borderId="9" xfId="0" applyNumberFormat="1" applyFont="1" applyFill="1" applyBorder="1" applyAlignment="1">
      <alignment vertical="center"/>
    </xf>
    <xf numFmtId="2" fontId="85" fillId="2" borderId="24" xfId="0" applyNumberFormat="1" applyFont="1" applyFill="1" applyBorder="1" applyAlignment="1">
      <alignment vertical="center"/>
    </xf>
    <xf numFmtId="2" fontId="84" fillId="11" borderId="0" xfId="0" applyNumberFormat="1" applyFont="1" applyFill="1" applyAlignment="1">
      <alignment vertical="center" wrapText="1"/>
    </xf>
    <xf numFmtId="0" fontId="85" fillId="0" borderId="0" xfId="0" applyFont="1" applyAlignment="1">
      <alignment wrapText="1"/>
    </xf>
    <xf numFmtId="0" fontId="85" fillId="0" borderId="16" xfId="0" applyFont="1" applyBorder="1" applyAlignment="1">
      <alignment vertical="center" wrapText="1"/>
    </xf>
    <xf numFmtId="2" fontId="85" fillId="0" borderId="5" xfId="0" applyNumberFormat="1" applyFont="1" applyBorder="1" applyAlignment="1">
      <alignment horizontal="right" vertical="center"/>
    </xf>
    <xf numFmtId="2" fontId="85" fillId="0" borderId="25" xfId="0" applyNumberFormat="1" applyFont="1" applyBorder="1" applyAlignment="1">
      <alignment horizontal="right" vertical="center"/>
    </xf>
    <xf numFmtId="0" fontId="84" fillId="2" borderId="16" xfId="0" applyFont="1" applyFill="1" applyBorder="1" applyAlignment="1">
      <alignment vertical="center" wrapText="1"/>
    </xf>
    <xf numFmtId="2" fontId="85" fillId="2" borderId="5" xfId="0" applyNumberFormat="1" applyFont="1" applyFill="1" applyBorder="1" applyAlignment="1">
      <alignment vertical="center"/>
    </xf>
    <xf numFmtId="2" fontId="85" fillId="2" borderId="25" xfId="0" applyNumberFormat="1" applyFont="1" applyFill="1" applyBorder="1" applyAlignment="1">
      <alignment vertical="center"/>
    </xf>
    <xf numFmtId="0" fontId="85" fillId="0" borderId="16" xfId="0" applyFont="1" applyBorder="1" applyAlignment="1">
      <alignment vertical="center"/>
    </xf>
    <xf numFmtId="2" fontId="85" fillId="0" borderId="5" xfId="0" applyNumberFormat="1" applyFont="1" applyBorder="1" applyAlignment="1">
      <alignment vertical="center"/>
    </xf>
    <xf numFmtId="2" fontId="85" fillId="0" borderId="5" xfId="0" applyNumberFormat="1" applyFont="1" applyBorder="1" applyAlignment="1">
      <alignment vertical="center" wrapText="1"/>
    </xf>
    <xf numFmtId="2" fontId="85" fillId="0" borderId="25" xfId="0" applyNumberFormat="1" applyFont="1" applyBorder="1" applyAlignment="1">
      <alignment vertical="center"/>
    </xf>
    <xf numFmtId="0" fontId="85" fillId="0" borderId="34" xfId="0" applyFont="1" applyBorder="1" applyProtection="1">
      <protection locked="0"/>
    </xf>
    <xf numFmtId="0" fontId="84" fillId="8" borderId="23" xfId="0" applyFont="1" applyFill="1" applyBorder="1" applyAlignment="1">
      <alignment horizontal="center" vertical="center" wrapText="1"/>
    </xf>
    <xf numFmtId="2" fontId="85" fillId="8" borderId="9" xfId="0" applyNumberFormat="1" applyFont="1" applyFill="1" applyBorder="1" applyAlignment="1">
      <alignment vertical="center"/>
    </xf>
    <xf numFmtId="2" fontId="85" fillId="8" borderId="24" xfId="0" applyNumberFormat="1" applyFont="1" applyFill="1" applyBorder="1" applyAlignment="1">
      <alignment vertical="center"/>
    </xf>
    <xf numFmtId="0" fontId="85" fillId="0" borderId="0" xfId="0" applyFont="1" applyAlignment="1">
      <alignment horizontal="left" vertical="center" wrapText="1" indent="1"/>
    </xf>
    <xf numFmtId="2" fontId="122" fillId="0" borderId="5" xfId="0" applyNumberFormat="1" applyFont="1" applyBorder="1" applyAlignment="1" applyProtection="1">
      <alignment horizontal="right"/>
      <protection locked="0"/>
    </xf>
    <xf numFmtId="4" fontId="84" fillId="0" borderId="0" xfId="0" applyNumberFormat="1" applyFont="1" applyAlignment="1">
      <alignment vertical="center" wrapText="1"/>
    </xf>
    <xf numFmtId="2" fontId="85" fillId="0" borderId="0" xfId="0" applyNumberFormat="1" applyFont="1" applyAlignment="1">
      <alignment vertical="center"/>
    </xf>
    <xf numFmtId="2" fontId="85" fillId="0" borderId="0" xfId="0" applyNumberFormat="1" applyFont="1" applyAlignment="1">
      <alignment vertical="center" wrapText="1"/>
    </xf>
    <xf numFmtId="0" fontId="84" fillId="0" borderId="0" xfId="0" applyFont="1" applyAlignment="1">
      <alignment vertical="center" wrapText="1"/>
    </xf>
    <xf numFmtId="2" fontId="84" fillId="0" borderId="0" xfId="0" applyNumberFormat="1" applyFont="1" applyAlignment="1">
      <alignment vertical="center"/>
    </xf>
    <xf numFmtId="4" fontId="85" fillId="10" borderId="5" xfId="0" applyNumberFormat="1" applyFont="1" applyFill="1" applyBorder="1" applyAlignment="1">
      <alignment horizontal="center" vertical="center"/>
    </xf>
    <xf numFmtId="4" fontId="85" fillId="10" borderId="5" xfId="0" applyNumberFormat="1" applyFont="1" applyFill="1" applyBorder="1" applyAlignment="1">
      <alignment vertical="center"/>
    </xf>
    <xf numFmtId="0" fontId="84" fillId="0" borderId="0" xfId="0" applyFont="1" applyAlignment="1">
      <alignment horizontal="center" vertical="center" wrapText="1"/>
    </xf>
    <xf numFmtId="0" fontId="85" fillId="0" borderId="0" xfId="0" applyFont="1" applyAlignment="1" applyProtection="1">
      <alignment horizontal="left" wrapText="1"/>
      <protection locked="0"/>
    </xf>
    <xf numFmtId="2" fontId="85" fillId="0" borderId="0" xfId="0" applyNumberFormat="1" applyFont="1" applyProtection="1">
      <protection locked="0"/>
    </xf>
    <xf numFmtId="0" fontId="80" fillId="0" borderId="0" xfId="0" applyFont="1" applyAlignment="1">
      <alignment horizontal="left"/>
    </xf>
    <xf numFmtId="40" fontId="79" fillId="0" borderId="10" xfId="607" applyNumberFormat="1" applyFont="1" applyBorder="1" applyAlignment="1">
      <alignment horizontal="left" vertical="center" wrapText="1"/>
    </xf>
    <xf numFmtId="0" fontId="98" fillId="0" borderId="64" xfId="1408" applyFont="1" applyBorder="1" applyAlignment="1">
      <alignment horizontal="left" vertical="center" wrapText="1"/>
    </xf>
    <xf numFmtId="2" fontId="79" fillId="0" borderId="10" xfId="607" applyNumberFormat="1" applyFont="1" applyBorder="1" applyAlignment="1" applyProtection="1">
      <alignment horizontal="center" wrapText="1"/>
      <protection locked="0"/>
    </xf>
    <xf numFmtId="2" fontId="80" fillId="0" borderId="10" xfId="607" applyNumberFormat="1" applyFont="1" applyBorder="1" applyAlignment="1" applyProtection="1">
      <alignment horizontal="center" vertical="center" wrapText="1"/>
      <protection locked="0"/>
    </xf>
    <xf numFmtId="2" fontId="80" fillId="0" borderId="10" xfId="607" applyNumberFormat="1" applyFont="1" applyBorder="1" applyAlignment="1" applyProtection="1">
      <alignment horizontal="center" vertical="center"/>
      <protection locked="0"/>
    </xf>
    <xf numFmtId="43" fontId="80" fillId="0" borderId="10" xfId="14" applyFont="1" applyFill="1" applyBorder="1" applyAlignment="1" applyProtection="1">
      <alignment vertical="center"/>
      <protection locked="0"/>
    </xf>
    <xf numFmtId="43" fontId="80" fillId="0" borderId="5" xfId="14" applyFont="1" applyFill="1" applyBorder="1" applyAlignment="1" applyProtection="1">
      <alignment vertical="center"/>
      <protection locked="0"/>
    </xf>
    <xf numFmtId="43" fontId="80" fillId="0" borderId="10" xfId="14" applyFont="1" applyBorder="1" applyAlignment="1" applyProtection="1">
      <alignment vertical="center"/>
      <protection locked="0"/>
    </xf>
    <xf numFmtId="2" fontId="80" fillId="0" borderId="10" xfId="607" applyNumberFormat="1" applyFont="1" applyBorder="1" applyAlignment="1" applyProtection="1">
      <alignment horizontal="right" vertical="center"/>
      <protection locked="0"/>
    </xf>
    <xf numFmtId="40" fontId="79" fillId="0" borderId="5" xfId="607" applyNumberFormat="1" applyFont="1" applyBorder="1" applyAlignment="1">
      <alignment horizontal="left" vertical="center" wrapText="1"/>
    </xf>
    <xf numFmtId="2" fontId="79" fillId="0" borderId="5" xfId="607" applyNumberFormat="1" applyFont="1" applyBorder="1" applyAlignment="1" applyProtection="1">
      <alignment horizontal="center" wrapText="1"/>
      <protection locked="0"/>
    </xf>
    <xf numFmtId="2" fontId="80" fillId="0" borderId="5" xfId="607" applyNumberFormat="1" applyFont="1" applyBorder="1" applyAlignment="1" applyProtection="1">
      <alignment horizontal="center" vertical="center"/>
      <protection locked="0"/>
    </xf>
    <xf numFmtId="43" fontId="80" fillId="0" borderId="5" xfId="14" applyFont="1" applyBorder="1" applyAlignment="1" applyProtection="1">
      <alignment vertical="center"/>
      <protection locked="0"/>
    </xf>
    <xf numFmtId="2" fontId="80" fillId="0" borderId="5" xfId="607" applyNumberFormat="1" applyFont="1" applyBorder="1" applyAlignment="1" applyProtection="1">
      <alignment horizontal="right" vertical="center"/>
      <protection locked="0"/>
    </xf>
    <xf numFmtId="0" fontId="79" fillId="25" borderId="16" xfId="607" applyFont="1" applyFill="1" applyBorder="1" applyAlignment="1">
      <alignment vertical="center" wrapText="1"/>
    </xf>
    <xf numFmtId="40" fontId="79" fillId="25" borderId="28" xfId="607" applyNumberFormat="1" applyFont="1" applyFill="1" applyBorder="1" applyAlignment="1">
      <alignment horizontal="left" vertical="center" wrapText="1"/>
    </xf>
    <xf numFmtId="40" fontId="79" fillId="25" borderId="5" xfId="607" applyNumberFormat="1" applyFont="1" applyFill="1" applyBorder="1" applyAlignment="1">
      <alignment horizontal="center" wrapText="1"/>
    </xf>
    <xf numFmtId="2" fontId="79" fillId="25" borderId="5" xfId="607" applyNumberFormat="1" applyFont="1" applyFill="1" applyBorder="1" applyAlignment="1">
      <alignment horizontal="center" vertical="center"/>
    </xf>
    <xf numFmtId="43" fontId="79" fillId="25" borderId="5" xfId="14" applyFont="1" applyFill="1" applyBorder="1" applyAlignment="1">
      <alignment vertical="center"/>
    </xf>
    <xf numFmtId="2" fontId="79" fillId="25" borderId="5" xfId="607" applyNumberFormat="1" applyFont="1" applyFill="1" applyBorder="1" applyAlignment="1">
      <alignment horizontal="right" vertical="center"/>
    </xf>
    <xf numFmtId="2" fontId="79" fillId="2" borderId="5" xfId="607" applyNumberFormat="1" applyFont="1" applyFill="1" applyBorder="1" applyAlignment="1">
      <alignment horizontal="right" vertical="center" wrapText="1"/>
    </xf>
    <xf numFmtId="0" fontId="79" fillId="0" borderId="25" xfId="607" applyFont="1" applyBorder="1" applyAlignment="1" applyProtection="1">
      <alignment horizontal="left" vertical="center" wrapText="1"/>
      <protection locked="0"/>
    </xf>
    <xf numFmtId="0" fontId="98" fillId="0" borderId="50" xfId="1408" applyFont="1" applyBorder="1" applyAlignment="1">
      <alignment horizontal="left" vertical="center" wrapText="1"/>
    </xf>
    <xf numFmtId="40" fontId="80" fillId="0" borderId="5" xfId="607" applyNumberFormat="1" applyFont="1" applyBorder="1" applyAlignment="1" applyProtection="1">
      <alignment horizontal="left" vertical="center" wrapText="1"/>
      <protection locked="0"/>
    </xf>
    <xf numFmtId="40" fontId="79" fillId="0" borderId="5" xfId="607" applyNumberFormat="1" applyFont="1" applyBorder="1" applyAlignment="1" applyProtection="1">
      <alignment horizontal="center" wrapText="1"/>
      <protection locked="0"/>
    </xf>
    <xf numFmtId="40" fontId="79" fillId="25" borderId="5" xfId="607" applyNumberFormat="1" applyFont="1" applyFill="1" applyBorder="1" applyAlignment="1">
      <alignment horizontal="left" vertical="center" wrapText="1"/>
    </xf>
    <xf numFmtId="0" fontId="80" fillId="0" borderId="5" xfId="0" applyFont="1" applyBorder="1" applyAlignment="1">
      <alignment horizontal="left" vertical="center" wrapText="1"/>
    </xf>
    <xf numFmtId="40" fontId="79" fillId="0" borderId="34" xfId="607" applyNumberFormat="1" applyFont="1" applyBorder="1" applyAlignment="1" applyProtection="1">
      <alignment horizontal="center" wrapText="1"/>
      <protection locked="0"/>
    </xf>
    <xf numFmtId="2" fontId="80" fillId="0" borderId="5" xfId="607" applyNumberFormat="1" applyFont="1" applyBorder="1" applyAlignment="1">
      <alignment horizontal="center" vertical="center"/>
    </xf>
    <xf numFmtId="43" fontId="80" fillId="0" borderId="5" xfId="14" applyFont="1" applyFill="1" applyBorder="1" applyAlignment="1" applyProtection="1">
      <alignment vertical="center"/>
    </xf>
    <xf numFmtId="2" fontId="80" fillId="0" borderId="5" xfId="607" applyNumberFormat="1" applyFont="1" applyBorder="1" applyAlignment="1">
      <alignment horizontal="right" vertical="center"/>
    </xf>
    <xf numFmtId="40" fontId="79" fillId="25" borderId="30" xfId="607" applyNumberFormat="1" applyFont="1" applyFill="1" applyBorder="1" applyAlignment="1">
      <alignment horizontal="left" vertical="center" wrapText="1"/>
    </xf>
    <xf numFmtId="40" fontId="79" fillId="25" borderId="31" xfId="607" applyNumberFormat="1" applyFont="1" applyFill="1" applyBorder="1" applyAlignment="1">
      <alignment vertical="center" wrapText="1"/>
    </xf>
    <xf numFmtId="40" fontId="79" fillId="25" borderId="34" xfId="607" applyNumberFormat="1" applyFont="1" applyFill="1" applyBorder="1" applyAlignment="1" applyProtection="1">
      <alignment horizontal="center" wrapText="1"/>
      <protection locked="0"/>
    </xf>
    <xf numFmtId="2" fontId="79" fillId="25" borderId="5" xfId="607" applyNumberFormat="1" applyFont="1" applyFill="1" applyBorder="1" applyAlignment="1" applyProtection="1">
      <alignment horizontal="center" vertical="center"/>
      <protection locked="0"/>
    </xf>
    <xf numFmtId="43" fontId="79" fillId="25" borderId="5" xfId="14" applyFont="1" applyFill="1" applyBorder="1" applyAlignment="1" applyProtection="1">
      <alignment vertical="center"/>
      <protection locked="0"/>
    </xf>
    <xf numFmtId="2" fontId="79" fillId="25" borderId="5" xfId="607" applyNumberFormat="1" applyFont="1" applyFill="1" applyBorder="1" applyAlignment="1" applyProtection="1">
      <alignment horizontal="right" vertical="center"/>
      <protection locked="0"/>
    </xf>
    <xf numFmtId="0" fontId="79" fillId="0" borderId="5" xfId="607" applyFont="1" applyBorder="1" applyAlignment="1">
      <alignment horizontal="left" vertical="center" wrapText="1"/>
    </xf>
    <xf numFmtId="38" fontId="79" fillId="0" borderId="34" xfId="607" applyNumberFormat="1" applyFont="1" applyBorder="1" applyAlignment="1" applyProtection="1">
      <alignment horizontal="center" wrapText="1"/>
      <protection locked="0"/>
    </xf>
    <xf numFmtId="40" fontId="79" fillId="0" borderId="34" xfId="607" applyNumberFormat="1" applyFont="1" applyBorder="1" applyAlignment="1" applyProtection="1">
      <alignment horizontal="center" vertical="center" wrapText="1"/>
      <protection locked="0"/>
    </xf>
    <xf numFmtId="2" fontId="80" fillId="0" borderId="5" xfId="607" applyNumberFormat="1" applyFont="1" applyBorder="1" applyAlignment="1">
      <alignment horizontal="right" vertical="center" wrapText="1"/>
    </xf>
    <xf numFmtId="40" fontId="79" fillId="25" borderId="34" xfId="607" applyNumberFormat="1" applyFont="1" applyFill="1" applyBorder="1" applyAlignment="1" applyProtection="1">
      <alignment horizontal="center" vertical="center" wrapText="1"/>
      <protection locked="0"/>
    </xf>
    <xf numFmtId="43" fontId="79" fillId="25" borderId="5" xfId="14" applyFont="1" applyFill="1" applyBorder="1" applyAlignment="1" applyProtection="1">
      <alignment vertical="center"/>
    </xf>
    <xf numFmtId="0" fontId="102" fillId="0" borderId="5" xfId="1408" applyFont="1" applyBorder="1" applyAlignment="1">
      <alignment horizontal="left" vertical="center" wrapText="1"/>
    </xf>
    <xf numFmtId="0" fontId="98" fillId="0" borderId="67" xfId="1408" applyFont="1" applyBorder="1" applyAlignment="1">
      <alignment horizontal="left" vertical="center" wrapText="1"/>
    </xf>
    <xf numFmtId="0" fontId="80" fillId="25" borderId="16" xfId="607" applyFont="1" applyFill="1" applyBorder="1" applyAlignment="1">
      <alignment vertical="center" wrapText="1"/>
    </xf>
    <xf numFmtId="0" fontId="98" fillId="0" borderId="64" xfId="1408" applyFont="1" applyBorder="1" applyAlignment="1">
      <alignment vertical="center" wrapText="1"/>
    </xf>
    <xf numFmtId="182" fontId="79" fillId="25" borderId="5" xfId="607" applyNumberFormat="1" applyFont="1" applyFill="1" applyBorder="1" applyAlignment="1">
      <alignment horizontal="center" vertical="center" wrapText="1"/>
    </xf>
    <xf numFmtId="0" fontId="79" fillId="25" borderId="23" xfId="607" applyFont="1" applyFill="1" applyBorder="1" applyAlignment="1">
      <alignment vertical="center" wrapText="1"/>
    </xf>
    <xf numFmtId="40" fontId="79" fillId="25" borderId="9" xfId="607" applyNumberFormat="1" applyFont="1" applyFill="1" applyBorder="1" applyAlignment="1">
      <alignment horizontal="left" vertical="center" wrapText="1"/>
    </xf>
    <xf numFmtId="0" fontId="79" fillId="25" borderId="27" xfId="607" applyFont="1" applyFill="1" applyBorder="1" applyAlignment="1">
      <alignment horizontal="center" vertical="center" wrapText="1"/>
    </xf>
    <xf numFmtId="0" fontId="79" fillId="25" borderId="27" xfId="607" applyFont="1" applyFill="1" applyBorder="1" applyAlignment="1">
      <alignment horizontal="center" wrapText="1"/>
    </xf>
    <xf numFmtId="2" fontId="79" fillId="25" borderId="9" xfId="607" applyNumberFormat="1" applyFont="1" applyFill="1" applyBorder="1" applyAlignment="1">
      <alignment horizontal="center" vertical="center"/>
    </xf>
    <xf numFmtId="43" fontId="79" fillId="25" borderId="9" xfId="14" applyFont="1" applyFill="1" applyBorder="1" applyAlignment="1">
      <alignment vertical="center"/>
    </xf>
    <xf numFmtId="2" fontId="79" fillId="25" borderId="9" xfId="607" applyNumberFormat="1" applyFont="1" applyFill="1" applyBorder="1" applyAlignment="1">
      <alignment horizontal="right" vertical="center"/>
    </xf>
    <xf numFmtId="0" fontId="80" fillId="0" borderId="7" xfId="0" applyFont="1" applyBorder="1" applyAlignment="1">
      <alignment horizontal="center" vertical="center" wrapText="1"/>
    </xf>
    <xf numFmtId="0" fontId="80" fillId="0" borderId="0" xfId="0" applyFont="1" applyAlignment="1">
      <alignment horizontal="center" vertical="center" wrapText="1"/>
    </xf>
    <xf numFmtId="0" fontId="80" fillId="0" borderId="16" xfId="0" applyFont="1" applyBorder="1" applyAlignment="1">
      <alignment horizontal="center" vertical="center"/>
    </xf>
    <xf numFmtId="0" fontId="80" fillId="0" borderId="0" xfId="0" applyFont="1" applyAlignment="1">
      <alignment horizontal="center" vertical="center"/>
    </xf>
    <xf numFmtId="0" fontId="89" fillId="3" borderId="31" xfId="0" applyFont="1" applyFill="1" applyBorder="1"/>
    <xf numFmtId="0" fontId="89" fillId="3" borderId="17" xfId="0" applyFont="1" applyFill="1" applyBorder="1"/>
    <xf numFmtId="2" fontId="89" fillId="3" borderId="14" xfId="0" applyNumberFormat="1" applyFont="1" applyFill="1" applyBorder="1"/>
    <xf numFmtId="2" fontId="101" fillId="6" borderId="8" xfId="0" applyNumberFormat="1" applyFont="1" applyFill="1" applyBorder="1" applyAlignment="1">
      <alignment horizontal="center" vertical="center" wrapText="1"/>
    </xf>
    <xf numFmtId="2" fontId="90" fillId="0" borderId="34" xfId="1406" applyNumberFormat="1" applyFont="1" applyBorder="1">
      <alignment vertical="center"/>
    </xf>
    <xf numFmtId="2" fontId="89" fillId="0" borderId="34" xfId="1406" applyNumberFormat="1" applyFont="1" applyBorder="1" applyAlignment="1">
      <alignment horizontal="right" vertical="center"/>
    </xf>
    <xf numFmtId="2" fontId="89" fillId="3" borderId="34" xfId="1406" applyNumberFormat="1" applyFont="1" applyFill="1" applyBorder="1" applyAlignment="1" applyProtection="1">
      <alignment horizontal="right" vertical="center"/>
      <protection locked="0"/>
    </xf>
    <xf numFmtId="2" fontId="89" fillId="3" borderId="34" xfId="1406" applyNumberFormat="1" applyFont="1" applyFill="1" applyBorder="1" applyAlignment="1">
      <alignment horizontal="right" vertical="center"/>
    </xf>
    <xf numFmtId="2" fontId="89" fillId="23" borderId="34" xfId="1406" applyNumberFormat="1" applyFont="1" applyFill="1" applyBorder="1" applyAlignment="1" applyProtection="1">
      <alignment horizontal="right" vertical="center"/>
      <protection locked="0"/>
    </xf>
    <xf numFmtId="2" fontId="90" fillId="2" borderId="34" xfId="1406" applyNumberFormat="1" applyFont="1" applyFill="1" applyBorder="1" applyAlignment="1">
      <alignment horizontal="right" vertical="center"/>
    </xf>
    <xf numFmtId="2" fontId="90" fillId="0" borderId="34" xfId="1406" applyNumberFormat="1" applyFont="1" applyBorder="1" applyAlignment="1">
      <alignment horizontal="right" vertical="center"/>
    </xf>
    <xf numFmtId="2" fontId="89" fillId="0" borderId="34" xfId="1406" applyNumberFormat="1" applyFont="1" applyBorder="1" applyAlignment="1" applyProtection="1">
      <alignment horizontal="right" vertical="center"/>
      <protection locked="0"/>
    </xf>
    <xf numFmtId="2" fontId="89" fillId="2" borderId="34" xfId="1406" applyNumberFormat="1" applyFont="1" applyFill="1" applyBorder="1" applyAlignment="1">
      <alignment horizontal="right" vertical="center"/>
    </xf>
    <xf numFmtId="182" fontId="90" fillId="2" borderId="34" xfId="1406" applyNumberFormat="1" applyFont="1" applyFill="1" applyBorder="1" applyAlignment="1">
      <alignment horizontal="right" vertical="center"/>
    </xf>
    <xf numFmtId="182" fontId="90" fillId="2" borderId="34" xfId="1406" applyNumberFormat="1" applyFont="1" applyFill="1" applyBorder="1">
      <alignment vertical="center"/>
    </xf>
    <xf numFmtId="2" fontId="89" fillId="10" borderId="34" xfId="1406" applyNumberFormat="1" applyFont="1" applyFill="1" applyBorder="1" applyAlignment="1">
      <alignment horizontal="right" vertical="center"/>
    </xf>
    <xf numFmtId="2" fontId="90" fillId="8" borderId="34" xfId="1406" applyNumberFormat="1" applyFont="1" applyFill="1" applyBorder="1" applyAlignment="1">
      <alignment horizontal="right" vertical="center"/>
    </xf>
    <xf numFmtId="2" fontId="89" fillId="0" borderId="34" xfId="0" applyNumberFormat="1" applyFont="1" applyBorder="1" applyAlignment="1">
      <alignment horizontal="right" vertical="center"/>
    </xf>
    <xf numFmtId="2" fontId="90" fillId="8" borderId="27" xfId="1406" applyNumberFormat="1" applyFont="1" applyFill="1" applyBorder="1" applyAlignment="1">
      <alignment horizontal="right" vertical="center"/>
    </xf>
    <xf numFmtId="2" fontId="89" fillId="3" borderId="25" xfId="1406" applyNumberFormat="1" applyFont="1" applyFill="1" applyBorder="1" applyAlignment="1">
      <alignment horizontal="right" vertical="center"/>
    </xf>
    <xf numFmtId="2" fontId="89" fillId="0" borderId="25" xfId="1406" applyNumberFormat="1" applyFont="1" applyBorder="1" applyAlignment="1">
      <alignment horizontal="center" vertical="center"/>
    </xf>
    <xf numFmtId="182" fontId="90" fillId="2" borderId="25" xfId="1406" applyNumberFormat="1" applyFont="1" applyFill="1" applyBorder="1" applyAlignment="1">
      <alignment horizontal="center" vertical="center"/>
    </xf>
    <xf numFmtId="2" fontId="110" fillId="0" borderId="25" xfId="0" applyNumberFormat="1" applyFont="1" applyBorder="1" applyAlignment="1" applyProtection="1">
      <alignment horizontal="center" vertical="center"/>
      <protection locked="0"/>
    </xf>
    <xf numFmtId="2" fontId="110" fillId="0" borderId="25" xfId="0" applyNumberFormat="1" applyFont="1" applyBorder="1" applyAlignment="1">
      <alignment horizontal="center" vertical="center"/>
    </xf>
    <xf numFmtId="2" fontId="107" fillId="0" borderId="25" xfId="0" applyNumberFormat="1" applyFont="1" applyBorder="1" applyAlignment="1" applyProtection="1">
      <alignment horizontal="center" vertical="center"/>
      <protection locked="0"/>
    </xf>
    <xf numFmtId="10" fontId="107" fillId="0" borderId="25" xfId="0" applyNumberFormat="1" applyFont="1" applyBorder="1" applyAlignment="1" applyProtection="1">
      <alignment horizontal="center" vertical="center"/>
      <protection locked="0"/>
    </xf>
    <xf numFmtId="10" fontId="107" fillId="0" borderId="25" xfId="0" applyNumberFormat="1" applyFont="1" applyBorder="1" applyAlignment="1">
      <alignment horizontal="center" vertical="center"/>
    </xf>
    <xf numFmtId="2" fontId="89" fillId="0" borderId="24" xfId="0" applyNumberFormat="1" applyFont="1" applyBorder="1" applyAlignment="1" applyProtection="1">
      <alignment horizontal="center" vertical="center"/>
      <protection locked="0"/>
    </xf>
    <xf numFmtId="0" fontId="90" fillId="2" borderId="16" xfId="0" applyFont="1" applyFill="1" applyBorder="1"/>
    <xf numFmtId="2" fontId="106" fillId="0" borderId="25" xfId="0" applyNumberFormat="1" applyFont="1" applyBorder="1" applyAlignment="1">
      <alignment horizontal="center" vertical="center"/>
    </xf>
    <xf numFmtId="2" fontId="106" fillId="0" borderId="24" xfId="0" applyNumberFormat="1" applyFont="1" applyBorder="1" applyAlignment="1">
      <alignment horizontal="center" vertical="center"/>
    </xf>
    <xf numFmtId="2" fontId="101" fillId="6" borderId="25" xfId="0" applyNumberFormat="1" applyFont="1" applyFill="1" applyBorder="1" applyAlignment="1">
      <alignment horizontal="right" vertical="center"/>
    </xf>
    <xf numFmtId="0" fontId="89" fillId="0" borderId="16" xfId="0" applyFont="1" applyBorder="1" applyAlignment="1">
      <alignment horizontal="center"/>
    </xf>
    <xf numFmtId="2" fontId="89" fillId="0" borderId="25" xfId="0" applyNumberFormat="1" applyFont="1" applyBorder="1" applyAlignment="1">
      <alignment horizontal="right"/>
    </xf>
    <xf numFmtId="2" fontId="89" fillId="2" borderId="25" xfId="0" applyNumberFormat="1" applyFont="1" applyFill="1" applyBorder="1" applyAlignment="1">
      <alignment horizontal="right"/>
    </xf>
    <xf numFmtId="2" fontId="89" fillId="0" borderId="5" xfId="0" applyNumberFormat="1" applyFont="1" applyBorder="1" applyAlignment="1">
      <alignment horizontal="center" vertical="center" wrapText="1"/>
    </xf>
    <xf numFmtId="0" fontId="109" fillId="23" borderId="80" xfId="0" applyFont="1" applyFill="1" applyBorder="1" applyAlignment="1">
      <alignment horizontal="center" vertical="center"/>
    </xf>
    <xf numFmtId="2" fontId="89" fillId="0" borderId="9" xfId="0" applyNumberFormat="1" applyFont="1" applyBorder="1" applyAlignment="1">
      <alignment horizontal="center" vertical="center" wrapText="1"/>
    </xf>
    <xf numFmtId="2" fontId="90" fillId="58" borderId="9" xfId="0" applyNumberFormat="1" applyFont="1" applyFill="1" applyBorder="1" applyAlignment="1">
      <alignment horizontal="center" vertical="center" wrapText="1"/>
    </xf>
    <xf numFmtId="0" fontId="89" fillId="0" borderId="9" xfId="0" applyFont="1" applyBorder="1"/>
    <xf numFmtId="2" fontId="89" fillId="0" borderId="9" xfId="0" applyNumberFormat="1" applyFont="1" applyBorder="1"/>
    <xf numFmtId="2" fontId="89" fillId="0" borderId="9" xfId="0" applyNumberFormat="1" applyFont="1" applyBorder="1" applyAlignment="1">
      <alignment horizontal="center"/>
    </xf>
    <xf numFmtId="0" fontId="89" fillId="0" borderId="16" xfId="923" applyFont="1" applyBorder="1" applyAlignment="1" applyProtection="1">
      <alignment vertical="center" wrapText="1"/>
      <protection locked="0"/>
    </xf>
    <xf numFmtId="2" fontId="90" fillId="2" borderId="25" xfId="0" applyNumberFormat="1" applyFont="1" applyFill="1" applyBorder="1" applyAlignment="1">
      <alignment horizontal="right"/>
    </xf>
    <xf numFmtId="0" fontId="89" fillId="3" borderId="16" xfId="923" applyFont="1" applyFill="1" applyBorder="1" applyAlignment="1" applyProtection="1">
      <alignment vertical="center" wrapText="1"/>
      <protection locked="0"/>
    </xf>
    <xf numFmtId="0" fontId="113" fillId="56" borderId="16" xfId="0" applyFont="1" applyFill="1" applyBorder="1" applyAlignment="1">
      <alignment horizontal="left" wrapText="1"/>
    </xf>
    <xf numFmtId="2" fontId="89" fillId="0" borderId="25" xfId="0" applyNumberFormat="1" applyFont="1" applyBorder="1" applyAlignment="1" applyProtection="1">
      <alignment horizontal="right"/>
      <protection locked="0"/>
    </xf>
    <xf numFmtId="0" fontId="90" fillId="0" borderId="16" xfId="0" applyFont="1" applyBorder="1"/>
    <xf numFmtId="2" fontId="90" fillId="0" borderId="25" xfId="0" applyNumberFormat="1" applyFont="1" applyBorder="1" applyAlignment="1">
      <alignment horizontal="right"/>
    </xf>
    <xf numFmtId="40" fontId="89" fillId="0" borderId="16" xfId="923" applyNumberFormat="1" applyFont="1" applyBorder="1" applyAlignment="1" applyProtection="1">
      <alignment vertical="center" wrapText="1"/>
      <protection locked="0"/>
    </xf>
    <xf numFmtId="40" fontId="89" fillId="3" borderId="16" xfId="923" applyNumberFormat="1" applyFont="1" applyFill="1" applyBorder="1" applyAlignment="1" applyProtection="1">
      <alignment vertical="center" wrapText="1"/>
      <protection locked="0"/>
    </xf>
    <xf numFmtId="0" fontId="83" fillId="0" borderId="16" xfId="759" applyFont="1" applyBorder="1" applyAlignment="1">
      <alignment horizontal="left"/>
    </xf>
    <xf numFmtId="0" fontId="83" fillId="31" borderId="16" xfId="759" applyFont="1" applyFill="1" applyBorder="1" applyAlignment="1">
      <alignment horizontal="left"/>
    </xf>
    <xf numFmtId="0" fontId="90" fillId="2" borderId="16" xfId="0" applyFont="1" applyFill="1" applyBorder="1" applyAlignment="1">
      <alignment wrapText="1"/>
    </xf>
    <xf numFmtId="0" fontId="113" fillId="57" borderId="16" xfId="0" applyFont="1" applyFill="1" applyBorder="1" applyAlignment="1">
      <alignment horizontal="left" wrapText="1"/>
    </xf>
    <xf numFmtId="0" fontId="113" fillId="55" borderId="16" xfId="0" applyFont="1" applyFill="1" applyBorder="1" applyAlignment="1">
      <alignment horizontal="left" wrapText="1"/>
    </xf>
    <xf numFmtId="0" fontId="90" fillId="2" borderId="23" xfId="0" applyFont="1" applyFill="1" applyBorder="1"/>
    <xf numFmtId="0" fontId="90" fillId="2" borderId="9" xfId="0" applyFont="1" applyFill="1" applyBorder="1"/>
    <xf numFmtId="2" fontId="90" fillId="2" borderId="9" xfId="0" applyNumberFormat="1" applyFont="1" applyFill="1" applyBorder="1" applyAlignment="1">
      <alignment horizontal="right"/>
    </xf>
    <xf numFmtId="2" fontId="90" fillId="2" borderId="24" xfId="0" applyNumberFormat="1" applyFont="1" applyFill="1" applyBorder="1" applyAlignment="1">
      <alignment horizontal="right"/>
    </xf>
    <xf numFmtId="0" fontId="101" fillId="6" borderId="56" xfId="0" applyFont="1" applyFill="1" applyBorder="1" applyAlignment="1">
      <alignment vertical="center" wrapText="1"/>
    </xf>
    <xf numFmtId="0" fontId="105" fillId="6" borderId="43" xfId="0" applyFont="1" applyFill="1" applyBorder="1" applyAlignment="1">
      <alignment vertical="center" wrapText="1"/>
    </xf>
    <xf numFmtId="0" fontId="101" fillId="6" borderId="59" xfId="0" applyFont="1" applyFill="1" applyBorder="1" applyAlignment="1">
      <alignment vertical="center" wrapText="1"/>
    </xf>
    <xf numFmtId="0" fontId="105" fillId="6" borderId="22" xfId="0" applyFont="1" applyFill="1" applyBorder="1" applyAlignment="1">
      <alignment vertical="center" wrapText="1"/>
    </xf>
    <xf numFmtId="0" fontId="101" fillId="6" borderId="5" xfId="0" applyFont="1" applyFill="1" applyBorder="1" applyAlignment="1">
      <alignment vertical="center" wrapText="1"/>
    </xf>
    <xf numFmtId="0" fontId="101" fillId="6" borderId="19" xfId="0" applyFont="1" applyFill="1" applyBorder="1" applyAlignment="1">
      <alignment horizontal="center" vertical="center" wrapText="1"/>
    </xf>
    <xf numFmtId="0" fontId="101" fillId="6" borderId="25" xfId="0" applyFont="1" applyFill="1" applyBorder="1" applyAlignment="1">
      <alignment horizontal="center" vertical="center" wrapText="1"/>
    </xf>
    <xf numFmtId="43" fontId="106" fillId="18" borderId="16" xfId="14" applyFont="1" applyFill="1" applyBorder="1" applyAlignment="1">
      <alignment vertical="center" wrapText="1"/>
    </xf>
    <xf numFmtId="43" fontId="107" fillId="18" borderId="5" xfId="14" applyFont="1" applyFill="1" applyBorder="1" applyAlignment="1">
      <alignment vertical="center" wrapText="1"/>
    </xf>
    <xf numFmtId="168" fontId="107" fillId="18" borderId="5" xfId="14" applyNumberFormat="1" applyFont="1" applyFill="1" applyBorder="1" applyAlignment="1">
      <alignment vertical="center" wrapText="1"/>
    </xf>
    <xf numFmtId="43" fontId="107" fillId="18" borderId="25" xfId="14" applyFont="1" applyFill="1" applyBorder="1" applyAlignment="1">
      <alignment vertical="center" wrapText="1"/>
    </xf>
    <xf numFmtId="43" fontId="89" fillId="0" borderId="16" xfId="14" applyFont="1" applyFill="1" applyBorder="1" applyAlignment="1">
      <alignment horizontal="left" vertical="center" wrapText="1"/>
    </xf>
    <xf numFmtId="168" fontId="89" fillId="0" borderId="5" xfId="0" applyNumberFormat="1" applyFont="1" applyBorder="1" applyAlignment="1" applyProtection="1">
      <alignment vertical="center" wrapText="1"/>
      <protection locked="0"/>
    </xf>
    <xf numFmtId="43" fontId="89" fillId="0" borderId="5" xfId="0" applyNumberFormat="1" applyFont="1" applyBorder="1" applyAlignment="1" applyProtection="1">
      <alignment vertical="center" wrapText="1"/>
      <protection locked="0"/>
    </xf>
    <xf numFmtId="2" fontId="89" fillId="0" borderId="5" xfId="0" applyNumberFormat="1" applyFont="1" applyBorder="1" applyAlignment="1" applyProtection="1">
      <alignment vertical="center" wrapText="1"/>
      <protection locked="0"/>
    </xf>
    <xf numFmtId="2" fontId="89" fillId="0" borderId="25" xfId="0" applyNumberFormat="1" applyFont="1" applyBorder="1" applyAlignment="1" applyProtection="1">
      <alignment vertical="center" wrapText="1"/>
      <protection locked="0"/>
    </xf>
    <xf numFmtId="43" fontId="101" fillId="19" borderId="16" xfId="14" applyFont="1" applyFill="1" applyBorder="1" applyAlignment="1">
      <alignment horizontal="left" vertical="center" wrapText="1"/>
    </xf>
    <xf numFmtId="43" fontId="105" fillId="19" borderId="5" xfId="14" applyFont="1" applyFill="1" applyBorder="1" applyAlignment="1">
      <alignment horizontal="left" vertical="center" wrapText="1"/>
    </xf>
    <xf numFmtId="43" fontId="105" fillId="19" borderId="25" xfId="14" applyFont="1" applyFill="1" applyBorder="1" applyAlignment="1">
      <alignment horizontal="left" vertical="center" wrapText="1"/>
    </xf>
    <xf numFmtId="0" fontId="90" fillId="8" borderId="16" xfId="0" applyFont="1" applyFill="1" applyBorder="1" applyAlignment="1">
      <alignment vertical="center" wrapText="1"/>
    </xf>
    <xf numFmtId="0" fontId="89" fillId="8" borderId="5" xfId="0" applyFont="1" applyFill="1" applyBorder="1" applyAlignment="1">
      <alignment vertical="center" wrapText="1"/>
    </xf>
    <xf numFmtId="168" fontId="89" fillId="8" borderId="5" xfId="0" applyNumberFormat="1" applyFont="1" applyFill="1" applyBorder="1" applyAlignment="1">
      <alignment vertical="center" wrapText="1"/>
    </xf>
    <xf numFmtId="43" fontId="89" fillId="8" borderId="5" xfId="0" applyNumberFormat="1" applyFont="1" applyFill="1" applyBorder="1" applyAlignment="1">
      <alignment vertical="center" wrapText="1"/>
    </xf>
    <xf numFmtId="0" fontId="89" fillId="8" borderId="25" xfId="0" applyFont="1" applyFill="1" applyBorder="1" applyAlignment="1">
      <alignment vertical="center" wrapText="1"/>
    </xf>
    <xf numFmtId="43" fontId="106" fillId="18" borderId="16" xfId="14" applyFont="1" applyFill="1" applyBorder="1" applyAlignment="1">
      <alignment horizontal="left" vertical="center" wrapText="1"/>
    </xf>
    <xf numFmtId="43" fontId="107" fillId="18" borderId="5" xfId="14" applyFont="1" applyFill="1" applyBorder="1" applyAlignment="1">
      <alignment horizontal="left" vertical="center" wrapText="1"/>
    </xf>
    <xf numFmtId="43" fontId="107" fillId="18" borderId="25" xfId="14" applyFont="1" applyFill="1" applyBorder="1" applyAlignment="1">
      <alignment horizontal="left" vertical="center" wrapText="1"/>
    </xf>
    <xf numFmtId="43" fontId="106" fillId="17" borderId="16" xfId="14" applyFont="1" applyFill="1" applyBorder="1" applyAlignment="1">
      <alignment horizontal="left" vertical="center" wrapText="1"/>
    </xf>
    <xf numFmtId="43" fontId="107" fillId="17" borderId="5" xfId="14" applyFont="1" applyFill="1" applyBorder="1" applyAlignment="1">
      <alignment horizontal="left" vertical="center" wrapText="1"/>
    </xf>
    <xf numFmtId="43" fontId="107" fillId="17" borderId="25" xfId="14" applyFont="1" applyFill="1" applyBorder="1" applyAlignment="1">
      <alignment horizontal="left" vertical="center" wrapText="1"/>
    </xf>
    <xf numFmtId="188" fontId="107" fillId="17" borderId="5" xfId="14" applyNumberFormat="1" applyFont="1" applyFill="1" applyBorder="1" applyAlignment="1">
      <alignment horizontal="left" vertical="center" wrapText="1"/>
    </xf>
    <xf numFmtId="43" fontId="89" fillId="0" borderId="5" xfId="14" applyFont="1" applyFill="1" applyBorder="1" applyAlignment="1">
      <alignment vertical="center" wrapText="1"/>
    </xf>
    <xf numFmtId="168" fontId="89" fillId="0" borderId="5" xfId="14" applyNumberFormat="1" applyFont="1" applyFill="1" applyBorder="1" applyAlignment="1">
      <alignment vertical="center" wrapText="1"/>
    </xf>
    <xf numFmtId="43" fontId="89" fillId="0" borderId="25" xfId="14" applyFont="1" applyFill="1" applyBorder="1" applyAlignment="1">
      <alignment vertical="center" wrapText="1"/>
    </xf>
    <xf numFmtId="43" fontId="89" fillId="0" borderId="5" xfId="0" applyNumberFormat="1" applyFont="1" applyBorder="1" applyAlignment="1">
      <alignment vertical="center" wrapText="1"/>
    </xf>
    <xf numFmtId="2" fontId="89" fillId="0" borderId="5" xfId="0" applyNumberFormat="1" applyFont="1" applyBorder="1" applyAlignment="1">
      <alignment vertical="center" wrapText="1"/>
    </xf>
    <xf numFmtId="168" fontId="89" fillId="0" borderId="5" xfId="0" applyNumberFormat="1" applyFont="1" applyBorder="1" applyAlignment="1">
      <alignment vertical="center" wrapText="1"/>
    </xf>
    <xf numFmtId="168" fontId="107" fillId="17" borderId="25" xfId="14" applyNumberFormat="1" applyFont="1" applyFill="1" applyBorder="1" applyAlignment="1">
      <alignment horizontal="left" vertical="center" wrapText="1"/>
    </xf>
    <xf numFmtId="2" fontId="107" fillId="15" borderId="16" xfId="14" applyNumberFormat="1" applyFont="1" applyFill="1" applyBorder="1" applyAlignment="1">
      <alignment horizontal="left" vertical="center" wrapText="1"/>
    </xf>
    <xf numFmtId="2" fontId="107" fillId="15" borderId="5" xfId="14" applyNumberFormat="1" applyFont="1" applyFill="1" applyBorder="1" applyAlignment="1">
      <alignment horizontal="left" vertical="center" wrapText="1"/>
    </xf>
    <xf numFmtId="168" fontId="107" fillId="15" borderId="5" xfId="14" applyNumberFormat="1" applyFont="1" applyFill="1" applyBorder="1" applyAlignment="1">
      <alignment horizontal="left" vertical="center" wrapText="1"/>
    </xf>
    <xf numFmtId="43" fontId="107" fillId="15" borderId="5" xfId="14" applyFont="1" applyFill="1" applyBorder="1" applyAlignment="1">
      <alignment horizontal="left" vertical="center" wrapText="1"/>
    </xf>
    <xf numFmtId="43" fontId="107" fillId="15" borderId="25" xfId="14" applyFont="1" applyFill="1" applyBorder="1" applyAlignment="1">
      <alignment horizontal="left" vertical="center" wrapText="1"/>
    </xf>
    <xf numFmtId="43" fontId="107" fillId="0" borderId="5" xfId="14" applyFont="1" applyFill="1" applyBorder="1" applyAlignment="1">
      <alignment horizontal="left" vertical="center" wrapText="1"/>
    </xf>
    <xf numFmtId="168" fontId="107" fillId="0" borderId="5" xfId="14" applyNumberFormat="1" applyFont="1" applyFill="1" applyBorder="1" applyAlignment="1">
      <alignment horizontal="left" vertical="center" wrapText="1"/>
    </xf>
    <xf numFmtId="43" fontId="107" fillId="0" borderId="25" xfId="14" applyFont="1" applyFill="1" applyBorder="1" applyAlignment="1">
      <alignment horizontal="left" vertical="center" wrapText="1"/>
    </xf>
    <xf numFmtId="43" fontId="101" fillId="19" borderId="5" xfId="14" applyFont="1" applyFill="1" applyBorder="1" applyAlignment="1">
      <alignment horizontal="left" vertical="center" wrapText="1"/>
    </xf>
    <xf numFmtId="168" fontId="105" fillId="19" borderId="5" xfId="14" applyNumberFormat="1" applyFont="1" applyFill="1" applyBorder="1" applyAlignment="1">
      <alignment horizontal="left" vertical="center" wrapText="1"/>
    </xf>
    <xf numFmtId="43" fontId="101" fillId="19" borderId="23" xfId="14" applyFont="1" applyFill="1" applyBorder="1" applyAlignment="1">
      <alignment horizontal="left" vertical="center" wrapText="1"/>
    </xf>
    <xf numFmtId="43" fontId="101" fillId="19" borderId="9" xfId="14" applyFont="1" applyFill="1" applyBorder="1" applyAlignment="1">
      <alignment horizontal="left" vertical="center" wrapText="1"/>
    </xf>
    <xf numFmtId="168" fontId="105" fillId="19" borderId="9" xfId="14" applyNumberFormat="1" applyFont="1" applyFill="1" applyBorder="1" applyAlignment="1">
      <alignment horizontal="left" vertical="center" wrapText="1"/>
    </xf>
    <xf numFmtId="43" fontId="105" fillId="19" borderId="24" xfId="14" applyFont="1" applyFill="1" applyBorder="1" applyAlignment="1">
      <alignment horizontal="left" vertical="center" wrapText="1"/>
    </xf>
    <xf numFmtId="2" fontId="89" fillId="0" borderId="34" xfId="0" applyNumberFormat="1" applyFont="1" applyBorder="1" applyAlignment="1" applyProtection="1">
      <alignment horizontal="center" vertical="center"/>
      <protection locked="0"/>
    </xf>
    <xf numFmtId="2" fontId="90" fillId="8" borderId="27" xfId="0" applyNumberFormat="1" applyFont="1" applyFill="1" applyBorder="1" applyAlignment="1">
      <alignment horizontal="center" vertical="center"/>
    </xf>
    <xf numFmtId="2" fontId="89" fillId="10" borderId="25" xfId="0" applyNumberFormat="1" applyFont="1" applyFill="1" applyBorder="1" applyAlignment="1" applyProtection="1">
      <alignment horizontal="center"/>
      <protection locked="0"/>
    </xf>
    <xf numFmtId="0" fontId="86" fillId="6" borderId="7" xfId="0" applyFont="1" applyFill="1" applyBorder="1" applyAlignment="1">
      <alignment horizontal="center" vertical="center" wrapText="1"/>
    </xf>
    <xf numFmtId="0" fontId="86" fillId="6" borderId="6" xfId="0" applyFont="1" applyFill="1" applyBorder="1" applyAlignment="1">
      <alignment horizontal="center" vertical="center" wrapText="1"/>
    </xf>
    <xf numFmtId="0" fontId="86" fillId="6" borderId="15" xfId="0" applyFont="1" applyFill="1" applyBorder="1" applyAlignment="1">
      <alignment horizontal="center" vertical="center" wrapText="1"/>
    </xf>
    <xf numFmtId="0" fontId="85" fillId="0" borderId="16" xfId="0" applyFont="1" applyBorder="1" applyAlignment="1">
      <alignment horizontal="center" vertical="center"/>
    </xf>
    <xf numFmtId="2" fontId="85" fillId="0" borderId="25" xfId="0" applyNumberFormat="1" applyFont="1" applyBorder="1" applyAlignment="1">
      <alignment horizontal="center" vertical="center"/>
    </xf>
    <xf numFmtId="2" fontId="84" fillId="9" borderId="25" xfId="0" applyNumberFormat="1" applyFont="1" applyFill="1" applyBorder="1" applyAlignment="1">
      <alignment horizontal="center" vertical="center"/>
    </xf>
    <xf numFmtId="2" fontId="85" fillId="0" borderId="25" xfId="0" applyNumberFormat="1" applyFont="1" applyBorder="1" applyAlignment="1" applyProtection="1">
      <alignment horizontal="center" vertical="center"/>
      <protection locked="0"/>
    </xf>
    <xf numFmtId="2" fontId="85" fillId="0" borderId="25" xfId="0" applyNumberFormat="1" applyFont="1" applyBorder="1" applyAlignment="1" applyProtection="1">
      <alignment horizontal="center"/>
      <protection locked="0"/>
    </xf>
    <xf numFmtId="0" fontId="85" fillId="8" borderId="23" xfId="0" applyFont="1" applyFill="1" applyBorder="1" applyAlignment="1">
      <alignment horizontal="center" vertical="center"/>
    </xf>
    <xf numFmtId="0" fontId="84" fillId="8" borderId="9" xfId="0" applyFont="1" applyFill="1" applyBorder="1" applyAlignment="1">
      <alignment vertical="center"/>
    </xf>
    <xf numFmtId="0" fontId="85" fillId="8" borderId="9" xfId="0" applyFont="1" applyFill="1" applyBorder="1" applyAlignment="1">
      <alignment vertical="center"/>
    </xf>
    <xf numFmtId="2" fontId="84" fillId="8" borderId="9" xfId="0" applyNumberFormat="1" applyFont="1" applyFill="1" applyBorder="1" applyAlignment="1">
      <alignment horizontal="center" vertical="center"/>
    </xf>
    <xf numFmtId="2" fontId="84" fillId="8" borderId="24" xfId="0" applyNumberFormat="1" applyFont="1" applyFill="1" applyBorder="1" applyAlignment="1">
      <alignment horizontal="center" vertical="center"/>
    </xf>
    <xf numFmtId="43" fontId="118" fillId="6" borderId="5" xfId="0" applyNumberFormat="1" applyFont="1" applyFill="1" applyBorder="1" applyAlignment="1">
      <alignment vertical="center" wrapText="1"/>
    </xf>
    <xf numFmtId="43" fontId="118" fillId="6" borderId="5" xfId="0" applyNumberFormat="1" applyFont="1" applyFill="1" applyBorder="1" applyAlignment="1">
      <alignment horizontal="center" vertical="center" wrapText="1"/>
    </xf>
    <xf numFmtId="0" fontId="79" fillId="8" borderId="46" xfId="0" applyFont="1" applyFill="1" applyBorder="1" applyAlignment="1">
      <alignment vertical="center"/>
    </xf>
    <xf numFmtId="0" fontId="80" fillId="26" borderId="25" xfId="0" applyFont="1" applyFill="1" applyBorder="1" applyAlignment="1">
      <alignment vertical="center"/>
    </xf>
    <xf numFmtId="0" fontId="80" fillId="26" borderId="46" xfId="0" applyFont="1" applyFill="1" applyBorder="1" applyAlignment="1">
      <alignment vertical="center"/>
    </xf>
    <xf numFmtId="0" fontId="79" fillId="0" borderId="24" xfId="0" applyFont="1" applyBorder="1" applyAlignment="1">
      <alignment vertical="center"/>
    </xf>
    <xf numFmtId="0" fontId="81" fillId="6" borderId="34" xfId="0" applyFont="1" applyFill="1" applyBorder="1" applyAlignment="1">
      <alignment horizontal="center" vertical="center" wrapText="1"/>
    </xf>
    <xf numFmtId="2" fontId="80" fillId="26" borderId="34" xfId="0" applyNumberFormat="1" applyFont="1" applyFill="1" applyBorder="1" applyAlignment="1">
      <alignment vertical="center"/>
    </xf>
    <xf numFmtId="2" fontId="79" fillId="0" borderId="27" xfId="0" applyNumberFormat="1" applyFont="1" applyBorder="1" applyAlignment="1">
      <alignment horizontal="center" vertical="center"/>
    </xf>
    <xf numFmtId="0" fontId="79" fillId="0" borderId="16" xfId="0" applyFont="1" applyBorder="1" applyAlignment="1">
      <alignment vertical="center"/>
    </xf>
    <xf numFmtId="0" fontId="90" fillId="0" borderId="0" xfId="0" applyFont="1" applyAlignment="1">
      <alignment horizontal="right"/>
    </xf>
    <xf numFmtId="0" fontId="101" fillId="6" borderId="21" xfId="0" applyFont="1" applyFill="1" applyBorder="1" applyAlignment="1">
      <alignment horizontal="center" vertical="center" wrapText="1"/>
    </xf>
    <xf numFmtId="0" fontId="101" fillId="6" borderId="5" xfId="0" applyFont="1" applyFill="1" applyBorder="1" applyAlignment="1">
      <alignment horizontal="center" vertical="center"/>
    </xf>
    <xf numFmtId="4" fontId="89" fillId="0" borderId="5" xfId="0" applyNumberFormat="1" applyFont="1" applyBorder="1" applyAlignment="1">
      <alignment horizontal="center" vertical="center"/>
    </xf>
    <xf numFmtId="0" fontId="82" fillId="0" borderId="5" xfId="582" applyFont="1" applyBorder="1" applyAlignment="1" applyProtection="1">
      <alignment horizontal="center" vertical="center"/>
    </xf>
    <xf numFmtId="4" fontId="89" fillId="10" borderId="5" xfId="0" applyNumberFormat="1" applyFont="1" applyFill="1" applyBorder="1" applyAlignment="1">
      <alignment horizontal="right" vertical="center"/>
    </xf>
    <xf numFmtId="4" fontId="89" fillId="0" borderId="0" xfId="0" applyNumberFormat="1" applyFont="1" applyAlignment="1">
      <alignment vertical="center"/>
    </xf>
    <xf numFmtId="0" fontId="89" fillId="7" borderId="5" xfId="0" applyFont="1" applyFill="1" applyBorder="1" applyAlignment="1">
      <alignment vertical="center"/>
    </xf>
    <xf numFmtId="4" fontId="124" fillId="7" borderId="5" xfId="0" applyNumberFormat="1" applyFont="1" applyFill="1" applyBorder="1" applyAlignment="1" applyProtection="1">
      <alignment horizontal="right" vertical="center"/>
      <protection locked="0"/>
    </xf>
    <xf numFmtId="2" fontId="89" fillId="7" borderId="5" xfId="0" applyNumberFormat="1" applyFont="1" applyFill="1" applyBorder="1" applyAlignment="1">
      <alignment horizontal="right" vertical="center"/>
    </xf>
    <xf numFmtId="4" fontId="89" fillId="7" borderId="5" xfId="0" applyNumberFormat="1" applyFont="1" applyFill="1" applyBorder="1" applyAlignment="1">
      <alignment horizontal="right" vertical="center"/>
    </xf>
    <xf numFmtId="2" fontId="83" fillId="7" borderId="5" xfId="0" applyNumberFormat="1" applyFont="1" applyFill="1" applyBorder="1" applyAlignment="1">
      <alignment horizontal="right" vertical="center"/>
    </xf>
    <xf numFmtId="4" fontId="83" fillId="7" borderId="5" xfId="0" applyNumberFormat="1" applyFont="1" applyFill="1" applyBorder="1" applyAlignment="1">
      <alignment horizontal="right" vertical="center"/>
    </xf>
    <xf numFmtId="0" fontId="89" fillId="0" borderId="5" xfId="0" applyFont="1" applyBorder="1" applyAlignment="1">
      <alignment horizontal="right" vertical="center"/>
    </xf>
    <xf numFmtId="4" fontId="89" fillId="0" borderId="5" xfId="0" applyNumberFormat="1" applyFont="1" applyBorder="1" applyAlignment="1">
      <alignment horizontal="right" vertical="center"/>
    </xf>
    <xf numFmtId="4" fontId="90" fillId="2" borderId="5" xfId="14" applyNumberFormat="1" applyFont="1" applyFill="1" applyBorder="1" applyAlignment="1" applyProtection="1">
      <alignment horizontal="right" vertical="center"/>
      <protection hidden="1"/>
    </xf>
    <xf numFmtId="4" fontId="83" fillId="10" borderId="5" xfId="0" applyNumberFormat="1" applyFont="1" applyFill="1" applyBorder="1" applyAlignment="1">
      <alignment horizontal="right" vertical="center"/>
    </xf>
    <xf numFmtId="0" fontId="89" fillId="7" borderId="5" xfId="0" applyFont="1" applyFill="1" applyBorder="1" applyAlignment="1">
      <alignment vertical="center" wrapText="1"/>
    </xf>
    <xf numFmtId="4" fontId="90" fillId="2" borderId="5" xfId="0" applyNumberFormat="1" applyFont="1" applyFill="1" applyBorder="1" applyAlignment="1" applyProtection="1">
      <alignment horizontal="right" vertical="center"/>
      <protection hidden="1"/>
    </xf>
    <xf numFmtId="0" fontId="90" fillId="0" borderId="5" xfId="0" applyFont="1" applyBorder="1" applyAlignment="1">
      <alignment vertical="center" wrapText="1"/>
    </xf>
    <xf numFmtId="4" fontId="90" fillId="8" borderId="5" xfId="0" applyNumberFormat="1" applyFont="1" applyFill="1" applyBorder="1" applyAlignment="1" applyProtection="1">
      <alignment horizontal="right" vertical="center"/>
      <protection hidden="1"/>
    </xf>
    <xf numFmtId="0" fontId="90" fillId="3" borderId="5" xfId="0" applyFont="1" applyFill="1" applyBorder="1"/>
    <xf numFmtId="0" fontId="89" fillId="3" borderId="4" xfId="0" applyFont="1" applyFill="1" applyBorder="1"/>
    <xf numFmtId="0" fontId="89" fillId="3" borderId="34" xfId="0" applyFont="1" applyFill="1" applyBorder="1"/>
    <xf numFmtId="0" fontId="89" fillId="3" borderId="14" xfId="0" applyFont="1" applyFill="1" applyBorder="1"/>
    <xf numFmtId="4" fontId="89" fillId="0" borderId="0" xfId="0" applyNumberFormat="1" applyFont="1"/>
    <xf numFmtId="2" fontId="79" fillId="11" borderId="4" xfId="0" applyNumberFormat="1" applyFont="1" applyFill="1" applyBorder="1" applyAlignment="1">
      <alignment vertical="center" wrapText="1"/>
    </xf>
    <xf numFmtId="0" fontId="80" fillId="11" borderId="34" xfId="0" applyFont="1" applyFill="1" applyBorder="1" applyAlignment="1">
      <alignment vertical="center"/>
    </xf>
    <xf numFmtId="2" fontId="89" fillId="0" borderId="21" xfId="0" applyNumberFormat="1" applyFont="1" applyBorder="1" applyAlignment="1">
      <alignment horizontal="center" vertical="center" wrapText="1"/>
    </xf>
    <xf numFmtId="0" fontId="100" fillId="0" borderId="0" xfId="0" applyFont="1"/>
    <xf numFmtId="0" fontId="126" fillId="0" borderId="0" xfId="0" applyFont="1" applyAlignment="1">
      <alignment vertical="center" wrapText="1"/>
    </xf>
    <xf numFmtId="2" fontId="81" fillId="6" borderId="5" xfId="0" applyNumberFormat="1" applyFont="1" applyFill="1" applyBorder="1" applyAlignment="1">
      <alignment horizontal="center" vertical="center" wrapText="1"/>
    </xf>
    <xf numFmtId="0" fontId="81" fillId="6" borderId="5" xfId="0" applyFont="1" applyFill="1" applyBorder="1" applyAlignment="1">
      <alignment horizontal="center" vertical="center" wrapText="1"/>
    </xf>
    <xf numFmtId="2" fontId="101" fillId="6" borderId="5" xfId="0" applyNumberFormat="1" applyFont="1" applyFill="1" applyBorder="1" applyAlignment="1" applyProtection="1">
      <alignment horizontal="center" vertical="center" wrapText="1"/>
      <protection hidden="1"/>
    </xf>
    <xf numFmtId="0" fontId="81" fillId="8" borderId="5" xfId="0" applyFont="1" applyFill="1" applyBorder="1" applyAlignment="1">
      <alignment horizontal="center" vertical="center" wrapText="1"/>
    </xf>
    <xf numFmtId="0" fontId="89" fillId="0" borderId="5" xfId="923" applyFont="1" applyBorder="1" applyAlignment="1" applyProtection="1">
      <alignment horizontal="center" vertical="center" wrapText="1"/>
      <protection locked="0"/>
    </xf>
    <xf numFmtId="0" fontId="90" fillId="0" borderId="0" xfId="0" applyFont="1" applyAlignment="1" applyProtection="1">
      <alignment horizontal="left" vertical="center"/>
      <protection hidden="1"/>
    </xf>
    <xf numFmtId="0" fontId="112" fillId="3" borderId="5" xfId="0" applyFont="1" applyFill="1" applyBorder="1" applyAlignment="1" applyProtection="1">
      <alignment horizontal="left" vertical="center"/>
      <protection hidden="1"/>
    </xf>
    <xf numFmtId="0" fontId="89" fillId="0" borderId="5" xfId="0" applyFont="1" applyBorder="1" applyAlignment="1" applyProtection="1">
      <alignment horizontal="left" vertical="center"/>
      <protection hidden="1"/>
    </xf>
    <xf numFmtId="0" fontId="125" fillId="0" borderId="5" xfId="0" applyFont="1" applyBorder="1" applyAlignment="1">
      <alignment horizontal="left" vertical="center" wrapText="1"/>
    </xf>
    <xf numFmtId="0" fontId="127" fillId="0" borderId="0" xfId="0" applyFont="1" applyAlignment="1" applyProtection="1">
      <alignment horizontal="left" vertical="center"/>
      <protection hidden="1"/>
    </xf>
    <xf numFmtId="0" fontId="127" fillId="0" borderId="0" xfId="0" applyFont="1" applyAlignment="1" applyProtection="1">
      <alignment vertical="center"/>
      <protection hidden="1"/>
    </xf>
    <xf numFmtId="0" fontId="81" fillId="6" borderId="21" xfId="0" applyFont="1" applyFill="1" applyBorder="1" applyAlignment="1" applyProtection="1">
      <alignment horizontal="center" vertical="center" wrapText="1"/>
      <protection hidden="1"/>
    </xf>
    <xf numFmtId="2" fontId="81" fillId="6" borderId="21" xfId="0" applyNumberFormat="1" applyFont="1" applyFill="1" applyBorder="1" applyAlignment="1" applyProtection="1">
      <alignment vertical="center" wrapText="1"/>
      <protection hidden="1"/>
    </xf>
    <xf numFmtId="0" fontId="81" fillId="6" borderId="10" xfId="0" applyFont="1" applyFill="1" applyBorder="1" applyAlignment="1" applyProtection="1">
      <alignment horizontal="center" vertical="center" wrapText="1"/>
      <protection hidden="1"/>
    </xf>
    <xf numFmtId="0" fontId="81" fillId="6" borderId="10" xfId="0" applyFont="1" applyFill="1" applyBorder="1" applyAlignment="1" applyProtection="1">
      <alignment horizontal="center" vertical="center"/>
      <protection hidden="1"/>
    </xf>
    <xf numFmtId="2" fontId="81" fillId="6" borderId="5" xfId="0" applyNumberFormat="1" applyFont="1" applyFill="1" applyBorder="1" applyAlignment="1" applyProtection="1">
      <alignment horizontal="center" vertical="center"/>
      <protection hidden="1"/>
    </xf>
    <xf numFmtId="2" fontId="92" fillId="6" borderId="5" xfId="0" applyNumberFormat="1" applyFont="1" applyFill="1" applyBorder="1" applyAlignment="1" applyProtection="1">
      <alignment horizontal="center" vertical="center"/>
      <protection hidden="1"/>
    </xf>
    <xf numFmtId="2" fontId="81" fillId="6" borderId="10" xfId="0" applyNumberFormat="1" applyFont="1" applyFill="1" applyBorder="1" applyAlignment="1" applyProtection="1">
      <alignment horizontal="center" vertical="center"/>
      <protection hidden="1"/>
    </xf>
    <xf numFmtId="0" fontId="81" fillId="6" borderId="56" xfId="905" applyFont="1" applyFill="1" applyBorder="1" applyAlignment="1">
      <alignment horizontal="left" vertical="center" wrapText="1"/>
    </xf>
    <xf numFmtId="2" fontId="81" fillId="6" borderId="6" xfId="905" applyNumberFormat="1" applyFont="1" applyFill="1" applyBorder="1" applyAlignment="1">
      <alignment horizontal="center" vertical="center" wrapText="1"/>
    </xf>
    <xf numFmtId="0" fontId="81" fillId="6" borderId="19" xfId="905" applyFont="1" applyFill="1" applyBorder="1" applyAlignment="1">
      <alignment horizontal="left" vertical="center"/>
    </xf>
    <xf numFmtId="2" fontId="81" fillId="6" borderId="5" xfId="905" applyNumberFormat="1" applyFont="1" applyFill="1" applyBorder="1" applyAlignment="1">
      <alignment horizontal="center" vertical="center" wrapText="1"/>
    </xf>
    <xf numFmtId="0" fontId="81" fillId="6" borderId="43" xfId="0" applyFont="1" applyFill="1" applyBorder="1" applyAlignment="1" applyProtection="1">
      <alignment horizontal="center" vertical="center" wrapText="1"/>
      <protection hidden="1"/>
    </xf>
    <xf numFmtId="2" fontId="81" fillId="6" borderId="41" xfId="0" applyNumberFormat="1" applyFont="1" applyFill="1" applyBorder="1" applyAlignment="1" applyProtection="1">
      <alignment vertical="center" wrapText="1"/>
      <protection hidden="1"/>
    </xf>
    <xf numFmtId="2" fontId="81" fillId="6" borderId="78" xfId="0" applyNumberFormat="1" applyFont="1" applyFill="1" applyBorder="1" applyAlignment="1" applyProtection="1">
      <alignment horizontal="center" vertical="center" wrapText="1"/>
      <protection hidden="1"/>
    </xf>
    <xf numFmtId="0" fontId="81" fillId="6" borderId="5" xfId="0" applyFont="1" applyFill="1" applyBorder="1" applyAlignment="1" applyProtection="1">
      <alignment horizontal="center" vertical="center" wrapText="1"/>
      <protection hidden="1"/>
    </xf>
    <xf numFmtId="0" fontId="89" fillId="61" borderId="16" xfId="0" applyFont="1" applyFill="1" applyBorder="1" applyAlignment="1">
      <alignment horizontal="left" vertical="center"/>
    </xf>
    <xf numFmtId="0" fontId="89" fillId="0" borderId="16" xfId="0" applyFont="1" applyBorder="1" applyAlignment="1">
      <alignment horizontal="left" vertical="center"/>
    </xf>
    <xf numFmtId="0" fontId="89" fillId="62" borderId="16" xfId="0" applyFont="1" applyFill="1" applyBorder="1" applyAlignment="1">
      <alignment horizontal="left" vertical="center"/>
    </xf>
    <xf numFmtId="0" fontId="109" fillId="23" borderId="23" xfId="0" applyFont="1" applyFill="1" applyBorder="1" applyAlignment="1">
      <alignment horizontal="left" vertical="center"/>
    </xf>
    <xf numFmtId="0" fontId="89" fillId="24" borderId="16" xfId="0" applyFont="1" applyFill="1" applyBorder="1" applyAlignment="1">
      <alignment horizontal="left" vertical="center"/>
    </xf>
    <xf numFmtId="0" fontId="127" fillId="0" borderId="0" xfId="0" applyFont="1" applyAlignment="1">
      <alignment vertical="center"/>
    </xf>
    <xf numFmtId="0" fontId="129" fillId="0" borderId="0" xfId="0" applyFont="1" applyAlignment="1">
      <alignment vertical="center"/>
    </xf>
    <xf numFmtId="0" fontId="127" fillId="0" borderId="0" xfId="0" applyFont="1" applyAlignment="1">
      <alignment horizontal="left" vertical="center" wrapText="1"/>
    </xf>
    <xf numFmtId="2" fontId="79" fillId="9" borderId="5" xfId="0" applyNumberFormat="1" applyFont="1" applyFill="1" applyBorder="1" applyAlignment="1">
      <alignment horizontal="left" vertical="center"/>
    </xf>
    <xf numFmtId="0" fontId="79" fillId="8" borderId="5" xfId="0" applyFont="1" applyFill="1" applyBorder="1" applyAlignment="1">
      <alignment vertical="center" wrapText="1"/>
    </xf>
    <xf numFmtId="43" fontId="80" fillId="0" borderId="5" xfId="14" applyFont="1" applyFill="1" applyBorder="1" applyAlignment="1">
      <alignment horizontal="left" vertical="center" wrapText="1"/>
    </xf>
    <xf numFmtId="0" fontId="79" fillId="9" borderId="5" xfId="0" applyFont="1" applyFill="1" applyBorder="1" applyAlignment="1">
      <alignment vertical="center" wrapText="1"/>
    </xf>
    <xf numFmtId="43" fontId="80" fillId="0" borderId="5" xfId="24" applyFont="1" applyFill="1" applyBorder="1" applyAlignment="1">
      <alignment horizontal="left" vertical="center" wrapText="1"/>
    </xf>
    <xf numFmtId="0" fontId="127" fillId="0" borderId="0" xfId="0" applyFont="1" applyAlignment="1">
      <alignment wrapText="1"/>
    </xf>
    <xf numFmtId="0" fontId="127" fillId="0" borderId="0" xfId="0" applyFont="1"/>
    <xf numFmtId="0" fontId="81" fillId="6" borderId="56" xfId="0" applyFont="1" applyFill="1" applyBorder="1" applyAlignment="1">
      <alignment vertical="center" wrapText="1"/>
    </xf>
    <xf numFmtId="0" fontId="92" fillId="6" borderId="43" xfId="0" applyFont="1" applyFill="1" applyBorder="1" applyAlignment="1">
      <alignment vertical="center" wrapText="1"/>
    </xf>
    <xf numFmtId="0" fontId="81" fillId="6" borderId="59" xfId="0" applyFont="1" applyFill="1" applyBorder="1" applyAlignment="1">
      <alignment vertical="center" wrapText="1"/>
    </xf>
    <xf numFmtId="0" fontId="92" fillId="6" borderId="22" xfId="0" applyFont="1" applyFill="1" applyBorder="1" applyAlignment="1">
      <alignment vertical="center" wrapText="1"/>
    </xf>
    <xf numFmtId="0" fontId="81" fillId="6" borderId="5" xfId="0" applyFont="1" applyFill="1" applyBorder="1" applyAlignment="1">
      <alignment vertical="center" wrapText="1"/>
    </xf>
    <xf numFmtId="43" fontId="107" fillId="18" borderId="5" xfId="14" applyFont="1" applyFill="1" applyBorder="1" applyAlignment="1">
      <alignment horizontal="center" vertical="center" wrapText="1"/>
    </xf>
    <xf numFmtId="168" fontId="107" fillId="18" borderId="5" xfId="14" applyNumberFormat="1" applyFont="1" applyFill="1" applyBorder="1" applyAlignment="1">
      <alignment horizontal="center" vertical="center" wrapText="1"/>
    </xf>
    <xf numFmtId="43" fontId="107" fillId="18" borderId="25" xfId="14" applyFont="1" applyFill="1" applyBorder="1" applyAlignment="1">
      <alignment horizontal="center" vertical="center" wrapText="1"/>
    </xf>
    <xf numFmtId="43" fontId="107" fillId="17" borderId="5" xfId="14" applyFont="1" applyFill="1" applyBorder="1" applyAlignment="1">
      <alignment horizontal="center" vertical="center" wrapText="1"/>
    </xf>
    <xf numFmtId="168" fontId="107" fillId="17" borderId="5" xfId="14" applyNumberFormat="1" applyFont="1" applyFill="1" applyBorder="1" applyAlignment="1">
      <alignment horizontal="center" vertical="center" wrapText="1"/>
    </xf>
    <xf numFmtId="43" fontId="107" fillId="17" borderId="25" xfId="14" applyFont="1" applyFill="1" applyBorder="1" applyAlignment="1">
      <alignment horizontal="center" vertical="center" wrapText="1"/>
    </xf>
    <xf numFmtId="188" fontId="107" fillId="17" borderId="5" xfId="14" applyNumberFormat="1" applyFont="1" applyFill="1" applyBorder="1" applyAlignment="1">
      <alignment horizontal="center" vertical="center" wrapText="1"/>
    </xf>
    <xf numFmtId="43" fontId="89" fillId="0" borderId="5" xfId="14" applyFont="1" applyFill="1" applyBorder="1" applyAlignment="1">
      <alignment horizontal="center" vertical="center" wrapText="1"/>
    </xf>
    <xf numFmtId="168" fontId="89" fillId="0" borderId="5" xfId="14" applyNumberFormat="1" applyFont="1" applyFill="1" applyBorder="1" applyAlignment="1">
      <alignment horizontal="center" vertical="center" wrapText="1"/>
    </xf>
    <xf numFmtId="43" fontId="89" fillId="0" borderId="25" xfId="14" applyFont="1" applyFill="1" applyBorder="1" applyAlignment="1">
      <alignment horizontal="center" vertical="center" wrapText="1"/>
    </xf>
    <xf numFmtId="0" fontId="89" fillId="0" borderId="5" xfId="0" applyFont="1" applyBorder="1" applyAlignment="1">
      <alignment horizontal="center" vertical="center" wrapText="1"/>
    </xf>
    <xf numFmtId="43" fontId="89" fillId="0" borderId="5" xfId="0" applyNumberFormat="1" applyFont="1" applyBorder="1" applyAlignment="1">
      <alignment horizontal="center" vertical="center" wrapText="1"/>
    </xf>
    <xf numFmtId="168" fontId="89" fillId="0" borderId="5" xfId="0" applyNumberFormat="1" applyFont="1" applyBorder="1" applyAlignment="1">
      <alignment horizontal="center" vertical="center" wrapText="1"/>
    </xf>
    <xf numFmtId="168" fontId="107" fillId="17" borderId="25" xfId="14" applyNumberFormat="1" applyFont="1" applyFill="1" applyBorder="1" applyAlignment="1">
      <alignment horizontal="center" vertical="center" wrapText="1"/>
    </xf>
    <xf numFmtId="2" fontId="107" fillId="15" borderId="5" xfId="14" applyNumberFormat="1" applyFont="1" applyFill="1" applyBorder="1" applyAlignment="1">
      <alignment horizontal="center" vertical="center" wrapText="1"/>
    </xf>
    <xf numFmtId="168" fontId="107" fillId="15" borderId="5" xfId="14" applyNumberFormat="1" applyFont="1" applyFill="1" applyBorder="1" applyAlignment="1">
      <alignment horizontal="center" vertical="center" wrapText="1"/>
    </xf>
    <xf numFmtId="43" fontId="107" fillId="15" borderId="5" xfId="14" applyFont="1" applyFill="1" applyBorder="1" applyAlignment="1">
      <alignment horizontal="center" vertical="center" wrapText="1"/>
    </xf>
    <xf numFmtId="43" fontId="107" fillId="15" borderId="25" xfId="14" applyFont="1" applyFill="1" applyBorder="1" applyAlignment="1">
      <alignment horizontal="center" vertical="center" wrapText="1"/>
    </xf>
    <xf numFmtId="43" fontId="107" fillId="0" borderId="5" xfId="14" applyFont="1" applyFill="1" applyBorder="1" applyAlignment="1">
      <alignment horizontal="center" vertical="center" wrapText="1"/>
    </xf>
    <xf numFmtId="168" fontId="107" fillId="0" borderId="5" xfId="14" applyNumberFormat="1" applyFont="1" applyFill="1" applyBorder="1" applyAlignment="1">
      <alignment horizontal="center" vertical="center" wrapText="1"/>
    </xf>
    <xf numFmtId="43" fontId="107" fillId="0" borderId="25" xfId="14" applyFont="1" applyFill="1" applyBorder="1" applyAlignment="1">
      <alignment horizontal="center" vertical="center" wrapText="1"/>
    </xf>
    <xf numFmtId="0" fontId="0" fillId="0" borderId="5" xfId="0" applyNumberFormat="1" applyBorder="1" applyAlignment="1">
      <alignment horizontal="center"/>
    </xf>
    <xf numFmtId="2" fontId="0" fillId="0" borderId="5" xfId="0" applyNumberFormat="1" applyBorder="1" applyAlignment="1">
      <alignment horizontal="center"/>
    </xf>
    <xf numFmtId="43" fontId="101" fillId="19" borderId="5" xfId="14" applyFont="1" applyFill="1" applyBorder="1" applyAlignment="1">
      <alignment horizontal="center" vertical="center" wrapText="1"/>
    </xf>
    <xf numFmtId="168" fontId="105" fillId="19" borderId="5" xfId="14" applyNumberFormat="1" applyFont="1" applyFill="1" applyBorder="1" applyAlignment="1">
      <alignment horizontal="center" vertical="center" wrapText="1"/>
    </xf>
    <xf numFmtId="43" fontId="105" fillId="19" borderId="5" xfId="14" applyFont="1" applyFill="1" applyBorder="1" applyAlignment="1">
      <alignment horizontal="center" vertical="center" wrapText="1"/>
    </xf>
    <xf numFmtId="43" fontId="105" fillId="19" borderId="25" xfId="14" applyFont="1" applyFill="1" applyBorder="1" applyAlignment="1">
      <alignment horizontal="center" vertical="center" wrapText="1"/>
    </xf>
    <xf numFmtId="43" fontId="101" fillId="19" borderId="9" xfId="14" applyFont="1" applyFill="1" applyBorder="1" applyAlignment="1">
      <alignment horizontal="center" vertical="center" wrapText="1"/>
    </xf>
    <xf numFmtId="168" fontId="105" fillId="19" borderId="9" xfId="14" applyNumberFormat="1" applyFont="1" applyFill="1" applyBorder="1" applyAlignment="1">
      <alignment horizontal="center" vertical="center" wrapText="1"/>
    </xf>
    <xf numFmtId="43" fontId="105" fillId="19" borderId="9" xfId="14" applyFont="1" applyFill="1" applyBorder="1" applyAlignment="1">
      <alignment horizontal="center" vertical="center" wrapText="1"/>
    </xf>
    <xf numFmtId="43" fontId="105" fillId="19" borderId="24" xfId="14" applyFont="1" applyFill="1" applyBorder="1" applyAlignment="1">
      <alignment horizontal="center" vertical="center" wrapText="1"/>
    </xf>
    <xf numFmtId="0" fontId="0" fillId="0" borderId="5" xfId="0" applyFill="1" applyBorder="1"/>
    <xf numFmtId="0" fontId="0" fillId="0" borderId="5" xfId="0" applyBorder="1"/>
    <xf numFmtId="43" fontId="89" fillId="0" borderId="0" xfId="0" applyNumberFormat="1" applyFont="1" applyAlignment="1">
      <alignment vertical="center" wrapText="1"/>
    </xf>
    <xf numFmtId="0" fontId="101" fillId="6" borderId="5" xfId="0" applyFont="1" applyFill="1" applyBorder="1" applyAlignment="1">
      <alignment horizontal="center" vertical="center" wrapText="1"/>
    </xf>
    <xf numFmtId="0" fontId="81" fillId="6" borderId="19" xfId="0" applyFont="1" applyFill="1" applyBorder="1" applyAlignment="1">
      <alignment horizontal="center" vertical="center" wrapText="1"/>
    </xf>
    <xf numFmtId="0" fontId="81" fillId="6" borderId="25" xfId="0" applyFont="1" applyFill="1" applyBorder="1" applyAlignment="1">
      <alignment horizontal="center" vertical="center" wrapText="1"/>
    </xf>
    <xf numFmtId="0" fontId="81" fillId="6" borderId="5" xfId="0" applyFont="1" applyFill="1" applyBorder="1" applyAlignment="1">
      <alignment horizontal="center" vertical="center" wrapText="1"/>
    </xf>
    <xf numFmtId="0" fontId="81" fillId="6" borderId="10" xfId="0" applyFont="1" applyFill="1" applyBorder="1" applyAlignment="1">
      <alignment horizontal="center" vertical="center" wrapText="1"/>
    </xf>
    <xf numFmtId="2" fontId="81" fillId="6" borderId="5" xfId="0" applyNumberFormat="1" applyFont="1" applyFill="1" applyBorder="1" applyAlignment="1" applyProtection="1">
      <alignment horizontal="center" vertical="center" wrapText="1"/>
      <protection hidden="1"/>
    </xf>
    <xf numFmtId="2" fontId="81" fillId="6" borderId="6" xfId="0" applyNumberFormat="1" applyFont="1" applyFill="1" applyBorder="1" applyAlignment="1" applyProtection="1">
      <alignment horizontal="center" vertical="center" wrapText="1"/>
      <protection hidden="1"/>
    </xf>
    <xf numFmtId="0" fontId="89" fillId="0" borderId="0" xfId="0" applyFont="1"/>
    <xf numFmtId="2" fontId="101" fillId="6" borderId="6" xfId="0" applyNumberFormat="1" applyFont="1" applyFill="1" applyBorder="1" applyAlignment="1">
      <alignment horizontal="center" vertical="center" wrapText="1"/>
    </xf>
    <xf numFmtId="0" fontId="101" fillId="6" borderId="15" xfId="0" applyFont="1" applyFill="1" applyBorder="1" applyAlignment="1">
      <alignment horizontal="center" vertical="center" wrapText="1"/>
    </xf>
    <xf numFmtId="0" fontId="101" fillId="6" borderId="6" xfId="0" applyFont="1" applyFill="1" applyBorder="1" applyAlignment="1">
      <alignment horizontal="center" vertical="center" wrapText="1"/>
    </xf>
    <xf numFmtId="2" fontId="101" fillId="6" borderId="5" xfId="0" applyNumberFormat="1" applyFont="1" applyFill="1" applyBorder="1" applyAlignment="1">
      <alignment horizontal="center" vertical="center" wrapText="1"/>
    </xf>
    <xf numFmtId="0" fontId="90" fillId="0" borderId="0" xfId="0" applyFont="1" applyAlignment="1">
      <alignment horizontal="center" vertical="center"/>
    </xf>
    <xf numFmtId="0" fontId="90" fillId="0" borderId="0" xfId="0" applyFont="1" applyAlignment="1">
      <alignment horizontal="center"/>
    </xf>
    <xf numFmtId="0" fontId="90" fillId="0" borderId="0" xfId="0" applyFont="1" applyAlignment="1">
      <alignment horizontal="center" vertical="center" wrapText="1"/>
    </xf>
    <xf numFmtId="0" fontId="89" fillId="0" borderId="0" xfId="0" applyFont="1" applyAlignment="1">
      <alignment vertical="center" wrapText="1"/>
    </xf>
    <xf numFmtId="0" fontId="90" fillId="0" borderId="0" xfId="0" applyFont="1"/>
    <xf numFmtId="0" fontId="89" fillId="0" borderId="5" xfId="0" applyFont="1" applyBorder="1" applyAlignment="1">
      <alignment horizontal="left" vertical="center" wrapText="1"/>
    </xf>
    <xf numFmtId="0" fontId="80" fillId="0" borderId="0" xfId="0" applyFont="1" applyAlignment="1">
      <alignment wrapText="1"/>
    </xf>
    <xf numFmtId="43" fontId="79" fillId="6" borderId="5" xfId="0" applyNumberFormat="1" applyFont="1" applyFill="1" applyBorder="1" applyAlignment="1">
      <alignment horizontal="center" vertical="center" wrapText="1"/>
    </xf>
    <xf numFmtId="0" fontId="89" fillId="0" borderId="0" xfId="0" applyFont="1" applyAlignment="1">
      <alignment horizontal="left" vertical="center" wrapText="1"/>
    </xf>
    <xf numFmtId="2" fontId="89" fillId="0" borderId="0" xfId="0" applyNumberFormat="1" applyFont="1" applyBorder="1" applyAlignment="1" applyProtection="1">
      <alignment vertical="center"/>
      <protection hidden="1"/>
    </xf>
    <xf numFmtId="2" fontId="90" fillId="0" borderId="0" xfId="0" applyNumberFormat="1" applyFont="1" applyBorder="1" applyAlignment="1" applyProtection="1">
      <alignment vertical="center"/>
      <protection hidden="1"/>
    </xf>
    <xf numFmtId="0" fontId="89" fillId="0" borderId="0" xfId="0" applyFont="1" applyBorder="1" applyAlignment="1" applyProtection="1">
      <alignment vertical="center"/>
      <protection hidden="1"/>
    </xf>
    <xf numFmtId="0" fontId="81" fillId="6" borderId="56" xfId="0" applyFont="1" applyFill="1" applyBorder="1" applyAlignment="1" applyProtection="1">
      <alignment horizontal="left" vertical="center" wrapText="1"/>
      <protection hidden="1"/>
    </xf>
    <xf numFmtId="0" fontId="81" fillId="6" borderId="19" xfId="0" applyFont="1" applyFill="1" applyBorder="1" applyAlignment="1" applyProtection="1">
      <alignment horizontal="left" vertical="center" wrapText="1"/>
      <protection hidden="1"/>
    </xf>
    <xf numFmtId="0" fontId="79" fillId="2" borderId="16" xfId="0" applyFont="1" applyFill="1" applyBorder="1" applyAlignment="1">
      <alignment horizontal="left"/>
    </xf>
    <xf numFmtId="0" fontId="79" fillId="2" borderId="5" xfId="0" applyFont="1" applyFill="1" applyBorder="1"/>
    <xf numFmtId="0" fontId="79" fillId="25" borderId="5" xfId="0" applyFont="1" applyFill="1" applyBorder="1" applyAlignment="1">
      <alignment horizontal="right"/>
    </xf>
    <xf numFmtId="0" fontId="79" fillId="2" borderId="5" xfId="0" applyFont="1" applyFill="1" applyBorder="1" applyAlignment="1">
      <alignment horizontal="right"/>
    </xf>
    <xf numFmtId="0" fontId="80" fillId="0" borderId="16" xfId="923" applyFont="1" applyBorder="1" applyAlignment="1" applyProtection="1">
      <alignment horizontal="left" vertical="center" wrapText="1"/>
      <protection locked="0"/>
    </xf>
    <xf numFmtId="0" fontId="80" fillId="0" borderId="5" xfId="923" applyFont="1" applyBorder="1" applyAlignment="1" applyProtection="1">
      <alignment vertical="center" wrapText="1"/>
      <protection locked="0"/>
    </xf>
    <xf numFmtId="2" fontId="80" fillId="25" borderId="5" xfId="0" applyNumberFormat="1" applyFont="1" applyFill="1" applyBorder="1" applyAlignment="1" applyProtection="1">
      <alignment horizontal="right"/>
      <protection hidden="1"/>
    </xf>
    <xf numFmtId="2" fontId="79" fillId="0" borderId="5" xfId="0" applyNumberFormat="1" applyFont="1" applyBorder="1" applyAlignment="1" applyProtection="1">
      <alignment horizontal="right"/>
      <protection hidden="1"/>
    </xf>
    <xf numFmtId="0" fontId="80" fillId="0" borderId="5" xfId="0" applyFont="1" applyBorder="1" applyAlignment="1" applyProtection="1">
      <alignment horizontal="right" wrapText="1"/>
      <protection hidden="1"/>
    </xf>
    <xf numFmtId="0" fontId="80" fillId="0" borderId="5" xfId="0" applyFont="1" applyBorder="1" applyAlignment="1" applyProtection="1">
      <alignment horizontal="right"/>
      <protection hidden="1"/>
    </xf>
    <xf numFmtId="2" fontId="80" fillId="0" borderId="5" xfId="0" applyNumberFormat="1" applyFont="1" applyBorder="1" applyAlignment="1" applyProtection="1">
      <alignment horizontal="right"/>
      <protection hidden="1"/>
    </xf>
    <xf numFmtId="40" fontId="80" fillId="3" borderId="5" xfId="923" applyNumberFormat="1" applyFont="1" applyFill="1" applyBorder="1" applyAlignment="1" applyProtection="1">
      <alignment vertical="center" wrapText="1"/>
      <protection locked="0"/>
    </xf>
    <xf numFmtId="2" fontId="79" fillId="25" borderId="5" xfId="0" applyNumberFormat="1" applyFont="1" applyFill="1" applyBorder="1" applyAlignment="1">
      <alignment horizontal="right"/>
    </xf>
    <xf numFmtId="0" fontId="80" fillId="0" borderId="16" xfId="0" applyFont="1" applyBorder="1" applyAlignment="1">
      <alignment horizontal="left"/>
    </xf>
    <xf numFmtId="0" fontId="79" fillId="0" borderId="5" xfId="0" applyFont="1" applyBorder="1" applyAlignment="1" applyProtection="1">
      <alignment horizontal="right" wrapText="1"/>
      <protection hidden="1"/>
    </xf>
    <xf numFmtId="2" fontId="79" fillId="2" borderId="5" xfId="0" applyNumberFormat="1" applyFont="1" applyFill="1" applyBorder="1" applyAlignment="1">
      <alignment horizontal="right"/>
    </xf>
    <xf numFmtId="0" fontId="80" fillId="3" borderId="16" xfId="923" applyFont="1" applyFill="1" applyBorder="1" applyAlignment="1" applyProtection="1">
      <alignment horizontal="left" vertical="center" wrapText="1"/>
      <protection locked="0"/>
    </xf>
    <xf numFmtId="0" fontId="80" fillId="3" borderId="5" xfId="923" applyFont="1" applyFill="1" applyBorder="1" applyAlignment="1" applyProtection="1">
      <alignment vertical="center" wrapText="1"/>
      <protection locked="0"/>
    </xf>
    <xf numFmtId="2" fontId="79" fillId="0" borderId="5" xfId="0" applyNumberFormat="1" applyFont="1" applyBorder="1" applyAlignment="1" applyProtection="1">
      <alignment horizontal="right" wrapText="1"/>
      <protection hidden="1"/>
    </xf>
    <xf numFmtId="0" fontId="79" fillId="0" borderId="5" xfId="0" applyFont="1" applyBorder="1" applyAlignment="1" applyProtection="1">
      <alignment horizontal="right"/>
      <protection hidden="1"/>
    </xf>
    <xf numFmtId="0" fontId="130" fillId="56" borderId="16" xfId="0" applyFont="1" applyFill="1" applyBorder="1" applyAlignment="1">
      <alignment horizontal="left" wrapText="1"/>
    </xf>
    <xf numFmtId="40" fontId="80" fillId="0" borderId="16" xfId="923" applyNumberFormat="1" applyFont="1" applyBorder="1" applyAlignment="1" applyProtection="1">
      <alignment horizontal="left" vertical="center" wrapText="1"/>
      <protection locked="0"/>
    </xf>
    <xf numFmtId="40" fontId="80" fillId="0" borderId="5" xfId="923" applyNumberFormat="1" applyFont="1" applyBorder="1" applyAlignment="1" applyProtection="1">
      <alignment vertical="center" wrapText="1"/>
      <protection locked="0"/>
    </xf>
    <xf numFmtId="40" fontId="80" fillId="3" borderId="16" xfId="923" applyNumberFormat="1" applyFont="1" applyFill="1" applyBorder="1" applyAlignment="1" applyProtection="1">
      <alignment horizontal="left" vertical="center" wrapText="1"/>
      <protection locked="0"/>
    </xf>
    <xf numFmtId="0" fontId="88" fillId="0" borderId="16" xfId="759" applyFont="1" applyBorder="1" applyAlignment="1">
      <alignment horizontal="left"/>
    </xf>
    <xf numFmtId="0" fontId="88" fillId="0" borderId="5" xfId="759" applyFont="1" applyBorder="1" applyAlignment="1">
      <alignment horizontal="left"/>
    </xf>
    <xf numFmtId="185" fontId="80" fillId="0" borderId="5" xfId="0" applyNumberFormat="1" applyFont="1" applyBorder="1" applyAlignment="1" applyProtection="1">
      <alignment horizontal="right"/>
      <protection locked="0"/>
    </xf>
    <xf numFmtId="187" fontId="80" fillId="0" borderId="5" xfId="0" applyNumberFormat="1" applyFont="1" applyBorder="1" applyAlignment="1" applyProtection="1">
      <alignment horizontal="right"/>
      <protection locked="0"/>
    </xf>
    <xf numFmtId="0" fontId="79" fillId="2" borderId="16" xfId="0" applyFont="1" applyFill="1" applyBorder="1" applyAlignment="1">
      <alignment horizontal="left" wrapText="1"/>
    </xf>
    <xf numFmtId="0" fontId="79" fillId="2" borderId="5" xfId="0" applyFont="1" applyFill="1" applyBorder="1" applyAlignment="1">
      <alignment wrapText="1"/>
    </xf>
    <xf numFmtId="0" fontId="79" fillId="0" borderId="16" xfId="0" applyFont="1" applyBorder="1" applyAlignment="1">
      <alignment horizontal="left"/>
    </xf>
    <xf numFmtId="0" fontId="79" fillId="0" borderId="5" xfId="0" applyFont="1" applyBorder="1"/>
    <xf numFmtId="0" fontId="130" fillId="0" borderId="16" xfId="0" applyFont="1" applyBorder="1" applyAlignment="1">
      <alignment horizontal="left" wrapText="1"/>
    </xf>
    <xf numFmtId="0" fontId="131" fillId="56" borderId="16" xfId="0" applyFont="1" applyFill="1" applyBorder="1" applyAlignment="1">
      <alignment horizontal="left" wrapText="1"/>
    </xf>
    <xf numFmtId="0" fontId="79" fillId="2" borderId="23" xfId="0" applyFont="1" applyFill="1" applyBorder="1" applyAlignment="1">
      <alignment horizontal="left"/>
    </xf>
    <xf numFmtId="0" fontId="79" fillId="2" borderId="9" xfId="0" applyFont="1" applyFill="1" applyBorder="1"/>
    <xf numFmtId="2" fontId="79" fillId="25" borderId="9" xfId="0" applyNumberFormat="1" applyFont="1" applyFill="1" applyBorder="1" applyAlignment="1">
      <alignment horizontal="right"/>
    </xf>
    <xf numFmtId="2" fontId="89" fillId="0" borderId="24" xfId="0" applyNumberFormat="1" applyFont="1" applyBorder="1" applyAlignment="1">
      <alignment horizontal="center" vertical="center"/>
    </xf>
    <xf numFmtId="0" fontId="132" fillId="0" borderId="5" xfId="0" applyFont="1" applyBorder="1" applyAlignment="1">
      <alignment horizontal="left" vertical="center"/>
    </xf>
    <xf numFmtId="0" fontId="89" fillId="0" borderId="5" xfId="0" applyFont="1" applyBorder="1" applyAlignment="1">
      <alignment horizontal="left" vertical="center"/>
    </xf>
    <xf numFmtId="0" fontId="89" fillId="0" borderId="5" xfId="1193" applyFont="1" applyBorder="1" applyAlignment="1" applyProtection="1">
      <alignment horizontal="center" vertical="center"/>
      <protection locked="0"/>
    </xf>
    <xf numFmtId="9" fontId="89" fillId="0" borderId="5" xfId="5130" applyFont="1" applyBorder="1" applyAlignment="1" applyProtection="1">
      <alignment horizontal="center" vertical="center"/>
      <protection locked="0"/>
    </xf>
    <xf numFmtId="2" fontId="89" fillId="0" borderId="5" xfId="5130" applyNumberFormat="1" applyFont="1" applyBorder="1" applyAlignment="1" applyProtection="1">
      <alignment horizontal="center" vertical="center"/>
      <protection locked="0"/>
    </xf>
    <xf numFmtId="2" fontId="83" fillId="0" borderId="5" xfId="0" applyNumberFormat="1" applyFont="1" applyBorder="1" applyAlignment="1">
      <alignment horizontal="center" vertical="center"/>
    </xf>
    <xf numFmtId="0" fontId="132" fillId="29" borderId="5" xfId="0" applyFont="1" applyFill="1" applyBorder="1" applyAlignment="1">
      <alignment horizontal="left" vertical="center"/>
    </xf>
    <xf numFmtId="0" fontId="132" fillId="29" borderId="5" xfId="0" applyFont="1" applyFill="1" applyBorder="1" applyAlignment="1">
      <alignment horizontal="center" vertical="center"/>
    </xf>
    <xf numFmtId="9" fontId="132" fillId="29" borderId="5" xfId="5130" applyFont="1" applyFill="1" applyBorder="1" applyAlignment="1">
      <alignment horizontal="center" vertical="center"/>
    </xf>
    <xf numFmtId="2" fontId="132" fillId="29" borderId="5" xfId="0" applyNumberFormat="1" applyFont="1" applyFill="1" applyBorder="1" applyAlignment="1">
      <alignment horizontal="center" vertical="center"/>
    </xf>
    <xf numFmtId="2" fontId="83" fillId="0" borderId="5" xfId="1280" applyNumberFormat="1" applyFont="1" applyBorder="1" applyAlignment="1">
      <alignment horizontal="center" vertical="center"/>
    </xf>
    <xf numFmtId="2" fontId="83" fillId="0" borderId="34" xfId="0" applyNumberFormat="1" applyFont="1" applyBorder="1" applyAlignment="1">
      <alignment horizontal="center" vertical="center"/>
    </xf>
    <xf numFmtId="0" fontId="132" fillId="0" borderId="5" xfId="0" applyFont="1" applyBorder="1" applyAlignment="1">
      <alignment horizontal="center" vertical="center"/>
    </xf>
    <xf numFmtId="2" fontId="89" fillId="0" borderId="5" xfId="1193" applyNumberFormat="1" applyFont="1" applyBorder="1" applyAlignment="1" applyProtection="1">
      <alignment horizontal="center" vertical="center"/>
      <protection locked="0"/>
    </xf>
    <xf numFmtId="0" fontId="80" fillId="0" borderId="0" xfId="0" applyFont="1" applyBorder="1" applyAlignment="1" applyProtection="1">
      <alignment vertical="center" wrapText="1"/>
      <protection hidden="1"/>
    </xf>
    <xf numFmtId="2" fontId="90" fillId="0" borderId="5" xfId="0" applyNumberFormat="1" applyFont="1" applyBorder="1" applyAlignment="1">
      <alignment horizontal="center" vertical="center" wrapText="1"/>
    </xf>
    <xf numFmtId="0" fontId="133" fillId="0" borderId="0" xfId="583" applyFont="1" applyFill="1" applyBorder="1" applyAlignment="1" applyProtection="1">
      <alignment horizontal="left" vertical="center"/>
    </xf>
    <xf numFmtId="2" fontId="89" fillId="0" borderId="0" xfId="0" applyNumberFormat="1" applyFont="1" applyAlignment="1">
      <alignment horizontal="center" vertical="center" wrapText="1"/>
    </xf>
    <xf numFmtId="40" fontId="89" fillId="0" borderId="5" xfId="0" applyNumberFormat="1" applyFont="1" applyBorder="1" applyAlignment="1">
      <alignment horizontal="left" vertical="center" wrapText="1"/>
    </xf>
    <xf numFmtId="40" fontId="89" fillId="0" borderId="5" xfId="0" applyNumberFormat="1" applyFont="1" applyBorder="1" applyAlignment="1" applyProtection="1">
      <alignment horizontal="left" vertical="center" wrapText="1"/>
      <protection locked="0"/>
    </xf>
    <xf numFmtId="2" fontId="89" fillId="0" borderId="5" xfId="0" applyNumberFormat="1" applyFont="1" applyBorder="1" applyAlignment="1" applyProtection="1">
      <alignment horizontal="center" vertical="center" wrapText="1"/>
      <protection locked="0"/>
    </xf>
    <xf numFmtId="40" fontId="89" fillId="0" borderId="5" xfId="0" applyNumberFormat="1" applyFont="1" applyBorder="1" applyAlignment="1" applyProtection="1">
      <alignment horizontal="center" vertical="center" wrapText="1"/>
      <protection locked="0"/>
    </xf>
    <xf numFmtId="0" fontId="89" fillId="0" borderId="5" xfId="0" applyFont="1" applyBorder="1" applyAlignment="1" applyProtection="1">
      <alignment horizontal="center" vertical="center" wrapText="1"/>
      <protection locked="0"/>
    </xf>
    <xf numFmtId="40" fontId="90" fillId="0" borderId="5" xfId="0" applyNumberFormat="1" applyFont="1" applyBorder="1" applyAlignment="1">
      <alignment horizontal="left" vertical="center" wrapText="1"/>
    </xf>
    <xf numFmtId="40" fontId="90" fillId="0" borderId="5" xfId="0" applyNumberFormat="1" applyFont="1" applyBorder="1" applyAlignment="1">
      <alignment horizontal="center" vertical="center" wrapText="1"/>
    </xf>
    <xf numFmtId="0" fontId="90" fillId="0" borderId="5" xfId="0" applyFont="1" applyBorder="1" applyAlignment="1" applyProtection="1">
      <alignment horizontal="center" vertical="center" wrapText="1"/>
      <protection locked="0"/>
    </xf>
    <xf numFmtId="10" fontId="89" fillId="0" borderId="0" xfId="0" applyNumberFormat="1" applyFont="1" applyAlignment="1">
      <alignment horizontal="center" vertical="center" wrapText="1"/>
    </xf>
    <xf numFmtId="40" fontId="90" fillId="0" borderId="5" xfId="0" applyNumberFormat="1" applyFont="1" applyBorder="1" applyAlignment="1" applyProtection="1">
      <alignment horizontal="center" vertical="center" wrapText="1"/>
      <protection locked="0"/>
    </xf>
    <xf numFmtId="9" fontId="89" fillId="0" borderId="5" xfId="5130" applyFont="1" applyFill="1" applyBorder="1" applyAlignment="1" applyProtection="1">
      <alignment horizontal="center" vertical="center" wrapText="1"/>
      <protection locked="0"/>
    </xf>
    <xf numFmtId="0" fontId="89" fillId="0" borderId="5" xfId="559" applyFont="1" applyBorder="1" applyAlignment="1" applyProtection="1">
      <alignment horizontal="center" vertical="center" wrapText="1"/>
      <protection locked="0"/>
    </xf>
    <xf numFmtId="2" fontId="89" fillId="0" borderId="5" xfId="559" applyNumberFormat="1" applyFont="1" applyBorder="1" applyAlignment="1">
      <alignment horizontal="center" vertical="center" wrapText="1"/>
    </xf>
    <xf numFmtId="0" fontId="90" fillId="0" borderId="5" xfId="0" applyFont="1" applyBorder="1" applyAlignment="1">
      <alignment horizontal="center" vertical="center" wrapText="1"/>
    </xf>
    <xf numFmtId="0" fontId="132" fillId="0" borderId="16" xfId="0" applyFont="1" applyBorder="1" applyAlignment="1">
      <alignment horizontal="left" vertical="center"/>
    </xf>
    <xf numFmtId="0" fontId="132" fillId="0" borderId="25" xfId="0" applyFont="1" applyBorder="1" applyAlignment="1">
      <alignment horizontal="center" vertical="center"/>
    </xf>
    <xf numFmtId="2" fontId="113" fillId="0" borderId="77" xfId="0" applyNumberFormat="1" applyFont="1" applyBorder="1" applyAlignment="1">
      <alignment horizontal="center"/>
    </xf>
    <xf numFmtId="0" fontId="132" fillId="29" borderId="16" xfId="0" applyFont="1" applyFill="1" applyBorder="1" applyAlignment="1">
      <alignment horizontal="left" vertical="center"/>
    </xf>
    <xf numFmtId="2" fontId="109" fillId="29" borderId="34" xfId="0" applyNumberFormat="1" applyFont="1" applyFill="1" applyBorder="1" applyAlignment="1">
      <alignment horizontal="center" vertical="center"/>
    </xf>
    <xf numFmtId="2" fontId="109" fillId="29" borderId="46" xfId="0" applyNumberFormat="1" applyFont="1" applyFill="1" applyBorder="1" applyAlignment="1">
      <alignment horizontal="center" vertical="center"/>
    </xf>
    <xf numFmtId="2" fontId="109" fillId="29" borderId="5" xfId="0" applyNumberFormat="1" applyFont="1" applyFill="1" applyBorder="1" applyAlignment="1">
      <alignment horizontal="center" vertical="center"/>
    </xf>
    <xf numFmtId="2" fontId="109" fillId="29" borderId="25" xfId="0" applyNumberFormat="1" applyFont="1" applyFill="1" applyBorder="1" applyAlignment="1">
      <alignment horizontal="center" vertical="center"/>
    </xf>
    <xf numFmtId="0" fontId="89" fillId="0" borderId="16" xfId="0" applyFont="1" applyBorder="1" applyAlignment="1">
      <alignment horizontal="left"/>
    </xf>
    <xf numFmtId="0" fontId="89" fillId="0" borderId="5" xfId="0" applyFont="1" applyBorder="1" applyAlignment="1">
      <alignment horizontal="left"/>
    </xf>
    <xf numFmtId="0" fontId="89" fillId="0" borderId="44" xfId="0" applyFont="1" applyBorder="1" applyAlignment="1">
      <alignment horizontal="left"/>
    </xf>
    <xf numFmtId="0" fontId="132" fillId="29" borderId="23" xfId="0" applyFont="1" applyFill="1" applyBorder="1" applyAlignment="1">
      <alignment horizontal="left" vertical="center"/>
    </xf>
    <xf numFmtId="0" fontId="132" fillId="29" borderId="9" xfId="0" applyFont="1" applyFill="1" applyBorder="1" applyAlignment="1">
      <alignment horizontal="left" vertical="center"/>
    </xf>
    <xf numFmtId="2" fontId="132" fillId="29" borderId="9" xfId="0" applyNumberFormat="1" applyFont="1" applyFill="1" applyBorder="1" applyAlignment="1">
      <alignment horizontal="center" vertical="center"/>
    </xf>
    <xf numFmtId="2" fontId="132" fillId="29" borderId="24" xfId="0" applyNumberFormat="1" applyFont="1" applyFill="1" applyBorder="1" applyAlignment="1">
      <alignment horizontal="center" vertical="center"/>
    </xf>
    <xf numFmtId="0" fontId="106" fillId="0" borderId="5" xfId="0" applyFont="1" applyBorder="1" applyAlignment="1">
      <alignment horizontal="center" vertical="center"/>
    </xf>
    <xf numFmtId="0" fontId="106" fillId="0" borderId="25" xfId="0" applyFont="1" applyBorder="1" applyAlignment="1">
      <alignment horizontal="center" vertical="center"/>
    </xf>
    <xf numFmtId="2" fontId="132" fillId="0" borderId="25" xfId="0" applyNumberFormat="1" applyFont="1" applyBorder="1" applyAlignment="1">
      <alignment horizontal="center" vertical="center"/>
    </xf>
    <xf numFmtId="2" fontId="132" fillId="29" borderId="34" xfId="0" applyNumberFormat="1" applyFont="1" applyFill="1" applyBorder="1" applyAlignment="1">
      <alignment horizontal="center" vertical="center"/>
    </xf>
    <xf numFmtId="2" fontId="132" fillId="29" borderId="46" xfId="0" applyNumberFormat="1" applyFont="1" applyFill="1" applyBorder="1" applyAlignment="1">
      <alignment horizontal="center" vertical="center"/>
    </xf>
    <xf numFmtId="2" fontId="132" fillId="29" borderId="25" xfId="0" applyNumberFormat="1" applyFont="1" applyFill="1" applyBorder="1" applyAlignment="1">
      <alignment horizontal="center" vertical="center"/>
    </xf>
    <xf numFmtId="0" fontId="132" fillId="29" borderId="25" xfId="0" applyFont="1" applyFill="1" applyBorder="1" applyAlignment="1">
      <alignment horizontal="center" vertical="center"/>
    </xf>
    <xf numFmtId="2" fontId="89" fillId="0" borderId="16" xfId="0" applyNumberFormat="1" applyFont="1" applyBorder="1" applyAlignment="1">
      <alignment horizontal="left" vertical="center"/>
    </xf>
    <xf numFmtId="0" fontId="106" fillId="0" borderId="16" xfId="0" applyFont="1" applyBorder="1" applyAlignment="1">
      <alignment horizontal="left" vertical="center"/>
    </xf>
    <xf numFmtId="2" fontId="107" fillId="0" borderId="5" xfId="0" applyNumberFormat="1" applyFont="1" applyBorder="1" applyAlignment="1">
      <alignment horizontal="center" vertical="center"/>
    </xf>
    <xf numFmtId="2" fontId="83" fillId="0" borderId="16" xfId="0" applyNumberFormat="1" applyFont="1" applyBorder="1" applyAlignment="1">
      <alignment horizontal="left" vertical="center"/>
    </xf>
    <xf numFmtId="2" fontId="83" fillId="0" borderId="25" xfId="0" applyNumberFormat="1" applyFont="1" applyBorder="1" applyAlignment="1">
      <alignment horizontal="center" vertical="center"/>
    </xf>
    <xf numFmtId="2" fontId="132" fillId="29" borderId="16" xfId="0" applyNumberFormat="1" applyFont="1" applyFill="1" applyBorder="1" applyAlignment="1">
      <alignment horizontal="left" vertical="center"/>
    </xf>
    <xf numFmtId="0" fontId="132" fillId="29" borderId="34" xfId="0" applyFont="1" applyFill="1" applyBorder="1" applyAlignment="1">
      <alignment horizontal="center" vertical="center"/>
    </xf>
    <xf numFmtId="0" fontId="132" fillId="29" borderId="46" xfId="0" applyFont="1" applyFill="1" applyBorder="1" applyAlignment="1">
      <alignment horizontal="center" vertical="center"/>
    </xf>
    <xf numFmtId="2" fontId="132" fillId="29" borderId="23" xfId="0" applyNumberFormat="1" applyFont="1" applyFill="1" applyBorder="1" applyAlignment="1">
      <alignment horizontal="left" vertical="center"/>
    </xf>
    <xf numFmtId="168" fontId="80" fillId="0" borderId="44" xfId="14" applyNumberFormat="1" applyFont="1" applyFill="1" applyBorder="1" applyAlignment="1">
      <alignment vertical="center" wrapText="1"/>
    </xf>
    <xf numFmtId="43" fontId="80" fillId="0" borderId="0" xfId="904" applyNumberFormat="1" applyFont="1" applyBorder="1" applyAlignment="1" applyProtection="1">
      <alignment horizontal="right"/>
      <protection locked="0"/>
    </xf>
    <xf numFmtId="43" fontId="79" fillId="0" borderId="18" xfId="14" applyFont="1" applyFill="1" applyBorder="1" applyAlignment="1">
      <alignment horizontal="left" vertical="center" wrapText="1"/>
    </xf>
    <xf numFmtId="43" fontId="79" fillId="0" borderId="44" xfId="14" applyFont="1" applyFill="1" applyBorder="1" applyAlignment="1">
      <alignment horizontal="left" vertical="center" wrapText="1"/>
    </xf>
    <xf numFmtId="43" fontId="79" fillId="18" borderId="78" xfId="14" applyFont="1" applyFill="1" applyBorder="1" applyAlignment="1">
      <alignment horizontal="left" vertical="center" wrapText="1"/>
    </xf>
    <xf numFmtId="182" fontId="90" fillId="2" borderId="0" xfId="0" applyNumberFormat="1" applyFont="1" applyFill="1" applyBorder="1" applyAlignment="1">
      <alignment horizontal="center" vertical="center" wrapText="1"/>
    </xf>
    <xf numFmtId="0" fontId="89" fillId="0" borderId="25" xfId="0" applyFont="1" applyBorder="1" applyAlignment="1">
      <alignment horizontal="center" vertical="center"/>
    </xf>
    <xf numFmtId="44" fontId="89" fillId="0" borderId="16" xfId="30001" applyFont="1" applyBorder="1" applyAlignment="1">
      <alignment horizontal="left" vertical="center"/>
    </xf>
    <xf numFmtId="0" fontId="89" fillId="60" borderId="16" xfId="0" applyFont="1" applyFill="1" applyBorder="1" applyAlignment="1">
      <alignment horizontal="left" vertical="center"/>
    </xf>
    <xf numFmtId="0" fontId="132" fillId="0" borderId="16" xfId="0" applyFont="1" applyBorder="1" applyAlignment="1">
      <alignment horizontal="left" vertical="center" wrapText="1"/>
    </xf>
    <xf numFmtId="0" fontId="115" fillId="0" borderId="16" xfId="0" applyFont="1" applyBorder="1" applyAlignment="1">
      <alignment horizontal="left" vertical="center" wrapText="1"/>
    </xf>
    <xf numFmtId="0" fontId="132" fillId="0" borderId="23" xfId="0" applyFont="1" applyBorder="1" applyAlignment="1">
      <alignment horizontal="left" vertical="center"/>
    </xf>
    <xf numFmtId="0" fontId="89" fillId="0" borderId="9" xfId="0" applyFont="1" applyBorder="1" applyAlignment="1" applyProtection="1">
      <alignment vertical="center"/>
      <protection hidden="1"/>
    </xf>
    <xf numFmtId="0" fontId="132" fillId="0" borderId="9" xfId="0" applyFont="1" applyBorder="1" applyAlignment="1">
      <alignment horizontal="center" vertical="center"/>
    </xf>
    <xf numFmtId="2" fontId="132" fillId="0" borderId="9" xfId="0" applyNumberFormat="1" applyFont="1" applyBorder="1" applyAlignment="1">
      <alignment horizontal="center" vertical="center"/>
    </xf>
    <xf numFmtId="0" fontId="81" fillId="6" borderId="6" xfId="0" applyFont="1" applyFill="1" applyBorder="1" applyAlignment="1" applyProtection="1">
      <alignment horizontal="center" vertical="center" wrapText="1"/>
      <protection hidden="1"/>
    </xf>
    <xf numFmtId="2" fontId="81" fillId="6" borderId="15" xfId="0" applyNumberFormat="1" applyFont="1" applyFill="1" applyBorder="1" applyAlignment="1" applyProtection="1">
      <alignment vertical="center" wrapText="1"/>
      <protection hidden="1"/>
    </xf>
    <xf numFmtId="2" fontId="81" fillId="6" borderId="25" xfId="0" applyNumberFormat="1" applyFont="1" applyFill="1" applyBorder="1" applyAlignment="1" applyProtection="1">
      <alignment horizontal="center" vertical="center" wrapText="1"/>
      <protection hidden="1"/>
    </xf>
    <xf numFmtId="0" fontId="101" fillId="6" borderId="16" xfId="0" applyFont="1" applyFill="1" applyBorder="1" applyAlignment="1" applyProtection="1">
      <alignment horizontal="left" vertical="center" wrapText="1"/>
      <protection hidden="1"/>
    </xf>
    <xf numFmtId="2" fontId="101" fillId="6" borderId="25" xfId="0" applyNumberFormat="1" applyFont="1" applyFill="1" applyBorder="1" applyAlignment="1" applyProtection="1">
      <alignment horizontal="center" vertical="center" wrapText="1"/>
      <protection hidden="1"/>
    </xf>
    <xf numFmtId="0" fontId="109" fillId="0" borderId="16" xfId="0" applyFont="1" applyBorder="1" applyAlignment="1">
      <alignment horizontal="left" vertical="center"/>
    </xf>
    <xf numFmtId="2" fontId="89" fillId="0" borderId="25" xfId="0" applyNumberFormat="1" applyFont="1" applyBorder="1" applyAlignment="1" applyProtection="1">
      <alignment horizontal="center" vertical="center"/>
      <protection hidden="1"/>
    </xf>
    <xf numFmtId="2" fontId="89" fillId="0" borderId="25" xfId="5130" applyNumberFormat="1" applyFont="1" applyBorder="1" applyAlignment="1" applyProtection="1">
      <alignment horizontal="center" vertical="center"/>
      <protection locked="0"/>
    </xf>
    <xf numFmtId="0" fontId="132" fillId="29" borderId="9" xfId="0" applyFont="1" applyFill="1" applyBorder="1" applyAlignment="1">
      <alignment horizontal="center" vertical="center"/>
    </xf>
    <xf numFmtId="0" fontId="89" fillId="0" borderId="5" xfId="1193" applyFont="1" applyBorder="1" applyAlignment="1" applyProtection="1">
      <alignment horizontal="center" vertical="center" wrapText="1"/>
      <protection locked="0"/>
    </xf>
    <xf numFmtId="0" fontId="79" fillId="0" borderId="0" xfId="0" applyFont="1" applyAlignment="1" applyProtection="1">
      <alignment vertical="center" wrapText="1"/>
      <protection hidden="1"/>
    </xf>
    <xf numFmtId="0" fontId="79" fillId="0" borderId="0" xfId="0" applyFont="1" applyAlignment="1" applyProtection="1">
      <alignment vertical="center"/>
      <protection hidden="1"/>
    </xf>
    <xf numFmtId="2" fontId="80" fillId="0" borderId="0" xfId="0" applyNumberFormat="1" applyFont="1" applyAlignment="1" applyProtection="1">
      <alignment vertical="center"/>
      <protection hidden="1"/>
    </xf>
    <xf numFmtId="2" fontId="80" fillId="0" borderId="0" xfId="0" applyNumberFormat="1" applyFont="1" applyAlignment="1" applyProtection="1">
      <alignment vertical="center" wrapText="1"/>
      <protection hidden="1"/>
    </xf>
    <xf numFmtId="2" fontId="103" fillId="0" borderId="0" xfId="0" applyNumberFormat="1" applyFont="1" applyAlignment="1" applyProtection="1">
      <alignment vertical="center" wrapText="1"/>
      <protection hidden="1"/>
    </xf>
    <xf numFmtId="2" fontId="103" fillId="0" borderId="0" xfId="0" applyNumberFormat="1" applyFont="1" applyAlignment="1" applyProtection="1">
      <alignment vertical="center"/>
      <protection hidden="1"/>
    </xf>
    <xf numFmtId="2" fontId="79" fillId="0" borderId="0" xfId="0" applyNumberFormat="1" applyFont="1" applyAlignment="1" applyProtection="1">
      <alignment vertical="center"/>
      <protection hidden="1"/>
    </xf>
    <xf numFmtId="0" fontId="80" fillId="0" borderId="5" xfId="0" applyFont="1" applyBorder="1" applyAlignment="1" applyProtection="1">
      <alignment horizontal="center" vertical="center" wrapText="1"/>
      <protection hidden="1"/>
    </xf>
    <xf numFmtId="0" fontId="80" fillId="0" borderId="5" xfId="0" applyFont="1" applyBorder="1" applyAlignment="1" applyProtection="1">
      <alignment horizontal="center" vertical="center"/>
      <protection hidden="1"/>
    </xf>
    <xf numFmtId="2" fontId="80" fillId="0" borderId="5" xfId="0" applyNumberFormat="1" applyFont="1" applyBorder="1" applyAlignment="1" applyProtection="1">
      <alignment horizontal="center" vertical="center"/>
      <protection hidden="1"/>
    </xf>
    <xf numFmtId="2" fontId="80" fillId="0" borderId="5" xfId="0" applyNumberFormat="1" applyFont="1" applyBorder="1" applyAlignment="1" applyProtection="1">
      <alignment horizontal="center" vertical="center" wrapText="1"/>
      <protection hidden="1"/>
    </xf>
    <xf numFmtId="0" fontId="96" fillId="0" borderId="16" xfId="0" applyFont="1" applyBorder="1" applyAlignment="1">
      <alignment vertical="center"/>
    </xf>
    <xf numFmtId="0" fontId="96" fillId="0" borderId="5" xfId="0" applyFont="1" applyBorder="1"/>
    <xf numFmtId="0" fontId="96" fillId="0" borderId="5" xfId="0" applyFont="1" applyBorder="1" applyAlignment="1">
      <alignment wrapText="1"/>
    </xf>
    <xf numFmtId="0" fontId="80" fillId="0" borderId="5" xfId="0" applyFont="1" applyBorder="1" applyAlignment="1">
      <alignment wrapText="1"/>
    </xf>
    <xf numFmtId="170" fontId="80" fillId="0" borderId="5" xfId="0" applyNumberFormat="1" applyFont="1" applyBorder="1" applyAlignment="1">
      <alignment horizontal="center"/>
    </xf>
    <xf numFmtId="2" fontId="79" fillId="8" borderId="16" xfId="0" applyNumberFormat="1" applyFont="1" applyFill="1" applyBorder="1" applyAlignment="1">
      <alignment vertical="center" wrapText="1"/>
    </xf>
    <xf numFmtId="2" fontId="79" fillId="8" borderId="5" xfId="0" applyNumberFormat="1" applyFont="1" applyFill="1" applyBorder="1" applyAlignment="1">
      <alignment vertical="center" wrapText="1"/>
    </xf>
    <xf numFmtId="170" fontId="79" fillId="8" borderId="5" xfId="0" applyNumberFormat="1" applyFont="1" applyFill="1" applyBorder="1" applyAlignment="1">
      <alignment horizontal="center" vertical="center" wrapText="1"/>
    </xf>
    <xf numFmtId="0" fontId="81" fillId="6" borderId="23" xfId="0" applyFont="1" applyFill="1" applyBorder="1" applyAlignment="1" applyProtection="1">
      <alignment horizontal="left" vertical="center" wrapText="1"/>
      <protection hidden="1"/>
    </xf>
    <xf numFmtId="0" fontId="81" fillId="6" borderId="9" xfId="0" applyFont="1" applyFill="1" applyBorder="1" applyAlignment="1" applyProtection="1">
      <alignment horizontal="left" vertical="center" wrapText="1"/>
      <protection hidden="1"/>
    </xf>
    <xf numFmtId="170" fontId="81" fillId="6" borderId="9" xfId="0" applyNumberFormat="1" applyFont="1" applyFill="1" applyBorder="1" applyAlignment="1" applyProtection="1">
      <alignment horizontal="center" vertical="center" wrapText="1"/>
      <protection hidden="1"/>
    </xf>
    <xf numFmtId="2" fontId="80" fillId="0" borderId="0" xfId="0" applyNumberFormat="1" applyFont="1" applyBorder="1" applyAlignment="1" applyProtection="1">
      <alignment vertical="center" wrapText="1"/>
      <protection hidden="1"/>
    </xf>
    <xf numFmtId="2" fontId="80" fillId="0" borderId="0" xfId="0" applyNumberFormat="1" applyFont="1" applyBorder="1" applyAlignment="1" applyProtection="1">
      <alignment vertical="center"/>
      <protection hidden="1"/>
    </xf>
    <xf numFmtId="2" fontId="79" fillId="0" borderId="0" xfId="0" applyNumberFormat="1" applyFont="1" applyBorder="1" applyAlignment="1" applyProtection="1">
      <alignment vertical="center"/>
      <protection hidden="1"/>
    </xf>
    <xf numFmtId="0" fontId="80" fillId="0" borderId="0" xfId="0" applyFont="1" applyBorder="1" applyAlignment="1" applyProtection="1">
      <alignment vertical="center"/>
      <protection hidden="1"/>
    </xf>
    <xf numFmtId="0" fontId="81" fillId="6" borderId="7" xfId="0" applyFont="1" applyFill="1" applyBorder="1" applyAlignment="1" applyProtection="1">
      <alignment horizontal="center" vertical="center" wrapText="1"/>
      <protection hidden="1"/>
    </xf>
    <xf numFmtId="0" fontId="81" fillId="6" borderId="16" xfId="0" applyFont="1" applyFill="1" applyBorder="1" applyAlignment="1" applyProtection="1">
      <alignment horizontal="center" vertical="center" wrapText="1"/>
      <protection hidden="1"/>
    </xf>
    <xf numFmtId="0" fontId="81" fillId="6" borderId="5" xfId="0" applyFont="1" applyFill="1" applyBorder="1" applyAlignment="1" applyProtection="1">
      <alignment horizontal="center" vertical="center"/>
      <protection hidden="1"/>
    </xf>
    <xf numFmtId="2" fontId="81" fillId="6" borderId="25" xfId="0" applyNumberFormat="1" applyFont="1" applyFill="1" applyBorder="1" applyAlignment="1" applyProtection="1">
      <alignment horizontal="center" vertical="center"/>
      <protection hidden="1"/>
    </xf>
    <xf numFmtId="0" fontId="127" fillId="0" borderId="37" xfId="0" applyFont="1" applyBorder="1" applyAlignment="1" applyProtection="1">
      <alignment horizontal="left" vertical="center"/>
      <protection hidden="1"/>
    </xf>
    <xf numFmtId="0" fontId="127" fillId="0" borderId="37" xfId="0" applyFont="1" applyBorder="1" applyAlignment="1" applyProtection="1">
      <alignment vertical="center"/>
      <protection hidden="1"/>
    </xf>
    <xf numFmtId="2" fontId="127" fillId="0" borderId="37" xfId="0" applyNumberFormat="1" applyFont="1" applyBorder="1" applyAlignment="1" applyProtection="1">
      <alignment vertical="center"/>
      <protection hidden="1"/>
    </xf>
    <xf numFmtId="2" fontId="90" fillId="0" borderId="37" xfId="0" applyNumberFormat="1" applyFont="1" applyBorder="1" applyAlignment="1" applyProtection="1">
      <alignment vertical="center"/>
      <protection hidden="1"/>
    </xf>
    <xf numFmtId="2" fontId="89" fillId="0" borderId="37" xfId="0" applyNumberFormat="1" applyFont="1" applyBorder="1" applyAlignment="1" applyProtection="1">
      <alignment vertical="center"/>
      <protection hidden="1"/>
    </xf>
    <xf numFmtId="2" fontId="110" fillId="0" borderId="37" xfId="0" applyNumberFormat="1" applyFont="1" applyBorder="1" applyAlignment="1" applyProtection="1">
      <alignment vertical="center"/>
      <protection hidden="1"/>
    </xf>
    <xf numFmtId="1" fontId="89" fillId="0" borderId="5" xfId="0" applyNumberFormat="1" applyFont="1" applyBorder="1" applyAlignment="1">
      <alignment horizontal="center" vertical="center"/>
    </xf>
    <xf numFmtId="0" fontId="84" fillId="0" borderId="7" xfId="0" applyFont="1" applyBorder="1" applyAlignment="1">
      <alignment horizontal="center" vertical="center"/>
    </xf>
    <xf numFmtId="0" fontId="84" fillId="0" borderId="16" xfId="0" applyFont="1" applyBorder="1" applyAlignment="1">
      <alignment horizontal="center" vertical="center"/>
    </xf>
    <xf numFmtId="0" fontId="84" fillId="0" borderId="6" xfId="0" applyFont="1" applyBorder="1" applyAlignment="1">
      <alignment horizontal="center" vertical="center"/>
    </xf>
    <xf numFmtId="0" fontId="84" fillId="0" borderId="5" xfId="0" applyFont="1" applyBorder="1" applyAlignment="1">
      <alignment horizontal="center" vertical="center"/>
    </xf>
    <xf numFmtId="0" fontId="84" fillId="0" borderId="15" xfId="0" applyFont="1" applyBorder="1" applyAlignment="1">
      <alignment horizontal="center" vertical="center"/>
    </xf>
    <xf numFmtId="0" fontId="84" fillId="0" borderId="25" xfId="0" applyFont="1" applyBorder="1" applyAlignment="1">
      <alignment horizontal="center" vertical="center"/>
    </xf>
    <xf numFmtId="0" fontId="89" fillId="3" borderId="5" xfId="0" applyFont="1" applyFill="1" applyBorder="1" applyAlignment="1" applyProtection="1">
      <alignment horizontal="left" vertical="top" wrapText="1"/>
      <protection hidden="1"/>
    </xf>
    <xf numFmtId="0" fontId="90" fillId="3" borderId="28" xfId="0" applyFont="1" applyFill="1" applyBorder="1" applyAlignment="1" applyProtection="1">
      <alignment vertical="top" wrapText="1"/>
      <protection hidden="1"/>
    </xf>
    <xf numFmtId="0" fontId="90" fillId="3" borderId="4" xfId="0" applyFont="1" applyFill="1" applyBorder="1" applyAlignment="1" applyProtection="1">
      <alignment vertical="top" wrapText="1"/>
      <protection hidden="1"/>
    </xf>
    <xf numFmtId="0" fontId="90" fillId="3" borderId="34" xfId="0" applyFont="1" applyFill="1" applyBorder="1" applyAlignment="1" applyProtection="1">
      <alignment vertical="top" wrapText="1"/>
      <protection hidden="1"/>
    </xf>
    <xf numFmtId="0" fontId="89" fillId="3" borderId="28" xfId="0" applyFont="1" applyFill="1" applyBorder="1" applyAlignment="1" applyProtection="1">
      <alignment vertical="top" wrapText="1"/>
      <protection hidden="1"/>
    </xf>
    <xf numFmtId="0" fontId="89" fillId="3" borderId="4" xfId="0" applyFont="1" applyFill="1" applyBorder="1" applyAlignment="1" applyProtection="1">
      <alignment vertical="top" wrapText="1"/>
      <protection hidden="1"/>
    </xf>
    <xf numFmtId="0" fontId="89" fillId="3" borderId="34" xfId="0" applyFont="1" applyFill="1" applyBorder="1" applyAlignment="1" applyProtection="1">
      <alignment vertical="top" wrapText="1"/>
      <protection hidden="1"/>
    </xf>
    <xf numFmtId="4" fontId="101" fillId="6" borderId="28" xfId="0" applyNumberFormat="1" applyFont="1" applyFill="1" applyBorder="1" applyAlignment="1">
      <alignment horizontal="center" vertical="center" wrapText="1"/>
    </xf>
    <xf numFmtId="0" fontId="0" fillId="0" borderId="4" xfId="0" applyBorder="1"/>
    <xf numFmtId="0" fontId="0" fillId="0" borderId="34" xfId="0" applyBorder="1"/>
    <xf numFmtId="0" fontId="90" fillId="0" borderId="0" xfId="0" applyFont="1" applyAlignment="1">
      <alignment horizontal="left"/>
    </xf>
    <xf numFmtId="0" fontId="101" fillId="6" borderId="5" xfId="0" applyFont="1" applyFill="1" applyBorder="1" applyAlignment="1">
      <alignment horizontal="center" vertical="center" wrapText="1"/>
    </xf>
    <xf numFmtId="0" fontId="86" fillId="6" borderId="31" xfId="0" applyFont="1" applyFill="1" applyBorder="1" applyAlignment="1" applyProtection="1">
      <alignment horizontal="center" vertical="center" wrapText="1"/>
      <protection locked="0"/>
    </xf>
    <xf numFmtId="0" fontId="86" fillId="6" borderId="17" xfId="0" applyFont="1" applyFill="1" applyBorder="1" applyAlignment="1" applyProtection="1">
      <alignment horizontal="center" vertical="center" wrapText="1"/>
      <protection locked="0"/>
    </xf>
    <xf numFmtId="0" fontId="86" fillId="6" borderId="14" xfId="0" applyFont="1" applyFill="1" applyBorder="1" applyAlignment="1" applyProtection="1">
      <alignment horizontal="center" vertical="center" wrapText="1"/>
      <protection locked="0"/>
    </xf>
    <xf numFmtId="2" fontId="86" fillId="6" borderId="5" xfId="0" applyNumberFormat="1" applyFont="1" applyFill="1" applyBorder="1" applyAlignment="1">
      <alignment horizontal="center" vertical="center" wrapText="1"/>
    </xf>
    <xf numFmtId="2" fontId="86" fillId="6" borderId="25" xfId="0" applyNumberFormat="1" applyFont="1" applyFill="1" applyBorder="1" applyAlignment="1">
      <alignment horizontal="center" vertical="center" wrapText="1"/>
    </xf>
    <xf numFmtId="0" fontId="84" fillId="11" borderId="0" xfId="0" applyFont="1" applyFill="1" applyAlignment="1">
      <alignment horizontal="left" vertical="center" wrapText="1"/>
    </xf>
    <xf numFmtId="2" fontId="86" fillId="6" borderId="61" xfId="0" applyNumberFormat="1" applyFont="1" applyFill="1" applyBorder="1" applyAlignment="1">
      <alignment horizontal="center" vertical="center" wrapText="1"/>
    </xf>
    <xf numFmtId="2" fontId="86" fillId="6" borderId="1" xfId="0" applyNumberFormat="1" applyFont="1" applyFill="1" applyBorder="1" applyAlignment="1">
      <alignment horizontal="center" vertical="center" wrapText="1"/>
    </xf>
    <xf numFmtId="2" fontId="86" fillId="6" borderId="42" xfId="0" applyNumberFormat="1" applyFont="1" applyFill="1" applyBorder="1" applyAlignment="1">
      <alignment horizontal="center" vertical="center" wrapText="1"/>
    </xf>
    <xf numFmtId="2" fontId="86" fillId="6" borderId="32" xfId="0" applyNumberFormat="1" applyFont="1" applyFill="1" applyBorder="1" applyAlignment="1">
      <alignment horizontal="center" vertical="center" wrapText="1"/>
    </xf>
    <xf numFmtId="2" fontId="86" fillId="6" borderId="29" xfId="0" applyNumberFormat="1" applyFont="1" applyFill="1" applyBorder="1" applyAlignment="1">
      <alignment horizontal="center" vertical="center" wrapText="1"/>
    </xf>
    <xf numFmtId="2" fontId="86" fillId="6" borderId="14" xfId="0" applyNumberFormat="1" applyFont="1" applyFill="1" applyBorder="1" applyAlignment="1">
      <alignment horizontal="center" vertical="center" wrapText="1"/>
    </xf>
    <xf numFmtId="0" fontId="81" fillId="6" borderId="31" xfId="0" applyFont="1" applyFill="1" applyBorder="1" applyAlignment="1" applyProtection="1">
      <alignment horizontal="center" vertical="center" wrapText="1"/>
      <protection locked="0"/>
    </xf>
    <xf numFmtId="0" fontId="81" fillId="6" borderId="17" xfId="0" applyFont="1" applyFill="1" applyBorder="1" applyAlignment="1" applyProtection="1">
      <alignment horizontal="center" vertical="center" wrapText="1"/>
      <protection locked="0"/>
    </xf>
    <xf numFmtId="0" fontId="81" fillId="6" borderId="14" xfId="0" applyFont="1" applyFill="1" applyBorder="1" applyAlignment="1" applyProtection="1">
      <alignment horizontal="center" vertical="center" wrapText="1"/>
      <protection locked="0"/>
    </xf>
    <xf numFmtId="2" fontId="81" fillId="6" borderId="5" xfId="0" applyNumberFormat="1" applyFont="1" applyFill="1" applyBorder="1" applyAlignment="1">
      <alignment horizontal="center" vertical="center" wrapText="1"/>
    </xf>
    <xf numFmtId="2" fontId="81" fillId="6" borderId="25" xfId="0" applyNumberFormat="1" applyFont="1" applyFill="1" applyBorder="1" applyAlignment="1">
      <alignment horizontal="center" vertical="center" wrapText="1"/>
    </xf>
    <xf numFmtId="2" fontId="86" fillId="6" borderId="52" xfId="0" applyNumberFormat="1" applyFont="1" applyFill="1" applyBorder="1" applyAlignment="1">
      <alignment horizontal="center" vertical="center" wrapText="1"/>
    </xf>
    <xf numFmtId="2" fontId="86" fillId="6" borderId="53" xfId="0" applyNumberFormat="1" applyFont="1" applyFill="1" applyBorder="1" applyAlignment="1">
      <alignment horizontal="center" vertical="center" wrapText="1"/>
    </xf>
    <xf numFmtId="2" fontId="86" fillId="6" borderId="45" xfId="0" applyNumberFormat="1" applyFont="1" applyFill="1" applyBorder="1" applyAlignment="1">
      <alignment horizontal="center" vertical="center" wrapText="1"/>
    </xf>
    <xf numFmtId="0" fontId="86" fillId="6" borderId="56" xfId="0" applyFont="1" applyFill="1" applyBorder="1" applyAlignment="1">
      <alignment horizontal="center" vertical="center" wrapText="1"/>
    </xf>
    <xf numFmtId="0" fontId="86" fillId="6" borderId="59" xfId="0" applyFont="1" applyFill="1" applyBorder="1" applyAlignment="1">
      <alignment horizontal="center" vertical="center" wrapText="1"/>
    </xf>
    <xf numFmtId="0" fontId="86" fillId="6" borderId="19" xfId="0" applyFont="1" applyFill="1" applyBorder="1" applyAlignment="1">
      <alignment horizontal="center" vertical="center" wrapText="1"/>
    </xf>
    <xf numFmtId="0" fontId="79" fillId="11" borderId="0" xfId="0" applyFont="1" applyFill="1" applyAlignment="1">
      <alignment horizontal="left" vertical="center" wrapText="1"/>
    </xf>
    <xf numFmtId="0" fontId="81" fillId="6" borderId="56" xfId="0" applyFont="1" applyFill="1" applyBorder="1" applyAlignment="1">
      <alignment horizontal="center" vertical="center" wrapText="1"/>
    </xf>
    <xf numFmtId="0" fontId="81" fillId="6" borderId="59" xfId="0" applyFont="1" applyFill="1" applyBorder="1" applyAlignment="1">
      <alignment horizontal="center" vertical="center" wrapText="1"/>
    </xf>
    <xf numFmtId="0" fontId="81" fillId="6" borderId="19" xfId="0" applyFont="1" applyFill="1" applyBorder="1" applyAlignment="1">
      <alignment horizontal="center" vertical="center" wrapText="1"/>
    </xf>
    <xf numFmtId="2" fontId="81" fillId="6" borderId="61" xfId="0" applyNumberFormat="1" applyFont="1" applyFill="1" applyBorder="1" applyAlignment="1">
      <alignment horizontal="center" vertical="center" wrapText="1"/>
    </xf>
    <xf numFmtId="2" fontId="81" fillId="6" borderId="1" xfId="0" applyNumberFormat="1" applyFont="1" applyFill="1" applyBorder="1" applyAlignment="1">
      <alignment horizontal="center" vertical="center" wrapText="1"/>
    </xf>
    <xf numFmtId="2" fontId="81" fillId="6" borderId="42" xfId="0" applyNumberFormat="1" applyFont="1" applyFill="1" applyBorder="1" applyAlignment="1">
      <alignment horizontal="center" vertical="center" wrapText="1"/>
    </xf>
    <xf numFmtId="2" fontId="81" fillId="6" borderId="32" xfId="0" applyNumberFormat="1" applyFont="1" applyFill="1" applyBorder="1" applyAlignment="1">
      <alignment horizontal="center" vertical="center" wrapText="1"/>
    </xf>
    <xf numFmtId="2" fontId="81" fillId="6" borderId="29" xfId="0" applyNumberFormat="1" applyFont="1" applyFill="1" applyBorder="1" applyAlignment="1">
      <alignment horizontal="center" vertical="center" wrapText="1"/>
    </xf>
    <xf numFmtId="2" fontId="81" fillId="6" borderId="14" xfId="0" applyNumberFormat="1" applyFont="1" applyFill="1" applyBorder="1" applyAlignment="1">
      <alignment horizontal="center" vertical="center" wrapText="1"/>
    </xf>
    <xf numFmtId="2" fontId="81" fillId="6" borderId="52" xfId="0" applyNumberFormat="1" applyFont="1" applyFill="1" applyBorder="1" applyAlignment="1">
      <alignment horizontal="center" vertical="center" wrapText="1"/>
    </xf>
    <xf numFmtId="2" fontId="81" fillId="6" borderId="53" xfId="0" applyNumberFormat="1" applyFont="1" applyFill="1" applyBorder="1" applyAlignment="1">
      <alignment horizontal="center" vertical="center" wrapText="1"/>
    </xf>
    <xf numFmtId="2" fontId="81" fillId="6" borderId="45" xfId="0" applyNumberFormat="1" applyFont="1" applyFill="1" applyBorder="1" applyAlignment="1">
      <alignment horizontal="center" vertical="center" wrapText="1"/>
    </xf>
    <xf numFmtId="2" fontId="84" fillId="0" borderId="0" xfId="0" applyNumberFormat="1" applyFont="1" applyAlignment="1">
      <alignment horizontal="center"/>
    </xf>
    <xf numFmtId="0" fontId="85" fillId="3" borderId="28" xfId="0" applyFont="1" applyFill="1" applyBorder="1" applyAlignment="1">
      <alignment horizontal="left" vertical="center" wrapText="1"/>
    </xf>
    <xf numFmtId="0" fontId="85" fillId="3" borderId="4" xfId="0" applyFont="1" applyFill="1" applyBorder="1" applyAlignment="1">
      <alignment horizontal="left" vertical="center" wrapText="1"/>
    </xf>
    <xf numFmtId="0" fontId="85" fillId="3" borderId="34" xfId="0" applyFont="1" applyFill="1" applyBorder="1" applyAlignment="1">
      <alignment horizontal="left" vertical="center" wrapText="1"/>
    </xf>
    <xf numFmtId="0" fontId="85" fillId="3" borderId="28" xfId="0" applyFont="1" applyFill="1" applyBorder="1" applyAlignment="1">
      <alignment horizontal="left" vertical="top" wrapText="1"/>
    </xf>
    <xf numFmtId="0" fontId="85" fillId="3" borderId="4" xfId="0" applyFont="1" applyFill="1" applyBorder="1" applyAlignment="1">
      <alignment horizontal="left" vertical="top" wrapText="1"/>
    </xf>
    <xf numFmtId="0" fontId="79" fillId="11" borderId="0" xfId="0" applyFont="1" applyFill="1" applyAlignment="1">
      <alignment horizontal="left" wrapText="1"/>
    </xf>
    <xf numFmtId="0" fontId="84" fillId="11" borderId="0" xfId="0" applyFont="1" applyFill="1" applyAlignment="1">
      <alignment horizontal="left" wrapText="1"/>
    </xf>
    <xf numFmtId="2" fontId="81" fillId="0" borderId="0" xfId="0" applyNumberFormat="1" applyFont="1" applyAlignment="1">
      <alignment horizontal="center" vertical="center" wrapText="1"/>
    </xf>
    <xf numFmtId="0" fontId="81" fillId="0" borderId="0" xfId="0" applyFont="1" applyAlignment="1">
      <alignment horizontal="center" vertical="center" wrapText="1"/>
    </xf>
    <xf numFmtId="0" fontId="80" fillId="3" borderId="28" xfId="0" applyFont="1" applyFill="1" applyBorder="1" applyAlignment="1">
      <alignment horizontal="left" vertical="center" wrapText="1"/>
    </xf>
    <xf numFmtId="0" fontId="80" fillId="3" borderId="4" xfId="0" applyFont="1" applyFill="1" applyBorder="1" applyAlignment="1">
      <alignment horizontal="left" vertical="center" wrapText="1"/>
    </xf>
    <xf numFmtId="0" fontId="80" fillId="3" borderId="34" xfId="0" applyFont="1" applyFill="1" applyBorder="1" applyAlignment="1">
      <alignment horizontal="left" vertical="center" wrapText="1"/>
    </xf>
    <xf numFmtId="0" fontId="81" fillId="6" borderId="15" xfId="0" applyFont="1" applyFill="1" applyBorder="1" applyAlignment="1">
      <alignment horizontal="center" vertical="center" wrapText="1"/>
    </xf>
    <xf numFmtId="0" fontId="81" fillId="6" borderId="25" xfId="0" applyFont="1" applyFill="1" applyBorder="1" applyAlignment="1">
      <alignment horizontal="center" vertical="center" wrapText="1"/>
    </xf>
    <xf numFmtId="2" fontId="81" fillId="6" borderId="6" xfId="0" applyNumberFormat="1" applyFont="1" applyFill="1" applyBorder="1" applyAlignment="1">
      <alignment horizontal="center" vertical="center" wrapText="1"/>
    </xf>
    <xf numFmtId="2" fontId="81" fillId="6" borderId="7" xfId="0" applyNumberFormat="1" applyFont="1" applyFill="1" applyBorder="1" applyAlignment="1">
      <alignment horizontal="center" vertical="center" wrapText="1"/>
    </xf>
    <xf numFmtId="2" fontId="81" fillId="6" borderId="16" xfId="0" applyNumberFormat="1" applyFont="1" applyFill="1" applyBorder="1" applyAlignment="1">
      <alignment horizontal="center" vertical="center" wrapText="1"/>
    </xf>
    <xf numFmtId="2" fontId="81" fillId="6" borderId="57" xfId="0" applyNumberFormat="1" applyFont="1" applyFill="1" applyBorder="1" applyAlignment="1">
      <alignment horizontal="center" vertical="center" wrapText="1"/>
    </xf>
    <xf numFmtId="2" fontId="81" fillId="6" borderId="62" xfId="0" applyNumberFormat="1" applyFont="1" applyFill="1" applyBorder="1" applyAlignment="1">
      <alignment horizontal="center" vertical="center" wrapText="1"/>
    </xf>
    <xf numFmtId="0" fontId="80" fillId="3" borderId="28" xfId="0" applyFont="1" applyFill="1" applyBorder="1" applyAlignment="1">
      <alignment horizontal="left" vertical="top" wrapText="1"/>
    </xf>
    <xf numFmtId="0" fontId="80" fillId="3" borderId="4" xfId="0" applyFont="1" applyFill="1" applyBorder="1" applyAlignment="1">
      <alignment horizontal="left" vertical="top" wrapText="1"/>
    </xf>
    <xf numFmtId="2" fontId="93" fillId="6" borderId="7" xfId="0" applyNumberFormat="1" applyFont="1" applyFill="1" applyBorder="1" applyAlignment="1">
      <alignment horizontal="center" vertical="center" wrapText="1"/>
    </xf>
    <xf numFmtId="2" fontId="93" fillId="6" borderId="16" xfId="0" applyNumberFormat="1" applyFont="1" applyFill="1" applyBorder="1" applyAlignment="1">
      <alignment horizontal="center" vertical="center" wrapText="1"/>
    </xf>
    <xf numFmtId="0" fontId="81" fillId="6" borderId="5" xfId="0" applyFont="1" applyFill="1" applyBorder="1" applyAlignment="1">
      <alignment horizontal="center" vertical="center" wrapText="1"/>
    </xf>
    <xf numFmtId="0" fontId="79" fillId="11" borderId="5" xfId="0" applyFont="1" applyFill="1" applyBorder="1" applyAlignment="1">
      <alignment horizontal="left" vertical="center" wrapText="1"/>
    </xf>
    <xf numFmtId="2" fontId="79" fillId="0" borderId="0" xfId="0" applyNumberFormat="1" applyFont="1" applyAlignment="1">
      <alignment horizontal="center"/>
    </xf>
    <xf numFmtId="0" fontId="80" fillId="3" borderId="34" xfId="0" applyFont="1" applyFill="1" applyBorder="1" applyAlignment="1">
      <alignment horizontal="left" vertical="top" wrapText="1"/>
    </xf>
    <xf numFmtId="2" fontId="81" fillId="6" borderId="28" xfId="0" applyNumberFormat="1" applyFont="1" applyFill="1" applyBorder="1" applyAlignment="1">
      <alignment horizontal="center" vertical="center" wrapText="1"/>
    </xf>
    <xf numFmtId="2" fontId="81" fillId="6" borderId="4" xfId="0" applyNumberFormat="1" applyFont="1" applyFill="1" applyBorder="1" applyAlignment="1">
      <alignment horizontal="center" vertical="center" wrapText="1"/>
    </xf>
    <xf numFmtId="2" fontId="81" fillId="6" borderId="34" xfId="0" applyNumberFormat="1" applyFont="1" applyFill="1" applyBorder="1" applyAlignment="1">
      <alignment horizontal="center" vertical="center" wrapText="1"/>
    </xf>
    <xf numFmtId="0" fontId="79" fillId="11" borderId="28" xfId="0" applyFont="1" applyFill="1" applyBorder="1" applyAlignment="1">
      <alignment horizontal="left" vertical="center" wrapText="1"/>
    </xf>
    <xf numFmtId="0" fontId="79" fillId="11" borderId="4" xfId="0" applyFont="1" applyFill="1" applyBorder="1" applyAlignment="1">
      <alignment horizontal="left" vertical="center" wrapText="1"/>
    </xf>
    <xf numFmtId="0" fontId="79" fillId="11" borderId="29" xfId="0" applyFont="1" applyFill="1" applyBorder="1" applyAlignment="1">
      <alignment horizontal="left" vertical="center" wrapText="1"/>
    </xf>
    <xf numFmtId="0" fontId="81" fillId="6" borderId="21" xfId="0" applyFont="1" applyFill="1" applyBorder="1" applyAlignment="1">
      <alignment horizontal="center" vertical="center" wrapText="1"/>
    </xf>
    <xf numFmtId="0" fontId="81" fillId="6" borderId="22" xfId="0" applyFont="1" applyFill="1" applyBorder="1" applyAlignment="1">
      <alignment horizontal="center" vertical="center" wrapText="1"/>
    </xf>
    <xf numFmtId="0" fontId="81" fillId="6" borderId="10" xfId="0" applyFont="1" applyFill="1" applyBorder="1" applyAlignment="1">
      <alignment horizontal="center" vertical="center" wrapText="1"/>
    </xf>
    <xf numFmtId="2" fontId="81" fillId="6" borderId="30" xfId="0" applyNumberFormat="1" applyFont="1" applyFill="1" applyBorder="1" applyAlignment="1">
      <alignment horizontal="center" vertical="center" wrapText="1"/>
    </xf>
    <xf numFmtId="2" fontId="81" fillId="6" borderId="33" xfId="0" applyNumberFormat="1" applyFont="1" applyFill="1" applyBorder="1" applyAlignment="1">
      <alignment horizontal="center" vertical="center" wrapText="1"/>
    </xf>
    <xf numFmtId="2" fontId="81" fillId="6" borderId="31" xfId="0" applyNumberFormat="1" applyFont="1" applyFill="1" applyBorder="1" applyAlignment="1">
      <alignment horizontal="center" vertical="center" wrapText="1"/>
    </xf>
    <xf numFmtId="0" fontId="81" fillId="6" borderId="34" xfId="0" applyFont="1" applyFill="1" applyBorder="1" applyAlignment="1" applyProtection="1">
      <alignment horizontal="center" vertical="center"/>
      <protection hidden="1"/>
    </xf>
    <xf numFmtId="2" fontId="81" fillId="6" borderId="6" xfId="0" applyNumberFormat="1" applyFont="1" applyFill="1" applyBorder="1" applyAlignment="1" applyProtection="1">
      <alignment horizontal="center" vertical="center" wrapText="1"/>
      <protection hidden="1"/>
    </xf>
    <xf numFmtId="0" fontId="101" fillId="6" borderId="34" xfId="0" applyFont="1" applyFill="1" applyBorder="1" applyAlignment="1" applyProtection="1">
      <alignment horizontal="center" vertical="center" wrapText="1"/>
      <protection hidden="1"/>
    </xf>
    <xf numFmtId="2" fontId="81" fillId="25" borderId="6" xfId="0" applyNumberFormat="1" applyFont="1" applyFill="1" applyBorder="1" applyAlignment="1">
      <alignment horizontal="right" vertical="center" wrapText="1"/>
    </xf>
    <xf numFmtId="2" fontId="101" fillId="6" borderId="6" xfId="0" applyNumberFormat="1" applyFont="1" applyFill="1" applyBorder="1" applyAlignment="1" applyProtection="1">
      <alignment horizontal="center" vertical="center" wrapText="1"/>
      <protection hidden="1"/>
    </xf>
    <xf numFmtId="0" fontId="89" fillId="0" borderId="10" xfId="0" applyFont="1" applyBorder="1" applyAlignment="1" applyProtection="1">
      <alignment horizontal="left" vertical="center" wrapText="1"/>
      <protection hidden="1"/>
    </xf>
    <xf numFmtId="0" fontId="89" fillId="0" borderId="5" xfId="0" applyFont="1" applyBorder="1" applyAlignment="1" applyProtection="1">
      <alignment horizontal="left" vertical="center" wrapText="1"/>
      <protection hidden="1"/>
    </xf>
    <xf numFmtId="0" fontId="101" fillId="6" borderId="5" xfId="0" applyFont="1" applyFill="1" applyBorder="1" applyAlignment="1" applyProtection="1">
      <alignment horizontal="center" vertical="center"/>
      <protection hidden="1"/>
    </xf>
    <xf numFmtId="0" fontId="89" fillId="0" borderId="0" xfId="0" applyFont="1"/>
    <xf numFmtId="2" fontId="81" fillId="6" borderId="5" xfId="0" applyNumberFormat="1" applyFont="1" applyFill="1" applyBorder="1" applyAlignment="1" applyProtection="1">
      <alignment horizontal="center" vertical="center" wrapText="1"/>
      <protection hidden="1"/>
    </xf>
    <xf numFmtId="0" fontId="80" fillId="0" borderId="61" xfId="0" applyFont="1" applyBorder="1" applyAlignment="1" applyProtection="1">
      <alignment horizontal="center" vertical="center" wrapText="1"/>
      <protection hidden="1"/>
    </xf>
    <xf numFmtId="0" fontId="80" fillId="0" borderId="1" xfId="0" applyFont="1" applyBorder="1" applyAlignment="1" applyProtection="1">
      <alignment horizontal="center" vertical="center" wrapText="1"/>
      <protection hidden="1"/>
    </xf>
    <xf numFmtId="0" fontId="112" fillId="3" borderId="28" xfId="0" applyFont="1" applyFill="1" applyBorder="1" applyAlignment="1" applyProtection="1">
      <alignment horizontal="left" vertical="center" wrapText="1"/>
      <protection hidden="1"/>
    </xf>
    <xf numFmtId="0" fontId="112" fillId="3" borderId="4" xfId="0" applyFont="1" applyFill="1" applyBorder="1" applyAlignment="1" applyProtection="1">
      <alignment horizontal="left" vertical="center" wrapText="1"/>
      <protection hidden="1"/>
    </xf>
    <xf numFmtId="0" fontId="112" fillId="3" borderId="34" xfId="0" applyFont="1" applyFill="1" applyBorder="1" applyAlignment="1" applyProtection="1">
      <alignment horizontal="left" vertical="center" wrapText="1"/>
      <protection hidden="1"/>
    </xf>
    <xf numFmtId="0" fontId="90" fillId="0" borderId="0" xfId="0" applyFont="1" applyAlignment="1">
      <alignment horizontal="center" vertical="center" wrapText="1"/>
    </xf>
    <xf numFmtId="0" fontId="89" fillId="0" borderId="0" xfId="0" applyFont="1" applyAlignment="1">
      <alignment horizontal="left" vertical="center" wrapText="1"/>
    </xf>
    <xf numFmtId="0" fontId="90" fillId="0" borderId="5" xfId="0" applyFont="1" applyBorder="1" applyAlignment="1">
      <alignment horizontal="center" vertical="center" wrapText="1"/>
    </xf>
    <xf numFmtId="2" fontId="90" fillId="0" borderId="5" xfId="0" applyNumberFormat="1" applyFont="1" applyBorder="1" applyAlignment="1">
      <alignment horizontal="center" vertical="center" wrapText="1"/>
    </xf>
    <xf numFmtId="2" fontId="14" fillId="6" borderId="52" xfId="0" applyNumberFormat="1" applyFont="1" applyFill="1" applyBorder="1" applyAlignment="1" applyProtection="1">
      <alignment horizontal="center" vertical="center" wrapText="1"/>
      <protection hidden="1"/>
    </xf>
    <xf numFmtId="2" fontId="14" fillId="6" borderId="53" xfId="0" applyNumberFormat="1" applyFont="1" applyFill="1" applyBorder="1" applyAlignment="1" applyProtection="1">
      <alignment horizontal="center" vertical="center" wrapText="1"/>
      <protection hidden="1"/>
    </xf>
    <xf numFmtId="0" fontId="14" fillId="6" borderId="41" xfId="0" applyFont="1" applyFill="1" applyBorder="1" applyAlignment="1" applyProtection="1">
      <alignment horizontal="center" vertical="center" wrapText="1"/>
      <protection hidden="1"/>
    </xf>
    <xf numFmtId="0" fontId="14" fillId="6" borderId="51" xfId="0" applyFont="1" applyFill="1" applyBorder="1" applyAlignment="1" applyProtection="1">
      <alignment horizontal="center" vertical="center" wrapText="1"/>
      <protection hidden="1"/>
    </xf>
    <xf numFmtId="0" fontId="11" fillId="0" borderId="28" xfId="0" applyFont="1" applyBorder="1" applyAlignment="1" applyProtection="1">
      <alignment horizontal="left" vertical="center"/>
      <protection hidden="1"/>
    </xf>
    <xf numFmtId="0" fontId="11" fillId="0" borderId="4" xfId="0" applyFont="1" applyBorder="1" applyAlignment="1" applyProtection="1">
      <alignment horizontal="left" vertical="center"/>
      <protection hidden="1"/>
    </xf>
    <xf numFmtId="0" fontId="11" fillId="0" borderId="34" xfId="0" applyFont="1" applyBorder="1" applyAlignment="1" applyProtection="1">
      <alignment horizontal="left" vertical="center"/>
      <protection hidden="1"/>
    </xf>
    <xf numFmtId="0" fontId="14" fillId="6" borderId="54" xfId="0" applyFont="1" applyFill="1" applyBorder="1" applyAlignment="1" applyProtection="1">
      <alignment horizontal="center" vertical="center" wrapText="1"/>
      <protection hidden="1"/>
    </xf>
    <xf numFmtId="0" fontId="14" fillId="6" borderId="55" xfId="0" applyFont="1" applyFill="1" applyBorder="1" applyAlignment="1" applyProtection="1">
      <alignment horizontal="center" vertical="center" wrapText="1"/>
      <protection hidden="1"/>
    </xf>
    <xf numFmtId="0" fontId="14" fillId="6" borderId="56" xfId="0" applyFont="1" applyFill="1" applyBorder="1" applyAlignment="1" applyProtection="1">
      <alignment horizontal="center" vertical="center" wrapText="1"/>
      <protection hidden="1"/>
    </xf>
    <xf numFmtId="0" fontId="14" fillId="6" borderId="39" xfId="0" applyFont="1" applyFill="1" applyBorder="1" applyAlignment="1" applyProtection="1">
      <alignment horizontal="center" vertical="center" wrapText="1"/>
      <protection hidden="1"/>
    </xf>
    <xf numFmtId="0" fontId="14" fillId="6" borderId="43" xfId="0" applyFont="1" applyFill="1" applyBorder="1" applyAlignment="1" applyProtection="1">
      <alignment horizontal="center" vertical="center" wrapText="1"/>
      <protection hidden="1"/>
    </xf>
    <xf numFmtId="0" fontId="14" fillId="6" borderId="11" xfId="0" applyFont="1" applyFill="1" applyBorder="1" applyAlignment="1" applyProtection="1">
      <alignment horizontal="center" vertical="center" wrapText="1"/>
      <protection hidden="1"/>
    </xf>
    <xf numFmtId="2" fontId="14" fillId="6" borderId="6" xfId="0" applyNumberFormat="1" applyFont="1" applyFill="1" applyBorder="1" applyAlignment="1" applyProtection="1">
      <alignment horizontal="center" vertical="center" wrapText="1"/>
      <protection hidden="1"/>
    </xf>
    <xf numFmtId="0" fontId="80" fillId="0" borderId="28" xfId="0" applyFont="1" applyBorder="1" applyAlignment="1">
      <alignment horizontal="left" vertical="center" wrapText="1"/>
    </xf>
    <xf numFmtId="0" fontId="80" fillId="0" borderId="4" xfId="0" applyFont="1" applyBorder="1" applyAlignment="1">
      <alignment horizontal="left" vertical="center" wrapText="1"/>
    </xf>
    <xf numFmtId="0" fontId="80" fillId="0" borderId="34" xfId="0" applyFont="1" applyBorder="1" applyAlignment="1">
      <alignment horizontal="left" vertical="center" wrapText="1"/>
    </xf>
    <xf numFmtId="0" fontId="81" fillId="6" borderId="7" xfId="0" applyFont="1" applyFill="1" applyBorder="1" applyAlignment="1">
      <alignment horizontal="center" vertical="center" wrapText="1"/>
    </xf>
    <xf numFmtId="0" fontId="81" fillId="6" borderId="16" xfId="0" applyFont="1" applyFill="1" applyBorder="1" applyAlignment="1">
      <alignment horizontal="center" vertical="center" wrapText="1"/>
    </xf>
    <xf numFmtId="0" fontId="81" fillId="6" borderId="6" xfId="0" applyFont="1" applyFill="1" applyBorder="1" applyAlignment="1">
      <alignment horizontal="center" vertical="center" wrapText="1"/>
    </xf>
    <xf numFmtId="0" fontId="80" fillId="0" borderId="28" xfId="0" applyFont="1" applyBorder="1" applyAlignment="1">
      <alignment horizontal="left" vertical="center"/>
    </xf>
    <xf numFmtId="0" fontId="80" fillId="0" borderId="4" xfId="0" applyFont="1" applyBorder="1" applyAlignment="1">
      <alignment horizontal="left" vertical="center"/>
    </xf>
    <xf numFmtId="0" fontId="80" fillId="0" borderId="34" xfId="0" applyFont="1" applyBorder="1" applyAlignment="1">
      <alignment horizontal="left" vertical="center"/>
    </xf>
    <xf numFmtId="0" fontId="81" fillId="6" borderId="15" xfId="0" applyFont="1" applyFill="1" applyBorder="1" applyAlignment="1">
      <alignment horizontal="center" vertical="center"/>
    </xf>
    <xf numFmtId="0" fontId="81" fillId="6" borderId="25" xfId="0" applyFont="1" applyFill="1" applyBorder="1" applyAlignment="1">
      <alignment horizontal="center" vertical="center"/>
    </xf>
    <xf numFmtId="0" fontId="89" fillId="0" borderId="63" xfId="0" applyFont="1" applyBorder="1" applyAlignment="1">
      <alignment horizontal="left" vertical="center" wrapText="1"/>
    </xf>
    <xf numFmtId="0" fontId="89" fillId="0" borderId="66" xfId="0" applyFont="1" applyBorder="1" applyAlignment="1">
      <alignment horizontal="left" vertical="center" wrapText="1"/>
    </xf>
    <xf numFmtId="0" fontId="89" fillId="0" borderId="27" xfId="0" applyFont="1" applyBorder="1" applyAlignment="1">
      <alignment horizontal="left" vertical="center" wrapText="1"/>
    </xf>
    <xf numFmtId="2" fontId="101" fillId="6" borderId="6" xfId="0" applyNumberFormat="1" applyFont="1" applyFill="1" applyBorder="1" applyAlignment="1">
      <alignment horizontal="center" vertical="center" wrapText="1"/>
    </xf>
    <xf numFmtId="0" fontId="101" fillId="6" borderId="15" xfId="0" applyFont="1" applyFill="1" applyBorder="1" applyAlignment="1">
      <alignment horizontal="center" vertical="center" wrapText="1"/>
    </xf>
    <xf numFmtId="0" fontId="101" fillId="6" borderId="25" xfId="0" applyFont="1" applyFill="1" applyBorder="1" applyAlignment="1">
      <alignment horizontal="center" vertical="center" wrapText="1"/>
    </xf>
    <xf numFmtId="0" fontId="101" fillId="6" borderId="8" xfId="0" applyFont="1" applyFill="1" applyBorder="1" applyAlignment="1">
      <alignment horizontal="center" vertical="center" wrapText="1"/>
    </xf>
    <xf numFmtId="0" fontId="101" fillId="6" borderId="34" xfId="0" applyFont="1" applyFill="1" applyBorder="1" applyAlignment="1">
      <alignment horizontal="center" vertical="center" wrapText="1"/>
    </xf>
    <xf numFmtId="0" fontId="101" fillId="6" borderId="6" xfId="0" applyFont="1" applyFill="1" applyBorder="1" applyAlignment="1">
      <alignment horizontal="center" vertical="center" wrapText="1"/>
    </xf>
    <xf numFmtId="2" fontId="101" fillId="6" borderId="5" xfId="0" applyNumberFormat="1" applyFont="1" applyFill="1" applyBorder="1" applyAlignment="1">
      <alignment horizontal="center" vertical="center" wrapText="1"/>
    </xf>
    <xf numFmtId="0" fontId="89" fillId="3" borderId="33" xfId="0" applyFont="1" applyFill="1" applyBorder="1" applyAlignment="1">
      <alignment horizontal="left" vertical="center" wrapText="1"/>
    </xf>
    <xf numFmtId="0" fontId="89" fillId="3" borderId="31" xfId="0" applyFont="1" applyFill="1" applyBorder="1" applyAlignment="1">
      <alignment horizontal="left" vertical="center" wrapText="1"/>
    </xf>
    <xf numFmtId="0" fontId="90" fillId="0" borderId="0" xfId="0" applyFont="1" applyAlignment="1">
      <alignment horizontal="center" vertical="center"/>
    </xf>
    <xf numFmtId="0" fontId="101" fillId="6" borderId="7" xfId="0" applyFont="1" applyFill="1" applyBorder="1" applyAlignment="1">
      <alignment horizontal="center" vertical="center" wrapText="1"/>
    </xf>
    <xf numFmtId="0" fontId="101" fillId="6" borderId="16" xfId="0" applyFont="1" applyFill="1" applyBorder="1" applyAlignment="1">
      <alignment horizontal="center" vertical="center" wrapText="1"/>
    </xf>
    <xf numFmtId="2" fontId="101" fillId="6" borderId="52" xfId="0" applyNumberFormat="1" applyFont="1" applyFill="1" applyBorder="1" applyAlignment="1">
      <alignment horizontal="center" vertical="center" wrapText="1"/>
    </xf>
    <xf numFmtId="2" fontId="101" fillId="6" borderId="53" xfId="0" applyNumberFormat="1" applyFont="1" applyFill="1" applyBorder="1" applyAlignment="1">
      <alignment horizontal="center" vertical="center" wrapText="1"/>
    </xf>
    <xf numFmtId="2" fontId="101" fillId="6" borderId="45" xfId="0" applyNumberFormat="1" applyFont="1" applyFill="1" applyBorder="1" applyAlignment="1">
      <alignment horizontal="center" vertical="center" wrapText="1"/>
    </xf>
    <xf numFmtId="0" fontId="89" fillId="0" borderId="30" xfId="0" applyFont="1" applyBorder="1" applyAlignment="1">
      <alignment horizontal="left" vertical="center" wrapText="1"/>
    </xf>
    <xf numFmtId="0" fontId="89" fillId="0" borderId="33" xfId="0" applyFont="1" applyBorder="1" applyAlignment="1">
      <alignment horizontal="left" vertical="center" wrapText="1"/>
    </xf>
    <xf numFmtId="0" fontId="89" fillId="0" borderId="32" xfId="0" applyFont="1" applyBorder="1" applyAlignment="1">
      <alignment horizontal="left" vertical="center" wrapText="1"/>
    </xf>
    <xf numFmtId="0" fontId="89" fillId="0" borderId="29" xfId="0" applyFont="1" applyBorder="1" applyAlignment="1">
      <alignment horizontal="left" vertical="center" wrapText="1"/>
    </xf>
    <xf numFmtId="0" fontId="101" fillId="6" borderId="43" xfId="0" applyFont="1" applyFill="1" applyBorder="1" applyAlignment="1">
      <alignment horizontal="center" vertical="center" wrapText="1"/>
    </xf>
    <xf numFmtId="0" fontId="101" fillId="6" borderId="10" xfId="0" applyFont="1" applyFill="1" applyBorder="1" applyAlignment="1">
      <alignment horizontal="center" vertical="center" wrapText="1"/>
    </xf>
    <xf numFmtId="2" fontId="95" fillId="6" borderId="6" xfId="0" applyNumberFormat="1" applyFont="1" applyFill="1" applyBorder="1" applyAlignment="1">
      <alignment horizontal="center" vertical="center" wrapText="1"/>
    </xf>
    <xf numFmtId="2" fontId="95" fillId="6" borderId="15" xfId="0" applyNumberFormat="1" applyFont="1" applyFill="1" applyBorder="1" applyAlignment="1">
      <alignment horizontal="center" vertical="center" wrapText="1"/>
    </xf>
    <xf numFmtId="3" fontId="89" fillId="0" borderId="40" xfId="0" applyNumberFormat="1" applyFont="1" applyBorder="1" applyAlignment="1">
      <alignment horizontal="left" vertical="center" wrapText="1"/>
    </xf>
    <xf numFmtId="3" fontId="89" fillId="0" borderId="53" xfId="0" applyNumberFormat="1" applyFont="1" applyBorder="1" applyAlignment="1">
      <alignment horizontal="left" vertical="center"/>
    </xf>
    <xf numFmtId="3" fontId="89" fillId="0" borderId="8" xfId="0" applyNumberFormat="1" applyFont="1" applyBorder="1" applyAlignment="1">
      <alignment horizontal="left" vertical="center"/>
    </xf>
    <xf numFmtId="0" fontId="101" fillId="6" borderId="29" xfId="0" applyFont="1" applyFill="1" applyBorder="1" applyAlignment="1">
      <alignment horizontal="center" vertical="center" wrapText="1"/>
    </xf>
    <xf numFmtId="0" fontId="90" fillId="0" borderId="0" xfId="0" applyFont="1" applyAlignment="1">
      <alignment horizontal="center"/>
    </xf>
    <xf numFmtId="0" fontId="81" fillId="6" borderId="6" xfId="607" applyFont="1" applyFill="1" applyBorder="1" applyAlignment="1">
      <alignment horizontal="center" vertical="center" wrapText="1"/>
    </xf>
    <xf numFmtId="0" fontId="81" fillId="6" borderId="5" xfId="607" applyFont="1" applyFill="1" applyBorder="1" applyAlignment="1">
      <alignment horizontal="center" vertical="center" wrapText="1"/>
    </xf>
    <xf numFmtId="0" fontId="81" fillId="6" borderId="15" xfId="607" applyFont="1" applyFill="1" applyBorder="1" applyAlignment="1">
      <alignment horizontal="center" vertical="center" wrapText="1"/>
    </xf>
    <xf numFmtId="0" fontId="81" fillId="6" borderId="25" xfId="607" applyFont="1" applyFill="1" applyBorder="1" applyAlignment="1">
      <alignment horizontal="center" vertical="center" wrapText="1"/>
    </xf>
    <xf numFmtId="0" fontId="79" fillId="0" borderId="5" xfId="607" applyFont="1" applyBorder="1" applyAlignment="1">
      <alignment horizontal="center" vertical="center"/>
    </xf>
    <xf numFmtId="0" fontId="81" fillId="6" borderId="7" xfId="607" applyFont="1" applyFill="1" applyBorder="1" applyAlignment="1">
      <alignment horizontal="center" vertical="center" wrapText="1"/>
    </xf>
    <xf numFmtId="0" fontId="81" fillId="6" borderId="16" xfId="607" applyFont="1" applyFill="1" applyBorder="1" applyAlignment="1">
      <alignment horizontal="center" vertical="center" wrapText="1"/>
    </xf>
    <xf numFmtId="0" fontId="80" fillId="3" borderId="32" xfId="607" applyFont="1" applyFill="1" applyBorder="1" applyAlignment="1">
      <alignment horizontal="left" vertical="center" wrapText="1"/>
    </xf>
    <xf numFmtId="0" fontId="80" fillId="3" borderId="29" xfId="607" applyFont="1" applyFill="1" applyBorder="1" applyAlignment="1">
      <alignment horizontal="left" vertical="center" wrapText="1"/>
    </xf>
    <xf numFmtId="0" fontId="80" fillId="3" borderId="14" xfId="607" applyFont="1" applyFill="1" applyBorder="1" applyAlignment="1">
      <alignment horizontal="left" vertical="center" wrapText="1"/>
    </xf>
    <xf numFmtId="0" fontId="81" fillId="6" borderId="57" xfId="607" applyFont="1" applyFill="1" applyBorder="1" applyAlignment="1">
      <alignment horizontal="center" vertical="center"/>
    </xf>
    <xf numFmtId="0" fontId="81" fillId="6" borderId="44" xfId="607" applyFont="1" applyFill="1" applyBorder="1" applyAlignment="1">
      <alignment horizontal="center" vertical="center"/>
    </xf>
    <xf numFmtId="0" fontId="89" fillId="0" borderId="28" xfId="0" applyFont="1" applyBorder="1" applyAlignment="1">
      <alignment horizontal="left" wrapText="1"/>
    </xf>
    <xf numFmtId="0" fontId="89" fillId="0" borderId="4" xfId="0" applyFont="1" applyBorder="1" applyAlignment="1">
      <alignment horizontal="left" wrapText="1"/>
    </xf>
    <xf numFmtId="0" fontId="89" fillId="0" borderId="34" xfId="0" applyFont="1" applyBorder="1" applyAlignment="1">
      <alignment horizontal="left" wrapText="1"/>
    </xf>
    <xf numFmtId="2" fontId="101" fillId="6" borderId="15" xfId="0" applyNumberFormat="1" applyFont="1" applyFill="1" applyBorder="1" applyAlignment="1">
      <alignment horizontal="center" vertical="center" wrapText="1"/>
    </xf>
    <xf numFmtId="2" fontId="101" fillId="6" borderId="25" xfId="0" applyNumberFormat="1" applyFont="1" applyFill="1" applyBorder="1" applyAlignment="1">
      <alignment horizontal="center" vertical="center" wrapText="1"/>
    </xf>
    <xf numFmtId="0" fontId="101" fillId="6" borderId="34" xfId="0" applyFont="1" applyFill="1" applyBorder="1" applyAlignment="1">
      <alignment horizontal="center" wrapText="1"/>
    </xf>
    <xf numFmtId="0" fontId="101" fillId="6" borderId="56" xfId="0" applyFont="1" applyFill="1" applyBorder="1" applyAlignment="1">
      <alignment horizontal="center" vertical="center" wrapText="1"/>
    </xf>
    <xf numFmtId="0" fontId="101" fillId="6" borderId="19" xfId="0" applyFont="1" applyFill="1" applyBorder="1" applyAlignment="1">
      <alignment horizontal="center" vertical="center" wrapText="1"/>
    </xf>
    <xf numFmtId="0" fontId="90" fillId="0" borderId="0" xfId="0" applyFont="1" applyAlignment="1">
      <alignment horizontal="left" vertical="center"/>
    </xf>
    <xf numFmtId="0" fontId="90" fillId="0" borderId="37" xfId="0" applyFont="1" applyBorder="1" applyAlignment="1">
      <alignment horizontal="center" vertical="center" wrapText="1"/>
    </xf>
    <xf numFmtId="0" fontId="101" fillId="6" borderId="7" xfId="0" applyFont="1" applyFill="1" applyBorder="1" applyAlignment="1">
      <alignment horizontal="center" vertical="center"/>
    </xf>
    <xf numFmtId="0" fontId="101" fillId="6" borderId="16" xfId="0" applyFont="1" applyFill="1" applyBorder="1" applyAlignment="1">
      <alignment horizontal="center" vertical="center"/>
    </xf>
    <xf numFmtId="0" fontId="101" fillId="6" borderId="6" xfId="0" applyFont="1" applyFill="1" applyBorder="1" applyAlignment="1">
      <alignment horizontal="center" vertical="center"/>
    </xf>
    <xf numFmtId="0" fontId="101" fillId="6" borderId="5" xfId="0" applyFont="1" applyFill="1" applyBorder="1" applyAlignment="1">
      <alignment horizontal="center" vertical="center"/>
    </xf>
    <xf numFmtId="2" fontId="101" fillId="6" borderId="6" xfId="0" applyNumberFormat="1" applyFont="1" applyFill="1" applyBorder="1" applyAlignment="1">
      <alignment horizontal="right" vertical="center" wrapText="1"/>
    </xf>
    <xf numFmtId="2" fontId="101" fillId="6" borderId="15" xfId="0" applyNumberFormat="1" applyFont="1" applyFill="1" applyBorder="1" applyAlignment="1">
      <alignment horizontal="right" vertical="center" wrapText="1"/>
    </xf>
    <xf numFmtId="0" fontId="123" fillId="28" borderId="54" xfId="0" applyFont="1" applyFill="1" applyBorder="1" applyAlignment="1">
      <alignment horizontal="center" vertical="center" wrapText="1"/>
    </xf>
    <xf numFmtId="0" fontId="123" fillId="28" borderId="79" xfId="0" applyFont="1" applyFill="1" applyBorder="1" applyAlignment="1">
      <alignment horizontal="center" vertical="center" wrapText="1"/>
    </xf>
    <xf numFmtId="0" fontId="123" fillId="28" borderId="55" xfId="0" applyFont="1" applyFill="1" applyBorder="1" applyAlignment="1">
      <alignment horizontal="center" vertical="center" wrapText="1"/>
    </xf>
    <xf numFmtId="0" fontId="123" fillId="0" borderId="54" xfId="0" applyFont="1" applyBorder="1" applyAlignment="1">
      <alignment horizontal="center" vertical="center" wrapText="1"/>
    </xf>
    <xf numFmtId="0" fontId="123" fillId="0" borderId="79" xfId="0" applyFont="1" applyBorder="1" applyAlignment="1">
      <alignment horizontal="center" vertical="center" wrapText="1"/>
    </xf>
    <xf numFmtId="0" fontId="123" fillId="0" borderId="55" xfId="0" applyFont="1" applyBorder="1" applyAlignment="1">
      <alignment horizontal="center" vertical="center" wrapText="1"/>
    </xf>
    <xf numFmtId="0" fontId="101" fillId="6" borderId="56" xfId="1376" applyFont="1" applyFill="1" applyBorder="1" applyAlignment="1">
      <alignment horizontal="left" vertical="center"/>
    </xf>
    <xf numFmtId="0" fontId="101" fillId="6" borderId="19" xfId="1376" applyFont="1" applyFill="1" applyBorder="1" applyAlignment="1">
      <alignment horizontal="left" vertical="center"/>
    </xf>
    <xf numFmtId="2" fontId="101" fillId="6" borderId="52" xfId="1376" applyNumberFormat="1" applyFont="1" applyFill="1" applyBorder="1" applyAlignment="1">
      <alignment horizontal="center" vertical="center" wrapText="1"/>
    </xf>
    <xf numFmtId="2" fontId="101" fillId="6" borderId="53" xfId="1376" applyNumberFormat="1" applyFont="1" applyFill="1" applyBorder="1" applyAlignment="1">
      <alignment horizontal="center" vertical="center" wrapText="1"/>
    </xf>
    <xf numFmtId="2" fontId="101" fillId="6" borderId="45" xfId="1376" applyNumberFormat="1" applyFont="1" applyFill="1" applyBorder="1" applyAlignment="1">
      <alignment horizontal="center" vertical="center" wrapText="1"/>
    </xf>
    <xf numFmtId="0" fontId="101" fillId="6" borderId="43" xfId="1376" applyFont="1" applyFill="1" applyBorder="1" applyAlignment="1">
      <alignment horizontal="center" vertical="center"/>
    </xf>
    <xf numFmtId="0" fontId="101" fillId="6" borderId="10" xfId="1376" applyFont="1" applyFill="1" applyBorder="1" applyAlignment="1">
      <alignment horizontal="center" vertical="center"/>
    </xf>
    <xf numFmtId="2" fontId="101" fillId="6" borderId="43" xfId="1376" applyNumberFormat="1" applyFont="1" applyFill="1" applyBorder="1" applyAlignment="1">
      <alignment horizontal="center" vertical="center" wrapText="1"/>
    </xf>
    <xf numFmtId="2" fontId="101" fillId="6" borderId="10" xfId="1376" applyNumberFormat="1" applyFont="1" applyFill="1" applyBorder="1" applyAlignment="1">
      <alignment horizontal="center" vertical="center" wrapText="1"/>
    </xf>
    <xf numFmtId="0" fontId="81" fillId="8" borderId="5" xfId="0" applyFont="1" applyFill="1" applyBorder="1" applyAlignment="1">
      <alignment horizontal="center" vertical="center" wrapText="1"/>
    </xf>
    <xf numFmtId="0" fontId="81" fillId="8" borderId="5" xfId="0" applyFont="1" applyFill="1" applyBorder="1" applyAlignment="1">
      <alignment horizontal="center" vertical="center"/>
    </xf>
    <xf numFmtId="0" fontId="0" fillId="0" borderId="0" xfId="0"/>
    <xf numFmtId="0" fontId="17" fillId="6" borderId="5" xfId="0" applyFont="1" applyFill="1" applyBorder="1" applyAlignment="1">
      <alignment horizontal="center" vertical="center" wrapText="1"/>
    </xf>
    <xf numFmtId="0" fontId="80" fillId="0" borderId="0" xfId="0" applyFont="1" applyAlignment="1">
      <alignment vertical="center" wrapText="1"/>
    </xf>
    <xf numFmtId="0" fontId="80" fillId="0" borderId="18" xfId="0" applyFont="1" applyBorder="1" applyAlignment="1">
      <alignment vertical="center" wrapText="1"/>
    </xf>
    <xf numFmtId="0" fontId="89" fillId="3" borderId="30" xfId="0" applyFont="1" applyFill="1" applyBorder="1" applyAlignment="1">
      <alignment horizontal="left" vertical="center" wrapText="1"/>
    </xf>
    <xf numFmtId="0" fontId="89" fillId="0" borderId="32" xfId="0" applyFont="1" applyBorder="1" applyAlignment="1">
      <alignment vertical="center" wrapText="1"/>
    </xf>
    <xf numFmtId="0" fontId="89" fillId="0" borderId="29" xfId="0" applyFont="1" applyBorder="1" applyAlignment="1">
      <alignment vertical="center" wrapText="1"/>
    </xf>
    <xf numFmtId="0" fontId="89" fillId="0" borderId="14" xfId="0" applyFont="1" applyBorder="1" applyAlignment="1">
      <alignment vertical="center" wrapText="1"/>
    </xf>
    <xf numFmtId="0" fontId="89" fillId="0" borderId="0" xfId="0" applyFont="1" applyAlignment="1">
      <alignment vertical="center" wrapText="1"/>
    </xf>
    <xf numFmtId="0" fontId="89" fillId="0" borderId="18" xfId="0" applyFont="1" applyBorder="1" applyAlignment="1">
      <alignment vertical="center" wrapText="1"/>
    </xf>
    <xf numFmtId="0" fontId="90" fillId="0" borderId="0" xfId="0" applyFont="1"/>
    <xf numFmtId="0" fontId="89" fillId="0" borderId="5" xfId="0" applyFont="1" applyBorder="1" applyAlignment="1">
      <alignment horizontal="left" vertical="center" wrapText="1"/>
    </xf>
    <xf numFmtId="43" fontId="79" fillId="6" borderId="6" xfId="0" applyNumberFormat="1" applyFont="1" applyFill="1" applyBorder="1" applyAlignment="1">
      <alignment horizontal="center" vertical="center" wrapText="1"/>
    </xf>
    <xf numFmtId="43" fontId="80" fillId="0" borderId="5" xfId="0" applyNumberFormat="1" applyFont="1" applyBorder="1"/>
    <xf numFmtId="43" fontId="79" fillId="6" borderId="28" xfId="0" applyNumberFormat="1" applyFont="1" applyFill="1" applyBorder="1" applyAlignment="1">
      <alignment horizontal="center" vertical="center" wrapText="1"/>
    </xf>
    <xf numFmtId="43" fontId="79" fillId="6" borderId="34" xfId="0" applyNumberFormat="1" applyFont="1" applyFill="1" applyBorder="1" applyAlignment="1">
      <alignment horizontal="center" vertical="center" wrapText="1"/>
    </xf>
    <xf numFmtId="43" fontId="80" fillId="0" borderId="5" xfId="0" applyNumberFormat="1" applyFont="1" applyBorder="1" applyAlignment="1">
      <alignment wrapText="1"/>
    </xf>
    <xf numFmtId="0" fontId="80" fillId="0" borderId="0" xfId="0" applyFont="1" applyAlignment="1">
      <alignment wrapText="1"/>
    </xf>
    <xf numFmtId="43" fontId="79" fillId="6" borderId="7" xfId="0" applyNumberFormat="1" applyFont="1" applyFill="1" applyBorder="1" applyAlignment="1">
      <alignment horizontal="center" vertical="center" wrapText="1"/>
    </xf>
    <xf numFmtId="43" fontId="79" fillId="6" borderId="16" xfId="0" applyNumberFormat="1" applyFont="1" applyFill="1" applyBorder="1" applyAlignment="1">
      <alignment horizontal="center" vertical="center" wrapText="1"/>
    </xf>
    <xf numFmtId="43" fontId="79" fillId="6" borderId="5" xfId="0" applyNumberFormat="1" applyFont="1" applyFill="1" applyBorder="1" applyAlignment="1">
      <alignment horizontal="center" vertical="center" wrapText="1"/>
    </xf>
    <xf numFmtId="43" fontId="79" fillId="6" borderId="52" xfId="0" applyNumberFormat="1" applyFont="1" applyFill="1" applyBorder="1" applyAlignment="1">
      <alignment horizontal="center" vertical="center" wrapText="1"/>
    </xf>
    <xf numFmtId="43" fontId="79" fillId="6" borderId="8" xfId="0" applyNumberFormat="1" applyFont="1" applyFill="1" applyBorder="1" applyAlignment="1">
      <alignment horizontal="center" vertical="center" wrapText="1"/>
    </xf>
    <xf numFmtId="43" fontId="79" fillId="6" borderId="15" xfId="0" applyNumberFormat="1" applyFont="1" applyFill="1" applyBorder="1" applyAlignment="1">
      <alignment horizontal="center" vertical="center" wrapText="1"/>
    </xf>
    <xf numFmtId="43" fontId="80" fillId="0" borderId="25" xfId="0" applyNumberFormat="1" applyFont="1" applyBorder="1"/>
    <xf numFmtId="43" fontId="79" fillId="6" borderId="32" xfId="0" applyNumberFormat="1" applyFont="1" applyFill="1" applyBorder="1" applyAlignment="1">
      <alignment horizontal="center" vertical="center" wrapText="1"/>
    </xf>
    <xf numFmtId="43" fontId="79" fillId="6" borderId="14" xfId="0" applyNumberFormat="1" applyFont="1" applyFill="1" applyBorder="1" applyAlignment="1">
      <alignment horizontal="center" vertical="center" wrapText="1"/>
    </xf>
    <xf numFmtId="0" fontId="84" fillId="0" borderId="0" xfId="0" applyFont="1" applyAlignment="1">
      <alignment horizontal="center"/>
    </xf>
    <xf numFmtId="0" fontId="88" fillId="0" borderId="52" xfId="0" applyFont="1" applyBorder="1" applyAlignment="1">
      <alignment horizontal="left" vertical="center" wrapText="1"/>
    </xf>
    <xf numFmtId="0" fontId="88" fillId="0" borderId="53" xfId="0" applyFont="1" applyBorder="1" applyAlignment="1">
      <alignment horizontal="left" vertical="center" wrapText="1"/>
    </xf>
    <xf numFmtId="0" fontId="88" fillId="0" borderId="8" xfId="0" applyFont="1" applyBorder="1" applyAlignment="1">
      <alignment horizontal="left" vertical="center" wrapText="1"/>
    </xf>
    <xf numFmtId="0" fontId="81" fillId="8" borderId="7" xfId="0" applyFont="1" applyFill="1" applyBorder="1" applyAlignment="1">
      <alignment horizontal="center" vertical="center" wrapText="1"/>
    </xf>
    <xf numFmtId="0" fontId="81" fillId="8" borderId="16" xfId="0" applyFont="1" applyFill="1" applyBorder="1" applyAlignment="1">
      <alignment horizontal="center" vertical="center" wrapText="1"/>
    </xf>
    <xf numFmtId="0" fontId="81" fillId="8" borderId="6" xfId="0" applyFont="1" applyFill="1" applyBorder="1" applyAlignment="1">
      <alignment horizontal="center" vertical="center" wrapText="1"/>
    </xf>
    <xf numFmtId="0" fontId="81" fillId="8" borderId="15" xfId="0" applyFont="1" applyFill="1" applyBorder="1" applyAlignment="1">
      <alignment horizontal="center" vertical="center" wrapText="1"/>
    </xf>
    <xf numFmtId="0" fontId="81" fillId="8" borderId="25" xfId="0" applyFont="1" applyFill="1" applyBorder="1" applyAlignment="1">
      <alignment horizontal="center" vertical="center" wrapText="1"/>
    </xf>
    <xf numFmtId="2" fontId="81" fillId="6" borderId="15" xfId="0" applyNumberFormat="1" applyFont="1" applyFill="1" applyBorder="1" applyAlignment="1">
      <alignment horizontal="center" vertical="center" wrapText="1"/>
    </xf>
    <xf numFmtId="0" fontId="100" fillId="0" borderId="0" xfId="0" applyFont="1" applyAlignment="1">
      <alignment horizontal="left" vertical="center" wrapText="1"/>
    </xf>
    <xf numFmtId="0" fontId="80" fillId="0" borderId="0" xfId="0" applyFont="1" applyAlignment="1">
      <alignment horizontal="left" vertical="center" wrapText="1"/>
    </xf>
    <xf numFmtId="3" fontId="81" fillId="6" borderId="6" xfId="0" applyNumberFormat="1" applyFont="1" applyFill="1" applyBorder="1" applyAlignment="1">
      <alignment horizontal="center" vertical="center" wrapText="1"/>
    </xf>
    <xf numFmtId="3" fontId="81" fillId="6" borderId="5" xfId="0" applyNumberFormat="1" applyFont="1" applyFill="1" applyBorder="1" applyAlignment="1">
      <alignment horizontal="center" vertical="center" wrapText="1"/>
    </xf>
    <xf numFmtId="0" fontId="95" fillId="22" borderId="6" xfId="0" applyFont="1" applyFill="1" applyBorder="1" applyAlignment="1">
      <alignment horizontal="center" vertical="center" wrapText="1"/>
    </xf>
    <xf numFmtId="0" fontId="93" fillId="22" borderId="6" xfId="607" applyFont="1" applyFill="1" applyBorder="1" applyAlignment="1">
      <alignment horizontal="center" vertical="center" wrapText="1"/>
    </xf>
    <xf numFmtId="0" fontId="93" fillId="22" borderId="6" xfId="0" applyFont="1" applyFill="1" applyBorder="1" applyAlignment="1">
      <alignment horizontal="center" vertical="center" wrapText="1"/>
    </xf>
    <xf numFmtId="0" fontId="95" fillId="22" borderId="52" xfId="0" applyFont="1" applyFill="1" applyBorder="1" applyAlignment="1">
      <alignment horizontal="center" vertical="center" wrapText="1"/>
    </xf>
    <xf numFmtId="0" fontId="95" fillId="22" borderId="8" xfId="0" applyFont="1" applyFill="1" applyBorder="1" applyAlignment="1">
      <alignment horizontal="center" vertical="center" wrapText="1"/>
    </xf>
    <xf numFmtId="0" fontId="93" fillId="22" borderId="6" xfId="0" applyFont="1" applyFill="1" applyBorder="1" applyAlignment="1">
      <alignment horizontal="center" vertical="center"/>
    </xf>
    <xf numFmtId="0" fontId="93" fillId="22" borderId="15" xfId="0" applyFont="1" applyFill="1" applyBorder="1" applyAlignment="1">
      <alignment horizontal="center" vertical="center"/>
    </xf>
    <xf numFmtId="0" fontId="93" fillId="22" borderId="8" xfId="0" applyFont="1" applyFill="1" applyBorder="1" applyAlignment="1">
      <alignment horizontal="center" vertical="center"/>
    </xf>
  </cellXfs>
  <cellStyles count="30002">
    <cellStyle name="20% - Accent1 2" xfId="8893"/>
    <cellStyle name="20% - Accent1 3" xfId="8892"/>
    <cellStyle name="20% - Accent1 4" xfId="8891"/>
    <cellStyle name="20% - Accent1 5" xfId="8890"/>
    <cellStyle name="20% - Accent2 2" xfId="8889"/>
    <cellStyle name="20% - Accent2 3" xfId="8888"/>
    <cellStyle name="20% - Accent2 4" xfId="8887"/>
    <cellStyle name="20% - Accent2 5" xfId="8886"/>
    <cellStyle name="20% - Accent3 2" xfId="8885"/>
    <cellStyle name="20% - Accent3 3" xfId="8884"/>
    <cellStyle name="20% - Accent3 4" xfId="8883"/>
    <cellStyle name="20% - Accent3 5" xfId="8882"/>
    <cellStyle name="20% - Accent4 2" xfId="8881"/>
    <cellStyle name="20% - Accent4 3" xfId="8880"/>
    <cellStyle name="20% - Accent4 4" xfId="8879"/>
    <cellStyle name="20% - Accent4 5" xfId="8878"/>
    <cellStyle name="20% - Accent5 2" xfId="8877"/>
    <cellStyle name="20% - Accent5 3" xfId="8876"/>
    <cellStyle name="20% - Accent5 4" xfId="8875"/>
    <cellStyle name="20% - Accent5 5" xfId="8874"/>
    <cellStyle name="20% - Accent6 2" xfId="8873"/>
    <cellStyle name="20% - Accent6 3" xfId="8872"/>
    <cellStyle name="20% - Accent6 4" xfId="8871"/>
    <cellStyle name="20% - Accent6 5" xfId="8870"/>
    <cellStyle name="40% - Accent1 2" xfId="8869"/>
    <cellStyle name="40% - Accent1 3" xfId="8868"/>
    <cellStyle name="40% - Accent1 4" xfId="8867"/>
    <cellStyle name="40% - Accent1 5" xfId="8866"/>
    <cellStyle name="40% - Accent2 2" xfId="8865"/>
    <cellStyle name="40% - Accent2 3" xfId="8864"/>
    <cellStyle name="40% - Accent2 4" xfId="9159"/>
    <cellStyle name="40% - Accent2 5" xfId="9139"/>
    <cellStyle name="40% - Accent3 2" xfId="9117"/>
    <cellStyle name="40% - Accent3 3" xfId="9093"/>
    <cellStyle name="40% - Accent3 4" xfId="9071"/>
    <cellStyle name="40% - Accent3 5" xfId="9051"/>
    <cellStyle name="40% - Accent4 2" xfId="9029"/>
    <cellStyle name="40% - Accent4 3" xfId="8920"/>
    <cellStyle name="40% - Accent4 4" xfId="9333"/>
    <cellStyle name="40% - Accent4 5" xfId="9330"/>
    <cellStyle name="40% - Accent5 2" xfId="9308"/>
    <cellStyle name="40% - Accent5 3" xfId="9286"/>
    <cellStyle name="40% - Accent5 4" xfId="9262"/>
    <cellStyle name="40% - Accent5 5" xfId="9240"/>
    <cellStyle name="40% - Accent6 2" xfId="9220"/>
    <cellStyle name="40% - Accent6 3" xfId="9199"/>
    <cellStyle name="40% - Accent6 4" xfId="9177"/>
    <cellStyle name="40% - Accent6 5" xfId="8863"/>
    <cellStyle name="60% - Accent1 2" xfId="9158"/>
    <cellStyle name="60% - Accent1 3" xfId="9138"/>
    <cellStyle name="60% - Accent1 4" xfId="9116"/>
    <cellStyle name="60% - Accent1 5" xfId="9092"/>
    <cellStyle name="60% - Accent2 2" xfId="9070"/>
    <cellStyle name="60% - Accent2 3" xfId="9050"/>
    <cellStyle name="60% - Accent2 4" xfId="9028"/>
    <cellStyle name="60% - Accent2 5" xfId="8919"/>
    <cellStyle name="60% - Accent3 2" xfId="9332"/>
    <cellStyle name="60% - Accent3 3" xfId="9329"/>
    <cellStyle name="60% - Accent3 4" xfId="9307"/>
    <cellStyle name="60% - Accent3 5" xfId="9285"/>
    <cellStyle name="60% - Accent4 2" xfId="9261"/>
    <cellStyle name="60% - Accent4 3" xfId="9239"/>
    <cellStyle name="60% - Accent4 4" xfId="9219"/>
    <cellStyle name="60% - Accent4 5" xfId="9198"/>
    <cellStyle name="60% - Accent5 2" xfId="9176"/>
    <cellStyle name="60% - Accent5 3" xfId="8862"/>
    <cellStyle name="60% - Accent5 4" xfId="8861"/>
    <cellStyle name="60% - Accent5 5" xfId="8860"/>
    <cellStyle name="60% - Accent6 2" xfId="8859"/>
    <cellStyle name="60% - Accent6 3" xfId="8858"/>
    <cellStyle name="60% - Accent6 4" xfId="8857"/>
    <cellStyle name="60% - Accent6 5" xfId="8856"/>
    <cellStyle name="75" xfId="1"/>
    <cellStyle name="Accent1 2" xfId="8855"/>
    <cellStyle name="Accent1 3" xfId="8854"/>
    <cellStyle name="Accent1 4" xfId="8853"/>
    <cellStyle name="Accent1 5" xfId="8852"/>
    <cellStyle name="Accent2 2" xfId="8851"/>
    <cellStyle name="Accent2 3" xfId="8850"/>
    <cellStyle name="Accent2 4" xfId="8849"/>
    <cellStyle name="Accent2 5" xfId="8848"/>
    <cellStyle name="Accent3 2" xfId="8847"/>
    <cellStyle name="Accent3 3" xfId="8846"/>
    <cellStyle name="Accent3 4" xfId="8845"/>
    <cellStyle name="Accent3 5" xfId="8844"/>
    <cellStyle name="Accent4 2" xfId="8843"/>
    <cellStyle name="Accent4 3" xfId="8842"/>
    <cellStyle name="Accent4 4" xfId="8841"/>
    <cellStyle name="Accent4 5" xfId="8840"/>
    <cellStyle name="Accent5 2" xfId="8839"/>
    <cellStyle name="Accent5 3" xfId="8838"/>
    <cellStyle name="Accent5 4" xfId="8837"/>
    <cellStyle name="Accent5 5" xfId="8836"/>
    <cellStyle name="Accent6 2" xfId="8835"/>
    <cellStyle name="Accent6 3" xfId="8834"/>
    <cellStyle name="Accent6 4" xfId="8833"/>
    <cellStyle name="Accent6 5" xfId="8832"/>
    <cellStyle name="ÅëÈ­ [0]_±âÅ¸" xfId="2"/>
    <cellStyle name="ÅëÈ­_±âÅ¸" xfId="3"/>
    <cellStyle name="args.s - Style1" xfId="4"/>
    <cellStyle name="args.style" xfId="5"/>
    <cellStyle name="args.style 2" xfId="8831"/>
    <cellStyle name="ÄÞ¸¶ [0]_±âÅ¸" xfId="6"/>
    <cellStyle name="ÄÞ¸¶_±âÅ¸" xfId="7"/>
    <cellStyle name="Bad 2" xfId="8830"/>
    <cellStyle name="Bad 3" xfId="8829"/>
    <cellStyle name="Bad 4" xfId="8828"/>
    <cellStyle name="Bad 5" xfId="8827"/>
    <cellStyle name="Ç¥ÁØ_¿¬°£´©°è¿¹»ó" xfId="8"/>
    <cellStyle name="Calc Currency (0)" xfId="9"/>
    <cellStyle name="Calc Currency (0) 10" xfId="8826"/>
    <cellStyle name="Calc Currency (0) 11" xfId="8825"/>
    <cellStyle name="Calc Currency (0) 12" xfId="8824"/>
    <cellStyle name="Calc Currency (0) 13" xfId="8823"/>
    <cellStyle name="Calc Currency (0) 14" xfId="8822"/>
    <cellStyle name="Calc Currency (0) 15" xfId="8821"/>
    <cellStyle name="Calc Currency (0) 16" xfId="8820"/>
    <cellStyle name="Calc Currency (0) 17" xfId="8819"/>
    <cellStyle name="Calc Currency (0) 18" xfId="8818"/>
    <cellStyle name="Calc Currency (0) 19" xfId="8817"/>
    <cellStyle name="Calc Currency (0) 2" xfId="10"/>
    <cellStyle name="Calc Currency (0) 20" xfId="8816"/>
    <cellStyle name="Calc Currency (0) 3" xfId="11"/>
    <cellStyle name="Calc Currency (0) 4" xfId="12"/>
    <cellStyle name="Calc Currency (0) 4 2" xfId="13"/>
    <cellStyle name="Calc Currency (0) 4 2 2" xfId="8815"/>
    <cellStyle name="Calc Currency (0) 4 2 2 2" xfId="9237"/>
    <cellStyle name="Calc Currency (0) 4 2 3" xfId="8814"/>
    <cellStyle name="Calc Currency (0) 4 2 4" xfId="8813"/>
    <cellStyle name="Calc Currency (0) 5" xfId="8812"/>
    <cellStyle name="Calc Currency (0) 6" xfId="8811"/>
    <cellStyle name="Calc Currency (0) 7" xfId="8810"/>
    <cellStyle name="Calc Currency (0) 8" xfId="8809"/>
    <cellStyle name="Calc Currency (0) 9" xfId="8808"/>
    <cellStyle name="Calculation 2" xfId="8807"/>
    <cellStyle name="Calculation 3" xfId="8806"/>
    <cellStyle name="Calculation 4" xfId="8805"/>
    <cellStyle name="Calculation 5" xfId="8804"/>
    <cellStyle name="Check Cell 2" xfId="8803"/>
    <cellStyle name="Check Cell 3" xfId="8802"/>
    <cellStyle name="Check Cell 4" xfId="8801"/>
    <cellStyle name="Check Cell 5" xfId="8800"/>
    <cellStyle name="Comma" xfId="14" builtinId="3"/>
    <cellStyle name="Comma  - Style1" xfId="15"/>
    <cellStyle name="Comma  - Style1 10" xfId="8799"/>
    <cellStyle name="Comma  - Style1 11" xfId="8798"/>
    <cellStyle name="Comma  - Style1 12" xfId="8797"/>
    <cellStyle name="Comma  - Style1 13" xfId="8796"/>
    <cellStyle name="Comma  - Style1 14" xfId="8795"/>
    <cellStyle name="Comma  - Style1 15" xfId="8794"/>
    <cellStyle name="Comma  - Style1 16" xfId="8793"/>
    <cellStyle name="Comma  - Style1 17" xfId="8792"/>
    <cellStyle name="Comma  - Style1 2" xfId="8791"/>
    <cellStyle name="Comma  - Style1 3" xfId="8790"/>
    <cellStyle name="Comma  - Style1 4" xfId="8789"/>
    <cellStyle name="Comma  - Style1 5" xfId="8788"/>
    <cellStyle name="Comma  - Style1 6" xfId="8787"/>
    <cellStyle name="Comma  - Style1 7" xfId="8786"/>
    <cellStyle name="Comma  - Style1 8" xfId="8785"/>
    <cellStyle name="Comma  - Style1 9" xfId="8784"/>
    <cellStyle name="Comma  - Style2" xfId="16"/>
    <cellStyle name="Comma  - Style2 10" xfId="8783"/>
    <cellStyle name="Comma  - Style2 11" xfId="8782"/>
    <cellStyle name="Comma  - Style2 12" xfId="8781"/>
    <cellStyle name="Comma  - Style2 13" xfId="8780"/>
    <cellStyle name="Comma  - Style2 14" xfId="8779"/>
    <cellStyle name="Comma  - Style2 15" xfId="8778"/>
    <cellStyle name="Comma  - Style2 16" xfId="8777"/>
    <cellStyle name="Comma  - Style2 17" xfId="8776"/>
    <cellStyle name="Comma  - Style2 2" xfId="8775"/>
    <cellStyle name="Comma  - Style2 3" xfId="8774"/>
    <cellStyle name="Comma  - Style2 4" xfId="8773"/>
    <cellStyle name="Comma  - Style2 5" xfId="8772"/>
    <cellStyle name="Comma  - Style2 6" xfId="8771"/>
    <cellStyle name="Comma  - Style2 7" xfId="8770"/>
    <cellStyle name="Comma  - Style2 8" xfId="8769"/>
    <cellStyle name="Comma  - Style2 9" xfId="8768"/>
    <cellStyle name="Comma  - Style3" xfId="17"/>
    <cellStyle name="Comma  - Style3 10" xfId="8767"/>
    <cellStyle name="Comma  - Style3 11" xfId="8766"/>
    <cellStyle name="Comma  - Style3 12" xfId="8765"/>
    <cellStyle name="Comma  - Style3 13" xfId="8764"/>
    <cellStyle name="Comma  - Style3 14" xfId="8763"/>
    <cellStyle name="Comma  - Style3 15" xfId="8762"/>
    <cellStyle name="Comma  - Style3 16" xfId="8761"/>
    <cellStyle name="Comma  - Style3 17" xfId="8760"/>
    <cellStyle name="Comma  - Style3 2" xfId="8759"/>
    <cellStyle name="Comma  - Style3 3" xfId="8758"/>
    <cellStyle name="Comma  - Style3 4" xfId="8757"/>
    <cellStyle name="Comma  - Style3 5" xfId="8756"/>
    <cellStyle name="Comma  - Style3 6" xfId="8755"/>
    <cellStyle name="Comma  - Style3 7" xfId="8754"/>
    <cellStyle name="Comma  - Style3 8" xfId="8753"/>
    <cellStyle name="Comma  - Style3 9" xfId="8752"/>
    <cellStyle name="Comma  - Style4" xfId="18"/>
    <cellStyle name="Comma  - Style4 10" xfId="8751"/>
    <cellStyle name="Comma  - Style4 11" xfId="8750"/>
    <cellStyle name="Comma  - Style4 12" xfId="8749"/>
    <cellStyle name="Comma  - Style4 13" xfId="8748"/>
    <cellStyle name="Comma  - Style4 14" xfId="8747"/>
    <cellStyle name="Comma  - Style4 15" xfId="8746"/>
    <cellStyle name="Comma  - Style4 16" xfId="8745"/>
    <cellStyle name="Comma  - Style4 17" xfId="8918"/>
    <cellStyle name="Comma  - Style4 2" xfId="8744"/>
    <cellStyle name="Comma  - Style4 3" xfId="8743"/>
    <cellStyle name="Comma  - Style4 4" xfId="8742"/>
    <cellStyle name="Comma  - Style4 5" xfId="8741"/>
    <cellStyle name="Comma  - Style4 6" xfId="8740"/>
    <cellStyle name="Comma  - Style4 7" xfId="8739"/>
    <cellStyle name="Comma  - Style4 8" xfId="9331"/>
    <cellStyle name="Comma  - Style4 9" xfId="9328"/>
    <cellStyle name="Comma  - Style5" xfId="19"/>
    <cellStyle name="Comma  - Style5 10" xfId="9284"/>
    <cellStyle name="Comma  - Style5 11" xfId="9260"/>
    <cellStyle name="Comma  - Style5 12" xfId="9238"/>
    <cellStyle name="Comma  - Style5 13" xfId="8738"/>
    <cellStyle name="Comma  - Style5 14" xfId="9218"/>
    <cellStyle name="Comma  - Style5 15" xfId="9197"/>
    <cellStyle name="Comma  - Style5 16" xfId="9175"/>
    <cellStyle name="Comma  - Style5 17" xfId="9157"/>
    <cellStyle name="Comma  - Style5 2" xfId="9137"/>
    <cellStyle name="Comma  - Style5 3" xfId="9115"/>
    <cellStyle name="Comma  - Style5 4" xfId="9091"/>
    <cellStyle name="Comma  - Style5 5" xfId="9069"/>
    <cellStyle name="Comma  - Style5 6" xfId="9049"/>
    <cellStyle name="Comma  - Style5 7" xfId="9027"/>
    <cellStyle name="Comma  - Style5 8" xfId="8737"/>
    <cellStyle name="Comma  - Style5 9" xfId="8736"/>
    <cellStyle name="Comma  - Style6" xfId="20"/>
    <cellStyle name="Comma  - Style6 10" xfId="8735"/>
    <cellStyle name="Comma  - Style6 11" xfId="8734"/>
    <cellStyle name="Comma  - Style6 12" xfId="8733"/>
    <cellStyle name="Comma  - Style6 13" xfId="8732"/>
    <cellStyle name="Comma  - Style6 14" xfId="8731"/>
    <cellStyle name="Comma  - Style6 15" xfId="8730"/>
    <cellStyle name="Comma  - Style6 16" xfId="8729"/>
    <cellStyle name="Comma  - Style6 17" xfId="8728"/>
    <cellStyle name="Comma  - Style6 2" xfId="8727"/>
    <cellStyle name="Comma  - Style6 3" xfId="8726"/>
    <cellStyle name="Comma  - Style6 4" xfId="8725"/>
    <cellStyle name="Comma  - Style6 5" xfId="8724"/>
    <cellStyle name="Comma  - Style6 6" xfId="8723"/>
    <cellStyle name="Comma  - Style6 7" xfId="8722"/>
    <cellStyle name="Comma  - Style6 8" xfId="8721"/>
    <cellStyle name="Comma  - Style6 9" xfId="8720"/>
    <cellStyle name="Comma  - Style7" xfId="21"/>
    <cellStyle name="Comma  - Style7 10" xfId="8719"/>
    <cellStyle name="Comma  - Style7 11" xfId="8717"/>
    <cellStyle name="Comma  - Style7 12" xfId="8716"/>
    <cellStyle name="Comma  - Style7 13" xfId="8715"/>
    <cellStyle name="Comma  - Style7 14" xfId="8714"/>
    <cellStyle name="Comma  - Style7 15" xfId="8713"/>
    <cellStyle name="Comma  - Style7 16" xfId="8712"/>
    <cellStyle name="Comma  - Style7 17" xfId="8711"/>
    <cellStyle name="Comma  - Style7 2" xfId="8710"/>
    <cellStyle name="Comma  - Style7 3" xfId="8709"/>
    <cellStyle name="Comma  - Style7 4" xfId="8708"/>
    <cellStyle name="Comma  - Style7 5" xfId="8707"/>
    <cellStyle name="Comma  - Style7 6" xfId="8706"/>
    <cellStyle name="Comma  - Style7 7" xfId="8705"/>
    <cellStyle name="Comma  - Style7 8" xfId="8704"/>
    <cellStyle name="Comma  - Style7 9" xfId="8703"/>
    <cellStyle name="Comma  - Style8" xfId="22"/>
    <cellStyle name="Comma  - Style8 10" xfId="8702"/>
    <cellStyle name="Comma  - Style8 11" xfId="8701"/>
    <cellStyle name="Comma  - Style8 12" xfId="8700"/>
    <cellStyle name="Comma  - Style8 13" xfId="8699"/>
    <cellStyle name="Comma  - Style8 14" xfId="8698"/>
    <cellStyle name="Comma  - Style8 15" xfId="8697"/>
    <cellStyle name="Comma  - Style8 16" xfId="8696"/>
    <cellStyle name="Comma  - Style8 17" xfId="8695"/>
    <cellStyle name="Comma  - Style8 2" xfId="8694"/>
    <cellStyle name="Comma  - Style8 3" xfId="8693"/>
    <cellStyle name="Comma  - Style8 4" xfId="8692"/>
    <cellStyle name="Comma  - Style8 5" xfId="8691"/>
    <cellStyle name="Comma  - Style8 6" xfId="8690"/>
    <cellStyle name="Comma  - Style8 7" xfId="8689"/>
    <cellStyle name="Comma  - Style8 8" xfId="8688"/>
    <cellStyle name="Comma  - Style8 9" xfId="8687"/>
    <cellStyle name="Comma [0] 2" xfId="9217"/>
    <cellStyle name="Comma 10" xfId="9195"/>
    <cellStyle name="Comma 10 2" xfId="23"/>
    <cellStyle name="Comma 10 2 2" xfId="24"/>
    <cellStyle name="Comma 10 2 2 2" xfId="25"/>
    <cellStyle name="Comma 10 2 2 2 2" xfId="26"/>
    <cellStyle name="Comma 10 2 2 3" xfId="27"/>
    <cellStyle name="Comma 10 2 2 4" xfId="28"/>
    <cellStyle name="Comma 10 2 2 5" xfId="29"/>
    <cellStyle name="Comma 10 2 3" xfId="30"/>
    <cellStyle name="Comma 10 3" xfId="31"/>
    <cellStyle name="Comma 10 3 2" xfId="32"/>
    <cellStyle name="Comma 10 4" xfId="33"/>
    <cellStyle name="Comma 10 4 2" xfId="34"/>
    <cellStyle name="Comma 10 5" xfId="35"/>
    <cellStyle name="Comma 10 5 2" xfId="36"/>
    <cellStyle name="Comma 10 6" xfId="37"/>
    <cellStyle name="Comma 10 6 2" xfId="38"/>
    <cellStyle name="Comma 10 7" xfId="39"/>
    <cellStyle name="Comma 10 7 2" xfId="40"/>
    <cellStyle name="Comma 10 8" xfId="41"/>
    <cellStyle name="Comma 10 8 2" xfId="42"/>
    <cellStyle name="Comma 10 9" xfId="9173"/>
    <cellStyle name="Comma 11" xfId="8560"/>
    <cellStyle name="Comma 11 2" xfId="43"/>
    <cellStyle name="Comma 11 2 2" xfId="44"/>
    <cellStyle name="Comma 11 2 2 2" xfId="45"/>
    <cellStyle name="Comma 11 2 2 2 2" xfId="46"/>
    <cellStyle name="Comma 11 2 2 3" xfId="47"/>
    <cellStyle name="Comma 11 2 3" xfId="48"/>
    <cellStyle name="Comma 11 3" xfId="49"/>
    <cellStyle name="Comma 11 3 2" xfId="50"/>
    <cellStyle name="Comma 11 4" xfId="51"/>
    <cellStyle name="Comma 11 4 2" xfId="52"/>
    <cellStyle name="Comma 11 5" xfId="53"/>
    <cellStyle name="Comma 11 5 2" xfId="54"/>
    <cellStyle name="Comma 11 6" xfId="55"/>
    <cellStyle name="Comma 11 6 2" xfId="56"/>
    <cellStyle name="Comma 11 7" xfId="57"/>
    <cellStyle name="Comma 11 7 2" xfId="58"/>
    <cellStyle name="Comma 11 8" xfId="59"/>
    <cellStyle name="Comma 11 8 2" xfId="60"/>
    <cellStyle name="Comma 11 9" xfId="9155"/>
    <cellStyle name="Comma 12" xfId="9135"/>
    <cellStyle name="Comma 12 2" xfId="61"/>
    <cellStyle name="Comma 12 2 2" xfId="62"/>
    <cellStyle name="Comma 12 2 2 2" xfId="63"/>
    <cellStyle name="Comma 12 2 2 2 2" xfId="64"/>
    <cellStyle name="Comma 12 2 2 3" xfId="65"/>
    <cellStyle name="Comma 12 2 3" xfId="66"/>
    <cellStyle name="Comma 12 3" xfId="67"/>
    <cellStyle name="Comma 12 3 2" xfId="68"/>
    <cellStyle name="Comma 12 4" xfId="69"/>
    <cellStyle name="Comma 12 4 2" xfId="70"/>
    <cellStyle name="Comma 12 5" xfId="71"/>
    <cellStyle name="Comma 12 5 2" xfId="72"/>
    <cellStyle name="Comma 12 6" xfId="73"/>
    <cellStyle name="Comma 12 6 2" xfId="74"/>
    <cellStyle name="Comma 12 7" xfId="75"/>
    <cellStyle name="Comma 12 7 2" xfId="76"/>
    <cellStyle name="Comma 12 8" xfId="77"/>
    <cellStyle name="Comma 12 8 2" xfId="78"/>
    <cellStyle name="Comma 13" xfId="1727"/>
    <cellStyle name="Comma 13 10" xfId="5329"/>
    <cellStyle name="Comma 13 10 2" xfId="9113"/>
    <cellStyle name="Comma 13 10 3" xfId="13810"/>
    <cellStyle name="Comma 13 10 4" xfId="20324"/>
    <cellStyle name="Comma 13 10 5" xfId="26713"/>
    <cellStyle name="Comma 13 11" xfId="10302"/>
    <cellStyle name="Comma 13 12" xfId="17326"/>
    <cellStyle name="Comma 13 13" xfId="23793"/>
    <cellStyle name="Comma 13 2" xfId="79"/>
    <cellStyle name="Comma 13 2 2" xfId="80"/>
    <cellStyle name="Comma 13 2 2 2" xfId="81"/>
    <cellStyle name="Comma 13 2 2 2 2" xfId="82"/>
    <cellStyle name="Comma 13 2 2 3" xfId="83"/>
    <cellStyle name="Comma 13 2 3" xfId="84"/>
    <cellStyle name="Comma 13 3" xfId="85"/>
    <cellStyle name="Comma 13 3 2" xfId="86"/>
    <cellStyle name="Comma 13 4" xfId="87"/>
    <cellStyle name="Comma 13 4 2" xfId="88"/>
    <cellStyle name="Comma 13 5" xfId="89"/>
    <cellStyle name="Comma 13 5 2" xfId="90"/>
    <cellStyle name="Comma 13 6" xfId="91"/>
    <cellStyle name="Comma 13 6 2" xfId="92"/>
    <cellStyle name="Comma 13 7" xfId="93"/>
    <cellStyle name="Comma 13 7 2" xfId="94"/>
    <cellStyle name="Comma 13 8" xfId="95"/>
    <cellStyle name="Comma 13 8 2" xfId="96"/>
    <cellStyle name="Comma 13 9" xfId="1934"/>
    <cellStyle name="Comma 13 9 2" xfId="5527"/>
    <cellStyle name="Comma 13 9 2 2" xfId="9089"/>
    <cellStyle name="Comma 13 9 2 3" xfId="14008"/>
    <cellStyle name="Comma 13 9 2 4" xfId="20522"/>
    <cellStyle name="Comma 13 9 2 5" xfId="26911"/>
    <cellStyle name="Comma 13 9 3" xfId="10504"/>
    <cellStyle name="Comma 13 9 4" xfId="17539"/>
    <cellStyle name="Comma 13 9 5" xfId="23949"/>
    <cellStyle name="Comma 14" xfId="1728"/>
    <cellStyle name="Comma 14 10" xfId="5330"/>
    <cellStyle name="Comma 14 10 2" xfId="9067"/>
    <cellStyle name="Comma 14 10 3" xfId="13811"/>
    <cellStyle name="Comma 14 10 4" xfId="20325"/>
    <cellStyle name="Comma 14 10 5" xfId="26714"/>
    <cellStyle name="Comma 14 11" xfId="10303"/>
    <cellStyle name="Comma 14 12" xfId="17378"/>
    <cellStyle name="Comma 14 13" xfId="23818"/>
    <cellStyle name="Comma 14 2" xfId="97"/>
    <cellStyle name="Comma 14 2 2" xfId="98"/>
    <cellStyle name="Comma 14 2 2 2" xfId="99"/>
    <cellStyle name="Comma 14 2 2 2 2" xfId="100"/>
    <cellStyle name="Comma 14 2 2 3" xfId="101"/>
    <cellStyle name="Comma 14 2 3" xfId="102"/>
    <cellStyle name="Comma 14 3" xfId="103"/>
    <cellStyle name="Comma 14 3 2" xfId="104"/>
    <cellStyle name="Comma 14 4" xfId="105"/>
    <cellStyle name="Comma 14 4 2" xfId="106"/>
    <cellStyle name="Comma 14 5" xfId="107"/>
    <cellStyle name="Comma 14 5 2" xfId="108"/>
    <cellStyle name="Comma 14 6" xfId="109"/>
    <cellStyle name="Comma 14 6 2" xfId="110"/>
    <cellStyle name="Comma 14 7" xfId="111"/>
    <cellStyle name="Comma 14 7 2" xfId="112"/>
    <cellStyle name="Comma 14 8" xfId="113"/>
    <cellStyle name="Comma 14 8 2" xfId="114"/>
    <cellStyle name="Comma 14 9" xfId="1935"/>
    <cellStyle name="Comma 14 9 2" xfId="5528"/>
    <cellStyle name="Comma 14 9 2 2" xfId="9047"/>
    <cellStyle name="Comma 14 9 2 3" xfId="14009"/>
    <cellStyle name="Comma 14 9 2 4" xfId="20523"/>
    <cellStyle name="Comma 14 9 2 5" xfId="26912"/>
    <cellStyle name="Comma 14 9 3" xfId="10505"/>
    <cellStyle name="Comma 14 9 4" xfId="17309"/>
    <cellStyle name="Comma 14 9 5" xfId="23781"/>
    <cellStyle name="Comma 15" xfId="1729"/>
    <cellStyle name="Comma 15 10" xfId="5331"/>
    <cellStyle name="Comma 15 10 2" xfId="9026"/>
    <cellStyle name="Comma 15 10 3" xfId="13812"/>
    <cellStyle name="Comma 15 10 4" xfId="20326"/>
    <cellStyle name="Comma 15 10 5" xfId="26715"/>
    <cellStyle name="Comma 15 11" xfId="10304"/>
    <cellStyle name="Comma 15 12" xfId="9671"/>
    <cellStyle name="Comma 15 13" xfId="10096"/>
    <cellStyle name="Comma 15 2" xfId="115"/>
    <cellStyle name="Comma 15 2 2" xfId="116"/>
    <cellStyle name="Comma 15 2 2 2" xfId="117"/>
    <cellStyle name="Comma 15 2 2 2 2" xfId="118"/>
    <cellStyle name="Comma 15 2 2 3" xfId="119"/>
    <cellStyle name="Comma 15 2 3" xfId="120"/>
    <cellStyle name="Comma 15 3" xfId="121"/>
    <cellStyle name="Comma 15 3 2" xfId="122"/>
    <cellStyle name="Comma 15 4" xfId="123"/>
    <cellStyle name="Comma 15 4 2" xfId="124"/>
    <cellStyle name="Comma 15 5" xfId="125"/>
    <cellStyle name="Comma 15 5 2" xfId="126"/>
    <cellStyle name="Comma 15 6" xfId="127"/>
    <cellStyle name="Comma 15 6 2" xfId="128"/>
    <cellStyle name="Comma 15 7" xfId="129"/>
    <cellStyle name="Comma 15 7 2" xfId="130"/>
    <cellStyle name="Comma 15 8" xfId="131"/>
    <cellStyle name="Comma 15 8 2" xfId="132"/>
    <cellStyle name="Comma 15 9" xfId="1936"/>
    <cellStyle name="Comma 15 9 2" xfId="5529"/>
    <cellStyle name="Comma 15 9 2 2" xfId="8940"/>
    <cellStyle name="Comma 15 9 2 3" xfId="14010"/>
    <cellStyle name="Comma 15 9 2 4" xfId="20524"/>
    <cellStyle name="Comma 15 9 2 5" xfId="26913"/>
    <cellStyle name="Comma 15 9 3" xfId="10506"/>
    <cellStyle name="Comma 15 9 4" xfId="17335"/>
    <cellStyle name="Comma 15 9 5" xfId="23799"/>
    <cellStyle name="Comma 16" xfId="1730"/>
    <cellStyle name="Comma 16 10" xfId="5332"/>
    <cellStyle name="Comma 16 10 2" xfId="13813"/>
    <cellStyle name="Comma 16 10 3" xfId="20327"/>
    <cellStyle name="Comma 16 10 4" xfId="26716"/>
    <cellStyle name="Comma 16 11" xfId="10305"/>
    <cellStyle name="Comma 16 12" xfId="9670"/>
    <cellStyle name="Comma 16 13" xfId="10097"/>
    <cellStyle name="Comma 16 2" xfId="133"/>
    <cellStyle name="Comma 16 2 2" xfId="134"/>
    <cellStyle name="Comma 16 2 2 2" xfId="135"/>
    <cellStyle name="Comma 16 2 2 2 2" xfId="136"/>
    <cellStyle name="Comma 16 2 2 3" xfId="137"/>
    <cellStyle name="Comma 16 2 3" xfId="138"/>
    <cellStyle name="Comma 16 3" xfId="139"/>
    <cellStyle name="Comma 16 3 2" xfId="140"/>
    <cellStyle name="Comma 16 4" xfId="141"/>
    <cellStyle name="Comma 16 4 2" xfId="142"/>
    <cellStyle name="Comma 16 5" xfId="143"/>
    <cellStyle name="Comma 16 5 2" xfId="144"/>
    <cellStyle name="Comma 16 6" xfId="145"/>
    <cellStyle name="Comma 16 6 2" xfId="146"/>
    <cellStyle name="Comma 16 7" xfId="147"/>
    <cellStyle name="Comma 16 7 2" xfId="148"/>
    <cellStyle name="Comma 16 8" xfId="149"/>
    <cellStyle name="Comma 16 8 2" xfId="150"/>
    <cellStyle name="Comma 16 9" xfId="1937"/>
    <cellStyle name="Comma 16 9 2" xfId="5530"/>
    <cellStyle name="Comma 16 9 2 2" xfId="14011"/>
    <cellStyle name="Comma 16 9 2 3" xfId="20525"/>
    <cellStyle name="Comma 16 9 2 4" xfId="26914"/>
    <cellStyle name="Comma 16 9 3" xfId="10507"/>
    <cellStyle name="Comma 16 9 4" xfId="17371"/>
    <cellStyle name="Comma 16 9 5" xfId="23812"/>
    <cellStyle name="Comma 17" xfId="1731"/>
    <cellStyle name="Comma 17 10" xfId="5333"/>
    <cellStyle name="Comma 17 10 2" xfId="13814"/>
    <cellStyle name="Comma 17 10 3" xfId="20328"/>
    <cellStyle name="Comma 17 10 4" xfId="26717"/>
    <cellStyle name="Comma 17 11" xfId="10306"/>
    <cellStyle name="Comma 17 12" xfId="9669"/>
    <cellStyle name="Comma 17 13" xfId="10098"/>
    <cellStyle name="Comma 17 2" xfId="151"/>
    <cellStyle name="Comma 17 2 2" xfId="152"/>
    <cellStyle name="Comma 17 2 2 2" xfId="153"/>
    <cellStyle name="Comma 17 2 2 2 2" xfId="154"/>
    <cellStyle name="Comma 17 2 2 3" xfId="155"/>
    <cellStyle name="Comma 17 2 3" xfId="156"/>
    <cellStyle name="Comma 17 3" xfId="157"/>
    <cellStyle name="Comma 17 3 2" xfId="158"/>
    <cellStyle name="Comma 17 4" xfId="159"/>
    <cellStyle name="Comma 17 4 2" xfId="160"/>
    <cellStyle name="Comma 17 5" xfId="161"/>
    <cellStyle name="Comma 17 5 2" xfId="162"/>
    <cellStyle name="Comma 17 6" xfId="163"/>
    <cellStyle name="Comma 17 6 2" xfId="164"/>
    <cellStyle name="Comma 17 7" xfId="165"/>
    <cellStyle name="Comma 17 7 2" xfId="166"/>
    <cellStyle name="Comma 17 8" xfId="167"/>
    <cellStyle name="Comma 17 8 2" xfId="168"/>
    <cellStyle name="Comma 17 9" xfId="1938"/>
    <cellStyle name="Comma 17 9 2" xfId="5531"/>
    <cellStyle name="Comma 17 9 2 2" xfId="14012"/>
    <cellStyle name="Comma 17 9 2 3" xfId="20526"/>
    <cellStyle name="Comma 17 9 2 4" xfId="26915"/>
    <cellStyle name="Comma 17 9 3" xfId="10508"/>
    <cellStyle name="Comma 17 9 4" xfId="17384"/>
    <cellStyle name="Comma 17 9 5" xfId="23823"/>
    <cellStyle name="Comma 18" xfId="1732"/>
    <cellStyle name="Comma 18 10" xfId="5334"/>
    <cellStyle name="Comma 18 10 2" xfId="13815"/>
    <cellStyle name="Comma 18 10 3" xfId="20329"/>
    <cellStyle name="Comma 18 10 4" xfId="26718"/>
    <cellStyle name="Comma 18 11" xfId="10307"/>
    <cellStyle name="Comma 18 12" xfId="9668"/>
    <cellStyle name="Comma 18 13" xfId="10099"/>
    <cellStyle name="Comma 18 2" xfId="169"/>
    <cellStyle name="Comma 18 2 2" xfId="170"/>
    <cellStyle name="Comma 18 2 2 2" xfId="171"/>
    <cellStyle name="Comma 18 2 2 2 2" xfId="172"/>
    <cellStyle name="Comma 18 2 2 3" xfId="173"/>
    <cellStyle name="Comma 18 2 3" xfId="174"/>
    <cellStyle name="Comma 18 3" xfId="175"/>
    <cellStyle name="Comma 18 3 2" xfId="176"/>
    <cellStyle name="Comma 18 4" xfId="177"/>
    <cellStyle name="Comma 18 4 2" xfId="178"/>
    <cellStyle name="Comma 18 5" xfId="179"/>
    <cellStyle name="Comma 18 5 2" xfId="180"/>
    <cellStyle name="Comma 18 6" xfId="181"/>
    <cellStyle name="Comma 18 6 2" xfId="182"/>
    <cellStyle name="Comma 18 7" xfId="183"/>
    <cellStyle name="Comma 18 7 2" xfId="184"/>
    <cellStyle name="Comma 18 8" xfId="185"/>
    <cellStyle name="Comma 18 8 2" xfId="186"/>
    <cellStyle name="Comma 18 9" xfId="1939"/>
    <cellStyle name="Comma 18 9 2" xfId="5532"/>
    <cellStyle name="Comma 18 9 2 2" xfId="14013"/>
    <cellStyle name="Comma 18 9 2 3" xfId="20527"/>
    <cellStyle name="Comma 18 9 2 4" xfId="26916"/>
    <cellStyle name="Comma 18 9 3" xfId="10509"/>
    <cellStyle name="Comma 18 9 4" xfId="17416"/>
    <cellStyle name="Comma 18 9 5" xfId="23853"/>
    <cellStyle name="Comma 19" xfId="187"/>
    <cellStyle name="Comma 19 10" xfId="188"/>
    <cellStyle name="Comma 19 11" xfId="189"/>
    <cellStyle name="Comma 19 12" xfId="190"/>
    <cellStyle name="Comma 19 13" xfId="191"/>
    <cellStyle name="Comma 19 14" xfId="192"/>
    <cellStyle name="Comma 19 15" xfId="193"/>
    <cellStyle name="Comma 19 16" xfId="194"/>
    <cellStyle name="Comma 19 17" xfId="195"/>
    <cellStyle name="Comma 19 18" xfId="196"/>
    <cellStyle name="Comma 19 19" xfId="197"/>
    <cellStyle name="Comma 19 2" xfId="198"/>
    <cellStyle name="Comma 19 2 2" xfId="199"/>
    <cellStyle name="Comma 19 20" xfId="200"/>
    <cellStyle name="Comma 19 21" xfId="201"/>
    <cellStyle name="Comma 19 22" xfId="202"/>
    <cellStyle name="Comma 19 23" xfId="1737"/>
    <cellStyle name="Comma 19 24" xfId="1979"/>
    <cellStyle name="Comma 19 25" xfId="2367"/>
    <cellStyle name="Comma 19 26" xfId="2588"/>
    <cellStyle name="Comma 19 27" xfId="2444"/>
    <cellStyle name="Comma 19 28" xfId="2049"/>
    <cellStyle name="Comma 19 29" xfId="2298"/>
    <cellStyle name="Comma 19 3" xfId="203"/>
    <cellStyle name="Comma 19 3 2" xfId="204"/>
    <cellStyle name="Comma 19 30" xfId="2651"/>
    <cellStyle name="Comma 19 31" xfId="2410"/>
    <cellStyle name="Comma 19 32" xfId="2526"/>
    <cellStyle name="Comma 19 33" xfId="2007"/>
    <cellStyle name="Comma 19 34" xfId="2339"/>
    <cellStyle name="Comma 19 35" xfId="2615"/>
    <cellStyle name="Comma 19 36" xfId="2429"/>
    <cellStyle name="Comma 19 37" xfId="2064"/>
    <cellStyle name="Comma 19 38" xfId="2284"/>
    <cellStyle name="Comma 19 39" xfId="2664"/>
    <cellStyle name="Comma 19 4" xfId="205"/>
    <cellStyle name="Comma 19 4 2" xfId="206"/>
    <cellStyle name="Comma 19 40" xfId="5133"/>
    <cellStyle name="Comma 19 41" xfId="9505"/>
    <cellStyle name="Comma 19 42" xfId="10207"/>
    <cellStyle name="Comma 19 43" xfId="10514"/>
    <cellStyle name="Comma 19 5" xfId="207"/>
    <cellStyle name="Comma 19 5 2" xfId="208"/>
    <cellStyle name="Comma 19 6" xfId="209"/>
    <cellStyle name="Comma 19 6 2" xfId="210"/>
    <cellStyle name="Comma 19 7" xfId="211"/>
    <cellStyle name="Comma 19 7 2" xfId="212"/>
    <cellStyle name="Comma 19 8" xfId="213"/>
    <cellStyle name="Comma 19 8 2" xfId="214"/>
    <cellStyle name="Comma 19 9" xfId="215"/>
    <cellStyle name="Comma 2" xfId="216"/>
    <cellStyle name="Comma 2 10" xfId="217"/>
    <cellStyle name="Comma 2 11" xfId="8546"/>
    <cellStyle name="Comma 2 12" xfId="9094"/>
    <cellStyle name="Comma 2 12 2" xfId="9030"/>
    <cellStyle name="Comma 2 13" xfId="9008"/>
    <cellStyle name="Comma 2 14" xfId="8961"/>
    <cellStyle name="Comma 2 15" xfId="8917"/>
    <cellStyle name="Comma 2 16" xfId="9309"/>
    <cellStyle name="Comma 2 17" xfId="9287"/>
    <cellStyle name="Comma 2 18" xfId="9263"/>
    <cellStyle name="Comma 2 19" xfId="9241"/>
    <cellStyle name="Comma 2 2" xfId="218"/>
    <cellStyle name="Comma 2 2 10" xfId="219"/>
    <cellStyle name="Comma 2 2 2" xfId="220"/>
    <cellStyle name="Comma 2 2 2 2" xfId="221"/>
    <cellStyle name="Comma 2 2 2 2 2" xfId="222"/>
    <cellStyle name="Comma 2 2 2 2 2 2" xfId="223"/>
    <cellStyle name="Comma 2 2 2 2 3" xfId="224"/>
    <cellStyle name="Comma 2 2 2 3" xfId="225"/>
    <cellStyle name="Comma 2 2 2 4" xfId="8898"/>
    <cellStyle name="Comma 2 2 3" xfId="226"/>
    <cellStyle name="Comma 2 2 3 2" xfId="227"/>
    <cellStyle name="Comma 2 2 4" xfId="228"/>
    <cellStyle name="Comma 2 2 4 2" xfId="229"/>
    <cellStyle name="Comma 2 2 5" xfId="230"/>
    <cellStyle name="Comma 2 2 5 2" xfId="231"/>
    <cellStyle name="Comma 2 2 6" xfId="232"/>
    <cellStyle name="Comma 2 2 6 2" xfId="233"/>
    <cellStyle name="Comma 2 2 7" xfId="234"/>
    <cellStyle name="Comma 2 2 7 2" xfId="235"/>
    <cellStyle name="Comma 2 2 8" xfId="236"/>
    <cellStyle name="Comma 2 2 8 2" xfId="237"/>
    <cellStyle name="Comma 2 2 9" xfId="238"/>
    <cellStyle name="Comma 2 20" xfId="9160"/>
    <cellStyle name="Comma 2 21" xfId="9140"/>
    <cellStyle name="Comma 2 22" xfId="8686"/>
    <cellStyle name="Comma 2 23" xfId="9118"/>
    <cellStyle name="Comma 2 24" xfId="9095"/>
    <cellStyle name="Comma 2 25" xfId="9072"/>
    <cellStyle name="Comma 2 26" xfId="9052"/>
    <cellStyle name="Comma 2 27" xfId="9031"/>
    <cellStyle name="Comma 2 28" xfId="8895"/>
    <cellStyle name="Comma 2 28 2" xfId="17301"/>
    <cellStyle name="Comma 2 28 3" xfId="23774"/>
    <cellStyle name="Comma 2 28 4" xfId="29957"/>
    <cellStyle name="Comma 2 3" xfId="239"/>
    <cellStyle name="Comma 2 3 10" xfId="8960"/>
    <cellStyle name="Comma 2 3 11" xfId="8916"/>
    <cellStyle name="Comma 2 3 12" xfId="9310"/>
    <cellStyle name="Comma 2 3 13" xfId="9288"/>
    <cellStyle name="Comma 2 3 14" xfId="9264"/>
    <cellStyle name="Comma 2 3 15" xfId="9242"/>
    <cellStyle name="Comma 2 3 16" xfId="9221"/>
    <cellStyle name="Comma 2 3 17" xfId="9200"/>
    <cellStyle name="Comma 2 3 18" xfId="9178"/>
    <cellStyle name="Comma 2 3 2" xfId="240"/>
    <cellStyle name="Comma 2 3 3" xfId="241"/>
    <cellStyle name="Comma 2 3 4" xfId="242"/>
    <cellStyle name="Comma 2 3 5" xfId="243"/>
    <cellStyle name="Comma 2 3 6" xfId="244"/>
    <cellStyle name="Comma 2 3 7" xfId="245"/>
    <cellStyle name="Comma 2 3 8" xfId="246"/>
    <cellStyle name="Comma 2 3 9" xfId="247"/>
    <cellStyle name="Comma 2 4" xfId="248"/>
    <cellStyle name="Comma 2 4 2" xfId="8559"/>
    <cellStyle name="Comma 2 5" xfId="249"/>
    <cellStyle name="Comma 2 6" xfId="250"/>
    <cellStyle name="Comma 2 7" xfId="251"/>
    <cellStyle name="Comma 2 8" xfId="252"/>
    <cellStyle name="Comma 2 9" xfId="253"/>
    <cellStyle name="Comma 20" xfId="254"/>
    <cellStyle name="Comma 20 2" xfId="255"/>
    <cellStyle name="Comma 21" xfId="256"/>
    <cellStyle name="Comma 21 2" xfId="257"/>
    <cellStyle name="Comma 22" xfId="258"/>
    <cellStyle name="Comma 22 2" xfId="259"/>
    <cellStyle name="Comma 23" xfId="260"/>
    <cellStyle name="Comma 23 2" xfId="261"/>
    <cellStyle name="Comma 24" xfId="262"/>
    <cellStyle name="Comma 24 2" xfId="263"/>
    <cellStyle name="Comma 25" xfId="264"/>
    <cellStyle name="Comma 25 2" xfId="265"/>
    <cellStyle name="Comma 26" xfId="266"/>
    <cellStyle name="Comma 26 2" xfId="267"/>
    <cellStyle name="Comma 27" xfId="268"/>
    <cellStyle name="Comma 27 2" xfId="269"/>
    <cellStyle name="Comma 28" xfId="270"/>
    <cellStyle name="Comma 28 2" xfId="271"/>
    <cellStyle name="Comma 29" xfId="272"/>
    <cellStyle name="Comma 29 2" xfId="273"/>
    <cellStyle name="Comma 3" xfId="274"/>
    <cellStyle name="Comma 3 10" xfId="9096"/>
    <cellStyle name="Comma 3 10 2" xfId="9073"/>
    <cellStyle name="Comma 3 11" xfId="9053"/>
    <cellStyle name="Comma 3 12" xfId="9032"/>
    <cellStyle name="Comma 3 13" xfId="9009"/>
    <cellStyle name="Comma 3 14" xfId="8959"/>
    <cellStyle name="Comma 3 15" xfId="8915"/>
    <cellStyle name="Comma 3 16" xfId="8685"/>
    <cellStyle name="Comma 3 17" xfId="9311"/>
    <cellStyle name="Comma 3 18" xfId="9289"/>
    <cellStyle name="Comma 3 19" xfId="9265"/>
    <cellStyle name="Comma 3 2" xfId="275"/>
    <cellStyle name="Comma 3 2 2" xfId="276"/>
    <cellStyle name="Comma 3 2 2 2" xfId="277"/>
    <cellStyle name="Comma 3 2 2 2 2" xfId="278"/>
    <cellStyle name="Comma 3 2 2 3" xfId="279"/>
    <cellStyle name="Comma 3 2 3" xfId="280"/>
    <cellStyle name="Comma 3 20" xfId="9119"/>
    <cellStyle name="Comma 3 21" xfId="8684"/>
    <cellStyle name="Comma 3 22" xfId="8683"/>
    <cellStyle name="Comma 3 23" xfId="9179"/>
    <cellStyle name="Comma 3 3" xfId="281"/>
    <cellStyle name="Comma 3 3 2" xfId="282"/>
    <cellStyle name="Comma 3 4" xfId="283"/>
    <cellStyle name="Comma 3 4 2" xfId="284"/>
    <cellStyle name="Comma 3 5" xfId="285"/>
    <cellStyle name="Comma 3 5 2" xfId="286"/>
    <cellStyle name="Comma 3 6" xfId="287"/>
    <cellStyle name="Comma 3 6 2" xfId="288"/>
    <cellStyle name="Comma 3 7" xfId="289"/>
    <cellStyle name="Comma 3 7 2" xfId="290"/>
    <cellStyle name="Comma 3 8" xfId="291"/>
    <cellStyle name="Comma 3 8 2" xfId="292"/>
    <cellStyle name="Comma 3 9" xfId="293"/>
    <cellStyle name="Comma 30" xfId="294"/>
    <cellStyle name="Comma 30 2" xfId="295"/>
    <cellStyle name="Comma 31" xfId="296"/>
    <cellStyle name="Comma 31 2" xfId="297"/>
    <cellStyle name="Comma 32" xfId="298"/>
    <cellStyle name="Comma 32 2" xfId="299"/>
    <cellStyle name="Comma 33" xfId="300"/>
    <cellStyle name="Comma 33 2" xfId="301"/>
    <cellStyle name="Comma 34" xfId="302"/>
    <cellStyle name="Comma 34 2" xfId="303"/>
    <cellStyle name="Comma 35" xfId="304"/>
    <cellStyle name="Comma 35 2" xfId="305"/>
    <cellStyle name="Comma 36" xfId="306"/>
    <cellStyle name="Comma 36 2" xfId="307"/>
    <cellStyle name="Comma 37" xfId="308"/>
    <cellStyle name="Comma 37 2" xfId="309"/>
    <cellStyle name="Comma 38" xfId="310"/>
    <cellStyle name="Comma 38 2" xfId="311"/>
    <cellStyle name="Comma 39" xfId="312"/>
    <cellStyle name="Comma 39 2" xfId="313"/>
    <cellStyle name="Comma 4" xfId="314"/>
    <cellStyle name="Comma 4 10" xfId="315"/>
    <cellStyle name="Comma 4 11" xfId="9010"/>
    <cellStyle name="Comma 4 11 2" xfId="8914"/>
    <cellStyle name="Comma 4 12" xfId="9312"/>
    <cellStyle name="Comma 4 13" xfId="9290"/>
    <cellStyle name="Comma 4 14" xfId="9266"/>
    <cellStyle name="Comma 4 15" xfId="9243"/>
    <cellStyle name="Comma 4 16" xfId="9222"/>
    <cellStyle name="Comma 4 17" xfId="9201"/>
    <cellStyle name="Comma 4 18" xfId="9180"/>
    <cellStyle name="Comma 4 19" xfId="9161"/>
    <cellStyle name="Comma 4 2" xfId="316"/>
    <cellStyle name="Comma 4 2 2" xfId="317"/>
    <cellStyle name="Comma 4 20" xfId="9120"/>
    <cellStyle name="Comma 4 21" xfId="9097"/>
    <cellStyle name="Comma 4 22" xfId="9074"/>
    <cellStyle name="Comma 4 23" xfId="9054"/>
    <cellStyle name="Comma 4 24" xfId="9033"/>
    <cellStyle name="Comma 4 3" xfId="318"/>
    <cellStyle name="Comma 4 3 2" xfId="319"/>
    <cellStyle name="Comma 4 4" xfId="320"/>
    <cellStyle name="Comma 4 4 2" xfId="321"/>
    <cellStyle name="Comma 4 5" xfId="322"/>
    <cellStyle name="Comma 4 5 2" xfId="323"/>
    <cellStyle name="Comma 4 6" xfId="324"/>
    <cellStyle name="Comma 4 6 2" xfId="325"/>
    <cellStyle name="Comma 4 7" xfId="326"/>
    <cellStyle name="Comma 4 7 2" xfId="327"/>
    <cellStyle name="Comma 4 8" xfId="328"/>
    <cellStyle name="Comma 4 8 2" xfId="329"/>
    <cellStyle name="Comma 4 9" xfId="330"/>
    <cellStyle name="Comma 4 9 2" xfId="331"/>
    <cellStyle name="Comma 40" xfId="332"/>
    <cellStyle name="Comma 40 2" xfId="333"/>
    <cellStyle name="Comma 41" xfId="334"/>
    <cellStyle name="Comma 41 2" xfId="335"/>
    <cellStyle name="Comma 42" xfId="336"/>
    <cellStyle name="Comma 42 2" xfId="337"/>
    <cellStyle name="Comma 43" xfId="338"/>
    <cellStyle name="Comma 43 2" xfId="339"/>
    <cellStyle name="Comma 44" xfId="340"/>
    <cellStyle name="Comma 44 2" xfId="341"/>
    <cellStyle name="Comma 45" xfId="342"/>
    <cellStyle name="Comma 45 2" xfId="343"/>
    <cellStyle name="Comma 46" xfId="344"/>
    <cellStyle name="Comma 46 2" xfId="345"/>
    <cellStyle name="Comma 47" xfId="346"/>
    <cellStyle name="Comma 47 2" xfId="347"/>
    <cellStyle name="Comma 48" xfId="348"/>
    <cellStyle name="Comma 48 2" xfId="349"/>
    <cellStyle name="Comma 49" xfId="350"/>
    <cellStyle name="Comma 49 2" xfId="351"/>
    <cellStyle name="Comma 5" xfId="352"/>
    <cellStyle name="Comma 5 2" xfId="353"/>
    <cellStyle name="Comma 5 2 10" xfId="9034"/>
    <cellStyle name="Comma 5 2 10 2" xfId="9011"/>
    <cellStyle name="Comma 5 2 11" xfId="8958"/>
    <cellStyle name="Comma 5 2 12" xfId="8913"/>
    <cellStyle name="Comma 5 2 13" xfId="9313"/>
    <cellStyle name="Comma 5 2 14" xfId="9291"/>
    <cellStyle name="Comma 5 2 15" xfId="9267"/>
    <cellStyle name="Comma 5 2 16" xfId="9244"/>
    <cellStyle name="Comma 5 2 17" xfId="9223"/>
    <cellStyle name="Comma 5 2 18" xfId="9202"/>
    <cellStyle name="Comma 5 2 19" xfId="9181"/>
    <cellStyle name="Comma 5 2 2" xfId="354"/>
    <cellStyle name="Comma 5 2 2 2" xfId="355"/>
    <cellStyle name="Comma 5 2 2 2 2" xfId="356"/>
    <cellStyle name="Comma 5 2 2 2 2 2" xfId="357"/>
    <cellStyle name="Comma 5 2 2 2 3" xfId="358"/>
    <cellStyle name="Comma 5 2 2 3" xfId="359"/>
    <cellStyle name="Comma 5 2 20" xfId="9024"/>
    <cellStyle name="Comma 5 2 21" xfId="8942"/>
    <cellStyle name="Comma 5 2 22" xfId="8941"/>
    <cellStyle name="Comma 5 2 3" xfId="360"/>
    <cellStyle name="Comma 5 2 3 2" xfId="361"/>
    <cellStyle name="Comma 5 2 4" xfId="362"/>
    <cellStyle name="Comma 5 2 4 2" xfId="363"/>
    <cellStyle name="Comma 5 2 5" xfId="364"/>
    <cellStyle name="Comma 5 2 5 2" xfId="365"/>
    <cellStyle name="Comma 5 2 6" xfId="366"/>
    <cellStyle name="Comma 5 2 6 2" xfId="367"/>
    <cellStyle name="Comma 5 2 7" xfId="368"/>
    <cellStyle name="Comma 5 2 7 2" xfId="369"/>
    <cellStyle name="Comma 5 2 8" xfId="370"/>
    <cellStyle name="Comma 5 2 8 2" xfId="371"/>
    <cellStyle name="Comma 5 2 9" xfId="372"/>
    <cellStyle name="Comma 5 3" xfId="373"/>
    <cellStyle name="Comma 5 4" xfId="9075"/>
    <cellStyle name="Comma 50" xfId="374"/>
    <cellStyle name="Comma 50 2" xfId="375"/>
    <cellStyle name="Comma 51" xfId="376"/>
    <cellStyle name="Comma 51 2" xfId="377"/>
    <cellStyle name="Comma 52" xfId="378"/>
    <cellStyle name="Comma 52 2" xfId="379"/>
    <cellStyle name="Comma 53" xfId="380"/>
    <cellStyle name="Comma 53 2" xfId="381"/>
    <cellStyle name="Comma 54" xfId="382"/>
    <cellStyle name="Comma 54 2" xfId="383"/>
    <cellStyle name="Comma 55" xfId="384"/>
    <cellStyle name="Comma 55 2" xfId="385"/>
    <cellStyle name="Comma 56" xfId="386"/>
    <cellStyle name="Comma 56 2" xfId="387"/>
    <cellStyle name="Comma 57" xfId="388"/>
    <cellStyle name="Comma 57 2" xfId="389"/>
    <cellStyle name="Comma 58" xfId="390"/>
    <cellStyle name="Comma 58 2" xfId="391"/>
    <cellStyle name="Comma 59" xfId="392"/>
    <cellStyle name="Comma 59 2" xfId="393"/>
    <cellStyle name="Comma 6" xfId="394"/>
    <cellStyle name="Comma 6 10" xfId="9012"/>
    <cellStyle name="Comma 6 10 2" xfId="8957"/>
    <cellStyle name="Comma 6 11" xfId="8912"/>
    <cellStyle name="Comma 6 12" xfId="9314"/>
    <cellStyle name="Comma 6 13" xfId="9292"/>
    <cellStyle name="Comma 6 14" xfId="9268"/>
    <cellStyle name="Comma 6 15" xfId="9245"/>
    <cellStyle name="Comma 6 16" xfId="9224"/>
    <cellStyle name="Comma 6 17" xfId="9203"/>
    <cellStyle name="Comma 6 18" xfId="9182"/>
    <cellStyle name="Comma 6 19" xfId="9162"/>
    <cellStyle name="Comma 6 2" xfId="395"/>
    <cellStyle name="Comma 6 2 2" xfId="396"/>
    <cellStyle name="Comma 6 2 2 2" xfId="397"/>
    <cellStyle name="Comma 6 2 2 2 2" xfId="398"/>
    <cellStyle name="Comma 6 2 2 3" xfId="399"/>
    <cellStyle name="Comma 6 2 3" xfId="400"/>
    <cellStyle name="Comma 6 2 4" xfId="8558"/>
    <cellStyle name="Comma 6 20" xfId="9035"/>
    <cellStyle name="Comma 6 21" xfId="9013"/>
    <cellStyle name="Comma 6 22" xfId="8956"/>
    <cellStyle name="Comma 6 23" xfId="8911"/>
    <cellStyle name="Comma 6 3" xfId="401"/>
    <cellStyle name="Comma 6 3 2" xfId="402"/>
    <cellStyle name="Comma 6 4" xfId="403"/>
    <cellStyle name="Comma 6 4 2" xfId="404"/>
    <cellStyle name="Comma 6 5" xfId="405"/>
    <cellStyle name="Comma 6 5 2" xfId="406"/>
    <cellStyle name="Comma 6 6" xfId="407"/>
    <cellStyle name="Comma 6 6 2" xfId="408"/>
    <cellStyle name="Comma 6 7" xfId="409"/>
    <cellStyle name="Comma 6 7 2" xfId="410"/>
    <cellStyle name="Comma 6 8" xfId="411"/>
    <cellStyle name="Comma 6 8 2" xfId="412"/>
    <cellStyle name="Comma 6 9" xfId="413"/>
    <cellStyle name="Comma 60" xfId="414"/>
    <cellStyle name="Comma 60 2" xfId="415"/>
    <cellStyle name="Comma 61" xfId="416"/>
    <cellStyle name="Comma 61 2" xfId="417"/>
    <cellStyle name="Comma 62" xfId="418"/>
    <cellStyle name="Comma 62 2" xfId="419"/>
    <cellStyle name="Comma 63" xfId="420"/>
    <cellStyle name="Comma 63 2" xfId="421"/>
    <cellStyle name="Comma 64" xfId="422"/>
    <cellStyle name="Comma 64 10" xfId="2624"/>
    <cellStyle name="Comma 64 10 2" xfId="9225"/>
    <cellStyle name="Comma 64 10 2 2" xfId="17495"/>
    <cellStyle name="Comma 64 10 2 3" xfId="23916"/>
    <cellStyle name="Comma 64 10 2 4" xfId="29991"/>
    <cellStyle name="Comma 64 11" xfId="2427"/>
    <cellStyle name="Comma 64 11 2" xfId="9204"/>
    <cellStyle name="Comma 64 11 2 2" xfId="17481"/>
    <cellStyle name="Comma 64 11 2 3" xfId="23906"/>
    <cellStyle name="Comma 64 11 2 4" xfId="29989"/>
    <cellStyle name="Comma 64 12" xfId="2518"/>
    <cellStyle name="Comma 64 13" xfId="2010"/>
    <cellStyle name="Comma 64 14" xfId="2336"/>
    <cellStyle name="Comma 64 15" xfId="2619"/>
    <cellStyle name="Comma 64 16" xfId="1964"/>
    <cellStyle name="Comma 64 17" xfId="2382"/>
    <cellStyle name="Comma 64 18" xfId="2558"/>
    <cellStyle name="Comma 64 19" xfId="2463"/>
    <cellStyle name="Comma 64 2" xfId="423"/>
    <cellStyle name="Comma 64 2 2" xfId="424"/>
    <cellStyle name="Comma 64 20" xfId="5134"/>
    <cellStyle name="Comma 64 21" xfId="9673"/>
    <cellStyle name="Comma 64 22" xfId="10094"/>
    <cellStyle name="Comma 64 23" xfId="9677"/>
    <cellStyle name="Comma 64 3" xfId="1738"/>
    <cellStyle name="Comma 64 3 2" xfId="9141"/>
    <cellStyle name="Comma 64 3 2 2" xfId="17445"/>
    <cellStyle name="Comma 64 3 2 3" xfId="23878"/>
    <cellStyle name="Comma 64 3 2 4" xfId="29985"/>
    <cellStyle name="Comma 64 4" xfId="2490"/>
    <cellStyle name="Comma 64 4 2" xfId="8682"/>
    <cellStyle name="Comma 64 4 2 2" xfId="17110"/>
    <cellStyle name="Comma 64 4 2 3" xfId="23587"/>
    <cellStyle name="Comma 64 4 2 4" xfId="29956"/>
    <cellStyle name="Comma 64 5" xfId="2500"/>
    <cellStyle name="Comma 64 5 2" xfId="8681"/>
    <cellStyle name="Comma 64 5 2 2" xfId="17109"/>
    <cellStyle name="Comma 64 5 2 3" xfId="23586"/>
    <cellStyle name="Comma 64 5 2 4" xfId="29955"/>
    <cellStyle name="Comma 64 6" xfId="2491"/>
    <cellStyle name="Comma 64 6 2" xfId="8680"/>
    <cellStyle name="Comma 64 6 2 2" xfId="17108"/>
    <cellStyle name="Comma 64 6 2 3" xfId="23585"/>
    <cellStyle name="Comma 64 6 2 4" xfId="29954"/>
    <cellStyle name="Comma 64 7" xfId="2499"/>
    <cellStyle name="Comma 64 7 2" xfId="8679"/>
    <cellStyle name="Comma 64 7 2 2" xfId="17107"/>
    <cellStyle name="Comma 64 7 2 3" xfId="23584"/>
    <cellStyle name="Comma 64 7 2 4" xfId="29953"/>
    <cellStyle name="Comma 64 8" xfId="2020"/>
    <cellStyle name="Comma 64 8 2" xfId="8678"/>
    <cellStyle name="Comma 64 8 2 2" xfId="17106"/>
    <cellStyle name="Comma 64 8 2 3" xfId="23583"/>
    <cellStyle name="Comma 64 8 2 4" xfId="29952"/>
    <cellStyle name="Comma 64 9" xfId="2326"/>
    <cellStyle name="Comma 64 9 2" xfId="8677"/>
    <cellStyle name="Comma 64 9 2 2" xfId="17105"/>
    <cellStyle name="Comma 64 9 2 3" xfId="23582"/>
    <cellStyle name="Comma 64 9 2 4" xfId="29951"/>
    <cellStyle name="Comma 65" xfId="1733"/>
    <cellStyle name="Comma 65 2" xfId="1940"/>
    <cellStyle name="Comma 65 2 2" xfId="5533"/>
    <cellStyle name="Comma 65 2 2 2" xfId="14014"/>
    <cellStyle name="Comma 65 2 2 3" xfId="20528"/>
    <cellStyle name="Comma 65 2 2 4" xfId="26917"/>
    <cellStyle name="Comma 65 2 3" xfId="10510"/>
    <cellStyle name="Comma 65 2 4" xfId="17027"/>
    <cellStyle name="Comma 65 2 5" xfId="23541"/>
    <cellStyle name="Comma 65 3" xfId="5335"/>
    <cellStyle name="Comma 65 3 2" xfId="13816"/>
    <cellStyle name="Comma 65 3 3" xfId="20330"/>
    <cellStyle name="Comma 65 3 4" xfId="26719"/>
    <cellStyle name="Comma 65 4" xfId="10308"/>
    <cellStyle name="Comma 65 5" xfId="9667"/>
    <cellStyle name="Comma 65 6" xfId="10100"/>
    <cellStyle name="Comma 66" xfId="425"/>
    <cellStyle name="Comma 66 10" xfId="2495"/>
    <cellStyle name="Comma 66 10 2" xfId="8676"/>
    <cellStyle name="Comma 66 10 2 2" xfId="17104"/>
    <cellStyle name="Comma 66 10 2 3" xfId="23581"/>
    <cellStyle name="Comma 66 10 2 4" xfId="29950"/>
    <cellStyle name="Comma 66 11" xfId="2022"/>
    <cellStyle name="Comma 66 11 2" xfId="8675"/>
    <cellStyle name="Comma 66 11 2 2" xfId="17103"/>
    <cellStyle name="Comma 66 11 2 3" xfId="23580"/>
    <cellStyle name="Comma 66 11 2 4" xfId="29949"/>
    <cellStyle name="Comma 66 12" xfId="2324"/>
    <cellStyle name="Comma 66 13" xfId="2626"/>
    <cellStyle name="Comma 66 14" xfId="2425"/>
    <cellStyle name="Comma 66 15" xfId="2066"/>
    <cellStyle name="Comma 66 16" xfId="2282"/>
    <cellStyle name="Comma 66 17" xfId="2666"/>
    <cellStyle name="Comma 66 18" xfId="1944"/>
    <cellStyle name="Comma 66 19" xfId="2400"/>
    <cellStyle name="Comma 66 2" xfId="426"/>
    <cellStyle name="Comma 66 2 2" xfId="427"/>
    <cellStyle name="Comma 66 20" xfId="5135"/>
    <cellStyle name="Comma 66 21" xfId="9674"/>
    <cellStyle name="Comma 66 22" xfId="10093"/>
    <cellStyle name="Comma 66 23" xfId="9678"/>
    <cellStyle name="Comma 66 3" xfId="1739"/>
    <cellStyle name="Comma 66 3 2" xfId="9121"/>
    <cellStyle name="Comma 66 3 2 2" xfId="17432"/>
    <cellStyle name="Comma 66 3 2 3" xfId="23867"/>
    <cellStyle name="Comma 66 3 2 4" xfId="29983"/>
    <cellStyle name="Comma 66 4" xfId="2492"/>
    <cellStyle name="Comma 66 4 2" xfId="9099"/>
    <cellStyle name="Comma 66 4 2 2" xfId="17420"/>
    <cellStyle name="Comma 66 4 2 3" xfId="23857"/>
    <cellStyle name="Comma 66 4 2 4" xfId="29981"/>
    <cellStyle name="Comma 66 5" xfId="2498"/>
    <cellStyle name="Comma 66 5 2" xfId="9076"/>
    <cellStyle name="Comma 66 5 2 2" xfId="17409"/>
    <cellStyle name="Comma 66 5 2 3" xfId="23847"/>
    <cellStyle name="Comma 66 5 2 4" xfId="29979"/>
    <cellStyle name="Comma 66 6" xfId="2493"/>
    <cellStyle name="Comma 66 6 2" xfId="9055"/>
    <cellStyle name="Comma 66 6 2 2" xfId="17398"/>
    <cellStyle name="Comma 66 6 2 3" xfId="23837"/>
    <cellStyle name="Comma 66 6 2 4" xfId="29977"/>
    <cellStyle name="Comma 66 7" xfId="2497"/>
    <cellStyle name="Comma 66 7 2" xfId="9036"/>
    <cellStyle name="Comma 66 7 2 2" xfId="17389"/>
    <cellStyle name="Comma 66 7 2 3" xfId="23828"/>
    <cellStyle name="Comma 66 7 2 4" xfId="29976"/>
    <cellStyle name="Comma 66 8" xfId="2494"/>
    <cellStyle name="Comma 66 8 2" xfId="9015"/>
    <cellStyle name="Comma 66 8 2 2" xfId="17376"/>
    <cellStyle name="Comma 66 8 2 3" xfId="23816"/>
    <cellStyle name="Comma 66 8 2 4" xfId="29975"/>
    <cellStyle name="Comma 66 9" xfId="2496"/>
    <cellStyle name="Comma 66 9 2" xfId="8954"/>
    <cellStyle name="Comma 66 9 2 2" xfId="17330"/>
    <cellStyle name="Comma 66 9 2 3" xfId="23795"/>
    <cellStyle name="Comma 66 9 2 4" xfId="29965"/>
    <cellStyle name="Comma 67" xfId="428"/>
    <cellStyle name="Comma 67 10" xfId="429"/>
    <cellStyle name="Comma 67 11" xfId="430"/>
    <cellStyle name="Comma 67 12" xfId="431"/>
    <cellStyle name="Comma 67 13" xfId="432"/>
    <cellStyle name="Comma 67 14" xfId="433"/>
    <cellStyle name="Comma 67 15" xfId="434"/>
    <cellStyle name="Comma 67 16" xfId="435"/>
    <cellStyle name="Comma 67 17" xfId="1740"/>
    <cellStyle name="Comma 67 18" xfId="2021"/>
    <cellStyle name="Comma 67 19" xfId="2325"/>
    <cellStyle name="Comma 67 2" xfId="436"/>
    <cellStyle name="Comma 67 2 2" xfId="437"/>
    <cellStyle name="Comma 67 20" xfId="2625"/>
    <cellStyle name="Comma 67 21" xfId="2426"/>
    <cellStyle name="Comma 67 22" xfId="2519"/>
    <cellStyle name="Comma 67 23" xfId="2483"/>
    <cellStyle name="Comma 67 24" xfId="2026"/>
    <cellStyle name="Comma 67 25" xfId="2320"/>
    <cellStyle name="Comma 67 26" xfId="2630"/>
    <cellStyle name="Comma 67 27" xfId="2422"/>
    <cellStyle name="Comma 67 28" xfId="2522"/>
    <cellStyle name="Comma 67 29" xfId="2008"/>
    <cellStyle name="Comma 67 3" xfId="438"/>
    <cellStyle name="Comma 67 3 10" xfId="9122"/>
    <cellStyle name="Comma 67 3 11" xfId="9100"/>
    <cellStyle name="Comma 67 3 12" xfId="9077"/>
    <cellStyle name="Comma 67 3 13" xfId="9056"/>
    <cellStyle name="Comma 67 3 14" xfId="9037"/>
    <cellStyle name="Comma 67 3 15" xfId="9016"/>
    <cellStyle name="Comma 67 3 16" xfId="8953"/>
    <cellStyle name="Comma 67 3 17" xfId="8910"/>
    <cellStyle name="Comma 67 3 18" xfId="9315"/>
    <cellStyle name="Comma 67 3 2" xfId="439"/>
    <cellStyle name="Comma 67 3 3" xfId="440"/>
    <cellStyle name="Comma 67 3 4" xfId="441"/>
    <cellStyle name="Comma 67 3 5" xfId="442"/>
    <cellStyle name="Comma 67 3 6" xfId="443"/>
    <cellStyle name="Comma 67 3 7" xfId="444"/>
    <cellStyle name="Comma 67 3 8" xfId="445"/>
    <cellStyle name="Comma 67 3 9" xfId="446"/>
    <cellStyle name="Comma 67 30" xfId="2338"/>
    <cellStyle name="Comma 67 31" xfId="2146"/>
    <cellStyle name="Comma 67 32" xfId="2786"/>
    <cellStyle name="Comma 67 33" xfId="2960"/>
    <cellStyle name="Comma 67 34" xfId="5136"/>
    <cellStyle name="Comma 67 35" xfId="9675"/>
    <cellStyle name="Comma 67 36" xfId="10092"/>
    <cellStyle name="Comma 67 37" xfId="9679"/>
    <cellStyle name="Comma 67 4" xfId="447"/>
    <cellStyle name="Comma 67 5" xfId="448"/>
    <cellStyle name="Comma 67 6" xfId="449"/>
    <cellStyle name="Comma 67 7" xfId="450"/>
    <cellStyle name="Comma 67 8" xfId="451"/>
    <cellStyle name="Comma 67 9" xfId="452"/>
    <cellStyle name="Comma 68" xfId="1734"/>
    <cellStyle name="Comma 68 2" xfId="453"/>
    <cellStyle name="Comma 68 2 2" xfId="454"/>
    <cellStyle name="Comma 68 3" xfId="1941"/>
    <cellStyle name="Comma 68 3 2" xfId="5534"/>
    <cellStyle name="Comma 68 3 2 2" xfId="14015"/>
    <cellStyle name="Comma 68 3 2 3" xfId="20529"/>
    <cellStyle name="Comma 68 3 2 4" xfId="26918"/>
    <cellStyle name="Comma 68 3 3" xfId="10511"/>
    <cellStyle name="Comma 68 3 4" xfId="9533"/>
    <cellStyle name="Comma 68 3 5" xfId="10187"/>
    <cellStyle name="Comma 68 4" xfId="5336"/>
    <cellStyle name="Comma 68 4 2" xfId="13817"/>
    <cellStyle name="Comma 68 4 3" xfId="20331"/>
    <cellStyle name="Comma 68 4 4" xfId="26720"/>
    <cellStyle name="Comma 68 5" xfId="10309"/>
    <cellStyle name="Comma 68 6" xfId="9666"/>
    <cellStyle name="Comma 68 7" xfId="10101"/>
    <cellStyle name="Comma 7 10" xfId="455"/>
    <cellStyle name="Comma 7 11" xfId="456"/>
    <cellStyle name="Comma 7 12" xfId="457"/>
    <cellStyle name="Comma 7 13" xfId="458"/>
    <cellStyle name="Comma 7 14" xfId="459"/>
    <cellStyle name="Comma 7 15" xfId="460"/>
    <cellStyle name="Comma 7 16" xfId="461"/>
    <cellStyle name="Comma 7 17" xfId="8909"/>
    <cellStyle name="Comma 7 17 2" xfId="9163"/>
    <cellStyle name="Comma 7 18" xfId="9142"/>
    <cellStyle name="Comma 7 19" xfId="8674"/>
    <cellStyle name="Comma 7 2" xfId="462"/>
    <cellStyle name="Comma 7 2 2" xfId="463"/>
    <cellStyle name="Comma 7 2 2 2" xfId="464"/>
    <cellStyle name="Comma 7 2 2 2 2" xfId="465"/>
    <cellStyle name="Comma 7 2 2 3" xfId="466"/>
    <cellStyle name="Comma 7 2 3" xfId="467"/>
    <cellStyle name="Comma 7 2 3 2" xfId="468"/>
    <cellStyle name="Comma 7 2 3 2 2" xfId="469"/>
    <cellStyle name="Comma 7 2 3 3" xfId="470"/>
    <cellStyle name="Comma 7 2 4" xfId="471"/>
    <cellStyle name="Comma 7 2 4 2" xfId="472"/>
    <cellStyle name="Comma 7 2 4 2 2" xfId="473"/>
    <cellStyle name="Comma 7 2 4 3" xfId="474"/>
    <cellStyle name="Comma 7 2 5" xfId="475"/>
    <cellStyle name="Comma 7 2 5 2" xfId="476"/>
    <cellStyle name="Comma 7 2 5 2 2" xfId="477"/>
    <cellStyle name="Comma 7 2 5 3" xfId="478"/>
    <cellStyle name="Comma 7 2 6" xfId="479"/>
    <cellStyle name="Comma 7 2 6 2" xfId="480"/>
    <cellStyle name="Comma 7 2 6 2 2" xfId="481"/>
    <cellStyle name="Comma 7 2 6 3" xfId="482"/>
    <cellStyle name="Comma 7 2 7" xfId="483"/>
    <cellStyle name="Comma 7 2 7 2" xfId="484"/>
    <cellStyle name="Comma 7 2 7 2 2" xfId="485"/>
    <cellStyle name="Comma 7 2 7 3" xfId="486"/>
    <cellStyle name="Comma 7 2 8" xfId="487"/>
    <cellStyle name="Comma 7 2 8 2" xfId="488"/>
    <cellStyle name="Comma 7 2 9" xfId="489"/>
    <cellStyle name="Comma 7 20" xfId="9269"/>
    <cellStyle name="Comma 7 21" xfId="9246"/>
    <cellStyle name="Comma 7 22" xfId="9226"/>
    <cellStyle name="Comma 7 23" xfId="9205"/>
    <cellStyle name="Comma 7 24" xfId="9183"/>
    <cellStyle name="Comma 7 25" xfId="9164"/>
    <cellStyle name="Comma 7 26" xfId="9143"/>
    <cellStyle name="Comma 7 3" xfId="490"/>
    <cellStyle name="Comma 7 3 2" xfId="491"/>
    <cellStyle name="Comma 7 3 2 2" xfId="492"/>
    <cellStyle name="Comma 7 3 2 2 2" xfId="493"/>
    <cellStyle name="Comma 7 3 2 3" xfId="494"/>
    <cellStyle name="Comma 7 3 2 4" xfId="495"/>
    <cellStyle name="Comma 7 3 3" xfId="496"/>
    <cellStyle name="Comma 7 4" xfId="497"/>
    <cellStyle name="Comma 7 4 2" xfId="498"/>
    <cellStyle name="Comma 7 5" xfId="499"/>
    <cellStyle name="Comma 7 5 2" xfId="500"/>
    <cellStyle name="Comma 7 6" xfId="501"/>
    <cellStyle name="Comma 7 6 2" xfId="502"/>
    <cellStyle name="Comma 7 7" xfId="503"/>
    <cellStyle name="Comma 7 7 2" xfId="504"/>
    <cellStyle name="Comma 7 8" xfId="505"/>
    <cellStyle name="Comma 7 8 2" xfId="506"/>
    <cellStyle name="Comma 7 9" xfId="507"/>
    <cellStyle name="Comma 7 9 10" xfId="8673"/>
    <cellStyle name="Comma 7 9 11" xfId="9123"/>
    <cellStyle name="Comma 7 9 12" xfId="9101"/>
    <cellStyle name="Comma 7 9 13" xfId="9078"/>
    <cellStyle name="Comma 7 9 14" xfId="9057"/>
    <cellStyle name="Comma 7 9 15" xfId="9038"/>
    <cellStyle name="Comma 7 9 16" xfId="9017"/>
    <cellStyle name="Comma 7 9 17" xfId="8952"/>
    <cellStyle name="Comma 7 9 18" xfId="8908"/>
    <cellStyle name="Comma 7 9 2" xfId="508"/>
    <cellStyle name="Comma 7 9 3" xfId="509"/>
    <cellStyle name="Comma 7 9 4" xfId="510"/>
    <cellStyle name="Comma 7 9 5" xfId="511"/>
    <cellStyle name="Comma 7 9 6" xfId="512"/>
    <cellStyle name="Comma 7 9 7" xfId="513"/>
    <cellStyle name="Comma 7 9 8" xfId="514"/>
    <cellStyle name="Comma 7 9 9" xfId="515"/>
    <cellStyle name="Comma 70" xfId="1735"/>
    <cellStyle name="Comma 70 2" xfId="1942"/>
    <cellStyle name="Comma 70 2 2" xfId="5535"/>
    <cellStyle name="Comma 70 2 2 2" xfId="14016"/>
    <cellStyle name="Comma 70 2 2 3" xfId="20530"/>
    <cellStyle name="Comma 70 2 2 4" xfId="26919"/>
    <cellStyle name="Comma 70 2 3" xfId="10512"/>
    <cellStyle name="Comma 70 2 4" xfId="9347"/>
    <cellStyle name="Comma 70 2 5" xfId="17340"/>
    <cellStyle name="Comma 70 3" xfId="5337"/>
    <cellStyle name="Comma 70 3 2" xfId="13818"/>
    <cellStyle name="Comma 70 3 3" xfId="20332"/>
    <cellStyle name="Comma 70 3 4" xfId="26721"/>
    <cellStyle name="Comma 70 4" xfId="10310"/>
    <cellStyle name="Comma 70 5" xfId="17469"/>
    <cellStyle name="Comma 70 6" xfId="23896"/>
    <cellStyle name="Comma 71" xfId="1736"/>
    <cellStyle name="Comma 71 2" xfId="1943"/>
    <cellStyle name="Comma 71 2 2" xfId="5536"/>
    <cellStyle name="Comma 71 2 2 2" xfId="14017"/>
    <cellStyle name="Comma 71 2 2 3" xfId="20531"/>
    <cellStyle name="Comma 71 2 2 4" xfId="26920"/>
    <cellStyle name="Comma 71 2 3" xfId="10513"/>
    <cellStyle name="Comma 71 2 4" xfId="9532"/>
    <cellStyle name="Comma 71 2 5" xfId="17521"/>
    <cellStyle name="Comma 71 3" xfId="5338"/>
    <cellStyle name="Comma 71 3 2" xfId="13819"/>
    <cellStyle name="Comma 71 3 3" xfId="20333"/>
    <cellStyle name="Comma 71 3 4" xfId="26722"/>
    <cellStyle name="Comma 71 4" xfId="10311"/>
    <cellStyle name="Comma 71 5" xfId="17479"/>
    <cellStyle name="Comma 71 6" xfId="23904"/>
    <cellStyle name="Comma 72" xfId="9098"/>
    <cellStyle name="Comma 74" xfId="1931"/>
    <cellStyle name="Comma 74 2" xfId="5524"/>
    <cellStyle name="Comma 74 2 2" xfId="14005"/>
    <cellStyle name="Comma 74 2 3" xfId="20519"/>
    <cellStyle name="Comma 74 2 4" xfId="26908"/>
    <cellStyle name="Comma 74 3" xfId="10501"/>
    <cellStyle name="Comma 74 4" xfId="17504"/>
    <cellStyle name="Comma 74 5" xfId="23922"/>
    <cellStyle name="Comma 8" xfId="9144"/>
    <cellStyle name="Comma 8 2" xfId="516"/>
    <cellStyle name="Comma 8 2 2" xfId="517"/>
    <cellStyle name="Comma 8 2 2 2" xfId="518"/>
    <cellStyle name="Comma 8 2 2 2 2" xfId="519"/>
    <cellStyle name="Comma 8 2 2 3" xfId="520"/>
    <cellStyle name="Comma 8 2 3" xfId="521"/>
    <cellStyle name="Comma 8 3" xfId="522"/>
    <cellStyle name="Comma 8 3 2" xfId="523"/>
    <cellStyle name="Comma 8 4" xfId="524"/>
    <cellStyle name="Comma 8 4 2" xfId="525"/>
    <cellStyle name="Comma 8 5" xfId="526"/>
    <cellStyle name="Comma 8 5 2" xfId="527"/>
    <cellStyle name="Comma 8 6" xfId="528"/>
    <cellStyle name="Comma 8 6 2" xfId="529"/>
    <cellStyle name="Comma 8 7" xfId="530"/>
    <cellStyle name="Comma 8 7 2" xfId="531"/>
    <cellStyle name="Comma 8 8" xfId="532"/>
    <cellStyle name="Comma 8 8 2" xfId="533"/>
    <cellStyle name="Comma 9" xfId="8557"/>
    <cellStyle name="Comma 9 2" xfId="534"/>
    <cellStyle name="Comma 9 2 2" xfId="535"/>
    <cellStyle name="Comma 9 2 2 2" xfId="536"/>
    <cellStyle name="Comma 9 2 2 2 2" xfId="537"/>
    <cellStyle name="Comma 9 2 2 3" xfId="538"/>
    <cellStyle name="Comma 9 2 3" xfId="539"/>
    <cellStyle name="Comma 9 3" xfId="540"/>
    <cellStyle name="Comma 9 3 2" xfId="541"/>
    <cellStyle name="Comma 9 4" xfId="542"/>
    <cellStyle name="Comma 9 4 2" xfId="543"/>
    <cellStyle name="Comma 9 5" xfId="544"/>
    <cellStyle name="Comma 9 5 2" xfId="545"/>
    <cellStyle name="Comma 9 6" xfId="546"/>
    <cellStyle name="Comma 9 6 2" xfId="547"/>
    <cellStyle name="Comma 9 7" xfId="548"/>
    <cellStyle name="Comma 9 7 2" xfId="549"/>
    <cellStyle name="Comma 9 8" xfId="550"/>
    <cellStyle name="Comma 9 8 2" xfId="551"/>
    <cellStyle name="Copied" xfId="552"/>
    <cellStyle name="Copied 2" xfId="8556"/>
    <cellStyle name="COST1" xfId="553"/>
    <cellStyle name="COST1 2" xfId="8555"/>
    <cellStyle name="Currency" xfId="30001" builtinId="4"/>
    <cellStyle name="Currency 2" xfId="8554"/>
    <cellStyle name="date" xfId="554"/>
    <cellStyle name="'Ê%Ý [ - Style2" xfId="555"/>
    <cellStyle name="'Ê%Ý [ - Style3" xfId="556"/>
    <cellStyle name="'Ê%Ý_R - Style4" xfId="557"/>
    <cellStyle name="Entered" xfId="558"/>
    <cellStyle name="Entered 2" xfId="8553"/>
    <cellStyle name="Euro" xfId="8552"/>
    <cellStyle name="Excel Built-in Normal" xfId="559"/>
    <cellStyle name="Excel Built-in Normal 2" xfId="8551"/>
    <cellStyle name="Explanatory Text 2" xfId="8907"/>
    <cellStyle name="Explanatory Text 3" xfId="9316"/>
    <cellStyle name="Explanatory Text 4" xfId="9293"/>
    <cellStyle name="Explanatory Text 5" xfId="9270"/>
    <cellStyle name="Formula" xfId="560"/>
    <cellStyle name="Good 2" xfId="9227"/>
    <cellStyle name="Good 3" xfId="9206"/>
    <cellStyle name="Good 4" xfId="9184"/>
    <cellStyle name="Good 5" xfId="9165"/>
    <cellStyle name="Grey" xfId="561"/>
    <cellStyle name="Header1" xfId="562"/>
    <cellStyle name="Header1 10" xfId="8671"/>
    <cellStyle name="Header1 11" xfId="8670"/>
    <cellStyle name="Header1 12" xfId="8669"/>
    <cellStyle name="Header1 13" xfId="8668"/>
    <cellStyle name="Header1 14" xfId="8667"/>
    <cellStyle name="Header1 15" xfId="8666"/>
    <cellStyle name="Header1 16" xfId="8665"/>
    <cellStyle name="Header1 17" xfId="8664"/>
    <cellStyle name="Header1 18" xfId="8663"/>
    <cellStyle name="Header1 19" xfId="8662"/>
    <cellStyle name="Header1 2" xfId="563"/>
    <cellStyle name="Header1 2 2" xfId="564"/>
    <cellStyle name="Header1 2 2 2" xfId="565"/>
    <cellStyle name="Header1 20" xfId="8661"/>
    <cellStyle name="Header1 21" xfId="8660"/>
    <cellStyle name="Header1 3" xfId="566"/>
    <cellStyle name="Header1 4" xfId="567"/>
    <cellStyle name="Header1 5" xfId="568"/>
    <cellStyle name="Header1 6" xfId="569"/>
    <cellStyle name="Header1 7" xfId="570"/>
    <cellStyle name="Header1 8" xfId="571"/>
    <cellStyle name="Header1 9" xfId="8672"/>
    <cellStyle name="Header1 9 2" xfId="8659"/>
    <cellStyle name="Header2" xfId="572"/>
    <cellStyle name="Header2 10" xfId="8657"/>
    <cellStyle name="Header2 11" xfId="8656"/>
    <cellStyle name="Header2 12" xfId="8655"/>
    <cellStyle name="Header2 13" xfId="9124"/>
    <cellStyle name="Header2 14" xfId="9102"/>
    <cellStyle name="Header2 15" xfId="9079"/>
    <cellStyle name="Header2 16" xfId="9058"/>
    <cellStyle name="Header2 17" xfId="9039"/>
    <cellStyle name="Header2 18" xfId="9018"/>
    <cellStyle name="Header2 19" xfId="8951"/>
    <cellStyle name="Header2 2" xfId="573"/>
    <cellStyle name="Header2 2 2" xfId="574"/>
    <cellStyle name="Header2 2 2 2" xfId="575"/>
    <cellStyle name="Header2 20" xfId="9271"/>
    <cellStyle name="Header2 21" xfId="9247"/>
    <cellStyle name="Header2 3" xfId="576"/>
    <cellStyle name="Header2 4" xfId="577"/>
    <cellStyle name="Header2 5" xfId="578"/>
    <cellStyle name="Header2 6" xfId="579"/>
    <cellStyle name="Header2 7" xfId="580"/>
    <cellStyle name="Header2 8" xfId="581"/>
    <cellStyle name="Header2 9" xfId="8658"/>
    <cellStyle name="Header2 9 2" xfId="9125"/>
    <cellStyle name="Heading 1 2" xfId="9103"/>
    <cellStyle name="Heading 1 3" xfId="9080"/>
    <cellStyle name="Heading 1 4" xfId="9059"/>
    <cellStyle name="Heading 1 5" xfId="9040"/>
    <cellStyle name="Heading 2 2" xfId="9019"/>
    <cellStyle name="Heading 2 3" xfId="8950"/>
    <cellStyle name="Heading 2 4" xfId="8906"/>
    <cellStyle name="Heading 2 5" xfId="9317"/>
    <cellStyle name="Heading 3 2" xfId="9294"/>
    <cellStyle name="Heading 3 3" xfId="9272"/>
    <cellStyle name="Heading 3 4" xfId="9248"/>
    <cellStyle name="Heading 3 5" xfId="9228"/>
    <cellStyle name="Heading 4 2" xfId="9207"/>
    <cellStyle name="Heading 4 3" xfId="9185"/>
    <cellStyle name="Heading 4 4" xfId="9166"/>
    <cellStyle name="Heading 4 5" xfId="9145"/>
    <cellStyle name="Hyperlink" xfId="582" builtinId="8"/>
    <cellStyle name="Hyperlink 2" xfId="583"/>
    <cellStyle name="Hyperlink 2 2" xfId="8550"/>
    <cellStyle name="Hypertextový odkaz" xfId="584"/>
    <cellStyle name="Hypertextový odkaz 2" xfId="8549"/>
    <cellStyle name="Input [yellow]" xfId="585"/>
    <cellStyle name="Input [yellow] 2" xfId="9081"/>
    <cellStyle name="Input 2" xfId="9060"/>
    <cellStyle name="Input 3" xfId="9041"/>
    <cellStyle name="Input 4" xfId="9020"/>
    <cellStyle name="Input 5" xfId="8949"/>
    <cellStyle name="Input Cells" xfId="586"/>
    <cellStyle name="Linked Cell 2" xfId="9318"/>
    <cellStyle name="Linked Cell 3" xfId="9295"/>
    <cellStyle name="Linked Cell 4" xfId="9273"/>
    <cellStyle name="Linked Cell 5" xfId="9249"/>
    <cellStyle name="Linked Cells" xfId="587"/>
    <cellStyle name="Milliers [0]_!!!GO" xfId="588"/>
    <cellStyle name="Milliers_!!!GO" xfId="589"/>
    <cellStyle name="Monétaire [0]_!!!GO" xfId="590"/>
    <cellStyle name="Monétaire_!!!GO" xfId="591"/>
    <cellStyle name="Neutral 2" xfId="8654"/>
    <cellStyle name="Neutral 3" xfId="9126"/>
    <cellStyle name="Neutral 4" xfId="9104"/>
    <cellStyle name="Neutral 5" xfId="9082"/>
    <cellStyle name="no dec" xfId="592"/>
    <cellStyle name="Normal" xfId="0" builtinId="0"/>
    <cellStyle name="Normal - Style1" xfId="593"/>
    <cellStyle name="Normal - Style1 10" xfId="9021"/>
    <cellStyle name="Normal - Style1 11" xfId="8948"/>
    <cellStyle name="Normal - Style1 12" xfId="8905"/>
    <cellStyle name="Normal - Style1 13" xfId="9319"/>
    <cellStyle name="Normal - Style1 14" xfId="9296"/>
    <cellStyle name="Normal - Style1 15" xfId="9274"/>
    <cellStyle name="Normal - Style1 16" xfId="9250"/>
    <cellStyle name="Normal - Style1 17" xfId="9229"/>
    <cellStyle name="Normal - Style1 18" xfId="9208"/>
    <cellStyle name="Normal - Style1 19" xfId="9186"/>
    <cellStyle name="Normal - Style1 2" xfId="594"/>
    <cellStyle name="Normal - Style1 2 2" xfId="595"/>
    <cellStyle name="Normal - Style1 2 2 2" xfId="596"/>
    <cellStyle name="Normal - Style1 20" xfId="9127"/>
    <cellStyle name="Normal - Style1 21" xfId="9105"/>
    <cellStyle name="Normal - Style1 22" xfId="9083"/>
    <cellStyle name="Normal - Style1 23" xfId="9061"/>
    <cellStyle name="Normal - Style1 24" xfId="9043"/>
    <cellStyle name="Normal - Style1 3" xfId="597"/>
    <cellStyle name="Normal - Style1 4" xfId="598"/>
    <cellStyle name="Normal - Style1 5" xfId="599"/>
    <cellStyle name="Normal - Style1 6" xfId="600"/>
    <cellStyle name="Normal - Style1 7" xfId="601"/>
    <cellStyle name="Normal - Style1 8" xfId="602"/>
    <cellStyle name="Normal - Style1 9" xfId="9042"/>
    <cellStyle name="Normal - Style1 9 2" xfId="9251"/>
    <cellStyle name="Normal - Style2" xfId="603"/>
    <cellStyle name="Normal - Style3" xfId="604"/>
    <cellStyle name="Normal - Style4" xfId="605"/>
    <cellStyle name="Normal - Style6" xfId="606"/>
    <cellStyle name="Normal 10" xfId="607"/>
    <cellStyle name="Normal 10 10" xfId="608"/>
    <cellStyle name="Normal 10 11" xfId="609"/>
    <cellStyle name="Normal 10 12" xfId="610"/>
    <cellStyle name="Normal 10 13" xfId="611"/>
    <cellStyle name="Normal 10 14" xfId="612"/>
    <cellStyle name="Normal 10 15" xfId="613"/>
    <cellStyle name="Normal 10 16" xfId="614"/>
    <cellStyle name="Normal 10 17" xfId="615"/>
    <cellStyle name="Normal 10 18" xfId="616"/>
    <cellStyle name="Normal 10 19" xfId="617"/>
    <cellStyle name="Normal 10 2" xfId="618"/>
    <cellStyle name="Normal 10 20" xfId="619"/>
    <cellStyle name="Normal 10 21" xfId="620"/>
    <cellStyle name="Normal 10 22" xfId="621"/>
    <cellStyle name="Normal 10 23" xfId="622"/>
    <cellStyle name="Normal 10 24" xfId="623"/>
    <cellStyle name="Normal 10 25" xfId="624"/>
    <cellStyle name="Normal 10 26" xfId="625"/>
    <cellStyle name="Normal 10 27" xfId="9146"/>
    <cellStyle name="Normal 10 27 2" xfId="9147"/>
    <cellStyle name="Normal 10 28" xfId="9128"/>
    <cellStyle name="Normal 10 29" xfId="9106"/>
    <cellStyle name="Normal 10 3" xfId="626"/>
    <cellStyle name="Normal 10 30" xfId="9129"/>
    <cellStyle name="Normal 10 31" xfId="9107"/>
    <cellStyle name="Normal 10 32" xfId="9084"/>
    <cellStyle name="Normal 10 33" xfId="9062"/>
    <cellStyle name="Normal 10 34" xfId="9044"/>
    <cellStyle name="Normal 10 35" xfId="9022"/>
    <cellStyle name="Normal 10 36" xfId="8947"/>
    <cellStyle name="Normal 10 37" xfId="8904"/>
    <cellStyle name="Normal 10 38" xfId="9320"/>
    <cellStyle name="Normal 10 39" xfId="9297"/>
    <cellStyle name="Normal 10 4" xfId="627"/>
    <cellStyle name="Normal 10 40" xfId="8921"/>
    <cellStyle name="Normal 10 5" xfId="628"/>
    <cellStyle name="Normal 10 6" xfId="629"/>
    <cellStyle name="Normal 10 7" xfId="630"/>
    <cellStyle name="Normal 10 8" xfId="631"/>
    <cellStyle name="Normal 10 9" xfId="632"/>
    <cellStyle name="Normal 100" xfId="633"/>
    <cellStyle name="Normal 100 10" xfId="3372"/>
    <cellStyle name="Normal 100 10 2" xfId="6847"/>
    <cellStyle name="Normal 100 10 2 2" xfId="15328"/>
    <cellStyle name="Normal 100 10 2 3" xfId="21842"/>
    <cellStyle name="Normal 100 10 2 4" xfId="28231"/>
    <cellStyle name="Normal 100 10 3" xfId="11869"/>
    <cellStyle name="Normal 100 10 4" xfId="18425"/>
    <cellStyle name="Normal 100 10 5" xfId="24827"/>
    <cellStyle name="Normal 100 11" xfId="3543"/>
    <cellStyle name="Normal 100 11 2" xfId="7012"/>
    <cellStyle name="Normal 100 11 2 2" xfId="15493"/>
    <cellStyle name="Normal 100 11 2 3" xfId="22007"/>
    <cellStyle name="Normal 100 11 2 4" xfId="28396"/>
    <cellStyle name="Normal 100 11 3" xfId="12038"/>
    <cellStyle name="Normal 100 11 4" xfId="18591"/>
    <cellStyle name="Normal 100 11 5" xfId="24992"/>
    <cellStyle name="Normal 100 12" xfId="3713"/>
    <cellStyle name="Normal 100 12 2" xfId="7176"/>
    <cellStyle name="Normal 100 12 2 2" xfId="15657"/>
    <cellStyle name="Normal 100 12 2 3" xfId="22171"/>
    <cellStyle name="Normal 100 12 2 4" xfId="28560"/>
    <cellStyle name="Normal 100 12 3" xfId="12208"/>
    <cellStyle name="Normal 100 12 4" xfId="18758"/>
    <cellStyle name="Normal 100 12 5" xfId="25156"/>
    <cellStyle name="Normal 100 13" xfId="3881"/>
    <cellStyle name="Normal 100 13 2" xfId="7339"/>
    <cellStyle name="Normal 100 13 2 2" xfId="15820"/>
    <cellStyle name="Normal 100 13 2 3" xfId="22334"/>
    <cellStyle name="Normal 100 13 2 4" xfId="28723"/>
    <cellStyle name="Normal 100 13 3" xfId="12375"/>
    <cellStyle name="Normal 100 13 4" xfId="18922"/>
    <cellStyle name="Normal 100 13 5" xfId="25319"/>
    <cellStyle name="Normal 100 14" xfId="4046"/>
    <cellStyle name="Normal 100 14 2" xfId="7499"/>
    <cellStyle name="Normal 100 14 2 2" xfId="15980"/>
    <cellStyle name="Normal 100 14 2 3" xfId="22494"/>
    <cellStyle name="Normal 100 14 2 4" xfId="28883"/>
    <cellStyle name="Normal 100 14 3" xfId="12539"/>
    <cellStyle name="Normal 100 14 4" xfId="19083"/>
    <cellStyle name="Normal 100 14 5" xfId="25479"/>
    <cellStyle name="Normal 100 15" xfId="4211"/>
    <cellStyle name="Normal 100 15 2" xfId="7659"/>
    <cellStyle name="Normal 100 15 2 2" xfId="16140"/>
    <cellStyle name="Normal 100 15 2 3" xfId="22654"/>
    <cellStyle name="Normal 100 15 2 4" xfId="29043"/>
    <cellStyle name="Normal 100 15 3" xfId="12703"/>
    <cellStyle name="Normal 100 15 4" xfId="19244"/>
    <cellStyle name="Normal 100 15 5" xfId="25639"/>
    <cellStyle name="Normal 100 16" xfId="4371"/>
    <cellStyle name="Normal 100 16 2" xfId="7814"/>
    <cellStyle name="Normal 100 16 2 2" xfId="16295"/>
    <cellStyle name="Normal 100 16 2 3" xfId="22809"/>
    <cellStyle name="Normal 100 16 2 4" xfId="29198"/>
    <cellStyle name="Normal 100 16 3" xfId="12862"/>
    <cellStyle name="Normal 100 16 4" xfId="19400"/>
    <cellStyle name="Normal 100 16 5" xfId="25794"/>
    <cellStyle name="Normal 100 17" xfId="4531"/>
    <cellStyle name="Normal 100 17 2" xfId="7969"/>
    <cellStyle name="Normal 100 17 2 2" xfId="16450"/>
    <cellStyle name="Normal 100 17 2 3" xfId="22964"/>
    <cellStyle name="Normal 100 17 2 4" xfId="29353"/>
    <cellStyle name="Normal 100 17 3" xfId="13022"/>
    <cellStyle name="Normal 100 17 4" xfId="19556"/>
    <cellStyle name="Normal 100 17 5" xfId="25949"/>
    <cellStyle name="Normal 100 18" xfId="4691"/>
    <cellStyle name="Normal 100 18 2" xfId="8124"/>
    <cellStyle name="Normal 100 18 2 2" xfId="16605"/>
    <cellStyle name="Normal 100 18 2 3" xfId="23119"/>
    <cellStyle name="Normal 100 18 2 4" xfId="29508"/>
    <cellStyle name="Normal 100 18 3" xfId="13181"/>
    <cellStyle name="Normal 100 18 4" xfId="19712"/>
    <cellStyle name="Normal 100 18 5" xfId="26104"/>
    <cellStyle name="Normal 100 19" xfId="4850"/>
    <cellStyle name="Normal 100 19 2" xfId="8278"/>
    <cellStyle name="Normal 100 19 2 2" xfId="16759"/>
    <cellStyle name="Normal 100 19 2 3" xfId="23273"/>
    <cellStyle name="Normal 100 19 2 4" xfId="29662"/>
    <cellStyle name="Normal 100 19 3" xfId="13339"/>
    <cellStyle name="Normal 100 19 4" xfId="19867"/>
    <cellStyle name="Normal 100 19 5" xfId="26258"/>
    <cellStyle name="Normal 100 2" xfId="634"/>
    <cellStyle name="Normal 100 2 10" xfId="2481"/>
    <cellStyle name="Normal 100 2 10 2" xfId="6017"/>
    <cellStyle name="Normal 100 2 10 2 2" xfId="14498"/>
    <cellStyle name="Normal 100 2 10 2 3" xfId="21012"/>
    <cellStyle name="Normal 100 2 10 2 4" xfId="27401"/>
    <cellStyle name="Normal 100 2 10 3" xfId="11018"/>
    <cellStyle name="Normal 100 2 10 4" xfId="17590"/>
    <cellStyle name="Normal 100 2 10 5" xfId="23997"/>
    <cellStyle name="Normal 100 2 11" xfId="2027"/>
    <cellStyle name="Normal 100 2 11 2" xfId="5607"/>
    <cellStyle name="Normal 100 2 11 2 2" xfId="14088"/>
    <cellStyle name="Normal 100 2 11 2 3" xfId="20602"/>
    <cellStyle name="Normal 100 2 11 2 4" xfId="26991"/>
    <cellStyle name="Normal 100 2 11 3" xfId="10589"/>
    <cellStyle name="Normal 100 2 11 4" xfId="9474"/>
    <cellStyle name="Normal 100 2 11 5" xfId="17318"/>
    <cellStyle name="Normal 100 2 12" xfId="2319"/>
    <cellStyle name="Normal 100 2 12 2" xfId="5882"/>
    <cellStyle name="Normal 100 2 12 2 2" xfId="14363"/>
    <cellStyle name="Normal 100 2 12 2 3" xfId="20877"/>
    <cellStyle name="Normal 100 2 12 2 4" xfId="27266"/>
    <cellStyle name="Normal 100 2 12 3" xfId="10871"/>
    <cellStyle name="Normal 100 2 12 4" xfId="9345"/>
    <cellStyle name="Normal 100 2 12 5" xfId="10298"/>
    <cellStyle name="Normal 100 2 13" xfId="2631"/>
    <cellStyle name="Normal 100 2 13 2" xfId="6138"/>
    <cellStyle name="Normal 100 2 13 2 2" xfId="14619"/>
    <cellStyle name="Normal 100 2 13 2 3" xfId="21133"/>
    <cellStyle name="Normal 100 2 13 2 4" xfId="27522"/>
    <cellStyle name="Normal 100 2 13 3" xfId="11145"/>
    <cellStyle name="Normal 100 2 13 4" xfId="17714"/>
    <cellStyle name="Normal 100 2 13 5" xfId="24118"/>
    <cellStyle name="Normal 100 2 14" xfId="1959"/>
    <cellStyle name="Normal 100 2 14 2" xfId="5551"/>
    <cellStyle name="Normal 100 2 14 2 2" xfId="14032"/>
    <cellStyle name="Normal 100 2 14 2 3" xfId="20546"/>
    <cellStyle name="Normal 100 2 14 2 4" xfId="26935"/>
    <cellStyle name="Normal 100 2 14 3" xfId="10529"/>
    <cellStyle name="Normal 100 2 14 4" xfId="11134"/>
    <cellStyle name="Normal 100 2 14 5" xfId="17703"/>
    <cellStyle name="Normal 100 2 15" xfId="2386"/>
    <cellStyle name="Normal 100 2 15 2" xfId="5937"/>
    <cellStyle name="Normal 100 2 15 2 2" xfId="14418"/>
    <cellStyle name="Normal 100 2 15 2 3" xfId="20932"/>
    <cellStyle name="Normal 100 2 15 2 4" xfId="27321"/>
    <cellStyle name="Normal 100 2 15 3" xfId="10931"/>
    <cellStyle name="Normal 100 2 15 4" xfId="17553"/>
    <cellStyle name="Normal 100 2 15 5" xfId="23961"/>
    <cellStyle name="Normal 100 2 16" xfId="2556"/>
    <cellStyle name="Normal 100 2 16 2" xfId="6074"/>
    <cellStyle name="Normal 100 2 16 2 2" xfId="14555"/>
    <cellStyle name="Normal 100 2 16 2 3" xfId="21069"/>
    <cellStyle name="Normal 100 2 16 2 4" xfId="27458"/>
    <cellStyle name="Normal 100 2 16 3" xfId="11078"/>
    <cellStyle name="Normal 100 2 16 4" xfId="17648"/>
    <cellStyle name="Normal 100 2 16 5" xfId="24054"/>
    <cellStyle name="Normal 100 2 17" xfId="2465"/>
    <cellStyle name="Normal 100 2 17 2" xfId="6002"/>
    <cellStyle name="Normal 100 2 17 2 2" xfId="14483"/>
    <cellStyle name="Normal 100 2 17 2 3" xfId="20997"/>
    <cellStyle name="Normal 100 2 17 2 4" xfId="27386"/>
    <cellStyle name="Normal 100 2 17 3" xfId="11002"/>
    <cellStyle name="Normal 100 2 17 4" xfId="17575"/>
    <cellStyle name="Normal 100 2 17 5" xfId="23982"/>
    <cellStyle name="Normal 100 2 18" xfId="2511"/>
    <cellStyle name="Normal 100 2 18 2" xfId="6035"/>
    <cellStyle name="Normal 100 2 18 2 2" xfId="14516"/>
    <cellStyle name="Normal 100 2 18 2 3" xfId="21030"/>
    <cellStyle name="Normal 100 2 18 2 4" xfId="27419"/>
    <cellStyle name="Normal 100 2 18 3" xfId="11036"/>
    <cellStyle name="Normal 100 2 18 4" xfId="17608"/>
    <cellStyle name="Normal 100 2 18 5" xfId="24015"/>
    <cellStyle name="Normal 100 2 19" xfId="5138"/>
    <cellStyle name="Normal 100 2 19 2" xfId="13620"/>
    <cellStyle name="Normal 100 2 19 3" xfId="20138"/>
    <cellStyle name="Normal 100 2 19 4" xfId="26527"/>
    <cellStyle name="Normal 100 2 2" xfId="1742"/>
    <cellStyle name="Normal 100 2 2 2" xfId="5340"/>
    <cellStyle name="Normal 100 2 2 2 2" xfId="13821"/>
    <cellStyle name="Normal 100 2 2 2 3" xfId="20335"/>
    <cellStyle name="Normal 100 2 2 2 4" xfId="26724"/>
    <cellStyle name="Normal 100 2 2 3" xfId="10314"/>
    <cellStyle name="Normal 100 2 2 4" xfId="17305"/>
    <cellStyle name="Normal 100 2 2 5" xfId="23777"/>
    <cellStyle name="Normal 100 2 20" xfId="9712"/>
    <cellStyle name="Normal 100 2 21" xfId="13422"/>
    <cellStyle name="Normal 100 2 22" xfId="19950"/>
    <cellStyle name="Normal 100 2 3" xfId="2524"/>
    <cellStyle name="Normal 100 2 3 2" xfId="6045"/>
    <cellStyle name="Normal 100 2 3 2 2" xfId="14526"/>
    <cellStyle name="Normal 100 2 3 2 3" xfId="21040"/>
    <cellStyle name="Normal 100 2 3 2 4" xfId="27429"/>
    <cellStyle name="Normal 100 2 3 3" xfId="11046"/>
    <cellStyle name="Normal 100 2 3 4" xfId="17618"/>
    <cellStyle name="Normal 100 2 3 5" xfId="24025"/>
    <cellStyle name="Normal 100 2 4" xfId="2480"/>
    <cellStyle name="Normal 100 2 4 2" xfId="6016"/>
    <cellStyle name="Normal 100 2 4 2 2" xfId="14497"/>
    <cellStyle name="Normal 100 2 4 2 3" xfId="21011"/>
    <cellStyle name="Normal 100 2 4 2 4" xfId="27400"/>
    <cellStyle name="Normal 100 2 4 3" xfId="11017"/>
    <cellStyle name="Normal 100 2 4 4" xfId="17589"/>
    <cellStyle name="Normal 100 2 4 5" xfId="23996"/>
    <cellStyle name="Normal 100 2 5" xfId="2028"/>
    <cellStyle name="Normal 100 2 5 2" xfId="5608"/>
    <cellStyle name="Normal 100 2 5 2 2" xfId="14089"/>
    <cellStyle name="Normal 100 2 5 2 3" xfId="20603"/>
    <cellStyle name="Normal 100 2 5 2 4" xfId="26992"/>
    <cellStyle name="Normal 100 2 5 3" xfId="10590"/>
    <cellStyle name="Normal 100 2 5 4" xfId="9473"/>
    <cellStyle name="Normal 100 2 5 5" xfId="17353"/>
    <cellStyle name="Normal 100 2 6" xfId="2318"/>
    <cellStyle name="Normal 100 2 6 2" xfId="5881"/>
    <cellStyle name="Normal 100 2 6 2 2" xfId="14362"/>
    <cellStyle name="Normal 100 2 6 2 3" xfId="20876"/>
    <cellStyle name="Normal 100 2 6 2 4" xfId="27265"/>
    <cellStyle name="Normal 100 2 6 3" xfId="10870"/>
    <cellStyle name="Normal 100 2 6 4" xfId="9346"/>
    <cellStyle name="Normal 100 2 6 5" xfId="10297"/>
    <cellStyle name="Normal 100 2 7" xfId="2632"/>
    <cellStyle name="Normal 100 2 7 2" xfId="6139"/>
    <cellStyle name="Normal 100 2 7 2 2" xfId="14620"/>
    <cellStyle name="Normal 100 2 7 2 3" xfId="21134"/>
    <cellStyle name="Normal 100 2 7 2 4" xfId="27523"/>
    <cellStyle name="Normal 100 2 7 3" xfId="11146"/>
    <cellStyle name="Normal 100 2 7 4" xfId="17715"/>
    <cellStyle name="Normal 100 2 7 5" xfId="24119"/>
    <cellStyle name="Normal 100 2 8" xfId="2421"/>
    <cellStyle name="Normal 100 2 8 2" xfId="5967"/>
    <cellStyle name="Normal 100 2 8 2 2" xfId="14448"/>
    <cellStyle name="Normal 100 2 8 2 3" xfId="20962"/>
    <cellStyle name="Normal 100 2 8 2 4" xfId="27351"/>
    <cellStyle name="Normal 100 2 8 3" xfId="10964"/>
    <cellStyle name="Normal 100 2 8 4" xfId="17284"/>
    <cellStyle name="Normal 100 2 8 5" xfId="23758"/>
    <cellStyle name="Normal 100 2 9" xfId="2523"/>
    <cellStyle name="Normal 100 2 9 2" xfId="6044"/>
    <cellStyle name="Normal 100 2 9 2 2" xfId="14525"/>
    <cellStyle name="Normal 100 2 9 2 3" xfId="21039"/>
    <cellStyle name="Normal 100 2 9 2 4" xfId="27428"/>
    <cellStyle name="Normal 100 2 9 3" xfId="11045"/>
    <cellStyle name="Normal 100 2 9 4" xfId="17617"/>
    <cellStyle name="Normal 100 2 9 5" xfId="24024"/>
    <cellStyle name="Normal 100 20" xfId="5137"/>
    <cellStyle name="Normal 100 20 2" xfId="13619"/>
    <cellStyle name="Normal 100 20 3" xfId="20137"/>
    <cellStyle name="Normal 100 20 4" xfId="26526"/>
    <cellStyle name="Normal 100 21" xfId="9711"/>
    <cellStyle name="Normal 100 22" xfId="10004"/>
    <cellStyle name="Normal 100 23" xfId="9723"/>
    <cellStyle name="Normal 100 3" xfId="1741"/>
    <cellStyle name="Normal 100 3 2" xfId="5339"/>
    <cellStyle name="Normal 100 3 2 2" xfId="13820"/>
    <cellStyle name="Normal 100 3 2 3" xfId="20334"/>
    <cellStyle name="Normal 100 3 2 4" xfId="26723"/>
    <cellStyle name="Normal 100 3 3" xfId="10313"/>
    <cellStyle name="Normal 100 3 4" xfId="17543"/>
    <cellStyle name="Normal 100 3 5" xfId="23953"/>
    <cellStyle name="Normal 100 4" xfId="2071"/>
    <cellStyle name="Normal 100 4 2" xfId="5644"/>
    <cellStyle name="Normal 100 4 2 2" xfId="14125"/>
    <cellStyle name="Normal 100 4 2 3" xfId="20639"/>
    <cellStyle name="Normal 100 4 2 4" xfId="27028"/>
    <cellStyle name="Normal 100 4 3" xfId="10630"/>
    <cellStyle name="Normal 100 4 4" xfId="9438"/>
    <cellStyle name="Normal 100 4 5" xfId="12850"/>
    <cellStyle name="Normal 100 5" xfId="2268"/>
    <cellStyle name="Normal 100 5 2" xfId="5838"/>
    <cellStyle name="Normal 100 5 2 2" xfId="14319"/>
    <cellStyle name="Normal 100 5 2 3" xfId="20833"/>
    <cellStyle name="Normal 100 5 2 4" xfId="27222"/>
    <cellStyle name="Normal 100 5 3" xfId="10824"/>
    <cellStyle name="Normal 100 5 4" xfId="17195"/>
    <cellStyle name="Normal 100 5 5" xfId="23671"/>
    <cellStyle name="Normal 100 6" xfId="2680"/>
    <cellStyle name="Normal 100 6 2" xfId="6181"/>
    <cellStyle name="Normal 100 6 2 2" xfId="14662"/>
    <cellStyle name="Normal 100 6 2 3" xfId="21176"/>
    <cellStyle name="Normal 100 6 2 4" xfId="27565"/>
    <cellStyle name="Normal 100 6 3" xfId="11190"/>
    <cellStyle name="Normal 100 6 4" xfId="17759"/>
    <cellStyle name="Normal 100 6 5" xfId="24161"/>
    <cellStyle name="Normal 100 7" xfId="2854"/>
    <cellStyle name="Normal 100 7 2" xfId="6348"/>
    <cellStyle name="Normal 100 7 2 2" xfId="14829"/>
    <cellStyle name="Normal 100 7 2 3" xfId="21343"/>
    <cellStyle name="Normal 100 7 2 4" xfId="27732"/>
    <cellStyle name="Normal 100 7 3" xfId="11360"/>
    <cellStyle name="Normal 100 7 4" xfId="17926"/>
    <cellStyle name="Normal 100 7 5" xfId="24328"/>
    <cellStyle name="Normal 100 8" xfId="3028"/>
    <cellStyle name="Normal 100 8 2" xfId="6515"/>
    <cellStyle name="Normal 100 8 2 2" xfId="14996"/>
    <cellStyle name="Normal 100 8 2 3" xfId="21510"/>
    <cellStyle name="Normal 100 8 2 4" xfId="27899"/>
    <cellStyle name="Normal 100 8 3" xfId="11530"/>
    <cellStyle name="Normal 100 8 4" xfId="18093"/>
    <cellStyle name="Normal 100 8 5" xfId="24495"/>
    <cellStyle name="Normal 100 9" xfId="3201"/>
    <cellStyle name="Normal 100 9 2" xfId="6682"/>
    <cellStyle name="Normal 100 9 2 2" xfId="15163"/>
    <cellStyle name="Normal 100 9 2 3" xfId="21677"/>
    <cellStyle name="Normal 100 9 2 4" xfId="28066"/>
    <cellStyle name="Normal 100 9 3" xfId="11701"/>
    <cellStyle name="Normal 100 9 4" xfId="18260"/>
    <cellStyle name="Normal 100 9 5" xfId="24662"/>
    <cellStyle name="Normal 101" xfId="635"/>
    <cellStyle name="Normal 101 10" xfId="3544"/>
    <cellStyle name="Normal 101 10 2" xfId="7013"/>
    <cellStyle name="Normal 101 10 2 2" xfId="15494"/>
    <cellStyle name="Normal 101 10 2 3" xfId="22008"/>
    <cellStyle name="Normal 101 10 2 4" xfId="28397"/>
    <cellStyle name="Normal 101 10 3" xfId="12039"/>
    <cellStyle name="Normal 101 10 4" xfId="18592"/>
    <cellStyle name="Normal 101 10 5" xfId="24993"/>
    <cellStyle name="Normal 101 11" xfId="3714"/>
    <cellStyle name="Normal 101 11 2" xfId="7177"/>
    <cellStyle name="Normal 101 11 2 2" xfId="15658"/>
    <cellStyle name="Normal 101 11 2 3" xfId="22172"/>
    <cellStyle name="Normal 101 11 2 4" xfId="28561"/>
    <cellStyle name="Normal 101 11 3" xfId="12209"/>
    <cellStyle name="Normal 101 11 4" xfId="18759"/>
    <cellStyle name="Normal 101 11 5" xfId="25157"/>
    <cellStyle name="Normal 101 12" xfId="3882"/>
    <cellStyle name="Normal 101 12 2" xfId="7340"/>
    <cellStyle name="Normal 101 12 2 2" xfId="15821"/>
    <cellStyle name="Normal 101 12 2 3" xfId="22335"/>
    <cellStyle name="Normal 101 12 2 4" xfId="28724"/>
    <cellStyle name="Normal 101 12 3" xfId="12376"/>
    <cellStyle name="Normal 101 12 4" xfId="18923"/>
    <cellStyle name="Normal 101 12 5" xfId="25320"/>
    <cellStyle name="Normal 101 13" xfId="4047"/>
    <cellStyle name="Normal 101 13 2" xfId="7500"/>
    <cellStyle name="Normal 101 13 2 2" xfId="15981"/>
    <cellStyle name="Normal 101 13 2 3" xfId="22495"/>
    <cellStyle name="Normal 101 13 2 4" xfId="28884"/>
    <cellStyle name="Normal 101 13 3" xfId="12540"/>
    <cellStyle name="Normal 101 13 4" xfId="19084"/>
    <cellStyle name="Normal 101 13 5" xfId="25480"/>
    <cellStyle name="Normal 101 14" xfId="4212"/>
    <cellStyle name="Normal 101 14 2" xfId="7660"/>
    <cellStyle name="Normal 101 14 2 2" xfId="16141"/>
    <cellStyle name="Normal 101 14 2 3" xfId="22655"/>
    <cellStyle name="Normal 101 14 2 4" xfId="29044"/>
    <cellStyle name="Normal 101 14 3" xfId="12704"/>
    <cellStyle name="Normal 101 14 4" xfId="19245"/>
    <cellStyle name="Normal 101 14 5" xfId="25640"/>
    <cellStyle name="Normal 101 15" xfId="4372"/>
    <cellStyle name="Normal 101 15 2" xfId="7815"/>
    <cellStyle name="Normal 101 15 2 2" xfId="16296"/>
    <cellStyle name="Normal 101 15 2 3" xfId="22810"/>
    <cellStyle name="Normal 101 15 2 4" xfId="29199"/>
    <cellStyle name="Normal 101 15 3" xfId="12863"/>
    <cellStyle name="Normal 101 15 4" xfId="19401"/>
    <cellStyle name="Normal 101 15 5" xfId="25795"/>
    <cellStyle name="Normal 101 16" xfId="4532"/>
    <cellStyle name="Normal 101 16 2" xfId="7970"/>
    <cellStyle name="Normal 101 16 2 2" xfId="16451"/>
    <cellStyle name="Normal 101 16 2 3" xfId="22965"/>
    <cellStyle name="Normal 101 16 2 4" xfId="29354"/>
    <cellStyle name="Normal 101 16 3" xfId="13023"/>
    <cellStyle name="Normal 101 16 4" xfId="19557"/>
    <cellStyle name="Normal 101 16 5" xfId="25950"/>
    <cellStyle name="Normal 101 17" xfId="4692"/>
    <cellStyle name="Normal 101 17 2" xfId="8125"/>
    <cellStyle name="Normal 101 17 2 2" xfId="16606"/>
    <cellStyle name="Normal 101 17 2 3" xfId="23120"/>
    <cellStyle name="Normal 101 17 2 4" xfId="29509"/>
    <cellStyle name="Normal 101 17 3" xfId="13182"/>
    <cellStyle name="Normal 101 17 4" xfId="19713"/>
    <cellStyle name="Normal 101 17 5" xfId="26105"/>
    <cellStyle name="Normal 101 18" xfId="4851"/>
    <cellStyle name="Normal 101 18 2" xfId="8279"/>
    <cellStyle name="Normal 101 18 2 2" xfId="16760"/>
    <cellStyle name="Normal 101 18 2 3" xfId="23274"/>
    <cellStyle name="Normal 101 18 2 4" xfId="29663"/>
    <cellStyle name="Normal 101 18 3" xfId="13340"/>
    <cellStyle name="Normal 101 18 4" xfId="19868"/>
    <cellStyle name="Normal 101 18 5" xfId="26259"/>
    <cellStyle name="Normal 101 19" xfId="5139"/>
    <cellStyle name="Normal 101 19 2" xfId="13621"/>
    <cellStyle name="Normal 101 19 3" xfId="20139"/>
    <cellStyle name="Normal 101 19 4" xfId="26528"/>
    <cellStyle name="Normal 101 2" xfId="1743"/>
    <cellStyle name="Normal 101 2 2" xfId="5341"/>
    <cellStyle name="Normal 101 2 2 2" xfId="13822"/>
    <cellStyle name="Normal 101 2 2 3" xfId="20336"/>
    <cellStyle name="Normal 101 2 2 4" xfId="26725"/>
    <cellStyle name="Normal 101 2 3" xfId="10315"/>
    <cellStyle name="Normal 101 2 4" xfId="17332"/>
    <cellStyle name="Normal 101 2 5" xfId="23796"/>
    <cellStyle name="Normal 101 20" xfId="9713"/>
    <cellStyle name="Normal 101 21" xfId="13265"/>
    <cellStyle name="Normal 101 22" xfId="19796"/>
    <cellStyle name="Normal 101 3" xfId="2072"/>
    <cellStyle name="Normal 101 3 2" xfId="5645"/>
    <cellStyle name="Normal 101 3 2 2" xfId="14126"/>
    <cellStyle name="Normal 101 3 2 3" xfId="20640"/>
    <cellStyle name="Normal 101 3 2 4" xfId="27029"/>
    <cellStyle name="Normal 101 3 3" xfId="10631"/>
    <cellStyle name="Normal 101 3 4" xfId="9437"/>
    <cellStyle name="Normal 101 3 5" xfId="13010"/>
    <cellStyle name="Normal 101 4" xfId="2267"/>
    <cellStyle name="Normal 101 4 2" xfId="5837"/>
    <cellStyle name="Normal 101 4 2 2" xfId="14318"/>
    <cellStyle name="Normal 101 4 2 3" xfId="20832"/>
    <cellStyle name="Normal 101 4 2 4" xfId="27221"/>
    <cellStyle name="Normal 101 4 3" xfId="10823"/>
    <cellStyle name="Normal 101 4 4" xfId="17194"/>
    <cellStyle name="Normal 101 4 5" xfId="23670"/>
    <cellStyle name="Normal 101 5" xfId="2681"/>
    <cellStyle name="Normal 101 5 2" xfId="6182"/>
    <cellStyle name="Normal 101 5 2 2" xfId="14663"/>
    <cellStyle name="Normal 101 5 2 3" xfId="21177"/>
    <cellStyle name="Normal 101 5 2 4" xfId="27566"/>
    <cellStyle name="Normal 101 5 3" xfId="11191"/>
    <cellStyle name="Normal 101 5 4" xfId="17760"/>
    <cellStyle name="Normal 101 5 5" xfId="24162"/>
    <cellStyle name="Normal 101 6" xfId="2855"/>
    <cellStyle name="Normal 101 6 2" xfId="6349"/>
    <cellStyle name="Normal 101 6 2 2" xfId="14830"/>
    <cellStyle name="Normal 101 6 2 3" xfId="21344"/>
    <cellStyle name="Normal 101 6 2 4" xfId="27733"/>
    <cellStyle name="Normal 101 6 3" xfId="11361"/>
    <cellStyle name="Normal 101 6 4" xfId="17927"/>
    <cellStyle name="Normal 101 6 5" xfId="24329"/>
    <cellStyle name="Normal 101 7" xfId="3029"/>
    <cellStyle name="Normal 101 7 2" xfId="6516"/>
    <cellStyle name="Normal 101 7 2 2" xfId="14997"/>
    <cellStyle name="Normal 101 7 2 3" xfId="21511"/>
    <cellStyle name="Normal 101 7 2 4" xfId="27900"/>
    <cellStyle name="Normal 101 7 3" xfId="11531"/>
    <cellStyle name="Normal 101 7 4" xfId="18094"/>
    <cellStyle name="Normal 101 7 5" xfId="24496"/>
    <cellStyle name="Normal 101 8" xfId="3202"/>
    <cellStyle name="Normal 101 8 2" xfId="6683"/>
    <cellStyle name="Normal 101 8 2 2" xfId="15164"/>
    <cellStyle name="Normal 101 8 2 3" xfId="21678"/>
    <cellStyle name="Normal 101 8 2 4" xfId="28067"/>
    <cellStyle name="Normal 101 8 3" xfId="11702"/>
    <cellStyle name="Normal 101 8 4" xfId="18261"/>
    <cellStyle name="Normal 101 8 5" xfId="24663"/>
    <cellStyle name="Normal 101 9" xfId="3373"/>
    <cellStyle name="Normal 101 9 2" xfId="6848"/>
    <cellStyle name="Normal 101 9 2 2" xfId="15329"/>
    <cellStyle name="Normal 101 9 2 3" xfId="21843"/>
    <cellStyle name="Normal 101 9 2 4" xfId="28232"/>
    <cellStyle name="Normal 101 9 3" xfId="11870"/>
    <cellStyle name="Normal 101 9 4" xfId="18426"/>
    <cellStyle name="Normal 101 9 5" xfId="24828"/>
    <cellStyle name="Normal 102" xfId="636"/>
    <cellStyle name="Normal 102 10" xfId="3545"/>
    <cellStyle name="Normal 102 10 2" xfId="7014"/>
    <cellStyle name="Normal 102 10 2 2" xfId="15495"/>
    <cellStyle name="Normal 102 10 2 3" xfId="22009"/>
    <cellStyle name="Normal 102 10 2 4" xfId="28398"/>
    <cellStyle name="Normal 102 10 3" xfId="12040"/>
    <cellStyle name="Normal 102 10 4" xfId="18593"/>
    <cellStyle name="Normal 102 10 5" xfId="24994"/>
    <cellStyle name="Normal 102 11" xfId="3715"/>
    <cellStyle name="Normal 102 11 2" xfId="7178"/>
    <cellStyle name="Normal 102 11 2 2" xfId="15659"/>
    <cellStyle name="Normal 102 11 2 3" xfId="22173"/>
    <cellStyle name="Normal 102 11 2 4" xfId="28562"/>
    <cellStyle name="Normal 102 11 3" xfId="12210"/>
    <cellStyle name="Normal 102 11 4" xfId="18760"/>
    <cellStyle name="Normal 102 11 5" xfId="25158"/>
    <cellStyle name="Normal 102 12" xfId="3883"/>
    <cellStyle name="Normal 102 12 2" xfId="7341"/>
    <cellStyle name="Normal 102 12 2 2" xfId="15822"/>
    <cellStyle name="Normal 102 12 2 3" xfId="22336"/>
    <cellStyle name="Normal 102 12 2 4" xfId="28725"/>
    <cellStyle name="Normal 102 12 3" xfId="12377"/>
    <cellStyle name="Normal 102 12 4" xfId="18924"/>
    <cellStyle name="Normal 102 12 5" xfId="25321"/>
    <cellStyle name="Normal 102 13" xfId="4048"/>
    <cellStyle name="Normal 102 13 2" xfId="7501"/>
    <cellStyle name="Normal 102 13 2 2" xfId="15982"/>
    <cellStyle name="Normal 102 13 2 3" xfId="22496"/>
    <cellStyle name="Normal 102 13 2 4" xfId="28885"/>
    <cellStyle name="Normal 102 13 3" xfId="12541"/>
    <cellStyle name="Normal 102 13 4" xfId="19085"/>
    <cellStyle name="Normal 102 13 5" xfId="25481"/>
    <cellStyle name="Normal 102 14" xfId="4213"/>
    <cellStyle name="Normal 102 14 2" xfId="7661"/>
    <cellStyle name="Normal 102 14 2 2" xfId="16142"/>
    <cellStyle name="Normal 102 14 2 3" xfId="22656"/>
    <cellStyle name="Normal 102 14 2 4" xfId="29045"/>
    <cellStyle name="Normal 102 14 3" xfId="12705"/>
    <cellStyle name="Normal 102 14 4" xfId="19246"/>
    <cellStyle name="Normal 102 14 5" xfId="25641"/>
    <cellStyle name="Normal 102 15" xfId="4373"/>
    <cellStyle name="Normal 102 15 2" xfId="7816"/>
    <cellStyle name="Normal 102 15 2 2" xfId="16297"/>
    <cellStyle name="Normal 102 15 2 3" xfId="22811"/>
    <cellStyle name="Normal 102 15 2 4" xfId="29200"/>
    <cellStyle name="Normal 102 15 3" xfId="12864"/>
    <cellStyle name="Normal 102 15 4" xfId="19402"/>
    <cellStyle name="Normal 102 15 5" xfId="25796"/>
    <cellStyle name="Normal 102 16" xfId="4533"/>
    <cellStyle name="Normal 102 16 2" xfId="7971"/>
    <cellStyle name="Normal 102 16 2 2" xfId="16452"/>
    <cellStyle name="Normal 102 16 2 3" xfId="22966"/>
    <cellStyle name="Normal 102 16 2 4" xfId="29355"/>
    <cellStyle name="Normal 102 16 3" xfId="13024"/>
    <cellStyle name="Normal 102 16 4" xfId="19558"/>
    <cellStyle name="Normal 102 16 5" xfId="25951"/>
    <cellStyle name="Normal 102 17" xfId="4693"/>
    <cellStyle name="Normal 102 17 2" xfId="8126"/>
    <cellStyle name="Normal 102 17 2 2" xfId="16607"/>
    <cellStyle name="Normal 102 17 2 3" xfId="23121"/>
    <cellStyle name="Normal 102 17 2 4" xfId="29510"/>
    <cellStyle name="Normal 102 17 3" xfId="13183"/>
    <cellStyle name="Normal 102 17 4" xfId="19714"/>
    <cellStyle name="Normal 102 17 5" xfId="26106"/>
    <cellStyle name="Normal 102 18" xfId="4852"/>
    <cellStyle name="Normal 102 18 2" xfId="8280"/>
    <cellStyle name="Normal 102 18 2 2" xfId="16761"/>
    <cellStyle name="Normal 102 18 2 3" xfId="23275"/>
    <cellStyle name="Normal 102 18 2 4" xfId="29664"/>
    <cellStyle name="Normal 102 18 3" xfId="13341"/>
    <cellStyle name="Normal 102 18 4" xfId="19869"/>
    <cellStyle name="Normal 102 18 5" xfId="26260"/>
    <cellStyle name="Normal 102 19" xfId="5140"/>
    <cellStyle name="Normal 102 19 2" xfId="13622"/>
    <cellStyle name="Normal 102 19 3" xfId="20140"/>
    <cellStyle name="Normal 102 19 4" xfId="26529"/>
    <cellStyle name="Normal 102 2" xfId="1744"/>
    <cellStyle name="Normal 102 2 2" xfId="5342"/>
    <cellStyle name="Normal 102 2 2 2" xfId="13823"/>
    <cellStyle name="Normal 102 2 2 3" xfId="20337"/>
    <cellStyle name="Normal 102 2 2 4" xfId="26726"/>
    <cellStyle name="Normal 102 2 3" xfId="10316"/>
    <cellStyle name="Normal 102 2 4" xfId="17374"/>
    <cellStyle name="Normal 102 2 5" xfId="23815"/>
    <cellStyle name="Normal 102 20" xfId="9714"/>
    <cellStyle name="Normal 102 21" xfId="13107"/>
    <cellStyle name="Normal 102 22" xfId="19641"/>
    <cellStyle name="Normal 102 3" xfId="2073"/>
    <cellStyle name="Normal 102 3 2" xfId="5646"/>
    <cellStyle name="Normal 102 3 2 2" xfId="14127"/>
    <cellStyle name="Normal 102 3 2 3" xfId="20641"/>
    <cellStyle name="Normal 102 3 2 4" xfId="27030"/>
    <cellStyle name="Normal 102 3 3" xfId="10632"/>
    <cellStyle name="Normal 102 3 4" xfId="9436"/>
    <cellStyle name="Normal 102 3 5" xfId="13169"/>
    <cellStyle name="Normal 102 4" xfId="2266"/>
    <cellStyle name="Normal 102 4 2" xfId="5836"/>
    <cellStyle name="Normal 102 4 2 2" xfId="14317"/>
    <cellStyle name="Normal 102 4 2 3" xfId="20831"/>
    <cellStyle name="Normal 102 4 2 4" xfId="27220"/>
    <cellStyle name="Normal 102 4 3" xfId="10822"/>
    <cellStyle name="Normal 102 4 4" xfId="9350"/>
    <cellStyle name="Normal 102 4 5" xfId="17365"/>
    <cellStyle name="Normal 102 5" xfId="2682"/>
    <cellStyle name="Normal 102 5 2" xfId="6183"/>
    <cellStyle name="Normal 102 5 2 2" xfId="14664"/>
    <cellStyle name="Normal 102 5 2 3" xfId="21178"/>
    <cellStyle name="Normal 102 5 2 4" xfId="27567"/>
    <cellStyle name="Normal 102 5 3" xfId="11192"/>
    <cellStyle name="Normal 102 5 4" xfId="17761"/>
    <cellStyle name="Normal 102 5 5" xfId="24163"/>
    <cellStyle name="Normal 102 6" xfId="2856"/>
    <cellStyle name="Normal 102 6 2" xfId="6350"/>
    <cellStyle name="Normal 102 6 2 2" xfId="14831"/>
    <cellStyle name="Normal 102 6 2 3" xfId="21345"/>
    <cellStyle name="Normal 102 6 2 4" xfId="27734"/>
    <cellStyle name="Normal 102 6 3" xfId="11362"/>
    <cellStyle name="Normal 102 6 4" xfId="17928"/>
    <cellStyle name="Normal 102 6 5" xfId="24330"/>
    <cellStyle name="Normal 102 7" xfId="3030"/>
    <cellStyle name="Normal 102 7 2" xfId="6517"/>
    <cellStyle name="Normal 102 7 2 2" xfId="14998"/>
    <cellStyle name="Normal 102 7 2 3" xfId="21512"/>
    <cellStyle name="Normal 102 7 2 4" xfId="27901"/>
    <cellStyle name="Normal 102 7 3" xfId="11532"/>
    <cellStyle name="Normal 102 7 4" xfId="18095"/>
    <cellStyle name="Normal 102 7 5" xfId="24497"/>
    <cellStyle name="Normal 102 8" xfId="3203"/>
    <cellStyle name="Normal 102 8 2" xfId="6684"/>
    <cellStyle name="Normal 102 8 2 2" xfId="15165"/>
    <cellStyle name="Normal 102 8 2 3" xfId="21679"/>
    <cellStyle name="Normal 102 8 2 4" xfId="28068"/>
    <cellStyle name="Normal 102 8 3" xfId="11703"/>
    <cellStyle name="Normal 102 8 4" xfId="18262"/>
    <cellStyle name="Normal 102 8 5" xfId="24664"/>
    <cellStyle name="Normal 102 9" xfId="3374"/>
    <cellStyle name="Normal 102 9 2" xfId="6849"/>
    <cellStyle name="Normal 102 9 2 2" xfId="15330"/>
    <cellStyle name="Normal 102 9 2 3" xfId="21844"/>
    <cellStyle name="Normal 102 9 2 4" xfId="28233"/>
    <cellStyle name="Normal 102 9 3" xfId="11871"/>
    <cellStyle name="Normal 102 9 4" xfId="18427"/>
    <cellStyle name="Normal 102 9 5" xfId="24829"/>
    <cellStyle name="Normal 103" xfId="637"/>
    <cellStyle name="Normal 103 10" xfId="3546"/>
    <cellStyle name="Normal 103 10 2" xfId="7015"/>
    <cellStyle name="Normal 103 10 2 2" xfId="15496"/>
    <cellStyle name="Normal 103 10 2 3" xfId="22010"/>
    <cellStyle name="Normal 103 10 2 4" xfId="28399"/>
    <cellStyle name="Normal 103 10 3" xfId="12041"/>
    <cellStyle name="Normal 103 10 4" xfId="18594"/>
    <cellStyle name="Normal 103 10 5" xfId="24995"/>
    <cellStyle name="Normal 103 11" xfId="3716"/>
    <cellStyle name="Normal 103 11 2" xfId="7179"/>
    <cellStyle name="Normal 103 11 2 2" xfId="15660"/>
    <cellStyle name="Normal 103 11 2 3" xfId="22174"/>
    <cellStyle name="Normal 103 11 2 4" xfId="28563"/>
    <cellStyle name="Normal 103 11 3" xfId="12211"/>
    <cellStyle name="Normal 103 11 4" xfId="18761"/>
    <cellStyle name="Normal 103 11 5" xfId="25159"/>
    <cellStyle name="Normal 103 12" xfId="3884"/>
    <cellStyle name="Normal 103 12 2" xfId="7342"/>
    <cellStyle name="Normal 103 12 2 2" xfId="15823"/>
    <cellStyle name="Normal 103 12 2 3" xfId="22337"/>
    <cellStyle name="Normal 103 12 2 4" xfId="28726"/>
    <cellStyle name="Normal 103 12 3" xfId="12378"/>
    <cellStyle name="Normal 103 12 4" xfId="18925"/>
    <cellStyle name="Normal 103 12 5" xfId="25322"/>
    <cellStyle name="Normal 103 13" xfId="4049"/>
    <cellStyle name="Normal 103 13 2" xfId="7502"/>
    <cellStyle name="Normal 103 13 2 2" xfId="15983"/>
    <cellStyle name="Normal 103 13 2 3" xfId="22497"/>
    <cellStyle name="Normal 103 13 2 4" xfId="28886"/>
    <cellStyle name="Normal 103 13 3" xfId="12542"/>
    <cellStyle name="Normal 103 13 4" xfId="19086"/>
    <cellStyle name="Normal 103 13 5" xfId="25482"/>
    <cellStyle name="Normal 103 14" xfId="4214"/>
    <cellStyle name="Normal 103 14 2" xfId="7662"/>
    <cellStyle name="Normal 103 14 2 2" xfId="16143"/>
    <cellStyle name="Normal 103 14 2 3" xfId="22657"/>
    <cellStyle name="Normal 103 14 2 4" xfId="29046"/>
    <cellStyle name="Normal 103 14 3" xfId="12706"/>
    <cellStyle name="Normal 103 14 4" xfId="19247"/>
    <cellStyle name="Normal 103 14 5" xfId="25642"/>
    <cellStyle name="Normal 103 15" xfId="4374"/>
    <cellStyle name="Normal 103 15 2" xfId="7817"/>
    <cellStyle name="Normal 103 15 2 2" xfId="16298"/>
    <cellStyle name="Normal 103 15 2 3" xfId="22812"/>
    <cellStyle name="Normal 103 15 2 4" xfId="29201"/>
    <cellStyle name="Normal 103 15 3" xfId="12865"/>
    <cellStyle name="Normal 103 15 4" xfId="19403"/>
    <cellStyle name="Normal 103 15 5" xfId="25797"/>
    <cellStyle name="Normal 103 16" xfId="4534"/>
    <cellStyle name="Normal 103 16 2" xfId="7972"/>
    <cellStyle name="Normal 103 16 2 2" xfId="16453"/>
    <cellStyle name="Normal 103 16 2 3" xfId="22967"/>
    <cellStyle name="Normal 103 16 2 4" xfId="29356"/>
    <cellStyle name="Normal 103 16 3" xfId="13025"/>
    <cellStyle name="Normal 103 16 4" xfId="19559"/>
    <cellStyle name="Normal 103 16 5" xfId="25952"/>
    <cellStyle name="Normal 103 17" xfId="4694"/>
    <cellStyle name="Normal 103 17 2" xfId="8127"/>
    <cellStyle name="Normal 103 17 2 2" xfId="16608"/>
    <cellStyle name="Normal 103 17 2 3" xfId="23122"/>
    <cellStyle name="Normal 103 17 2 4" xfId="29511"/>
    <cellStyle name="Normal 103 17 3" xfId="13184"/>
    <cellStyle name="Normal 103 17 4" xfId="19715"/>
    <cellStyle name="Normal 103 17 5" xfId="26107"/>
    <cellStyle name="Normal 103 18" xfId="4853"/>
    <cellStyle name="Normal 103 18 2" xfId="8281"/>
    <cellStyle name="Normal 103 18 2 2" xfId="16762"/>
    <cellStyle name="Normal 103 18 2 3" xfId="23276"/>
    <cellStyle name="Normal 103 18 2 4" xfId="29665"/>
    <cellStyle name="Normal 103 18 3" xfId="13342"/>
    <cellStyle name="Normal 103 18 4" xfId="19870"/>
    <cellStyle name="Normal 103 18 5" xfId="26261"/>
    <cellStyle name="Normal 103 19" xfId="5141"/>
    <cellStyle name="Normal 103 19 2" xfId="13623"/>
    <cellStyle name="Normal 103 19 3" xfId="20141"/>
    <cellStyle name="Normal 103 19 4" xfId="26530"/>
    <cellStyle name="Normal 103 2" xfId="1745"/>
    <cellStyle name="Normal 103 2 2" xfId="5343"/>
    <cellStyle name="Normal 103 2 2 2" xfId="13824"/>
    <cellStyle name="Normal 103 2 2 3" xfId="20338"/>
    <cellStyle name="Normal 103 2 2 4" xfId="26727"/>
    <cellStyle name="Normal 103 2 3" xfId="10317"/>
    <cellStyle name="Normal 103 2 4" xfId="17388"/>
    <cellStyle name="Normal 103 2 5" xfId="23827"/>
    <cellStyle name="Normal 103 20" xfId="9715"/>
    <cellStyle name="Normal 103 21" xfId="12947"/>
    <cellStyle name="Normal 103 22" xfId="19485"/>
    <cellStyle name="Normal 103 3" xfId="2074"/>
    <cellStyle name="Normal 103 3 2" xfId="5647"/>
    <cellStyle name="Normal 103 3 2 2" xfId="14128"/>
    <cellStyle name="Normal 103 3 2 3" xfId="20642"/>
    <cellStyle name="Normal 103 3 2 4" xfId="27031"/>
    <cellStyle name="Normal 103 3 3" xfId="10633"/>
    <cellStyle name="Normal 103 3 4" xfId="9435"/>
    <cellStyle name="Normal 103 3 5" xfId="13327"/>
    <cellStyle name="Normal 103 4" xfId="2265"/>
    <cellStyle name="Normal 103 4 2" xfId="5835"/>
    <cellStyle name="Normal 103 4 2 2" xfId="14316"/>
    <cellStyle name="Normal 103 4 2 3" xfId="20830"/>
    <cellStyle name="Normal 103 4 2 4" xfId="27219"/>
    <cellStyle name="Normal 103 4 3" xfId="10821"/>
    <cellStyle name="Normal 103 4 4" xfId="17193"/>
    <cellStyle name="Normal 103 4 5" xfId="23669"/>
    <cellStyle name="Normal 103 5" xfId="2683"/>
    <cellStyle name="Normal 103 5 2" xfId="6184"/>
    <cellStyle name="Normal 103 5 2 2" xfId="14665"/>
    <cellStyle name="Normal 103 5 2 3" xfId="21179"/>
    <cellStyle name="Normal 103 5 2 4" xfId="27568"/>
    <cellStyle name="Normal 103 5 3" xfId="11193"/>
    <cellStyle name="Normal 103 5 4" xfId="17762"/>
    <cellStyle name="Normal 103 5 5" xfId="24164"/>
    <cellStyle name="Normal 103 6" xfId="2857"/>
    <cellStyle name="Normal 103 6 2" xfId="6351"/>
    <cellStyle name="Normal 103 6 2 2" xfId="14832"/>
    <cellStyle name="Normal 103 6 2 3" xfId="21346"/>
    <cellStyle name="Normal 103 6 2 4" xfId="27735"/>
    <cellStyle name="Normal 103 6 3" xfId="11363"/>
    <cellStyle name="Normal 103 6 4" xfId="17929"/>
    <cellStyle name="Normal 103 6 5" xfId="24331"/>
    <cellStyle name="Normal 103 7" xfId="3031"/>
    <cellStyle name="Normal 103 7 2" xfId="6518"/>
    <cellStyle name="Normal 103 7 2 2" xfId="14999"/>
    <cellStyle name="Normal 103 7 2 3" xfId="21513"/>
    <cellStyle name="Normal 103 7 2 4" xfId="27902"/>
    <cellStyle name="Normal 103 7 3" xfId="11533"/>
    <cellStyle name="Normal 103 7 4" xfId="18096"/>
    <cellStyle name="Normal 103 7 5" xfId="24498"/>
    <cellStyle name="Normal 103 8" xfId="3204"/>
    <cellStyle name="Normal 103 8 2" xfId="6685"/>
    <cellStyle name="Normal 103 8 2 2" xfId="15166"/>
    <cellStyle name="Normal 103 8 2 3" xfId="21680"/>
    <cellStyle name="Normal 103 8 2 4" xfId="28069"/>
    <cellStyle name="Normal 103 8 3" xfId="11704"/>
    <cellStyle name="Normal 103 8 4" xfId="18263"/>
    <cellStyle name="Normal 103 8 5" xfId="24665"/>
    <cellStyle name="Normal 103 9" xfId="3375"/>
    <cellStyle name="Normal 103 9 2" xfId="6850"/>
    <cellStyle name="Normal 103 9 2 2" xfId="15331"/>
    <cellStyle name="Normal 103 9 2 3" xfId="21845"/>
    <cellStyle name="Normal 103 9 2 4" xfId="28234"/>
    <cellStyle name="Normal 103 9 3" xfId="11872"/>
    <cellStyle name="Normal 103 9 4" xfId="18428"/>
    <cellStyle name="Normal 103 9 5" xfId="24830"/>
    <cellStyle name="Normal 104" xfId="638"/>
    <cellStyle name="Normal 104 10" xfId="3548"/>
    <cellStyle name="Normal 104 10 2" xfId="7017"/>
    <cellStyle name="Normal 104 10 2 2" xfId="15498"/>
    <cellStyle name="Normal 104 10 2 3" xfId="22012"/>
    <cellStyle name="Normal 104 10 2 4" xfId="28401"/>
    <cellStyle name="Normal 104 10 3" xfId="12043"/>
    <cellStyle name="Normal 104 10 4" xfId="18596"/>
    <cellStyle name="Normal 104 10 5" xfId="24997"/>
    <cellStyle name="Normal 104 11" xfId="3718"/>
    <cellStyle name="Normal 104 11 2" xfId="7181"/>
    <cellStyle name="Normal 104 11 2 2" xfId="15662"/>
    <cellStyle name="Normal 104 11 2 3" xfId="22176"/>
    <cellStyle name="Normal 104 11 2 4" xfId="28565"/>
    <cellStyle name="Normal 104 11 3" xfId="12213"/>
    <cellStyle name="Normal 104 11 4" xfId="18763"/>
    <cellStyle name="Normal 104 11 5" xfId="25161"/>
    <cellStyle name="Normal 104 12" xfId="3886"/>
    <cellStyle name="Normal 104 12 2" xfId="7344"/>
    <cellStyle name="Normal 104 12 2 2" xfId="15825"/>
    <cellStyle name="Normal 104 12 2 3" xfId="22339"/>
    <cellStyle name="Normal 104 12 2 4" xfId="28728"/>
    <cellStyle name="Normal 104 12 3" xfId="12380"/>
    <cellStyle name="Normal 104 12 4" xfId="18927"/>
    <cellStyle name="Normal 104 12 5" xfId="25324"/>
    <cellStyle name="Normal 104 13" xfId="4051"/>
    <cellStyle name="Normal 104 13 2" xfId="7504"/>
    <cellStyle name="Normal 104 13 2 2" xfId="15985"/>
    <cellStyle name="Normal 104 13 2 3" xfId="22499"/>
    <cellStyle name="Normal 104 13 2 4" xfId="28888"/>
    <cellStyle name="Normal 104 13 3" xfId="12544"/>
    <cellStyle name="Normal 104 13 4" xfId="19088"/>
    <cellStyle name="Normal 104 13 5" xfId="25484"/>
    <cellStyle name="Normal 104 14" xfId="4216"/>
    <cellStyle name="Normal 104 14 2" xfId="7664"/>
    <cellStyle name="Normal 104 14 2 2" xfId="16145"/>
    <cellStyle name="Normal 104 14 2 3" xfId="22659"/>
    <cellStyle name="Normal 104 14 2 4" xfId="29048"/>
    <cellStyle name="Normal 104 14 3" xfId="12708"/>
    <cellStyle name="Normal 104 14 4" xfId="19249"/>
    <cellStyle name="Normal 104 14 5" xfId="25644"/>
    <cellStyle name="Normal 104 15" xfId="4376"/>
    <cellStyle name="Normal 104 15 2" xfId="7819"/>
    <cellStyle name="Normal 104 15 2 2" xfId="16300"/>
    <cellStyle name="Normal 104 15 2 3" xfId="22814"/>
    <cellStyle name="Normal 104 15 2 4" xfId="29203"/>
    <cellStyle name="Normal 104 15 3" xfId="12867"/>
    <cellStyle name="Normal 104 15 4" xfId="19405"/>
    <cellStyle name="Normal 104 15 5" xfId="25799"/>
    <cellStyle name="Normal 104 16" xfId="4536"/>
    <cellStyle name="Normal 104 16 2" xfId="7974"/>
    <cellStyle name="Normal 104 16 2 2" xfId="16455"/>
    <cellStyle name="Normal 104 16 2 3" xfId="22969"/>
    <cellStyle name="Normal 104 16 2 4" xfId="29358"/>
    <cellStyle name="Normal 104 16 3" xfId="13027"/>
    <cellStyle name="Normal 104 16 4" xfId="19561"/>
    <cellStyle name="Normal 104 16 5" xfId="25954"/>
    <cellStyle name="Normal 104 17" xfId="4696"/>
    <cellStyle name="Normal 104 17 2" xfId="8129"/>
    <cellStyle name="Normal 104 17 2 2" xfId="16610"/>
    <cellStyle name="Normal 104 17 2 3" xfId="23124"/>
    <cellStyle name="Normal 104 17 2 4" xfId="29513"/>
    <cellStyle name="Normal 104 17 3" xfId="13186"/>
    <cellStyle name="Normal 104 17 4" xfId="19717"/>
    <cellStyle name="Normal 104 17 5" xfId="26109"/>
    <cellStyle name="Normal 104 18" xfId="4855"/>
    <cellStyle name="Normal 104 18 2" xfId="8283"/>
    <cellStyle name="Normal 104 18 2 2" xfId="16764"/>
    <cellStyle name="Normal 104 18 2 3" xfId="23278"/>
    <cellStyle name="Normal 104 18 2 4" xfId="29667"/>
    <cellStyle name="Normal 104 18 3" xfId="13344"/>
    <cellStyle name="Normal 104 18 4" xfId="19872"/>
    <cellStyle name="Normal 104 18 5" xfId="26263"/>
    <cellStyle name="Normal 104 19" xfId="5142"/>
    <cellStyle name="Normal 104 19 2" xfId="13624"/>
    <cellStyle name="Normal 104 19 3" xfId="20142"/>
    <cellStyle name="Normal 104 19 4" xfId="26531"/>
    <cellStyle name="Normal 104 2" xfId="1746"/>
    <cellStyle name="Normal 104 2 2" xfId="5344"/>
    <cellStyle name="Normal 104 2 2 2" xfId="13825"/>
    <cellStyle name="Normal 104 2 2 3" xfId="20339"/>
    <cellStyle name="Normal 104 2 2 4" xfId="26728"/>
    <cellStyle name="Normal 104 2 3" xfId="10318"/>
    <cellStyle name="Normal 104 2 4" xfId="9665"/>
    <cellStyle name="Normal 104 2 5" xfId="10102"/>
    <cellStyle name="Normal 104 20" xfId="9716"/>
    <cellStyle name="Normal 104 21" xfId="12788"/>
    <cellStyle name="Normal 104 22" xfId="19329"/>
    <cellStyle name="Normal 104 3" xfId="2075"/>
    <cellStyle name="Normal 104 3 2" xfId="5648"/>
    <cellStyle name="Normal 104 3 2 2" xfId="14129"/>
    <cellStyle name="Normal 104 3 2 3" xfId="20643"/>
    <cellStyle name="Normal 104 3 2 4" xfId="27032"/>
    <cellStyle name="Normal 104 3 3" xfId="10634"/>
    <cellStyle name="Normal 104 3 4" xfId="9434"/>
    <cellStyle name="Normal 104 3 5" xfId="13484"/>
    <cellStyle name="Normal 104 4" xfId="2263"/>
    <cellStyle name="Normal 104 4 2" xfId="5833"/>
    <cellStyle name="Normal 104 4 2 2" xfId="14314"/>
    <cellStyle name="Normal 104 4 2 3" xfId="20828"/>
    <cellStyle name="Normal 104 4 2 4" xfId="27217"/>
    <cellStyle name="Normal 104 4 3" xfId="10819"/>
    <cellStyle name="Normal 104 4 4" xfId="17191"/>
    <cellStyle name="Normal 104 4 5" xfId="23667"/>
    <cellStyle name="Normal 104 5" xfId="2685"/>
    <cellStyle name="Normal 104 5 2" xfId="6186"/>
    <cellStyle name="Normal 104 5 2 2" xfId="14667"/>
    <cellStyle name="Normal 104 5 2 3" xfId="21181"/>
    <cellStyle name="Normal 104 5 2 4" xfId="27570"/>
    <cellStyle name="Normal 104 5 3" xfId="11195"/>
    <cellStyle name="Normal 104 5 4" xfId="17764"/>
    <cellStyle name="Normal 104 5 5" xfId="24166"/>
    <cellStyle name="Normal 104 6" xfId="2859"/>
    <cellStyle name="Normal 104 6 2" xfId="6353"/>
    <cellStyle name="Normal 104 6 2 2" xfId="14834"/>
    <cellStyle name="Normal 104 6 2 3" xfId="21348"/>
    <cellStyle name="Normal 104 6 2 4" xfId="27737"/>
    <cellStyle name="Normal 104 6 3" xfId="11365"/>
    <cellStyle name="Normal 104 6 4" xfId="17931"/>
    <cellStyle name="Normal 104 6 5" xfId="24333"/>
    <cellStyle name="Normal 104 7" xfId="3033"/>
    <cellStyle name="Normal 104 7 2" xfId="6520"/>
    <cellStyle name="Normal 104 7 2 2" xfId="15001"/>
    <cellStyle name="Normal 104 7 2 3" xfId="21515"/>
    <cellStyle name="Normal 104 7 2 4" xfId="27904"/>
    <cellStyle name="Normal 104 7 3" xfId="11535"/>
    <cellStyle name="Normal 104 7 4" xfId="18098"/>
    <cellStyle name="Normal 104 7 5" xfId="24500"/>
    <cellStyle name="Normal 104 8" xfId="3206"/>
    <cellStyle name="Normal 104 8 2" xfId="6687"/>
    <cellStyle name="Normal 104 8 2 2" xfId="15168"/>
    <cellStyle name="Normal 104 8 2 3" xfId="21682"/>
    <cellStyle name="Normal 104 8 2 4" xfId="28071"/>
    <cellStyle name="Normal 104 8 3" xfId="11706"/>
    <cellStyle name="Normal 104 8 4" xfId="18265"/>
    <cellStyle name="Normal 104 8 5" xfId="24667"/>
    <cellStyle name="Normal 104 9" xfId="3377"/>
    <cellStyle name="Normal 104 9 2" xfId="6852"/>
    <cellStyle name="Normal 104 9 2 2" xfId="15333"/>
    <cellStyle name="Normal 104 9 2 3" xfId="21847"/>
    <cellStyle name="Normal 104 9 2 4" xfId="28236"/>
    <cellStyle name="Normal 104 9 3" xfId="11874"/>
    <cellStyle name="Normal 104 9 4" xfId="18430"/>
    <cellStyle name="Normal 104 9 5" xfId="24832"/>
    <cellStyle name="Normal 105" xfId="639"/>
    <cellStyle name="Normal 105 10" xfId="3559"/>
    <cellStyle name="Normal 105 10 2" xfId="7028"/>
    <cellStyle name="Normal 105 10 2 2" xfId="15509"/>
    <cellStyle name="Normal 105 10 2 3" xfId="22023"/>
    <cellStyle name="Normal 105 10 2 4" xfId="28412"/>
    <cellStyle name="Normal 105 10 3" xfId="12054"/>
    <cellStyle name="Normal 105 10 4" xfId="18607"/>
    <cellStyle name="Normal 105 10 5" xfId="25008"/>
    <cellStyle name="Normal 105 11" xfId="3729"/>
    <cellStyle name="Normal 105 11 2" xfId="7192"/>
    <cellStyle name="Normal 105 11 2 2" xfId="15673"/>
    <cellStyle name="Normal 105 11 2 3" xfId="22187"/>
    <cellStyle name="Normal 105 11 2 4" xfId="28576"/>
    <cellStyle name="Normal 105 11 3" xfId="12224"/>
    <cellStyle name="Normal 105 11 4" xfId="18774"/>
    <cellStyle name="Normal 105 11 5" xfId="25172"/>
    <cellStyle name="Normal 105 12" xfId="3897"/>
    <cellStyle name="Normal 105 12 2" xfId="7355"/>
    <cellStyle name="Normal 105 12 2 2" xfId="15836"/>
    <cellStyle name="Normal 105 12 2 3" xfId="22350"/>
    <cellStyle name="Normal 105 12 2 4" xfId="28739"/>
    <cellStyle name="Normal 105 12 3" xfId="12391"/>
    <cellStyle name="Normal 105 12 4" xfId="18938"/>
    <cellStyle name="Normal 105 12 5" xfId="25335"/>
    <cellStyle name="Normal 105 13" xfId="4062"/>
    <cellStyle name="Normal 105 13 2" xfId="7515"/>
    <cellStyle name="Normal 105 13 2 2" xfId="15996"/>
    <cellStyle name="Normal 105 13 2 3" xfId="22510"/>
    <cellStyle name="Normal 105 13 2 4" xfId="28899"/>
    <cellStyle name="Normal 105 13 3" xfId="12555"/>
    <cellStyle name="Normal 105 13 4" xfId="19099"/>
    <cellStyle name="Normal 105 13 5" xfId="25495"/>
    <cellStyle name="Normal 105 14" xfId="4227"/>
    <cellStyle name="Normal 105 14 2" xfId="7675"/>
    <cellStyle name="Normal 105 14 2 2" xfId="16156"/>
    <cellStyle name="Normal 105 14 2 3" xfId="22670"/>
    <cellStyle name="Normal 105 14 2 4" xfId="29059"/>
    <cellStyle name="Normal 105 14 3" xfId="12719"/>
    <cellStyle name="Normal 105 14 4" xfId="19260"/>
    <cellStyle name="Normal 105 14 5" xfId="25655"/>
    <cellStyle name="Normal 105 15" xfId="4387"/>
    <cellStyle name="Normal 105 15 2" xfId="7830"/>
    <cellStyle name="Normal 105 15 2 2" xfId="16311"/>
    <cellStyle name="Normal 105 15 2 3" xfId="22825"/>
    <cellStyle name="Normal 105 15 2 4" xfId="29214"/>
    <cellStyle name="Normal 105 15 3" xfId="12878"/>
    <cellStyle name="Normal 105 15 4" xfId="19416"/>
    <cellStyle name="Normal 105 15 5" xfId="25810"/>
    <cellStyle name="Normal 105 16" xfId="4547"/>
    <cellStyle name="Normal 105 16 2" xfId="7985"/>
    <cellStyle name="Normal 105 16 2 2" xfId="16466"/>
    <cellStyle name="Normal 105 16 2 3" xfId="22980"/>
    <cellStyle name="Normal 105 16 2 4" xfId="29369"/>
    <cellStyle name="Normal 105 16 3" xfId="13038"/>
    <cellStyle name="Normal 105 16 4" xfId="19572"/>
    <cellStyle name="Normal 105 16 5" xfId="25965"/>
    <cellStyle name="Normal 105 17" xfId="4707"/>
    <cellStyle name="Normal 105 17 2" xfId="8140"/>
    <cellStyle name="Normal 105 17 2 2" xfId="16621"/>
    <cellStyle name="Normal 105 17 2 3" xfId="23135"/>
    <cellStyle name="Normal 105 17 2 4" xfId="29524"/>
    <cellStyle name="Normal 105 17 3" xfId="13197"/>
    <cellStyle name="Normal 105 17 4" xfId="19728"/>
    <cellStyle name="Normal 105 17 5" xfId="26120"/>
    <cellStyle name="Normal 105 18" xfId="4866"/>
    <cellStyle name="Normal 105 18 2" xfId="8294"/>
    <cellStyle name="Normal 105 18 2 2" xfId="16775"/>
    <cellStyle name="Normal 105 18 2 3" xfId="23289"/>
    <cellStyle name="Normal 105 18 2 4" xfId="29678"/>
    <cellStyle name="Normal 105 18 3" xfId="13355"/>
    <cellStyle name="Normal 105 18 4" xfId="19883"/>
    <cellStyle name="Normal 105 18 5" xfId="26274"/>
    <cellStyle name="Normal 105 19" xfId="5143"/>
    <cellStyle name="Normal 105 19 2" xfId="13625"/>
    <cellStyle name="Normal 105 19 3" xfId="20143"/>
    <cellStyle name="Normal 105 19 4" xfId="26532"/>
    <cellStyle name="Normal 105 2" xfId="1747"/>
    <cellStyle name="Normal 105 2 2" xfId="5345"/>
    <cellStyle name="Normal 105 2 2 2" xfId="13826"/>
    <cellStyle name="Normal 105 2 2 3" xfId="20340"/>
    <cellStyle name="Normal 105 2 2 4" xfId="26729"/>
    <cellStyle name="Normal 105 2 3" xfId="10319"/>
    <cellStyle name="Normal 105 2 4" xfId="9664"/>
    <cellStyle name="Normal 105 2 5" xfId="10103"/>
    <cellStyle name="Normal 105 20" xfId="9717"/>
    <cellStyle name="Normal 105 21" xfId="12627"/>
    <cellStyle name="Normal 105 22" xfId="19171"/>
    <cellStyle name="Normal 105 3" xfId="2076"/>
    <cellStyle name="Normal 105 3 2" xfId="5649"/>
    <cellStyle name="Normal 105 3 2 2" xfId="14130"/>
    <cellStyle name="Normal 105 3 2 3" xfId="20644"/>
    <cellStyle name="Normal 105 3 2 4" xfId="27033"/>
    <cellStyle name="Normal 105 3 3" xfId="10635"/>
    <cellStyle name="Normal 105 3 4" xfId="9433"/>
    <cellStyle name="Normal 105 3 5" xfId="13611"/>
    <cellStyle name="Normal 105 4" xfId="2251"/>
    <cellStyle name="Normal 105 4 2" xfId="5821"/>
    <cellStyle name="Normal 105 4 2 2" xfId="14302"/>
    <cellStyle name="Normal 105 4 2 3" xfId="20816"/>
    <cellStyle name="Normal 105 4 2 4" xfId="27205"/>
    <cellStyle name="Normal 105 4 3" xfId="10807"/>
    <cellStyle name="Normal 105 4 4" xfId="17179"/>
    <cellStyle name="Normal 105 4 5" xfId="23655"/>
    <cellStyle name="Normal 105 5" xfId="2696"/>
    <cellStyle name="Normal 105 5 2" xfId="6197"/>
    <cellStyle name="Normal 105 5 2 2" xfId="14678"/>
    <cellStyle name="Normal 105 5 2 3" xfId="21192"/>
    <cellStyle name="Normal 105 5 2 4" xfId="27581"/>
    <cellStyle name="Normal 105 5 3" xfId="11206"/>
    <cellStyle name="Normal 105 5 4" xfId="17775"/>
    <cellStyle name="Normal 105 5 5" xfId="24177"/>
    <cellStyle name="Normal 105 6" xfId="2870"/>
    <cellStyle name="Normal 105 6 2" xfId="6364"/>
    <cellStyle name="Normal 105 6 2 2" xfId="14845"/>
    <cellStyle name="Normal 105 6 2 3" xfId="21359"/>
    <cellStyle name="Normal 105 6 2 4" xfId="27748"/>
    <cellStyle name="Normal 105 6 3" xfId="11376"/>
    <cellStyle name="Normal 105 6 4" xfId="17942"/>
    <cellStyle name="Normal 105 6 5" xfId="24344"/>
    <cellStyle name="Normal 105 7" xfId="3044"/>
    <cellStyle name="Normal 105 7 2" xfId="6531"/>
    <cellStyle name="Normal 105 7 2 2" xfId="15012"/>
    <cellStyle name="Normal 105 7 2 3" xfId="21526"/>
    <cellStyle name="Normal 105 7 2 4" xfId="27915"/>
    <cellStyle name="Normal 105 7 3" xfId="11546"/>
    <cellStyle name="Normal 105 7 4" xfId="18109"/>
    <cellStyle name="Normal 105 7 5" xfId="24511"/>
    <cellStyle name="Normal 105 8" xfId="3217"/>
    <cellStyle name="Normal 105 8 2" xfId="6698"/>
    <cellStyle name="Normal 105 8 2 2" xfId="15179"/>
    <cellStyle name="Normal 105 8 2 3" xfId="21693"/>
    <cellStyle name="Normal 105 8 2 4" xfId="28082"/>
    <cellStyle name="Normal 105 8 3" xfId="11717"/>
    <cellStyle name="Normal 105 8 4" xfId="18276"/>
    <cellStyle name="Normal 105 8 5" xfId="24678"/>
    <cellStyle name="Normal 105 9" xfId="3388"/>
    <cellStyle name="Normal 105 9 2" xfId="6863"/>
    <cellStyle name="Normal 105 9 2 2" xfId="15344"/>
    <cellStyle name="Normal 105 9 2 3" xfId="21858"/>
    <cellStyle name="Normal 105 9 2 4" xfId="28247"/>
    <cellStyle name="Normal 105 9 3" xfId="11885"/>
    <cellStyle name="Normal 105 9 4" xfId="18441"/>
    <cellStyle name="Normal 105 9 5" xfId="24843"/>
    <cellStyle name="Normal 106" xfId="640"/>
    <cellStyle name="Normal 106 10" xfId="3560"/>
    <cellStyle name="Normal 106 10 2" xfId="7029"/>
    <cellStyle name="Normal 106 10 2 2" xfId="15510"/>
    <cellStyle name="Normal 106 10 2 3" xfId="22024"/>
    <cellStyle name="Normal 106 10 2 4" xfId="28413"/>
    <cellStyle name="Normal 106 10 3" xfId="12055"/>
    <cellStyle name="Normal 106 10 4" xfId="18608"/>
    <cellStyle name="Normal 106 10 5" xfId="25009"/>
    <cellStyle name="Normal 106 11" xfId="3730"/>
    <cellStyle name="Normal 106 11 2" xfId="7193"/>
    <cellStyle name="Normal 106 11 2 2" xfId="15674"/>
    <cellStyle name="Normal 106 11 2 3" xfId="22188"/>
    <cellStyle name="Normal 106 11 2 4" xfId="28577"/>
    <cellStyle name="Normal 106 11 3" xfId="12225"/>
    <cellStyle name="Normal 106 11 4" xfId="18775"/>
    <cellStyle name="Normal 106 11 5" xfId="25173"/>
    <cellStyle name="Normal 106 12" xfId="3898"/>
    <cellStyle name="Normal 106 12 2" xfId="7356"/>
    <cellStyle name="Normal 106 12 2 2" xfId="15837"/>
    <cellStyle name="Normal 106 12 2 3" xfId="22351"/>
    <cellStyle name="Normal 106 12 2 4" xfId="28740"/>
    <cellStyle name="Normal 106 12 3" xfId="12392"/>
    <cellStyle name="Normal 106 12 4" xfId="18939"/>
    <cellStyle name="Normal 106 12 5" xfId="25336"/>
    <cellStyle name="Normal 106 13" xfId="4063"/>
    <cellStyle name="Normal 106 13 2" xfId="7516"/>
    <cellStyle name="Normal 106 13 2 2" xfId="15997"/>
    <cellStyle name="Normal 106 13 2 3" xfId="22511"/>
    <cellStyle name="Normal 106 13 2 4" xfId="28900"/>
    <cellStyle name="Normal 106 13 3" xfId="12556"/>
    <cellStyle name="Normal 106 13 4" xfId="19100"/>
    <cellStyle name="Normal 106 13 5" xfId="25496"/>
    <cellStyle name="Normal 106 14" xfId="4228"/>
    <cellStyle name="Normal 106 14 2" xfId="7676"/>
    <cellStyle name="Normal 106 14 2 2" xfId="16157"/>
    <cellStyle name="Normal 106 14 2 3" xfId="22671"/>
    <cellStyle name="Normal 106 14 2 4" xfId="29060"/>
    <cellStyle name="Normal 106 14 3" xfId="12720"/>
    <cellStyle name="Normal 106 14 4" xfId="19261"/>
    <cellStyle name="Normal 106 14 5" xfId="25656"/>
    <cellStyle name="Normal 106 15" xfId="4388"/>
    <cellStyle name="Normal 106 15 2" xfId="7831"/>
    <cellStyle name="Normal 106 15 2 2" xfId="16312"/>
    <cellStyle name="Normal 106 15 2 3" xfId="22826"/>
    <cellStyle name="Normal 106 15 2 4" xfId="29215"/>
    <cellStyle name="Normal 106 15 3" xfId="12879"/>
    <cellStyle name="Normal 106 15 4" xfId="19417"/>
    <cellStyle name="Normal 106 15 5" xfId="25811"/>
    <cellStyle name="Normal 106 16" xfId="4548"/>
    <cellStyle name="Normal 106 16 2" xfId="7986"/>
    <cellStyle name="Normal 106 16 2 2" xfId="16467"/>
    <cellStyle name="Normal 106 16 2 3" xfId="22981"/>
    <cellStyle name="Normal 106 16 2 4" xfId="29370"/>
    <cellStyle name="Normal 106 16 3" xfId="13039"/>
    <cellStyle name="Normal 106 16 4" xfId="19573"/>
    <cellStyle name="Normal 106 16 5" xfId="25966"/>
    <cellStyle name="Normal 106 17" xfId="4708"/>
    <cellStyle name="Normal 106 17 2" xfId="8141"/>
    <cellStyle name="Normal 106 17 2 2" xfId="16622"/>
    <cellStyle name="Normal 106 17 2 3" xfId="23136"/>
    <cellStyle name="Normal 106 17 2 4" xfId="29525"/>
    <cellStyle name="Normal 106 17 3" xfId="13198"/>
    <cellStyle name="Normal 106 17 4" xfId="19729"/>
    <cellStyle name="Normal 106 17 5" xfId="26121"/>
    <cellStyle name="Normal 106 18" xfId="4867"/>
    <cellStyle name="Normal 106 18 2" xfId="8295"/>
    <cellStyle name="Normal 106 18 2 2" xfId="16776"/>
    <cellStyle name="Normal 106 18 2 3" xfId="23290"/>
    <cellStyle name="Normal 106 18 2 4" xfId="29679"/>
    <cellStyle name="Normal 106 18 3" xfId="13356"/>
    <cellStyle name="Normal 106 18 4" xfId="19884"/>
    <cellStyle name="Normal 106 18 5" xfId="26275"/>
    <cellStyle name="Normal 106 19" xfId="5144"/>
    <cellStyle name="Normal 106 19 2" xfId="13626"/>
    <cellStyle name="Normal 106 19 3" xfId="20144"/>
    <cellStyle name="Normal 106 19 4" xfId="26533"/>
    <cellStyle name="Normal 106 2" xfId="1748"/>
    <cellStyle name="Normal 106 2 2" xfId="5346"/>
    <cellStyle name="Normal 106 2 2 2" xfId="13827"/>
    <cellStyle name="Normal 106 2 2 3" xfId="20341"/>
    <cellStyle name="Normal 106 2 2 4" xfId="26730"/>
    <cellStyle name="Normal 106 2 3" xfId="10320"/>
    <cellStyle name="Normal 106 2 4" xfId="9663"/>
    <cellStyle name="Normal 106 2 5" xfId="10104"/>
    <cellStyle name="Normal 106 20" xfId="9718"/>
    <cellStyle name="Normal 106 21" xfId="12463"/>
    <cellStyle name="Normal 106 22" xfId="19010"/>
    <cellStyle name="Normal 106 3" xfId="2077"/>
    <cellStyle name="Normal 106 3 2" xfId="5650"/>
    <cellStyle name="Normal 106 3 2 2" xfId="14131"/>
    <cellStyle name="Normal 106 3 2 3" xfId="20645"/>
    <cellStyle name="Normal 106 3 2 4" xfId="27034"/>
    <cellStyle name="Normal 106 3 3" xfId="10636"/>
    <cellStyle name="Normal 106 3 4" xfId="9432"/>
    <cellStyle name="Normal 106 3 5" xfId="13614"/>
    <cellStyle name="Normal 106 4" xfId="2250"/>
    <cellStyle name="Normal 106 4 2" xfId="5820"/>
    <cellStyle name="Normal 106 4 2 2" xfId="14301"/>
    <cellStyle name="Normal 106 4 2 3" xfId="20815"/>
    <cellStyle name="Normal 106 4 2 4" xfId="27204"/>
    <cellStyle name="Normal 106 4 3" xfId="10806"/>
    <cellStyle name="Normal 106 4 4" xfId="17178"/>
    <cellStyle name="Normal 106 4 5" xfId="23654"/>
    <cellStyle name="Normal 106 5" xfId="2697"/>
    <cellStyle name="Normal 106 5 2" xfId="6198"/>
    <cellStyle name="Normal 106 5 2 2" xfId="14679"/>
    <cellStyle name="Normal 106 5 2 3" xfId="21193"/>
    <cellStyle name="Normal 106 5 2 4" xfId="27582"/>
    <cellStyle name="Normal 106 5 3" xfId="11207"/>
    <cellStyle name="Normal 106 5 4" xfId="17776"/>
    <cellStyle name="Normal 106 5 5" xfId="24178"/>
    <cellStyle name="Normal 106 6" xfId="2871"/>
    <cellStyle name="Normal 106 6 2" xfId="6365"/>
    <cellStyle name="Normal 106 6 2 2" xfId="14846"/>
    <cellStyle name="Normal 106 6 2 3" xfId="21360"/>
    <cellStyle name="Normal 106 6 2 4" xfId="27749"/>
    <cellStyle name="Normal 106 6 3" xfId="11377"/>
    <cellStyle name="Normal 106 6 4" xfId="17943"/>
    <cellStyle name="Normal 106 6 5" xfId="24345"/>
    <cellStyle name="Normal 106 7" xfId="3045"/>
    <cellStyle name="Normal 106 7 2" xfId="6532"/>
    <cellStyle name="Normal 106 7 2 2" xfId="15013"/>
    <cellStyle name="Normal 106 7 2 3" xfId="21527"/>
    <cellStyle name="Normal 106 7 2 4" xfId="27916"/>
    <cellStyle name="Normal 106 7 3" xfId="11547"/>
    <cellStyle name="Normal 106 7 4" xfId="18110"/>
    <cellStyle name="Normal 106 7 5" xfId="24512"/>
    <cellStyle name="Normal 106 8" xfId="3218"/>
    <cellStyle name="Normal 106 8 2" xfId="6699"/>
    <cellStyle name="Normal 106 8 2 2" xfId="15180"/>
    <cellStyle name="Normal 106 8 2 3" xfId="21694"/>
    <cellStyle name="Normal 106 8 2 4" xfId="28083"/>
    <cellStyle name="Normal 106 8 3" xfId="11718"/>
    <cellStyle name="Normal 106 8 4" xfId="18277"/>
    <cellStyle name="Normal 106 8 5" xfId="24679"/>
    <cellStyle name="Normal 106 9" xfId="3389"/>
    <cellStyle name="Normal 106 9 2" xfId="6864"/>
    <cellStyle name="Normal 106 9 2 2" xfId="15345"/>
    <cellStyle name="Normal 106 9 2 3" xfId="21859"/>
    <cellStyle name="Normal 106 9 2 4" xfId="28248"/>
    <cellStyle name="Normal 106 9 3" xfId="11886"/>
    <cellStyle name="Normal 106 9 4" xfId="18442"/>
    <cellStyle name="Normal 106 9 5" xfId="24844"/>
    <cellStyle name="Normal 107" xfId="641"/>
    <cellStyle name="Normal 107 10" xfId="3561"/>
    <cellStyle name="Normal 107 10 2" xfId="7030"/>
    <cellStyle name="Normal 107 10 2 2" xfId="15511"/>
    <cellStyle name="Normal 107 10 2 3" xfId="22025"/>
    <cellStyle name="Normal 107 10 2 4" xfId="28414"/>
    <cellStyle name="Normal 107 10 3" xfId="12056"/>
    <cellStyle name="Normal 107 10 4" xfId="18609"/>
    <cellStyle name="Normal 107 10 5" xfId="25010"/>
    <cellStyle name="Normal 107 11" xfId="3731"/>
    <cellStyle name="Normal 107 11 2" xfId="7194"/>
    <cellStyle name="Normal 107 11 2 2" xfId="15675"/>
    <cellStyle name="Normal 107 11 2 3" xfId="22189"/>
    <cellStyle name="Normal 107 11 2 4" xfId="28578"/>
    <cellStyle name="Normal 107 11 3" xfId="12226"/>
    <cellStyle name="Normal 107 11 4" xfId="18776"/>
    <cellStyle name="Normal 107 11 5" xfId="25174"/>
    <cellStyle name="Normal 107 12" xfId="3899"/>
    <cellStyle name="Normal 107 12 2" xfId="7357"/>
    <cellStyle name="Normal 107 12 2 2" xfId="15838"/>
    <cellStyle name="Normal 107 12 2 3" xfId="22352"/>
    <cellStyle name="Normal 107 12 2 4" xfId="28741"/>
    <cellStyle name="Normal 107 12 3" xfId="12393"/>
    <cellStyle name="Normal 107 12 4" xfId="18940"/>
    <cellStyle name="Normal 107 12 5" xfId="25337"/>
    <cellStyle name="Normal 107 13" xfId="4064"/>
    <cellStyle name="Normal 107 13 2" xfId="7517"/>
    <cellStyle name="Normal 107 13 2 2" xfId="15998"/>
    <cellStyle name="Normal 107 13 2 3" xfId="22512"/>
    <cellStyle name="Normal 107 13 2 4" xfId="28901"/>
    <cellStyle name="Normal 107 13 3" xfId="12557"/>
    <cellStyle name="Normal 107 13 4" xfId="19101"/>
    <cellStyle name="Normal 107 13 5" xfId="25497"/>
    <cellStyle name="Normal 107 14" xfId="4229"/>
    <cellStyle name="Normal 107 14 2" xfId="7677"/>
    <cellStyle name="Normal 107 14 2 2" xfId="16158"/>
    <cellStyle name="Normal 107 14 2 3" xfId="22672"/>
    <cellStyle name="Normal 107 14 2 4" xfId="29061"/>
    <cellStyle name="Normal 107 14 3" xfId="12721"/>
    <cellStyle name="Normal 107 14 4" xfId="19262"/>
    <cellStyle name="Normal 107 14 5" xfId="25657"/>
    <cellStyle name="Normal 107 15" xfId="4389"/>
    <cellStyle name="Normal 107 15 2" xfId="7832"/>
    <cellStyle name="Normal 107 15 2 2" xfId="16313"/>
    <cellStyle name="Normal 107 15 2 3" xfId="22827"/>
    <cellStyle name="Normal 107 15 2 4" xfId="29216"/>
    <cellStyle name="Normal 107 15 3" xfId="12880"/>
    <cellStyle name="Normal 107 15 4" xfId="19418"/>
    <cellStyle name="Normal 107 15 5" xfId="25812"/>
    <cellStyle name="Normal 107 16" xfId="4549"/>
    <cellStyle name="Normal 107 16 2" xfId="7987"/>
    <cellStyle name="Normal 107 16 2 2" xfId="16468"/>
    <cellStyle name="Normal 107 16 2 3" xfId="22982"/>
    <cellStyle name="Normal 107 16 2 4" xfId="29371"/>
    <cellStyle name="Normal 107 16 3" xfId="13040"/>
    <cellStyle name="Normal 107 16 4" xfId="19574"/>
    <cellStyle name="Normal 107 16 5" xfId="25967"/>
    <cellStyle name="Normal 107 17" xfId="4709"/>
    <cellStyle name="Normal 107 17 2" xfId="8142"/>
    <cellStyle name="Normal 107 17 2 2" xfId="16623"/>
    <cellStyle name="Normal 107 17 2 3" xfId="23137"/>
    <cellStyle name="Normal 107 17 2 4" xfId="29526"/>
    <cellStyle name="Normal 107 17 3" xfId="13199"/>
    <cellStyle name="Normal 107 17 4" xfId="19730"/>
    <cellStyle name="Normal 107 17 5" xfId="26122"/>
    <cellStyle name="Normal 107 18" xfId="4868"/>
    <cellStyle name="Normal 107 18 2" xfId="8296"/>
    <cellStyle name="Normal 107 18 2 2" xfId="16777"/>
    <cellStyle name="Normal 107 18 2 3" xfId="23291"/>
    <cellStyle name="Normal 107 18 2 4" xfId="29680"/>
    <cellStyle name="Normal 107 18 3" xfId="13357"/>
    <cellStyle name="Normal 107 18 4" xfId="19885"/>
    <cellStyle name="Normal 107 18 5" xfId="26276"/>
    <cellStyle name="Normal 107 19" xfId="5145"/>
    <cellStyle name="Normal 107 19 2" xfId="13627"/>
    <cellStyle name="Normal 107 19 3" xfId="20145"/>
    <cellStyle name="Normal 107 19 4" xfId="26534"/>
    <cellStyle name="Normal 107 2" xfId="1749"/>
    <cellStyle name="Normal 107 2 2" xfId="5347"/>
    <cellStyle name="Normal 107 2 2 2" xfId="13828"/>
    <cellStyle name="Normal 107 2 2 3" xfId="20342"/>
    <cellStyle name="Normal 107 2 2 4" xfId="26731"/>
    <cellStyle name="Normal 107 2 3" xfId="10321"/>
    <cellStyle name="Normal 107 2 4" xfId="9662"/>
    <cellStyle name="Normal 107 2 5" xfId="10105"/>
    <cellStyle name="Normal 107 20" xfId="9719"/>
    <cellStyle name="Normal 107 21" xfId="12297"/>
    <cellStyle name="Normal 107 22" xfId="18847"/>
    <cellStyle name="Normal 107 3" xfId="2078"/>
    <cellStyle name="Normal 107 3 2" xfId="5651"/>
    <cellStyle name="Normal 107 3 2 2" xfId="14132"/>
    <cellStyle name="Normal 107 3 2 3" xfId="20646"/>
    <cellStyle name="Normal 107 3 2 4" xfId="27035"/>
    <cellStyle name="Normal 107 3 3" xfId="10637"/>
    <cellStyle name="Normal 107 3 4" xfId="9431"/>
    <cellStyle name="Normal 107 3 5" xfId="13806"/>
    <cellStyle name="Normal 107 4" xfId="2249"/>
    <cellStyle name="Normal 107 4 2" xfId="5819"/>
    <cellStyle name="Normal 107 4 2 2" xfId="14300"/>
    <cellStyle name="Normal 107 4 2 3" xfId="20814"/>
    <cellStyle name="Normal 107 4 2 4" xfId="27203"/>
    <cellStyle name="Normal 107 4 3" xfId="10805"/>
    <cellStyle name="Normal 107 4 4" xfId="9351"/>
    <cellStyle name="Normal 107 4 5" xfId="10294"/>
    <cellStyle name="Normal 107 5" xfId="2698"/>
    <cellStyle name="Normal 107 5 2" xfId="6199"/>
    <cellStyle name="Normal 107 5 2 2" xfId="14680"/>
    <cellStyle name="Normal 107 5 2 3" xfId="21194"/>
    <cellStyle name="Normal 107 5 2 4" xfId="27583"/>
    <cellStyle name="Normal 107 5 3" xfId="11208"/>
    <cellStyle name="Normal 107 5 4" xfId="17777"/>
    <cellStyle name="Normal 107 5 5" xfId="24179"/>
    <cellStyle name="Normal 107 6" xfId="2872"/>
    <cellStyle name="Normal 107 6 2" xfId="6366"/>
    <cellStyle name="Normal 107 6 2 2" xfId="14847"/>
    <cellStyle name="Normal 107 6 2 3" xfId="21361"/>
    <cellStyle name="Normal 107 6 2 4" xfId="27750"/>
    <cellStyle name="Normal 107 6 3" xfId="11378"/>
    <cellStyle name="Normal 107 6 4" xfId="17944"/>
    <cellStyle name="Normal 107 6 5" xfId="24346"/>
    <cellStyle name="Normal 107 7" xfId="3046"/>
    <cellStyle name="Normal 107 7 2" xfId="6533"/>
    <cellStyle name="Normal 107 7 2 2" xfId="15014"/>
    <cellStyle name="Normal 107 7 2 3" xfId="21528"/>
    <cellStyle name="Normal 107 7 2 4" xfId="27917"/>
    <cellStyle name="Normal 107 7 3" xfId="11548"/>
    <cellStyle name="Normal 107 7 4" xfId="18111"/>
    <cellStyle name="Normal 107 7 5" xfId="24513"/>
    <cellStyle name="Normal 107 8" xfId="3219"/>
    <cellStyle name="Normal 107 8 2" xfId="6700"/>
    <cellStyle name="Normal 107 8 2 2" xfId="15181"/>
    <cellStyle name="Normal 107 8 2 3" xfId="21695"/>
    <cellStyle name="Normal 107 8 2 4" xfId="28084"/>
    <cellStyle name="Normal 107 8 3" xfId="11719"/>
    <cellStyle name="Normal 107 8 4" xfId="18278"/>
    <cellStyle name="Normal 107 8 5" xfId="24680"/>
    <cellStyle name="Normal 107 9" xfId="3390"/>
    <cellStyle name="Normal 107 9 2" xfId="6865"/>
    <cellStyle name="Normal 107 9 2 2" xfId="15346"/>
    <cellStyle name="Normal 107 9 2 3" xfId="21860"/>
    <cellStyle name="Normal 107 9 2 4" xfId="28249"/>
    <cellStyle name="Normal 107 9 3" xfId="11887"/>
    <cellStyle name="Normal 107 9 4" xfId="18443"/>
    <cellStyle name="Normal 107 9 5" xfId="24845"/>
    <cellStyle name="Normal 108" xfId="642"/>
    <cellStyle name="Normal 108 10" xfId="3562"/>
    <cellStyle name="Normal 108 10 2" xfId="7031"/>
    <cellStyle name="Normal 108 10 2 2" xfId="15512"/>
    <cellStyle name="Normal 108 10 2 3" xfId="22026"/>
    <cellStyle name="Normal 108 10 2 4" xfId="28415"/>
    <cellStyle name="Normal 108 10 3" xfId="12057"/>
    <cellStyle name="Normal 108 10 4" xfId="18610"/>
    <cellStyle name="Normal 108 10 5" xfId="25011"/>
    <cellStyle name="Normal 108 11" xfId="3732"/>
    <cellStyle name="Normal 108 11 2" xfId="7195"/>
    <cellStyle name="Normal 108 11 2 2" xfId="15676"/>
    <cellStyle name="Normal 108 11 2 3" xfId="22190"/>
    <cellStyle name="Normal 108 11 2 4" xfId="28579"/>
    <cellStyle name="Normal 108 11 3" xfId="12227"/>
    <cellStyle name="Normal 108 11 4" xfId="18777"/>
    <cellStyle name="Normal 108 11 5" xfId="25175"/>
    <cellStyle name="Normal 108 12" xfId="3900"/>
    <cellStyle name="Normal 108 12 2" xfId="7358"/>
    <cellStyle name="Normal 108 12 2 2" xfId="15839"/>
    <cellStyle name="Normal 108 12 2 3" xfId="22353"/>
    <cellStyle name="Normal 108 12 2 4" xfId="28742"/>
    <cellStyle name="Normal 108 12 3" xfId="12394"/>
    <cellStyle name="Normal 108 12 4" xfId="18941"/>
    <cellStyle name="Normal 108 12 5" xfId="25338"/>
    <cellStyle name="Normal 108 13" xfId="4065"/>
    <cellStyle name="Normal 108 13 2" xfId="7518"/>
    <cellStyle name="Normal 108 13 2 2" xfId="15999"/>
    <cellStyle name="Normal 108 13 2 3" xfId="22513"/>
    <cellStyle name="Normal 108 13 2 4" xfId="28902"/>
    <cellStyle name="Normal 108 13 3" xfId="12558"/>
    <cellStyle name="Normal 108 13 4" xfId="19102"/>
    <cellStyle name="Normal 108 13 5" xfId="25498"/>
    <cellStyle name="Normal 108 14" xfId="4230"/>
    <cellStyle name="Normal 108 14 2" xfId="7678"/>
    <cellStyle name="Normal 108 14 2 2" xfId="16159"/>
    <cellStyle name="Normal 108 14 2 3" xfId="22673"/>
    <cellStyle name="Normal 108 14 2 4" xfId="29062"/>
    <cellStyle name="Normal 108 14 3" xfId="12722"/>
    <cellStyle name="Normal 108 14 4" xfId="19263"/>
    <cellStyle name="Normal 108 14 5" xfId="25658"/>
    <cellStyle name="Normal 108 15" xfId="4390"/>
    <cellStyle name="Normal 108 15 2" xfId="7833"/>
    <cellStyle name="Normal 108 15 2 2" xfId="16314"/>
    <cellStyle name="Normal 108 15 2 3" xfId="22828"/>
    <cellStyle name="Normal 108 15 2 4" xfId="29217"/>
    <cellStyle name="Normal 108 15 3" xfId="12881"/>
    <cellStyle name="Normal 108 15 4" xfId="19419"/>
    <cellStyle name="Normal 108 15 5" xfId="25813"/>
    <cellStyle name="Normal 108 16" xfId="4550"/>
    <cellStyle name="Normal 108 16 2" xfId="7988"/>
    <cellStyle name="Normal 108 16 2 2" xfId="16469"/>
    <cellStyle name="Normal 108 16 2 3" xfId="22983"/>
    <cellStyle name="Normal 108 16 2 4" xfId="29372"/>
    <cellStyle name="Normal 108 16 3" xfId="13041"/>
    <cellStyle name="Normal 108 16 4" xfId="19575"/>
    <cellStyle name="Normal 108 16 5" xfId="25968"/>
    <cellStyle name="Normal 108 17" xfId="4710"/>
    <cellStyle name="Normal 108 17 2" xfId="8143"/>
    <cellStyle name="Normal 108 17 2 2" xfId="16624"/>
    <cellStyle name="Normal 108 17 2 3" xfId="23138"/>
    <cellStyle name="Normal 108 17 2 4" xfId="29527"/>
    <cellStyle name="Normal 108 17 3" xfId="13200"/>
    <cellStyle name="Normal 108 17 4" xfId="19731"/>
    <cellStyle name="Normal 108 17 5" xfId="26123"/>
    <cellStyle name="Normal 108 18" xfId="4869"/>
    <cellStyle name="Normal 108 18 2" xfId="8297"/>
    <cellStyle name="Normal 108 18 2 2" xfId="16778"/>
    <cellStyle name="Normal 108 18 2 3" xfId="23292"/>
    <cellStyle name="Normal 108 18 2 4" xfId="29681"/>
    <cellStyle name="Normal 108 18 3" xfId="13358"/>
    <cellStyle name="Normal 108 18 4" xfId="19886"/>
    <cellStyle name="Normal 108 18 5" xfId="26277"/>
    <cellStyle name="Normal 108 19" xfId="5146"/>
    <cellStyle name="Normal 108 19 2" xfId="13628"/>
    <cellStyle name="Normal 108 19 3" xfId="20146"/>
    <cellStyle name="Normal 108 19 4" xfId="26535"/>
    <cellStyle name="Normal 108 2" xfId="1750"/>
    <cellStyle name="Normal 108 2 2" xfId="5348"/>
    <cellStyle name="Normal 108 2 2 2" xfId="13829"/>
    <cellStyle name="Normal 108 2 2 3" xfId="20343"/>
    <cellStyle name="Normal 108 2 2 4" xfId="26732"/>
    <cellStyle name="Normal 108 2 3" xfId="10322"/>
    <cellStyle name="Normal 108 2 4" xfId="9661"/>
    <cellStyle name="Normal 108 2 5" xfId="10106"/>
    <cellStyle name="Normal 108 20" xfId="9720"/>
    <cellStyle name="Normal 108 21" xfId="12128"/>
    <cellStyle name="Normal 108 22" xfId="18681"/>
    <cellStyle name="Normal 108 3" xfId="2079"/>
    <cellStyle name="Normal 108 3 2" xfId="5652"/>
    <cellStyle name="Normal 108 3 2 2" xfId="14133"/>
    <cellStyle name="Normal 108 3 2 3" xfId="20647"/>
    <cellStyle name="Normal 108 3 2 4" xfId="27036"/>
    <cellStyle name="Normal 108 3 3" xfId="10638"/>
    <cellStyle name="Normal 108 3 4" xfId="9430"/>
    <cellStyle name="Normal 108 3 5" xfId="10499"/>
    <cellStyle name="Normal 108 4" xfId="2248"/>
    <cellStyle name="Normal 108 4 2" xfId="5818"/>
    <cellStyle name="Normal 108 4 2 2" xfId="14299"/>
    <cellStyle name="Normal 108 4 2 3" xfId="20813"/>
    <cellStyle name="Normal 108 4 2 4" xfId="27202"/>
    <cellStyle name="Normal 108 4 3" xfId="10804"/>
    <cellStyle name="Normal 108 4 4" xfId="17177"/>
    <cellStyle name="Normal 108 4 5" xfId="23653"/>
    <cellStyle name="Normal 108 5" xfId="2699"/>
    <cellStyle name="Normal 108 5 2" xfId="6200"/>
    <cellStyle name="Normal 108 5 2 2" xfId="14681"/>
    <cellStyle name="Normal 108 5 2 3" xfId="21195"/>
    <cellStyle name="Normal 108 5 2 4" xfId="27584"/>
    <cellStyle name="Normal 108 5 3" xfId="11209"/>
    <cellStyle name="Normal 108 5 4" xfId="17778"/>
    <cellStyle name="Normal 108 5 5" xfId="24180"/>
    <cellStyle name="Normal 108 6" xfId="2873"/>
    <cellStyle name="Normal 108 6 2" xfId="6367"/>
    <cellStyle name="Normal 108 6 2 2" xfId="14848"/>
    <cellStyle name="Normal 108 6 2 3" xfId="21362"/>
    <cellStyle name="Normal 108 6 2 4" xfId="27751"/>
    <cellStyle name="Normal 108 6 3" xfId="11379"/>
    <cellStyle name="Normal 108 6 4" xfId="17945"/>
    <cellStyle name="Normal 108 6 5" xfId="24347"/>
    <cellStyle name="Normal 108 7" xfId="3047"/>
    <cellStyle name="Normal 108 7 2" xfId="6534"/>
    <cellStyle name="Normal 108 7 2 2" xfId="15015"/>
    <cellStyle name="Normal 108 7 2 3" xfId="21529"/>
    <cellStyle name="Normal 108 7 2 4" xfId="27918"/>
    <cellStyle name="Normal 108 7 3" xfId="11549"/>
    <cellStyle name="Normal 108 7 4" xfId="18112"/>
    <cellStyle name="Normal 108 7 5" xfId="24514"/>
    <cellStyle name="Normal 108 8" xfId="3220"/>
    <cellStyle name="Normal 108 8 2" xfId="6701"/>
    <cellStyle name="Normal 108 8 2 2" xfId="15182"/>
    <cellStyle name="Normal 108 8 2 3" xfId="21696"/>
    <cellStyle name="Normal 108 8 2 4" xfId="28085"/>
    <cellStyle name="Normal 108 8 3" xfId="11720"/>
    <cellStyle name="Normal 108 8 4" xfId="18279"/>
    <cellStyle name="Normal 108 8 5" xfId="24681"/>
    <cellStyle name="Normal 108 9" xfId="3391"/>
    <cellStyle name="Normal 108 9 2" xfId="6866"/>
    <cellStyle name="Normal 108 9 2 2" xfId="15347"/>
    <cellStyle name="Normal 108 9 2 3" xfId="21861"/>
    <cellStyle name="Normal 108 9 2 4" xfId="28250"/>
    <cellStyle name="Normal 108 9 3" xfId="11888"/>
    <cellStyle name="Normal 108 9 4" xfId="18444"/>
    <cellStyle name="Normal 108 9 5" xfId="24846"/>
    <cellStyle name="Normal 109" xfId="643"/>
    <cellStyle name="Normal 109 10" xfId="3563"/>
    <cellStyle name="Normal 109 10 2" xfId="7032"/>
    <cellStyle name="Normal 109 10 2 2" xfId="15513"/>
    <cellStyle name="Normal 109 10 2 3" xfId="22027"/>
    <cellStyle name="Normal 109 10 2 4" xfId="28416"/>
    <cellStyle name="Normal 109 10 3" xfId="12058"/>
    <cellStyle name="Normal 109 10 4" xfId="18611"/>
    <cellStyle name="Normal 109 10 5" xfId="25012"/>
    <cellStyle name="Normal 109 11" xfId="3733"/>
    <cellStyle name="Normal 109 11 2" xfId="7196"/>
    <cellStyle name="Normal 109 11 2 2" xfId="15677"/>
    <cellStyle name="Normal 109 11 2 3" xfId="22191"/>
    <cellStyle name="Normal 109 11 2 4" xfId="28580"/>
    <cellStyle name="Normal 109 11 3" xfId="12228"/>
    <cellStyle name="Normal 109 11 4" xfId="18778"/>
    <cellStyle name="Normal 109 11 5" xfId="25176"/>
    <cellStyle name="Normal 109 12" xfId="3901"/>
    <cellStyle name="Normal 109 12 2" xfId="7359"/>
    <cellStyle name="Normal 109 12 2 2" xfId="15840"/>
    <cellStyle name="Normal 109 12 2 3" xfId="22354"/>
    <cellStyle name="Normal 109 12 2 4" xfId="28743"/>
    <cellStyle name="Normal 109 12 3" xfId="12395"/>
    <cellStyle name="Normal 109 12 4" xfId="18942"/>
    <cellStyle name="Normal 109 12 5" xfId="25339"/>
    <cellStyle name="Normal 109 13" xfId="4066"/>
    <cellStyle name="Normal 109 13 2" xfId="7519"/>
    <cellStyle name="Normal 109 13 2 2" xfId="16000"/>
    <cellStyle name="Normal 109 13 2 3" xfId="22514"/>
    <cellStyle name="Normal 109 13 2 4" xfId="28903"/>
    <cellStyle name="Normal 109 13 3" xfId="12559"/>
    <cellStyle name="Normal 109 13 4" xfId="19103"/>
    <cellStyle name="Normal 109 13 5" xfId="25499"/>
    <cellStyle name="Normal 109 14" xfId="4231"/>
    <cellStyle name="Normal 109 14 2" xfId="7679"/>
    <cellStyle name="Normal 109 14 2 2" xfId="16160"/>
    <cellStyle name="Normal 109 14 2 3" xfId="22674"/>
    <cellStyle name="Normal 109 14 2 4" xfId="29063"/>
    <cellStyle name="Normal 109 14 3" xfId="12723"/>
    <cellStyle name="Normal 109 14 4" xfId="19264"/>
    <cellStyle name="Normal 109 14 5" xfId="25659"/>
    <cellStyle name="Normal 109 15" xfId="4391"/>
    <cellStyle name="Normal 109 15 2" xfId="7834"/>
    <cellStyle name="Normal 109 15 2 2" xfId="16315"/>
    <cellStyle name="Normal 109 15 2 3" xfId="22829"/>
    <cellStyle name="Normal 109 15 2 4" xfId="29218"/>
    <cellStyle name="Normal 109 15 3" xfId="12882"/>
    <cellStyle name="Normal 109 15 4" xfId="19420"/>
    <cellStyle name="Normal 109 15 5" xfId="25814"/>
    <cellStyle name="Normal 109 16" xfId="4551"/>
    <cellStyle name="Normal 109 16 2" xfId="7989"/>
    <cellStyle name="Normal 109 16 2 2" xfId="16470"/>
    <cellStyle name="Normal 109 16 2 3" xfId="22984"/>
    <cellStyle name="Normal 109 16 2 4" xfId="29373"/>
    <cellStyle name="Normal 109 16 3" xfId="13042"/>
    <cellStyle name="Normal 109 16 4" xfId="19576"/>
    <cellStyle name="Normal 109 16 5" xfId="25969"/>
    <cellStyle name="Normal 109 17" xfId="4711"/>
    <cellStyle name="Normal 109 17 2" xfId="8144"/>
    <cellStyle name="Normal 109 17 2 2" xfId="16625"/>
    <cellStyle name="Normal 109 17 2 3" xfId="23139"/>
    <cellStyle name="Normal 109 17 2 4" xfId="29528"/>
    <cellStyle name="Normal 109 17 3" xfId="13201"/>
    <cellStyle name="Normal 109 17 4" xfId="19732"/>
    <cellStyle name="Normal 109 17 5" xfId="26124"/>
    <cellStyle name="Normal 109 18" xfId="4870"/>
    <cellStyle name="Normal 109 18 2" xfId="8298"/>
    <cellStyle name="Normal 109 18 2 2" xfId="16779"/>
    <cellStyle name="Normal 109 18 2 3" xfId="23293"/>
    <cellStyle name="Normal 109 18 2 4" xfId="29682"/>
    <cellStyle name="Normal 109 18 3" xfId="13359"/>
    <cellStyle name="Normal 109 18 4" xfId="19887"/>
    <cellStyle name="Normal 109 18 5" xfId="26278"/>
    <cellStyle name="Normal 109 19" xfId="5147"/>
    <cellStyle name="Normal 109 19 2" xfId="13629"/>
    <cellStyle name="Normal 109 19 3" xfId="20147"/>
    <cellStyle name="Normal 109 19 4" xfId="26536"/>
    <cellStyle name="Normal 109 2" xfId="1751"/>
    <cellStyle name="Normal 109 2 2" xfId="5349"/>
    <cellStyle name="Normal 109 2 2 2" xfId="13830"/>
    <cellStyle name="Normal 109 2 2 3" xfId="20344"/>
    <cellStyle name="Normal 109 2 2 4" xfId="26733"/>
    <cellStyle name="Normal 109 2 3" xfId="10323"/>
    <cellStyle name="Normal 109 2 4" xfId="9660"/>
    <cellStyle name="Normal 109 2 5" xfId="10107"/>
    <cellStyle name="Normal 109 20" xfId="9721"/>
    <cellStyle name="Normal 109 21" xfId="11960"/>
    <cellStyle name="Normal 109 22" xfId="18516"/>
    <cellStyle name="Normal 109 3" xfId="2080"/>
    <cellStyle name="Normal 109 3 2" xfId="5653"/>
    <cellStyle name="Normal 109 3 2 2" xfId="14134"/>
    <cellStyle name="Normal 109 3 2 3" xfId="20648"/>
    <cellStyle name="Normal 109 3 2 4" xfId="27037"/>
    <cellStyle name="Normal 109 3 3" xfId="10639"/>
    <cellStyle name="Normal 109 3 4" xfId="9429"/>
    <cellStyle name="Normal 109 3 5" xfId="11346"/>
    <cellStyle name="Normal 109 4" xfId="2247"/>
    <cellStyle name="Normal 109 4 2" xfId="5817"/>
    <cellStyle name="Normal 109 4 2 2" xfId="14298"/>
    <cellStyle name="Normal 109 4 2 3" xfId="20812"/>
    <cellStyle name="Normal 109 4 2 4" xfId="27201"/>
    <cellStyle name="Normal 109 4 3" xfId="10803"/>
    <cellStyle name="Normal 109 4 4" xfId="17176"/>
    <cellStyle name="Normal 109 4 5" xfId="23652"/>
    <cellStyle name="Normal 109 5" xfId="2700"/>
    <cellStyle name="Normal 109 5 2" xfId="6201"/>
    <cellStyle name="Normal 109 5 2 2" xfId="14682"/>
    <cellStyle name="Normal 109 5 2 3" xfId="21196"/>
    <cellStyle name="Normal 109 5 2 4" xfId="27585"/>
    <cellStyle name="Normal 109 5 3" xfId="11210"/>
    <cellStyle name="Normal 109 5 4" xfId="17779"/>
    <cellStyle name="Normal 109 5 5" xfId="24181"/>
    <cellStyle name="Normal 109 6" xfId="2874"/>
    <cellStyle name="Normal 109 6 2" xfId="6368"/>
    <cellStyle name="Normal 109 6 2 2" xfId="14849"/>
    <cellStyle name="Normal 109 6 2 3" xfId="21363"/>
    <cellStyle name="Normal 109 6 2 4" xfId="27752"/>
    <cellStyle name="Normal 109 6 3" xfId="11380"/>
    <cellStyle name="Normal 109 6 4" xfId="17946"/>
    <cellStyle name="Normal 109 6 5" xfId="24348"/>
    <cellStyle name="Normal 109 7" xfId="3048"/>
    <cellStyle name="Normal 109 7 2" xfId="6535"/>
    <cellStyle name="Normal 109 7 2 2" xfId="15016"/>
    <cellStyle name="Normal 109 7 2 3" xfId="21530"/>
    <cellStyle name="Normal 109 7 2 4" xfId="27919"/>
    <cellStyle name="Normal 109 7 3" xfId="11550"/>
    <cellStyle name="Normal 109 7 4" xfId="18113"/>
    <cellStyle name="Normal 109 7 5" xfId="24515"/>
    <cellStyle name="Normal 109 8" xfId="3221"/>
    <cellStyle name="Normal 109 8 2" xfId="6702"/>
    <cellStyle name="Normal 109 8 2 2" xfId="15183"/>
    <cellStyle name="Normal 109 8 2 3" xfId="21697"/>
    <cellStyle name="Normal 109 8 2 4" xfId="28086"/>
    <cellStyle name="Normal 109 8 3" xfId="11721"/>
    <cellStyle name="Normal 109 8 4" xfId="18280"/>
    <cellStyle name="Normal 109 8 5" xfId="24682"/>
    <cellStyle name="Normal 109 9" xfId="3392"/>
    <cellStyle name="Normal 109 9 2" xfId="6867"/>
    <cellStyle name="Normal 109 9 2 2" xfId="15348"/>
    <cellStyle name="Normal 109 9 2 3" xfId="21862"/>
    <cellStyle name="Normal 109 9 2 4" xfId="28251"/>
    <cellStyle name="Normal 109 9 3" xfId="11889"/>
    <cellStyle name="Normal 109 9 4" xfId="18445"/>
    <cellStyle name="Normal 109 9 5" xfId="24847"/>
    <cellStyle name="Normal 11" xfId="644"/>
    <cellStyle name="Normal 11 10" xfId="645"/>
    <cellStyle name="Normal 11 11" xfId="9298"/>
    <cellStyle name="Normal 11 11 2" xfId="9252"/>
    <cellStyle name="Normal 11 12" xfId="9230"/>
    <cellStyle name="Normal 11 13" xfId="9209"/>
    <cellStyle name="Normal 11 14" xfId="9187"/>
    <cellStyle name="Normal 11 15" xfId="9167"/>
    <cellStyle name="Normal 11 16" xfId="9148"/>
    <cellStyle name="Normal 11 17" xfId="8653"/>
    <cellStyle name="Normal 11 18" xfId="9130"/>
    <cellStyle name="Normal 11 19" xfId="9108"/>
    <cellStyle name="Normal 11 2" xfId="646"/>
    <cellStyle name="Normal 11 20" xfId="9063"/>
    <cellStyle name="Normal 11 21" xfId="9045"/>
    <cellStyle name="Normal 11 22" xfId="9023"/>
    <cellStyle name="Normal 11 23" xfId="8946"/>
    <cellStyle name="Normal 11 3" xfId="647"/>
    <cellStyle name="Normal 11 4" xfId="648"/>
    <cellStyle name="Normal 11 5" xfId="649"/>
    <cellStyle name="Normal 11 6" xfId="650"/>
    <cellStyle name="Normal 11 7" xfId="651"/>
    <cellStyle name="Normal 11 8" xfId="652"/>
    <cellStyle name="Normal 11 9" xfId="653"/>
    <cellStyle name="Normal 110" xfId="654"/>
    <cellStyle name="Normal 110 10" xfId="3863"/>
    <cellStyle name="Normal 110 10 2" xfId="7324"/>
    <cellStyle name="Normal 110 10 2 2" xfId="15805"/>
    <cellStyle name="Normal 110 10 2 3" xfId="22319"/>
    <cellStyle name="Normal 110 10 2 4" xfId="28708"/>
    <cellStyle name="Normal 110 10 3" xfId="12357"/>
    <cellStyle name="Normal 110 10 4" xfId="18907"/>
    <cellStyle name="Normal 110 10 5" xfId="25304"/>
    <cellStyle name="Normal 110 11" xfId="4030"/>
    <cellStyle name="Normal 110 11 2" xfId="7486"/>
    <cellStyle name="Normal 110 11 2 2" xfId="15967"/>
    <cellStyle name="Normal 110 11 2 3" xfId="22481"/>
    <cellStyle name="Normal 110 11 2 4" xfId="28870"/>
    <cellStyle name="Normal 110 11 3" xfId="12523"/>
    <cellStyle name="Normal 110 11 4" xfId="19070"/>
    <cellStyle name="Normal 110 11 5" xfId="25466"/>
    <cellStyle name="Normal 110 12" xfId="4195"/>
    <cellStyle name="Normal 110 12 2" xfId="7646"/>
    <cellStyle name="Normal 110 12 2 2" xfId="16127"/>
    <cellStyle name="Normal 110 12 2 3" xfId="22641"/>
    <cellStyle name="Normal 110 12 2 4" xfId="29030"/>
    <cellStyle name="Normal 110 12 3" xfId="12687"/>
    <cellStyle name="Normal 110 12 4" xfId="19231"/>
    <cellStyle name="Normal 110 12 5" xfId="25626"/>
    <cellStyle name="Normal 110 13" xfId="4357"/>
    <cellStyle name="Normal 110 13 2" xfId="7803"/>
    <cellStyle name="Normal 110 13 2 2" xfId="16284"/>
    <cellStyle name="Normal 110 13 2 3" xfId="22798"/>
    <cellStyle name="Normal 110 13 2 4" xfId="29187"/>
    <cellStyle name="Normal 110 13 3" xfId="12848"/>
    <cellStyle name="Normal 110 13 4" xfId="19389"/>
    <cellStyle name="Normal 110 13 5" xfId="25783"/>
    <cellStyle name="Normal 110 14" xfId="4517"/>
    <cellStyle name="Normal 110 14 2" xfId="7958"/>
    <cellStyle name="Normal 110 14 2 2" xfId="16439"/>
    <cellStyle name="Normal 110 14 2 3" xfId="22953"/>
    <cellStyle name="Normal 110 14 2 4" xfId="29342"/>
    <cellStyle name="Normal 110 14 3" xfId="13008"/>
    <cellStyle name="Normal 110 14 4" xfId="19545"/>
    <cellStyle name="Normal 110 14 5" xfId="25938"/>
    <cellStyle name="Normal 110 15" xfId="4677"/>
    <cellStyle name="Normal 110 15 2" xfId="8113"/>
    <cellStyle name="Normal 110 15 2 2" xfId="16594"/>
    <cellStyle name="Normal 110 15 2 3" xfId="23108"/>
    <cellStyle name="Normal 110 15 2 4" xfId="29497"/>
    <cellStyle name="Normal 110 15 3" xfId="13167"/>
    <cellStyle name="Normal 110 15 4" xfId="19701"/>
    <cellStyle name="Normal 110 15 5" xfId="26093"/>
    <cellStyle name="Normal 110 16" xfId="4836"/>
    <cellStyle name="Normal 110 16 2" xfId="8267"/>
    <cellStyle name="Normal 110 16 2 2" xfId="16748"/>
    <cellStyle name="Normal 110 16 2 3" xfId="23262"/>
    <cellStyle name="Normal 110 16 2 4" xfId="29651"/>
    <cellStyle name="Normal 110 16 3" xfId="13325"/>
    <cellStyle name="Normal 110 16 4" xfId="19856"/>
    <cellStyle name="Normal 110 16 5" xfId="26247"/>
    <cellStyle name="Normal 110 17" xfId="4994"/>
    <cellStyle name="Normal 110 17 2" xfId="8420"/>
    <cellStyle name="Normal 110 17 2 2" xfId="16901"/>
    <cellStyle name="Normal 110 17 2 3" xfId="23415"/>
    <cellStyle name="Normal 110 17 2 4" xfId="29804"/>
    <cellStyle name="Normal 110 17 3" xfId="13482"/>
    <cellStyle name="Normal 110 17 4" xfId="20010"/>
    <cellStyle name="Normal 110 17 5" xfId="26400"/>
    <cellStyle name="Normal 110 18" xfId="5123"/>
    <cellStyle name="Normal 110 18 2" xfId="8544"/>
    <cellStyle name="Normal 110 18 2 2" xfId="17025"/>
    <cellStyle name="Normal 110 18 2 3" xfId="23539"/>
    <cellStyle name="Normal 110 18 2 4" xfId="29928"/>
    <cellStyle name="Normal 110 18 3" xfId="13609"/>
    <cellStyle name="Normal 110 18 4" xfId="20134"/>
    <cellStyle name="Normal 110 18 5" xfId="26524"/>
    <cellStyle name="Normal 110 19" xfId="5148"/>
    <cellStyle name="Normal 110 19 2" xfId="13630"/>
    <cellStyle name="Normal 110 19 3" xfId="20148"/>
    <cellStyle name="Normal 110 19 4" xfId="26537"/>
    <cellStyle name="Normal 110 2" xfId="1752"/>
    <cellStyle name="Normal 110 2 2" xfId="5350"/>
    <cellStyle name="Normal 110 2 2 2" xfId="13831"/>
    <cellStyle name="Normal 110 2 2 3" xfId="20345"/>
    <cellStyle name="Normal 110 2 2 4" xfId="26734"/>
    <cellStyle name="Normal 110 2 3" xfId="10324"/>
    <cellStyle name="Normal 110 2 4" xfId="9659"/>
    <cellStyle name="Normal 110 2 5" xfId="10108"/>
    <cellStyle name="Normal 110 20" xfId="9724"/>
    <cellStyle name="Normal 110 21" xfId="10003"/>
    <cellStyle name="Normal 110 22" xfId="9734"/>
    <cellStyle name="Normal 110 3" xfId="2085"/>
    <cellStyle name="Normal 110 3 2" xfId="5658"/>
    <cellStyle name="Normal 110 3 2 2" xfId="14139"/>
    <cellStyle name="Normal 110 3 2 3" xfId="20653"/>
    <cellStyle name="Normal 110 3 2 4" xfId="27042"/>
    <cellStyle name="Normal 110 3 3" xfId="10644"/>
    <cellStyle name="Normal 110 3 4" xfId="9426"/>
    <cellStyle name="Normal 110 3 5" xfId="11855"/>
    <cellStyle name="Normal 110 4" xfId="2834"/>
    <cellStyle name="Normal 110 4 2" xfId="6332"/>
    <cellStyle name="Normal 110 4 2 2" xfId="14813"/>
    <cellStyle name="Normal 110 4 2 3" xfId="21327"/>
    <cellStyle name="Normal 110 4 2 4" xfId="27716"/>
    <cellStyle name="Normal 110 4 3" xfId="11341"/>
    <cellStyle name="Normal 110 4 4" xfId="17910"/>
    <cellStyle name="Normal 110 4 5" xfId="24312"/>
    <cellStyle name="Normal 110 5" xfId="3008"/>
    <cellStyle name="Normal 110 5 2" xfId="6499"/>
    <cellStyle name="Normal 110 5 2 2" xfId="14980"/>
    <cellStyle name="Normal 110 5 2 3" xfId="21494"/>
    <cellStyle name="Normal 110 5 2 4" xfId="27883"/>
    <cellStyle name="Normal 110 5 3" xfId="11511"/>
    <cellStyle name="Normal 110 5 4" xfId="18077"/>
    <cellStyle name="Normal 110 5 5" xfId="24479"/>
    <cellStyle name="Normal 110 6" xfId="3181"/>
    <cellStyle name="Normal 110 6 2" xfId="6666"/>
    <cellStyle name="Normal 110 6 2 2" xfId="15147"/>
    <cellStyle name="Normal 110 6 2 3" xfId="21661"/>
    <cellStyle name="Normal 110 6 2 4" xfId="28050"/>
    <cellStyle name="Normal 110 6 3" xfId="11682"/>
    <cellStyle name="Normal 110 6 4" xfId="18244"/>
    <cellStyle name="Normal 110 6 5" xfId="24646"/>
    <cellStyle name="Normal 110 7" xfId="3353"/>
    <cellStyle name="Normal 110 7 2" xfId="6832"/>
    <cellStyle name="Normal 110 7 2 2" xfId="15313"/>
    <cellStyle name="Normal 110 7 2 3" xfId="21827"/>
    <cellStyle name="Normal 110 7 2 4" xfId="28216"/>
    <cellStyle name="Normal 110 7 3" xfId="11851"/>
    <cellStyle name="Normal 110 7 4" xfId="18410"/>
    <cellStyle name="Normal 110 7 5" xfId="24812"/>
    <cellStyle name="Normal 110 8" xfId="3524"/>
    <cellStyle name="Normal 110 8 2" xfId="6997"/>
    <cellStyle name="Normal 110 8 2 2" xfId="15478"/>
    <cellStyle name="Normal 110 8 2 3" xfId="21992"/>
    <cellStyle name="Normal 110 8 2 4" xfId="28381"/>
    <cellStyle name="Normal 110 8 3" xfId="12020"/>
    <cellStyle name="Normal 110 8 4" xfId="18576"/>
    <cellStyle name="Normal 110 8 5" xfId="24977"/>
    <cellStyle name="Normal 110 9" xfId="3694"/>
    <cellStyle name="Normal 110 9 2" xfId="7161"/>
    <cellStyle name="Normal 110 9 2 2" xfId="15642"/>
    <cellStyle name="Normal 110 9 2 3" xfId="22156"/>
    <cellStyle name="Normal 110 9 2 4" xfId="28545"/>
    <cellStyle name="Normal 110 9 3" xfId="12189"/>
    <cellStyle name="Normal 110 9 4" xfId="18742"/>
    <cellStyle name="Normal 110 9 5" xfId="25141"/>
    <cellStyle name="Normal 111" xfId="655"/>
    <cellStyle name="Normal 111 10" xfId="3862"/>
    <cellStyle name="Normal 111 10 2" xfId="7323"/>
    <cellStyle name="Normal 111 10 2 2" xfId="15804"/>
    <cellStyle name="Normal 111 10 2 3" xfId="22318"/>
    <cellStyle name="Normal 111 10 2 4" xfId="28707"/>
    <cellStyle name="Normal 111 10 3" xfId="12356"/>
    <cellStyle name="Normal 111 10 4" xfId="18906"/>
    <cellStyle name="Normal 111 10 5" xfId="25303"/>
    <cellStyle name="Normal 111 11" xfId="4029"/>
    <cellStyle name="Normal 111 11 2" xfId="7485"/>
    <cellStyle name="Normal 111 11 2 2" xfId="15966"/>
    <cellStyle name="Normal 111 11 2 3" xfId="22480"/>
    <cellStyle name="Normal 111 11 2 4" xfId="28869"/>
    <cellStyle name="Normal 111 11 3" xfId="12522"/>
    <cellStyle name="Normal 111 11 4" xfId="19069"/>
    <cellStyle name="Normal 111 11 5" xfId="25465"/>
    <cellStyle name="Normal 111 12" xfId="4194"/>
    <cellStyle name="Normal 111 12 2" xfId="7645"/>
    <cellStyle name="Normal 111 12 2 2" xfId="16126"/>
    <cellStyle name="Normal 111 12 2 3" xfId="22640"/>
    <cellStyle name="Normal 111 12 2 4" xfId="29029"/>
    <cellStyle name="Normal 111 12 3" xfId="12686"/>
    <cellStyle name="Normal 111 12 4" xfId="19230"/>
    <cellStyle name="Normal 111 12 5" xfId="25625"/>
    <cellStyle name="Normal 111 13" xfId="4356"/>
    <cellStyle name="Normal 111 13 2" xfId="7802"/>
    <cellStyle name="Normal 111 13 2 2" xfId="16283"/>
    <cellStyle name="Normal 111 13 2 3" xfId="22797"/>
    <cellStyle name="Normal 111 13 2 4" xfId="29186"/>
    <cellStyle name="Normal 111 13 3" xfId="12847"/>
    <cellStyle name="Normal 111 13 4" xfId="19388"/>
    <cellStyle name="Normal 111 13 5" xfId="25782"/>
    <cellStyle name="Normal 111 14" xfId="4516"/>
    <cellStyle name="Normal 111 14 2" xfId="7957"/>
    <cellStyle name="Normal 111 14 2 2" xfId="16438"/>
    <cellStyle name="Normal 111 14 2 3" xfId="22952"/>
    <cellStyle name="Normal 111 14 2 4" xfId="29341"/>
    <cellStyle name="Normal 111 14 3" xfId="13007"/>
    <cellStyle name="Normal 111 14 4" xfId="19544"/>
    <cellStyle name="Normal 111 14 5" xfId="25937"/>
    <cellStyle name="Normal 111 15" xfId="4676"/>
    <cellStyle name="Normal 111 15 2" xfId="8112"/>
    <cellStyle name="Normal 111 15 2 2" xfId="16593"/>
    <cellStyle name="Normal 111 15 2 3" xfId="23107"/>
    <cellStyle name="Normal 111 15 2 4" xfId="29496"/>
    <cellStyle name="Normal 111 15 3" xfId="13166"/>
    <cellStyle name="Normal 111 15 4" xfId="19700"/>
    <cellStyle name="Normal 111 15 5" xfId="26092"/>
    <cellStyle name="Normal 111 16" xfId="4835"/>
    <cellStyle name="Normal 111 16 2" xfId="8266"/>
    <cellStyle name="Normal 111 16 2 2" xfId="16747"/>
    <cellStyle name="Normal 111 16 2 3" xfId="23261"/>
    <cellStyle name="Normal 111 16 2 4" xfId="29650"/>
    <cellStyle name="Normal 111 16 3" xfId="13324"/>
    <cellStyle name="Normal 111 16 4" xfId="19855"/>
    <cellStyle name="Normal 111 16 5" xfId="26246"/>
    <cellStyle name="Normal 111 17" xfId="4993"/>
    <cellStyle name="Normal 111 17 2" xfId="8419"/>
    <cellStyle name="Normal 111 17 2 2" xfId="16900"/>
    <cellStyle name="Normal 111 17 2 3" xfId="23414"/>
    <cellStyle name="Normal 111 17 2 4" xfId="29803"/>
    <cellStyle name="Normal 111 17 3" xfId="13481"/>
    <cellStyle name="Normal 111 17 4" xfId="20009"/>
    <cellStyle name="Normal 111 17 5" xfId="26399"/>
    <cellStyle name="Normal 111 18" xfId="5122"/>
    <cellStyle name="Normal 111 18 2" xfId="8543"/>
    <cellStyle name="Normal 111 18 2 2" xfId="17024"/>
    <cellStyle name="Normal 111 18 2 3" xfId="23538"/>
    <cellStyle name="Normal 111 18 2 4" xfId="29927"/>
    <cellStyle name="Normal 111 18 3" xfId="13608"/>
    <cellStyle name="Normal 111 18 4" xfId="20133"/>
    <cellStyle name="Normal 111 18 5" xfId="26523"/>
    <cellStyle name="Normal 111 19" xfId="5149"/>
    <cellStyle name="Normal 111 19 2" xfId="13631"/>
    <cellStyle name="Normal 111 19 3" xfId="20149"/>
    <cellStyle name="Normal 111 19 4" xfId="26538"/>
    <cellStyle name="Normal 111 2" xfId="1753"/>
    <cellStyle name="Normal 111 2 2" xfId="5351"/>
    <cellStyle name="Normal 111 2 2 2" xfId="13832"/>
    <cellStyle name="Normal 111 2 2 3" xfId="20346"/>
    <cellStyle name="Normal 111 2 2 4" xfId="26735"/>
    <cellStyle name="Normal 111 2 3" xfId="10325"/>
    <cellStyle name="Normal 111 2 4" xfId="9658"/>
    <cellStyle name="Normal 111 2 5" xfId="10109"/>
    <cellStyle name="Normal 111 20" xfId="9725"/>
    <cellStyle name="Normal 111 21" xfId="10002"/>
    <cellStyle name="Normal 111 22" xfId="17329"/>
    <cellStyle name="Normal 111 3" xfId="2086"/>
    <cellStyle name="Normal 111 3 2" xfId="5659"/>
    <cellStyle name="Normal 111 3 2 2" xfId="14140"/>
    <cellStyle name="Normal 111 3 2 3" xfId="20654"/>
    <cellStyle name="Normal 111 3 2 4" xfId="27043"/>
    <cellStyle name="Normal 111 3 3" xfId="10645"/>
    <cellStyle name="Normal 111 3 4" xfId="9425"/>
    <cellStyle name="Normal 111 3 5" xfId="12024"/>
    <cellStyle name="Normal 111 4" xfId="2833"/>
    <cellStyle name="Normal 111 4 2" xfId="6331"/>
    <cellStyle name="Normal 111 4 2 2" xfId="14812"/>
    <cellStyle name="Normal 111 4 2 3" xfId="21326"/>
    <cellStyle name="Normal 111 4 2 4" xfId="27715"/>
    <cellStyle name="Normal 111 4 3" xfId="11340"/>
    <cellStyle name="Normal 111 4 4" xfId="17909"/>
    <cellStyle name="Normal 111 4 5" xfId="24311"/>
    <cellStyle name="Normal 111 5" xfId="3007"/>
    <cellStyle name="Normal 111 5 2" xfId="6498"/>
    <cellStyle name="Normal 111 5 2 2" xfId="14979"/>
    <cellStyle name="Normal 111 5 2 3" xfId="21493"/>
    <cellStyle name="Normal 111 5 2 4" xfId="27882"/>
    <cellStyle name="Normal 111 5 3" xfId="11510"/>
    <cellStyle name="Normal 111 5 4" xfId="18076"/>
    <cellStyle name="Normal 111 5 5" xfId="24478"/>
    <cellStyle name="Normal 111 6" xfId="3180"/>
    <cellStyle name="Normal 111 6 2" xfId="6665"/>
    <cellStyle name="Normal 111 6 2 2" xfId="15146"/>
    <cellStyle name="Normal 111 6 2 3" xfId="21660"/>
    <cellStyle name="Normal 111 6 2 4" xfId="28049"/>
    <cellStyle name="Normal 111 6 3" xfId="11681"/>
    <cellStyle name="Normal 111 6 4" xfId="18243"/>
    <cellStyle name="Normal 111 6 5" xfId="24645"/>
    <cellStyle name="Normal 111 7" xfId="3352"/>
    <cellStyle name="Normal 111 7 2" xfId="6831"/>
    <cellStyle name="Normal 111 7 2 2" xfId="15312"/>
    <cellStyle name="Normal 111 7 2 3" xfId="21826"/>
    <cellStyle name="Normal 111 7 2 4" xfId="28215"/>
    <cellStyle name="Normal 111 7 3" xfId="11850"/>
    <cellStyle name="Normal 111 7 4" xfId="18409"/>
    <cellStyle name="Normal 111 7 5" xfId="24811"/>
    <cellStyle name="Normal 111 8" xfId="3523"/>
    <cellStyle name="Normal 111 8 2" xfId="6996"/>
    <cellStyle name="Normal 111 8 2 2" xfId="15477"/>
    <cellStyle name="Normal 111 8 2 3" xfId="21991"/>
    <cellStyle name="Normal 111 8 2 4" xfId="28380"/>
    <cellStyle name="Normal 111 8 3" xfId="12019"/>
    <cellStyle name="Normal 111 8 4" xfId="18575"/>
    <cellStyle name="Normal 111 8 5" xfId="24976"/>
    <cellStyle name="Normal 111 9" xfId="3693"/>
    <cellStyle name="Normal 111 9 2" xfId="7160"/>
    <cellStyle name="Normal 111 9 2 2" xfId="15641"/>
    <cellStyle name="Normal 111 9 2 3" xfId="22155"/>
    <cellStyle name="Normal 111 9 2 4" xfId="28544"/>
    <cellStyle name="Normal 111 9 3" xfId="12188"/>
    <cellStyle name="Normal 111 9 4" xfId="18741"/>
    <cellStyle name="Normal 111 9 5" xfId="25140"/>
    <cellStyle name="Normal 112" xfId="656"/>
    <cellStyle name="Normal 112 10" xfId="3861"/>
    <cellStyle name="Normal 112 10 2" xfId="7322"/>
    <cellStyle name="Normal 112 10 2 2" xfId="15803"/>
    <cellStyle name="Normal 112 10 2 3" xfId="22317"/>
    <cellStyle name="Normal 112 10 2 4" xfId="28706"/>
    <cellStyle name="Normal 112 10 3" xfId="12355"/>
    <cellStyle name="Normal 112 10 4" xfId="18905"/>
    <cellStyle name="Normal 112 10 5" xfId="25302"/>
    <cellStyle name="Normal 112 11" xfId="4028"/>
    <cellStyle name="Normal 112 11 2" xfId="7484"/>
    <cellStyle name="Normal 112 11 2 2" xfId="15965"/>
    <cellStyle name="Normal 112 11 2 3" xfId="22479"/>
    <cellStyle name="Normal 112 11 2 4" xfId="28868"/>
    <cellStyle name="Normal 112 11 3" xfId="12521"/>
    <cellStyle name="Normal 112 11 4" xfId="19068"/>
    <cellStyle name="Normal 112 11 5" xfId="25464"/>
    <cellStyle name="Normal 112 12" xfId="4193"/>
    <cellStyle name="Normal 112 12 2" xfId="7644"/>
    <cellStyle name="Normal 112 12 2 2" xfId="16125"/>
    <cellStyle name="Normal 112 12 2 3" xfId="22639"/>
    <cellStyle name="Normal 112 12 2 4" xfId="29028"/>
    <cellStyle name="Normal 112 12 3" xfId="12685"/>
    <cellStyle name="Normal 112 12 4" xfId="19229"/>
    <cellStyle name="Normal 112 12 5" xfId="25624"/>
    <cellStyle name="Normal 112 13" xfId="4355"/>
    <cellStyle name="Normal 112 13 2" xfId="7801"/>
    <cellStyle name="Normal 112 13 2 2" xfId="16282"/>
    <cellStyle name="Normal 112 13 2 3" xfId="22796"/>
    <cellStyle name="Normal 112 13 2 4" xfId="29185"/>
    <cellStyle name="Normal 112 13 3" xfId="12846"/>
    <cellStyle name="Normal 112 13 4" xfId="19387"/>
    <cellStyle name="Normal 112 13 5" xfId="25781"/>
    <cellStyle name="Normal 112 14" xfId="4515"/>
    <cellStyle name="Normal 112 14 2" xfId="7956"/>
    <cellStyle name="Normal 112 14 2 2" xfId="16437"/>
    <cellStyle name="Normal 112 14 2 3" xfId="22951"/>
    <cellStyle name="Normal 112 14 2 4" xfId="29340"/>
    <cellStyle name="Normal 112 14 3" xfId="13006"/>
    <cellStyle name="Normal 112 14 4" xfId="19543"/>
    <cellStyle name="Normal 112 14 5" xfId="25936"/>
    <cellStyle name="Normal 112 15" xfId="4675"/>
    <cellStyle name="Normal 112 15 2" xfId="8111"/>
    <cellStyle name="Normal 112 15 2 2" xfId="16592"/>
    <cellStyle name="Normal 112 15 2 3" xfId="23106"/>
    <cellStyle name="Normal 112 15 2 4" xfId="29495"/>
    <cellStyle name="Normal 112 15 3" xfId="13165"/>
    <cellStyle name="Normal 112 15 4" xfId="19699"/>
    <cellStyle name="Normal 112 15 5" xfId="26091"/>
    <cellStyle name="Normal 112 16" xfId="4834"/>
    <cellStyle name="Normal 112 16 2" xfId="8265"/>
    <cellStyle name="Normal 112 16 2 2" xfId="16746"/>
    <cellStyle name="Normal 112 16 2 3" xfId="23260"/>
    <cellStyle name="Normal 112 16 2 4" xfId="29649"/>
    <cellStyle name="Normal 112 16 3" xfId="13323"/>
    <cellStyle name="Normal 112 16 4" xfId="19854"/>
    <cellStyle name="Normal 112 16 5" xfId="26245"/>
    <cellStyle name="Normal 112 17" xfId="4992"/>
    <cellStyle name="Normal 112 17 2" xfId="8418"/>
    <cellStyle name="Normal 112 17 2 2" xfId="16899"/>
    <cellStyle name="Normal 112 17 2 3" xfId="23413"/>
    <cellStyle name="Normal 112 17 2 4" xfId="29802"/>
    <cellStyle name="Normal 112 17 3" xfId="13480"/>
    <cellStyle name="Normal 112 17 4" xfId="20008"/>
    <cellStyle name="Normal 112 17 5" xfId="26398"/>
    <cellStyle name="Normal 112 18" xfId="5121"/>
    <cellStyle name="Normal 112 18 2" xfId="8542"/>
    <cellStyle name="Normal 112 18 2 2" xfId="17023"/>
    <cellStyle name="Normal 112 18 2 3" xfId="23537"/>
    <cellStyle name="Normal 112 18 2 4" xfId="29926"/>
    <cellStyle name="Normal 112 18 3" xfId="13607"/>
    <cellStyle name="Normal 112 18 4" xfId="20132"/>
    <cellStyle name="Normal 112 18 5" xfId="26522"/>
    <cellStyle name="Normal 112 19" xfId="5150"/>
    <cellStyle name="Normal 112 19 2" xfId="13632"/>
    <cellStyle name="Normal 112 19 3" xfId="20150"/>
    <cellStyle name="Normal 112 19 4" xfId="26539"/>
    <cellStyle name="Normal 112 2" xfId="1754"/>
    <cellStyle name="Normal 112 2 2" xfId="5352"/>
    <cellStyle name="Normal 112 2 2 2" xfId="13833"/>
    <cellStyle name="Normal 112 2 2 3" xfId="20347"/>
    <cellStyle name="Normal 112 2 2 4" xfId="26736"/>
    <cellStyle name="Normal 112 2 3" xfId="10326"/>
    <cellStyle name="Normal 112 2 4" xfId="9657"/>
    <cellStyle name="Normal 112 2 5" xfId="10110"/>
    <cellStyle name="Normal 112 20" xfId="9726"/>
    <cellStyle name="Normal 112 21" xfId="10001"/>
    <cellStyle name="Normal 112 22" xfId="17086"/>
    <cellStyle name="Normal 112 3" xfId="2087"/>
    <cellStyle name="Normal 112 3 2" xfId="5660"/>
    <cellStyle name="Normal 112 3 2 2" xfId="14141"/>
    <cellStyle name="Normal 112 3 2 3" xfId="20655"/>
    <cellStyle name="Normal 112 3 2 4" xfId="27044"/>
    <cellStyle name="Normal 112 3 3" xfId="10646"/>
    <cellStyle name="Normal 112 3 4" xfId="9424"/>
    <cellStyle name="Normal 112 3 5" xfId="12193"/>
    <cellStyle name="Normal 112 4" xfId="2832"/>
    <cellStyle name="Normal 112 4 2" xfId="6330"/>
    <cellStyle name="Normal 112 4 2 2" xfId="14811"/>
    <cellStyle name="Normal 112 4 2 3" xfId="21325"/>
    <cellStyle name="Normal 112 4 2 4" xfId="27714"/>
    <cellStyle name="Normal 112 4 3" xfId="11339"/>
    <cellStyle name="Normal 112 4 4" xfId="17908"/>
    <cellStyle name="Normal 112 4 5" xfId="24310"/>
    <cellStyle name="Normal 112 5" xfId="3006"/>
    <cellStyle name="Normal 112 5 2" xfId="6497"/>
    <cellStyle name="Normal 112 5 2 2" xfId="14978"/>
    <cellStyle name="Normal 112 5 2 3" xfId="21492"/>
    <cellStyle name="Normal 112 5 2 4" xfId="27881"/>
    <cellStyle name="Normal 112 5 3" xfId="11509"/>
    <cellStyle name="Normal 112 5 4" xfId="18075"/>
    <cellStyle name="Normal 112 5 5" xfId="24477"/>
    <cellStyle name="Normal 112 6" xfId="3179"/>
    <cellStyle name="Normal 112 6 2" xfId="6664"/>
    <cellStyle name="Normal 112 6 2 2" xfId="15145"/>
    <cellStyle name="Normal 112 6 2 3" xfId="21659"/>
    <cellStyle name="Normal 112 6 2 4" xfId="28048"/>
    <cellStyle name="Normal 112 6 3" xfId="11680"/>
    <cellStyle name="Normal 112 6 4" xfId="18242"/>
    <cellStyle name="Normal 112 6 5" xfId="24644"/>
    <cellStyle name="Normal 112 7" xfId="3351"/>
    <cellStyle name="Normal 112 7 2" xfId="6830"/>
    <cellStyle name="Normal 112 7 2 2" xfId="15311"/>
    <cellStyle name="Normal 112 7 2 3" xfId="21825"/>
    <cellStyle name="Normal 112 7 2 4" xfId="28214"/>
    <cellStyle name="Normal 112 7 3" xfId="11849"/>
    <cellStyle name="Normal 112 7 4" xfId="18408"/>
    <cellStyle name="Normal 112 7 5" xfId="24810"/>
    <cellStyle name="Normal 112 8" xfId="3522"/>
    <cellStyle name="Normal 112 8 2" xfId="6995"/>
    <cellStyle name="Normal 112 8 2 2" xfId="15476"/>
    <cellStyle name="Normal 112 8 2 3" xfId="21990"/>
    <cellStyle name="Normal 112 8 2 4" xfId="28379"/>
    <cellStyle name="Normal 112 8 3" xfId="12018"/>
    <cellStyle name="Normal 112 8 4" xfId="18574"/>
    <cellStyle name="Normal 112 8 5" xfId="24975"/>
    <cellStyle name="Normal 112 9" xfId="3692"/>
    <cellStyle name="Normal 112 9 2" xfId="7159"/>
    <cellStyle name="Normal 112 9 2 2" xfId="15640"/>
    <cellStyle name="Normal 112 9 2 3" xfId="22154"/>
    <cellStyle name="Normal 112 9 2 4" xfId="28543"/>
    <cellStyle name="Normal 112 9 3" xfId="12187"/>
    <cellStyle name="Normal 112 9 4" xfId="18740"/>
    <cellStyle name="Normal 112 9 5" xfId="25139"/>
    <cellStyle name="Normal 113" xfId="657"/>
    <cellStyle name="Normal 113 10" xfId="3860"/>
    <cellStyle name="Normal 113 10 2" xfId="7321"/>
    <cellStyle name="Normal 113 10 2 2" xfId="15802"/>
    <cellStyle name="Normal 113 10 2 3" xfId="22316"/>
    <cellStyle name="Normal 113 10 2 4" xfId="28705"/>
    <cellStyle name="Normal 113 10 3" xfId="12354"/>
    <cellStyle name="Normal 113 10 4" xfId="18904"/>
    <cellStyle name="Normal 113 10 5" xfId="25301"/>
    <cellStyle name="Normal 113 11" xfId="4027"/>
    <cellStyle name="Normal 113 11 2" xfId="7483"/>
    <cellStyle name="Normal 113 11 2 2" xfId="15964"/>
    <cellStyle name="Normal 113 11 2 3" xfId="22478"/>
    <cellStyle name="Normal 113 11 2 4" xfId="28867"/>
    <cellStyle name="Normal 113 11 3" xfId="12520"/>
    <cellStyle name="Normal 113 11 4" xfId="19067"/>
    <cellStyle name="Normal 113 11 5" xfId="25463"/>
    <cellStyle name="Normal 113 12" xfId="4192"/>
    <cellStyle name="Normal 113 12 2" xfId="7643"/>
    <cellStyle name="Normal 113 12 2 2" xfId="16124"/>
    <cellStyle name="Normal 113 12 2 3" xfId="22638"/>
    <cellStyle name="Normal 113 12 2 4" xfId="29027"/>
    <cellStyle name="Normal 113 12 3" xfId="12684"/>
    <cellStyle name="Normal 113 12 4" xfId="19228"/>
    <cellStyle name="Normal 113 12 5" xfId="25623"/>
    <cellStyle name="Normal 113 13" xfId="4354"/>
    <cellStyle name="Normal 113 13 2" xfId="7800"/>
    <cellStyle name="Normal 113 13 2 2" xfId="16281"/>
    <cellStyle name="Normal 113 13 2 3" xfId="22795"/>
    <cellStyle name="Normal 113 13 2 4" xfId="29184"/>
    <cellStyle name="Normal 113 13 3" xfId="12845"/>
    <cellStyle name="Normal 113 13 4" xfId="19386"/>
    <cellStyle name="Normal 113 13 5" xfId="25780"/>
    <cellStyle name="Normal 113 14" xfId="4514"/>
    <cellStyle name="Normal 113 14 2" xfId="7955"/>
    <cellStyle name="Normal 113 14 2 2" xfId="16436"/>
    <cellStyle name="Normal 113 14 2 3" xfId="22950"/>
    <cellStyle name="Normal 113 14 2 4" xfId="29339"/>
    <cellStyle name="Normal 113 14 3" xfId="13005"/>
    <cellStyle name="Normal 113 14 4" xfId="19542"/>
    <cellStyle name="Normal 113 14 5" xfId="25935"/>
    <cellStyle name="Normal 113 15" xfId="4674"/>
    <cellStyle name="Normal 113 15 2" xfId="8110"/>
    <cellStyle name="Normal 113 15 2 2" xfId="16591"/>
    <cellStyle name="Normal 113 15 2 3" xfId="23105"/>
    <cellStyle name="Normal 113 15 2 4" xfId="29494"/>
    <cellStyle name="Normal 113 15 3" xfId="13164"/>
    <cellStyle name="Normal 113 15 4" xfId="19698"/>
    <cellStyle name="Normal 113 15 5" xfId="26090"/>
    <cellStyle name="Normal 113 16" xfId="4833"/>
    <cellStyle name="Normal 113 16 2" xfId="8264"/>
    <cellStyle name="Normal 113 16 2 2" xfId="16745"/>
    <cellStyle name="Normal 113 16 2 3" xfId="23259"/>
    <cellStyle name="Normal 113 16 2 4" xfId="29648"/>
    <cellStyle name="Normal 113 16 3" xfId="13322"/>
    <cellStyle name="Normal 113 16 4" xfId="19853"/>
    <cellStyle name="Normal 113 16 5" xfId="26244"/>
    <cellStyle name="Normal 113 17" xfId="4991"/>
    <cellStyle name="Normal 113 17 2" xfId="8417"/>
    <cellStyle name="Normal 113 17 2 2" xfId="16898"/>
    <cellStyle name="Normal 113 17 2 3" xfId="23412"/>
    <cellStyle name="Normal 113 17 2 4" xfId="29801"/>
    <cellStyle name="Normal 113 17 3" xfId="13479"/>
    <cellStyle name="Normal 113 17 4" xfId="20007"/>
    <cellStyle name="Normal 113 17 5" xfId="26397"/>
    <cellStyle name="Normal 113 18" xfId="5120"/>
    <cellStyle name="Normal 113 18 2" xfId="8541"/>
    <cellStyle name="Normal 113 18 2 2" xfId="17022"/>
    <cellStyle name="Normal 113 18 2 3" xfId="23536"/>
    <cellStyle name="Normal 113 18 2 4" xfId="29925"/>
    <cellStyle name="Normal 113 18 3" xfId="13606"/>
    <cellStyle name="Normal 113 18 4" xfId="20131"/>
    <cellStyle name="Normal 113 18 5" xfId="26521"/>
    <cellStyle name="Normal 113 19" xfId="5151"/>
    <cellStyle name="Normal 113 19 2" xfId="13633"/>
    <cellStyle name="Normal 113 19 3" xfId="20151"/>
    <cellStyle name="Normal 113 19 4" xfId="26540"/>
    <cellStyle name="Normal 113 2" xfId="1755"/>
    <cellStyle name="Normal 113 2 2" xfId="5353"/>
    <cellStyle name="Normal 113 2 2 2" xfId="13834"/>
    <cellStyle name="Normal 113 2 2 3" xfId="20348"/>
    <cellStyle name="Normal 113 2 2 4" xfId="26737"/>
    <cellStyle name="Normal 113 2 3" xfId="10327"/>
    <cellStyle name="Normal 113 2 4" xfId="9656"/>
    <cellStyle name="Normal 113 2 5" xfId="10111"/>
    <cellStyle name="Normal 113 20" xfId="9727"/>
    <cellStyle name="Normal 113 21" xfId="10000"/>
    <cellStyle name="Normal 113 22" xfId="9758"/>
    <cellStyle name="Normal 113 3" xfId="2088"/>
    <cellStyle name="Normal 113 3 2" xfId="5661"/>
    <cellStyle name="Normal 113 3 2 2" xfId="14142"/>
    <cellStyle name="Normal 113 3 2 3" xfId="20656"/>
    <cellStyle name="Normal 113 3 2 4" xfId="27045"/>
    <cellStyle name="Normal 113 3 3" xfId="10647"/>
    <cellStyle name="Normal 113 3 4" xfId="9423"/>
    <cellStyle name="Normal 113 3 5" xfId="12361"/>
    <cellStyle name="Normal 113 4" xfId="2831"/>
    <cellStyle name="Normal 113 4 2" xfId="6329"/>
    <cellStyle name="Normal 113 4 2 2" xfId="14810"/>
    <cellStyle name="Normal 113 4 2 3" xfId="21324"/>
    <cellStyle name="Normal 113 4 2 4" xfId="27713"/>
    <cellStyle name="Normal 113 4 3" xfId="11338"/>
    <cellStyle name="Normal 113 4 4" xfId="17907"/>
    <cellStyle name="Normal 113 4 5" xfId="24309"/>
    <cellStyle name="Normal 113 5" xfId="3005"/>
    <cellStyle name="Normal 113 5 2" xfId="6496"/>
    <cellStyle name="Normal 113 5 2 2" xfId="14977"/>
    <cellStyle name="Normal 113 5 2 3" xfId="21491"/>
    <cellStyle name="Normal 113 5 2 4" xfId="27880"/>
    <cellStyle name="Normal 113 5 3" xfId="11508"/>
    <cellStyle name="Normal 113 5 4" xfId="18074"/>
    <cellStyle name="Normal 113 5 5" xfId="24476"/>
    <cellStyle name="Normal 113 6" xfId="3178"/>
    <cellStyle name="Normal 113 6 2" xfId="6663"/>
    <cellStyle name="Normal 113 6 2 2" xfId="15144"/>
    <cellStyle name="Normal 113 6 2 3" xfId="21658"/>
    <cellStyle name="Normal 113 6 2 4" xfId="28047"/>
    <cellStyle name="Normal 113 6 3" xfId="11679"/>
    <cellStyle name="Normal 113 6 4" xfId="18241"/>
    <cellStyle name="Normal 113 6 5" xfId="24643"/>
    <cellStyle name="Normal 113 7" xfId="3350"/>
    <cellStyle name="Normal 113 7 2" xfId="6829"/>
    <cellStyle name="Normal 113 7 2 2" xfId="15310"/>
    <cellStyle name="Normal 113 7 2 3" xfId="21824"/>
    <cellStyle name="Normal 113 7 2 4" xfId="28213"/>
    <cellStyle name="Normal 113 7 3" xfId="11848"/>
    <cellStyle name="Normal 113 7 4" xfId="18407"/>
    <cellStyle name="Normal 113 7 5" xfId="24809"/>
    <cellStyle name="Normal 113 8" xfId="3521"/>
    <cellStyle name="Normal 113 8 2" xfId="6994"/>
    <cellStyle name="Normal 113 8 2 2" xfId="15475"/>
    <cellStyle name="Normal 113 8 2 3" xfId="21989"/>
    <cellStyle name="Normal 113 8 2 4" xfId="28378"/>
    <cellStyle name="Normal 113 8 3" xfId="12017"/>
    <cellStyle name="Normal 113 8 4" xfId="18573"/>
    <cellStyle name="Normal 113 8 5" xfId="24974"/>
    <cellStyle name="Normal 113 9" xfId="3691"/>
    <cellStyle name="Normal 113 9 2" xfId="7158"/>
    <cellStyle name="Normal 113 9 2 2" xfId="15639"/>
    <cellStyle name="Normal 113 9 2 3" xfId="22153"/>
    <cellStyle name="Normal 113 9 2 4" xfId="28542"/>
    <cellStyle name="Normal 113 9 3" xfId="12186"/>
    <cellStyle name="Normal 113 9 4" xfId="18739"/>
    <cellStyle name="Normal 113 9 5" xfId="25138"/>
    <cellStyle name="Normal 114" xfId="658"/>
    <cellStyle name="Normal 114 10" xfId="3859"/>
    <cellStyle name="Normal 114 10 2" xfId="7320"/>
    <cellStyle name="Normal 114 10 2 2" xfId="15801"/>
    <cellStyle name="Normal 114 10 2 3" xfId="22315"/>
    <cellStyle name="Normal 114 10 2 4" xfId="28704"/>
    <cellStyle name="Normal 114 10 3" xfId="12353"/>
    <cellStyle name="Normal 114 10 4" xfId="18903"/>
    <cellStyle name="Normal 114 10 5" xfId="25300"/>
    <cellStyle name="Normal 114 11" xfId="4026"/>
    <cellStyle name="Normal 114 11 2" xfId="7482"/>
    <cellStyle name="Normal 114 11 2 2" xfId="15963"/>
    <cellStyle name="Normal 114 11 2 3" xfId="22477"/>
    <cellStyle name="Normal 114 11 2 4" xfId="28866"/>
    <cellStyle name="Normal 114 11 3" xfId="12519"/>
    <cellStyle name="Normal 114 11 4" xfId="19066"/>
    <cellStyle name="Normal 114 11 5" xfId="25462"/>
    <cellStyle name="Normal 114 12" xfId="4191"/>
    <cellStyle name="Normal 114 12 2" xfId="7642"/>
    <cellStyle name="Normal 114 12 2 2" xfId="16123"/>
    <cellStyle name="Normal 114 12 2 3" xfId="22637"/>
    <cellStyle name="Normal 114 12 2 4" xfId="29026"/>
    <cellStyle name="Normal 114 12 3" xfId="12683"/>
    <cellStyle name="Normal 114 12 4" xfId="19227"/>
    <cellStyle name="Normal 114 12 5" xfId="25622"/>
    <cellStyle name="Normal 114 13" xfId="4353"/>
    <cellStyle name="Normal 114 13 2" xfId="7799"/>
    <cellStyle name="Normal 114 13 2 2" xfId="16280"/>
    <cellStyle name="Normal 114 13 2 3" xfId="22794"/>
    <cellStyle name="Normal 114 13 2 4" xfId="29183"/>
    <cellStyle name="Normal 114 13 3" xfId="12844"/>
    <cellStyle name="Normal 114 13 4" xfId="19385"/>
    <cellStyle name="Normal 114 13 5" xfId="25779"/>
    <cellStyle name="Normal 114 14" xfId="4513"/>
    <cellStyle name="Normal 114 14 2" xfId="7954"/>
    <cellStyle name="Normal 114 14 2 2" xfId="16435"/>
    <cellStyle name="Normal 114 14 2 3" xfId="22949"/>
    <cellStyle name="Normal 114 14 2 4" xfId="29338"/>
    <cellStyle name="Normal 114 14 3" xfId="13004"/>
    <cellStyle name="Normal 114 14 4" xfId="19541"/>
    <cellStyle name="Normal 114 14 5" xfId="25934"/>
    <cellStyle name="Normal 114 15" xfId="4673"/>
    <cellStyle name="Normal 114 15 2" xfId="8109"/>
    <cellStyle name="Normal 114 15 2 2" xfId="16590"/>
    <cellStyle name="Normal 114 15 2 3" xfId="23104"/>
    <cellStyle name="Normal 114 15 2 4" xfId="29493"/>
    <cellStyle name="Normal 114 15 3" xfId="13163"/>
    <cellStyle name="Normal 114 15 4" xfId="19697"/>
    <cellStyle name="Normal 114 15 5" xfId="26089"/>
    <cellStyle name="Normal 114 16" xfId="4832"/>
    <cellStyle name="Normal 114 16 2" xfId="8263"/>
    <cellStyle name="Normal 114 16 2 2" xfId="16744"/>
    <cellStyle name="Normal 114 16 2 3" xfId="23258"/>
    <cellStyle name="Normal 114 16 2 4" xfId="29647"/>
    <cellStyle name="Normal 114 16 3" xfId="13321"/>
    <cellStyle name="Normal 114 16 4" xfId="19852"/>
    <cellStyle name="Normal 114 16 5" xfId="26243"/>
    <cellStyle name="Normal 114 17" xfId="4990"/>
    <cellStyle name="Normal 114 17 2" xfId="8416"/>
    <cellStyle name="Normal 114 17 2 2" xfId="16897"/>
    <cellStyle name="Normal 114 17 2 3" xfId="23411"/>
    <cellStyle name="Normal 114 17 2 4" xfId="29800"/>
    <cellStyle name="Normal 114 17 3" xfId="13478"/>
    <cellStyle name="Normal 114 17 4" xfId="20006"/>
    <cellStyle name="Normal 114 17 5" xfId="26396"/>
    <cellStyle name="Normal 114 18" xfId="5119"/>
    <cellStyle name="Normal 114 18 2" xfId="8540"/>
    <cellStyle name="Normal 114 18 2 2" xfId="17021"/>
    <cellStyle name="Normal 114 18 2 3" xfId="23535"/>
    <cellStyle name="Normal 114 18 2 4" xfId="29924"/>
    <cellStyle name="Normal 114 18 3" xfId="13605"/>
    <cellStyle name="Normal 114 18 4" xfId="20130"/>
    <cellStyle name="Normal 114 18 5" xfId="26520"/>
    <cellStyle name="Normal 114 19" xfId="5152"/>
    <cellStyle name="Normal 114 19 2" xfId="13634"/>
    <cellStyle name="Normal 114 19 3" xfId="20152"/>
    <cellStyle name="Normal 114 19 4" xfId="26541"/>
    <cellStyle name="Normal 114 2" xfId="1756"/>
    <cellStyle name="Normal 114 2 2" xfId="5354"/>
    <cellStyle name="Normal 114 2 2 2" xfId="13835"/>
    <cellStyle name="Normal 114 2 2 3" xfId="20349"/>
    <cellStyle name="Normal 114 2 2 4" xfId="26738"/>
    <cellStyle name="Normal 114 2 3" xfId="10328"/>
    <cellStyle name="Normal 114 2 4" xfId="9655"/>
    <cellStyle name="Normal 114 2 5" xfId="17354"/>
    <cellStyle name="Normal 114 20" xfId="9728"/>
    <cellStyle name="Normal 114 21" xfId="9999"/>
    <cellStyle name="Normal 114 22" xfId="9759"/>
    <cellStyle name="Normal 114 3" xfId="2089"/>
    <cellStyle name="Normal 114 3 2" xfId="5662"/>
    <cellStyle name="Normal 114 3 2 2" xfId="14143"/>
    <cellStyle name="Normal 114 3 2 3" xfId="20657"/>
    <cellStyle name="Normal 114 3 2 4" xfId="27046"/>
    <cellStyle name="Normal 114 3 3" xfId="10648"/>
    <cellStyle name="Normal 114 3 4" xfId="9422"/>
    <cellStyle name="Normal 114 3 5" xfId="12528"/>
    <cellStyle name="Normal 114 4" xfId="2830"/>
    <cellStyle name="Normal 114 4 2" xfId="6328"/>
    <cellStyle name="Normal 114 4 2 2" xfId="14809"/>
    <cellStyle name="Normal 114 4 2 3" xfId="21323"/>
    <cellStyle name="Normal 114 4 2 4" xfId="27712"/>
    <cellStyle name="Normal 114 4 3" xfId="11337"/>
    <cellStyle name="Normal 114 4 4" xfId="17906"/>
    <cellStyle name="Normal 114 4 5" xfId="24308"/>
    <cellStyle name="Normal 114 5" xfId="3004"/>
    <cellStyle name="Normal 114 5 2" xfId="6495"/>
    <cellStyle name="Normal 114 5 2 2" xfId="14976"/>
    <cellStyle name="Normal 114 5 2 3" xfId="21490"/>
    <cellStyle name="Normal 114 5 2 4" xfId="27879"/>
    <cellStyle name="Normal 114 5 3" xfId="11507"/>
    <cellStyle name="Normal 114 5 4" xfId="18073"/>
    <cellStyle name="Normal 114 5 5" xfId="24475"/>
    <cellStyle name="Normal 114 6" xfId="3177"/>
    <cellStyle name="Normal 114 6 2" xfId="6662"/>
    <cellStyle name="Normal 114 6 2 2" xfId="15143"/>
    <cellStyle name="Normal 114 6 2 3" xfId="21657"/>
    <cellStyle name="Normal 114 6 2 4" xfId="28046"/>
    <cellStyle name="Normal 114 6 3" xfId="11678"/>
    <cellStyle name="Normal 114 6 4" xfId="18240"/>
    <cellStyle name="Normal 114 6 5" xfId="24642"/>
    <cellStyle name="Normal 114 7" xfId="3349"/>
    <cellStyle name="Normal 114 7 2" xfId="6828"/>
    <cellStyle name="Normal 114 7 2 2" xfId="15309"/>
    <cellStyle name="Normal 114 7 2 3" xfId="21823"/>
    <cellStyle name="Normal 114 7 2 4" xfId="28212"/>
    <cellStyle name="Normal 114 7 3" xfId="11847"/>
    <cellStyle name="Normal 114 7 4" xfId="18406"/>
    <cellStyle name="Normal 114 7 5" xfId="24808"/>
    <cellStyle name="Normal 114 8" xfId="3520"/>
    <cellStyle name="Normal 114 8 2" xfId="6993"/>
    <cellStyle name="Normal 114 8 2 2" xfId="15474"/>
    <cellStyle name="Normal 114 8 2 3" xfId="21988"/>
    <cellStyle name="Normal 114 8 2 4" xfId="28377"/>
    <cellStyle name="Normal 114 8 3" xfId="12016"/>
    <cellStyle name="Normal 114 8 4" xfId="18572"/>
    <cellStyle name="Normal 114 8 5" xfId="24973"/>
    <cellStyle name="Normal 114 9" xfId="3690"/>
    <cellStyle name="Normal 114 9 2" xfId="7157"/>
    <cellStyle name="Normal 114 9 2 2" xfId="15638"/>
    <cellStyle name="Normal 114 9 2 3" xfId="22152"/>
    <cellStyle name="Normal 114 9 2 4" xfId="28541"/>
    <cellStyle name="Normal 114 9 3" xfId="12185"/>
    <cellStyle name="Normal 114 9 4" xfId="18738"/>
    <cellStyle name="Normal 114 9 5" xfId="25137"/>
    <cellStyle name="Normal 115" xfId="659"/>
    <cellStyle name="Normal 115 10" xfId="3858"/>
    <cellStyle name="Normal 115 10 2" xfId="7319"/>
    <cellStyle name="Normal 115 10 2 2" xfId="15800"/>
    <cellStyle name="Normal 115 10 2 3" xfId="22314"/>
    <cellStyle name="Normal 115 10 2 4" xfId="28703"/>
    <cellStyle name="Normal 115 10 3" xfId="12352"/>
    <cellStyle name="Normal 115 10 4" xfId="18902"/>
    <cellStyle name="Normal 115 10 5" xfId="25299"/>
    <cellStyle name="Normal 115 11" xfId="4025"/>
    <cellStyle name="Normal 115 11 2" xfId="7481"/>
    <cellStyle name="Normal 115 11 2 2" xfId="15962"/>
    <cellStyle name="Normal 115 11 2 3" xfId="22476"/>
    <cellStyle name="Normal 115 11 2 4" xfId="28865"/>
    <cellStyle name="Normal 115 11 3" xfId="12518"/>
    <cellStyle name="Normal 115 11 4" xfId="19065"/>
    <cellStyle name="Normal 115 11 5" xfId="25461"/>
    <cellStyle name="Normal 115 12" xfId="4190"/>
    <cellStyle name="Normal 115 12 2" xfId="7641"/>
    <cellStyle name="Normal 115 12 2 2" xfId="16122"/>
    <cellStyle name="Normal 115 12 2 3" xfId="22636"/>
    <cellStyle name="Normal 115 12 2 4" xfId="29025"/>
    <cellStyle name="Normal 115 12 3" xfId="12682"/>
    <cellStyle name="Normal 115 12 4" xfId="19226"/>
    <cellStyle name="Normal 115 12 5" xfId="25621"/>
    <cellStyle name="Normal 115 13" xfId="4352"/>
    <cellStyle name="Normal 115 13 2" xfId="7798"/>
    <cellStyle name="Normal 115 13 2 2" xfId="16279"/>
    <cellStyle name="Normal 115 13 2 3" xfId="22793"/>
    <cellStyle name="Normal 115 13 2 4" xfId="29182"/>
    <cellStyle name="Normal 115 13 3" xfId="12843"/>
    <cellStyle name="Normal 115 13 4" xfId="19384"/>
    <cellStyle name="Normal 115 13 5" xfId="25778"/>
    <cellStyle name="Normal 115 14" xfId="4512"/>
    <cellStyle name="Normal 115 14 2" xfId="7953"/>
    <cellStyle name="Normal 115 14 2 2" xfId="16434"/>
    <cellStyle name="Normal 115 14 2 3" xfId="22948"/>
    <cellStyle name="Normal 115 14 2 4" xfId="29337"/>
    <cellStyle name="Normal 115 14 3" xfId="13003"/>
    <cellStyle name="Normal 115 14 4" xfId="19540"/>
    <cellStyle name="Normal 115 14 5" xfId="25933"/>
    <cellStyle name="Normal 115 15" xfId="4672"/>
    <cellStyle name="Normal 115 15 2" xfId="8108"/>
    <cellStyle name="Normal 115 15 2 2" xfId="16589"/>
    <cellStyle name="Normal 115 15 2 3" xfId="23103"/>
    <cellStyle name="Normal 115 15 2 4" xfId="29492"/>
    <cellStyle name="Normal 115 15 3" xfId="13162"/>
    <cellStyle name="Normal 115 15 4" xfId="19696"/>
    <cellStyle name="Normal 115 15 5" xfId="26088"/>
    <cellStyle name="Normal 115 16" xfId="4831"/>
    <cellStyle name="Normal 115 16 2" xfId="8262"/>
    <cellStyle name="Normal 115 16 2 2" xfId="16743"/>
    <cellStyle name="Normal 115 16 2 3" xfId="23257"/>
    <cellStyle name="Normal 115 16 2 4" xfId="29646"/>
    <cellStyle name="Normal 115 16 3" xfId="13320"/>
    <cellStyle name="Normal 115 16 4" xfId="19851"/>
    <cellStyle name="Normal 115 16 5" xfId="26242"/>
    <cellStyle name="Normal 115 17" xfId="4989"/>
    <cellStyle name="Normal 115 17 2" xfId="8415"/>
    <cellStyle name="Normal 115 17 2 2" xfId="16896"/>
    <cellStyle name="Normal 115 17 2 3" xfId="23410"/>
    <cellStyle name="Normal 115 17 2 4" xfId="29799"/>
    <cellStyle name="Normal 115 17 3" xfId="13477"/>
    <cellStyle name="Normal 115 17 4" xfId="20005"/>
    <cellStyle name="Normal 115 17 5" xfId="26395"/>
    <cellStyle name="Normal 115 18" xfId="5118"/>
    <cellStyle name="Normal 115 18 2" xfId="8539"/>
    <cellStyle name="Normal 115 18 2 2" xfId="17020"/>
    <cellStyle name="Normal 115 18 2 3" xfId="23534"/>
    <cellStyle name="Normal 115 18 2 4" xfId="29923"/>
    <cellStyle name="Normal 115 18 3" xfId="13604"/>
    <cellStyle name="Normal 115 18 4" xfId="20129"/>
    <cellStyle name="Normal 115 18 5" xfId="26519"/>
    <cellStyle name="Normal 115 19" xfId="5153"/>
    <cellStyle name="Normal 115 19 2" xfId="13635"/>
    <cellStyle name="Normal 115 19 3" xfId="20153"/>
    <cellStyle name="Normal 115 19 4" xfId="26542"/>
    <cellStyle name="Normal 115 2" xfId="1757"/>
    <cellStyle name="Normal 115 2 2" xfId="5355"/>
    <cellStyle name="Normal 115 2 2 2" xfId="13836"/>
    <cellStyle name="Normal 115 2 2 3" xfId="20350"/>
    <cellStyle name="Normal 115 2 2 4" xfId="26739"/>
    <cellStyle name="Normal 115 2 3" xfId="10329"/>
    <cellStyle name="Normal 115 2 4" xfId="9654"/>
    <cellStyle name="Normal 115 2 5" xfId="17078"/>
    <cellStyle name="Normal 115 20" xfId="9729"/>
    <cellStyle name="Normal 115 21" xfId="9998"/>
    <cellStyle name="Normal 115 22" xfId="9760"/>
    <cellStyle name="Normal 115 3" xfId="2090"/>
    <cellStyle name="Normal 115 3 2" xfId="5663"/>
    <cellStyle name="Normal 115 3 2 2" xfId="14144"/>
    <cellStyle name="Normal 115 3 2 3" xfId="20658"/>
    <cellStyle name="Normal 115 3 2 4" xfId="27047"/>
    <cellStyle name="Normal 115 3 3" xfId="10649"/>
    <cellStyle name="Normal 115 3 4" xfId="9421"/>
    <cellStyle name="Normal 115 3 5" xfId="12692"/>
    <cellStyle name="Normal 115 4" xfId="2829"/>
    <cellStyle name="Normal 115 4 2" xfId="6327"/>
    <cellStyle name="Normal 115 4 2 2" xfId="14808"/>
    <cellStyle name="Normal 115 4 2 3" xfId="21322"/>
    <cellStyle name="Normal 115 4 2 4" xfId="27711"/>
    <cellStyle name="Normal 115 4 3" xfId="11336"/>
    <cellStyle name="Normal 115 4 4" xfId="17905"/>
    <cellStyle name="Normal 115 4 5" xfId="24307"/>
    <cellStyle name="Normal 115 5" xfId="3003"/>
    <cellStyle name="Normal 115 5 2" xfId="6494"/>
    <cellStyle name="Normal 115 5 2 2" xfId="14975"/>
    <cellStyle name="Normal 115 5 2 3" xfId="21489"/>
    <cellStyle name="Normal 115 5 2 4" xfId="27878"/>
    <cellStyle name="Normal 115 5 3" xfId="11506"/>
    <cellStyle name="Normal 115 5 4" xfId="18072"/>
    <cellStyle name="Normal 115 5 5" xfId="24474"/>
    <cellStyle name="Normal 115 6" xfId="3176"/>
    <cellStyle name="Normal 115 6 2" xfId="6661"/>
    <cellStyle name="Normal 115 6 2 2" xfId="15142"/>
    <cellStyle name="Normal 115 6 2 3" xfId="21656"/>
    <cellStyle name="Normal 115 6 2 4" xfId="28045"/>
    <cellStyle name="Normal 115 6 3" xfId="11677"/>
    <cellStyle name="Normal 115 6 4" xfId="18239"/>
    <cellStyle name="Normal 115 6 5" xfId="24641"/>
    <cellStyle name="Normal 115 7" xfId="3348"/>
    <cellStyle name="Normal 115 7 2" xfId="6827"/>
    <cellStyle name="Normal 115 7 2 2" xfId="15308"/>
    <cellStyle name="Normal 115 7 2 3" xfId="21822"/>
    <cellStyle name="Normal 115 7 2 4" xfId="28211"/>
    <cellStyle name="Normal 115 7 3" xfId="11846"/>
    <cellStyle name="Normal 115 7 4" xfId="18405"/>
    <cellStyle name="Normal 115 7 5" xfId="24807"/>
    <cellStyle name="Normal 115 8" xfId="3519"/>
    <cellStyle name="Normal 115 8 2" xfId="6992"/>
    <cellStyle name="Normal 115 8 2 2" xfId="15473"/>
    <cellStyle name="Normal 115 8 2 3" xfId="21987"/>
    <cellStyle name="Normal 115 8 2 4" xfId="28376"/>
    <cellStyle name="Normal 115 8 3" xfId="12015"/>
    <cellStyle name="Normal 115 8 4" xfId="18571"/>
    <cellStyle name="Normal 115 8 5" xfId="24972"/>
    <cellStyle name="Normal 115 9" xfId="3689"/>
    <cellStyle name="Normal 115 9 2" xfId="7156"/>
    <cellStyle name="Normal 115 9 2 2" xfId="15637"/>
    <cellStyle name="Normal 115 9 2 3" xfId="22151"/>
    <cellStyle name="Normal 115 9 2 4" xfId="28540"/>
    <cellStyle name="Normal 115 9 3" xfId="12184"/>
    <cellStyle name="Normal 115 9 4" xfId="18737"/>
    <cellStyle name="Normal 115 9 5" xfId="25136"/>
    <cellStyle name="Normal 116" xfId="660"/>
    <cellStyle name="Normal 117" xfId="661"/>
    <cellStyle name="Normal 117 10" xfId="3857"/>
    <cellStyle name="Normal 117 10 2" xfId="7318"/>
    <cellStyle name="Normal 117 10 2 2" xfId="15799"/>
    <cellStyle name="Normal 117 10 2 3" xfId="22313"/>
    <cellStyle name="Normal 117 10 2 4" xfId="28702"/>
    <cellStyle name="Normal 117 10 3" xfId="12351"/>
    <cellStyle name="Normal 117 10 4" xfId="18901"/>
    <cellStyle name="Normal 117 10 5" xfId="25298"/>
    <cellStyle name="Normal 117 11" xfId="4024"/>
    <cellStyle name="Normal 117 11 2" xfId="7480"/>
    <cellStyle name="Normal 117 11 2 2" xfId="15961"/>
    <cellStyle name="Normal 117 11 2 3" xfId="22475"/>
    <cellStyle name="Normal 117 11 2 4" xfId="28864"/>
    <cellStyle name="Normal 117 11 3" xfId="12517"/>
    <cellStyle name="Normal 117 11 4" xfId="19064"/>
    <cellStyle name="Normal 117 11 5" xfId="25460"/>
    <cellStyle name="Normal 117 12" xfId="4189"/>
    <cellStyle name="Normal 117 12 2" xfId="7640"/>
    <cellStyle name="Normal 117 12 2 2" xfId="16121"/>
    <cellStyle name="Normal 117 12 2 3" xfId="22635"/>
    <cellStyle name="Normal 117 12 2 4" xfId="29024"/>
    <cellStyle name="Normal 117 12 3" xfId="12681"/>
    <cellStyle name="Normal 117 12 4" xfId="19225"/>
    <cellStyle name="Normal 117 12 5" xfId="25620"/>
    <cellStyle name="Normal 117 13" xfId="4351"/>
    <cellStyle name="Normal 117 13 2" xfId="7797"/>
    <cellStyle name="Normal 117 13 2 2" xfId="16278"/>
    <cellStyle name="Normal 117 13 2 3" xfId="22792"/>
    <cellStyle name="Normal 117 13 2 4" xfId="29181"/>
    <cellStyle name="Normal 117 13 3" xfId="12842"/>
    <cellStyle name="Normal 117 13 4" xfId="19383"/>
    <cellStyle name="Normal 117 13 5" xfId="25777"/>
    <cellStyle name="Normal 117 14" xfId="4511"/>
    <cellStyle name="Normal 117 14 2" xfId="7952"/>
    <cellStyle name="Normal 117 14 2 2" xfId="16433"/>
    <cellStyle name="Normal 117 14 2 3" xfId="22947"/>
    <cellStyle name="Normal 117 14 2 4" xfId="29336"/>
    <cellStyle name="Normal 117 14 3" xfId="13002"/>
    <cellStyle name="Normal 117 14 4" xfId="19539"/>
    <cellStyle name="Normal 117 14 5" xfId="25932"/>
    <cellStyle name="Normal 117 15" xfId="4671"/>
    <cellStyle name="Normal 117 15 2" xfId="8107"/>
    <cellStyle name="Normal 117 15 2 2" xfId="16588"/>
    <cellStyle name="Normal 117 15 2 3" xfId="23102"/>
    <cellStyle name="Normal 117 15 2 4" xfId="29491"/>
    <cellStyle name="Normal 117 15 3" xfId="13161"/>
    <cellStyle name="Normal 117 15 4" xfId="19695"/>
    <cellStyle name="Normal 117 15 5" xfId="26087"/>
    <cellStyle name="Normal 117 16" xfId="4830"/>
    <cellStyle name="Normal 117 16 2" xfId="8261"/>
    <cellStyle name="Normal 117 16 2 2" xfId="16742"/>
    <cellStyle name="Normal 117 16 2 3" xfId="23256"/>
    <cellStyle name="Normal 117 16 2 4" xfId="29645"/>
    <cellStyle name="Normal 117 16 3" xfId="13319"/>
    <cellStyle name="Normal 117 16 4" xfId="19850"/>
    <cellStyle name="Normal 117 16 5" xfId="26241"/>
    <cellStyle name="Normal 117 17" xfId="4988"/>
    <cellStyle name="Normal 117 17 2" xfId="8414"/>
    <cellStyle name="Normal 117 17 2 2" xfId="16895"/>
    <cellStyle name="Normal 117 17 2 3" xfId="23409"/>
    <cellStyle name="Normal 117 17 2 4" xfId="29798"/>
    <cellStyle name="Normal 117 17 3" xfId="13476"/>
    <cellStyle name="Normal 117 17 4" xfId="20004"/>
    <cellStyle name="Normal 117 17 5" xfId="26394"/>
    <cellStyle name="Normal 117 18" xfId="5117"/>
    <cellStyle name="Normal 117 18 2" xfId="8538"/>
    <cellStyle name="Normal 117 18 2 2" xfId="17019"/>
    <cellStyle name="Normal 117 18 2 3" xfId="23533"/>
    <cellStyle name="Normal 117 18 2 4" xfId="29922"/>
    <cellStyle name="Normal 117 18 3" xfId="13603"/>
    <cellStyle name="Normal 117 18 4" xfId="20128"/>
    <cellStyle name="Normal 117 18 5" xfId="26518"/>
    <cellStyle name="Normal 117 19" xfId="5154"/>
    <cellStyle name="Normal 117 19 2" xfId="13636"/>
    <cellStyle name="Normal 117 19 3" xfId="20154"/>
    <cellStyle name="Normal 117 19 4" xfId="26543"/>
    <cellStyle name="Normal 117 2" xfId="1758"/>
    <cellStyle name="Normal 117 2 2" xfId="5356"/>
    <cellStyle name="Normal 117 2 2 2" xfId="13837"/>
    <cellStyle name="Normal 117 2 2 3" xfId="20351"/>
    <cellStyle name="Normal 117 2 2 4" xfId="26740"/>
    <cellStyle name="Normal 117 2 3" xfId="10330"/>
    <cellStyle name="Normal 117 2 4" xfId="9653"/>
    <cellStyle name="Normal 117 2 5" xfId="17077"/>
    <cellStyle name="Normal 117 20" xfId="9730"/>
    <cellStyle name="Normal 117 21" xfId="9997"/>
    <cellStyle name="Normal 117 22" xfId="9761"/>
    <cellStyle name="Normal 117 3" xfId="2092"/>
    <cellStyle name="Normal 117 3 2" xfId="5665"/>
    <cellStyle name="Normal 117 3 2 2" xfId="14146"/>
    <cellStyle name="Normal 117 3 2 3" xfId="20660"/>
    <cellStyle name="Normal 117 3 2 4" xfId="27049"/>
    <cellStyle name="Normal 117 3 3" xfId="10651"/>
    <cellStyle name="Normal 117 3 4" xfId="9419"/>
    <cellStyle name="Normal 117 3 5" xfId="13011"/>
    <cellStyle name="Normal 117 4" xfId="2827"/>
    <cellStyle name="Normal 117 4 2" xfId="6325"/>
    <cellStyle name="Normal 117 4 2 2" xfId="14806"/>
    <cellStyle name="Normal 117 4 2 3" xfId="21320"/>
    <cellStyle name="Normal 117 4 2 4" xfId="27709"/>
    <cellStyle name="Normal 117 4 3" xfId="11334"/>
    <cellStyle name="Normal 117 4 4" xfId="17903"/>
    <cellStyle name="Normal 117 4 5" xfId="24305"/>
    <cellStyle name="Normal 117 5" xfId="3001"/>
    <cellStyle name="Normal 117 5 2" xfId="6492"/>
    <cellStyle name="Normal 117 5 2 2" xfId="14973"/>
    <cellStyle name="Normal 117 5 2 3" xfId="21487"/>
    <cellStyle name="Normal 117 5 2 4" xfId="27876"/>
    <cellStyle name="Normal 117 5 3" xfId="11504"/>
    <cellStyle name="Normal 117 5 4" xfId="18070"/>
    <cellStyle name="Normal 117 5 5" xfId="24472"/>
    <cellStyle name="Normal 117 6" xfId="3174"/>
    <cellStyle name="Normal 117 6 2" xfId="6659"/>
    <cellStyle name="Normal 117 6 2 2" xfId="15140"/>
    <cellStyle name="Normal 117 6 2 3" xfId="21654"/>
    <cellStyle name="Normal 117 6 2 4" xfId="28043"/>
    <cellStyle name="Normal 117 6 3" xfId="11675"/>
    <cellStyle name="Normal 117 6 4" xfId="18237"/>
    <cellStyle name="Normal 117 6 5" xfId="24639"/>
    <cellStyle name="Normal 117 7" xfId="3347"/>
    <cellStyle name="Normal 117 7 2" xfId="6826"/>
    <cellStyle name="Normal 117 7 2 2" xfId="15307"/>
    <cellStyle name="Normal 117 7 2 3" xfId="21821"/>
    <cellStyle name="Normal 117 7 2 4" xfId="28210"/>
    <cellStyle name="Normal 117 7 3" xfId="11845"/>
    <cellStyle name="Normal 117 7 4" xfId="18404"/>
    <cellStyle name="Normal 117 7 5" xfId="24806"/>
    <cellStyle name="Normal 117 8" xfId="3518"/>
    <cellStyle name="Normal 117 8 2" xfId="6991"/>
    <cellStyle name="Normal 117 8 2 2" xfId="15472"/>
    <cellStyle name="Normal 117 8 2 3" xfId="21986"/>
    <cellStyle name="Normal 117 8 2 4" xfId="28375"/>
    <cellStyle name="Normal 117 8 3" xfId="12014"/>
    <cellStyle name="Normal 117 8 4" xfId="18570"/>
    <cellStyle name="Normal 117 8 5" xfId="24971"/>
    <cellStyle name="Normal 117 9" xfId="3688"/>
    <cellStyle name="Normal 117 9 2" xfId="7155"/>
    <cellStyle name="Normal 117 9 2 2" xfId="15636"/>
    <cellStyle name="Normal 117 9 2 3" xfId="22150"/>
    <cellStyle name="Normal 117 9 2 4" xfId="28539"/>
    <cellStyle name="Normal 117 9 3" xfId="12183"/>
    <cellStyle name="Normal 117 9 4" xfId="18736"/>
    <cellStyle name="Normal 117 9 5" xfId="25135"/>
    <cellStyle name="Normal 118" xfId="662"/>
    <cellStyle name="Normal 118 10" xfId="3856"/>
    <cellStyle name="Normal 118 10 2" xfId="7317"/>
    <cellStyle name="Normal 118 10 2 2" xfId="15798"/>
    <cellStyle name="Normal 118 10 2 3" xfId="22312"/>
    <cellStyle name="Normal 118 10 2 4" xfId="28701"/>
    <cellStyle name="Normal 118 10 3" xfId="12350"/>
    <cellStyle name="Normal 118 10 4" xfId="18900"/>
    <cellStyle name="Normal 118 10 5" xfId="25297"/>
    <cellStyle name="Normal 118 11" xfId="4023"/>
    <cellStyle name="Normal 118 11 2" xfId="7479"/>
    <cellStyle name="Normal 118 11 2 2" xfId="15960"/>
    <cellStyle name="Normal 118 11 2 3" xfId="22474"/>
    <cellStyle name="Normal 118 11 2 4" xfId="28863"/>
    <cellStyle name="Normal 118 11 3" xfId="12516"/>
    <cellStyle name="Normal 118 11 4" xfId="19063"/>
    <cellStyle name="Normal 118 11 5" xfId="25459"/>
    <cellStyle name="Normal 118 12" xfId="4188"/>
    <cellStyle name="Normal 118 12 2" xfId="7639"/>
    <cellStyle name="Normal 118 12 2 2" xfId="16120"/>
    <cellStyle name="Normal 118 12 2 3" xfId="22634"/>
    <cellStyle name="Normal 118 12 2 4" xfId="29023"/>
    <cellStyle name="Normal 118 12 3" xfId="12680"/>
    <cellStyle name="Normal 118 12 4" xfId="19224"/>
    <cellStyle name="Normal 118 12 5" xfId="25619"/>
    <cellStyle name="Normal 118 13" xfId="4350"/>
    <cellStyle name="Normal 118 13 2" xfId="7796"/>
    <cellStyle name="Normal 118 13 2 2" xfId="16277"/>
    <cellStyle name="Normal 118 13 2 3" xfId="22791"/>
    <cellStyle name="Normal 118 13 2 4" xfId="29180"/>
    <cellStyle name="Normal 118 13 3" xfId="12841"/>
    <cellStyle name="Normal 118 13 4" xfId="19382"/>
    <cellStyle name="Normal 118 13 5" xfId="25776"/>
    <cellStyle name="Normal 118 14" xfId="4510"/>
    <cellStyle name="Normal 118 14 2" xfId="7951"/>
    <cellStyle name="Normal 118 14 2 2" xfId="16432"/>
    <cellStyle name="Normal 118 14 2 3" xfId="22946"/>
    <cellStyle name="Normal 118 14 2 4" xfId="29335"/>
    <cellStyle name="Normal 118 14 3" xfId="13001"/>
    <cellStyle name="Normal 118 14 4" xfId="19538"/>
    <cellStyle name="Normal 118 14 5" xfId="25931"/>
    <cellStyle name="Normal 118 15" xfId="4670"/>
    <cellStyle name="Normal 118 15 2" xfId="8106"/>
    <cellStyle name="Normal 118 15 2 2" xfId="16587"/>
    <cellStyle name="Normal 118 15 2 3" xfId="23101"/>
    <cellStyle name="Normal 118 15 2 4" xfId="29490"/>
    <cellStyle name="Normal 118 15 3" xfId="13160"/>
    <cellStyle name="Normal 118 15 4" xfId="19694"/>
    <cellStyle name="Normal 118 15 5" xfId="26086"/>
    <cellStyle name="Normal 118 16" xfId="4829"/>
    <cellStyle name="Normal 118 16 2" xfId="8260"/>
    <cellStyle name="Normal 118 16 2 2" xfId="16741"/>
    <cellStyle name="Normal 118 16 2 3" xfId="23255"/>
    <cellStyle name="Normal 118 16 2 4" xfId="29644"/>
    <cellStyle name="Normal 118 16 3" xfId="13318"/>
    <cellStyle name="Normal 118 16 4" xfId="19849"/>
    <cellStyle name="Normal 118 16 5" xfId="26240"/>
    <cellStyle name="Normal 118 17" xfId="4987"/>
    <cellStyle name="Normal 118 17 2" xfId="8413"/>
    <cellStyle name="Normal 118 17 2 2" xfId="16894"/>
    <cellStyle name="Normal 118 17 2 3" xfId="23408"/>
    <cellStyle name="Normal 118 17 2 4" xfId="29797"/>
    <cellStyle name="Normal 118 17 3" xfId="13475"/>
    <cellStyle name="Normal 118 17 4" xfId="20003"/>
    <cellStyle name="Normal 118 17 5" xfId="26393"/>
    <cellStyle name="Normal 118 18" xfId="5116"/>
    <cellStyle name="Normal 118 18 2" xfId="8537"/>
    <cellStyle name="Normal 118 18 2 2" xfId="17018"/>
    <cellStyle name="Normal 118 18 2 3" xfId="23532"/>
    <cellStyle name="Normal 118 18 2 4" xfId="29921"/>
    <cellStyle name="Normal 118 18 3" xfId="13602"/>
    <cellStyle name="Normal 118 18 4" xfId="20127"/>
    <cellStyle name="Normal 118 18 5" xfId="26517"/>
    <cellStyle name="Normal 118 19" xfId="5155"/>
    <cellStyle name="Normal 118 19 2" xfId="13637"/>
    <cellStyle name="Normal 118 19 3" xfId="20155"/>
    <cellStyle name="Normal 118 19 4" xfId="26544"/>
    <cellStyle name="Normal 118 2" xfId="1759"/>
    <cellStyle name="Normal 118 2 2" xfId="5357"/>
    <cellStyle name="Normal 118 2 2 2" xfId="13838"/>
    <cellStyle name="Normal 118 2 2 3" xfId="20352"/>
    <cellStyle name="Normal 118 2 2 4" xfId="26741"/>
    <cellStyle name="Normal 118 2 3" xfId="10331"/>
    <cellStyle name="Normal 118 2 4" xfId="9652"/>
    <cellStyle name="Normal 118 2 5" xfId="17076"/>
    <cellStyle name="Normal 118 20" xfId="9731"/>
    <cellStyle name="Normal 118 21" xfId="9996"/>
    <cellStyle name="Normal 118 22" xfId="9762"/>
    <cellStyle name="Normal 118 3" xfId="2093"/>
    <cellStyle name="Normal 118 3 2" xfId="5666"/>
    <cellStyle name="Normal 118 3 2 2" xfId="14147"/>
    <cellStyle name="Normal 118 3 2 3" xfId="20661"/>
    <cellStyle name="Normal 118 3 2 4" xfId="27050"/>
    <cellStyle name="Normal 118 3 3" xfId="10652"/>
    <cellStyle name="Normal 118 3 4" xfId="9418"/>
    <cellStyle name="Normal 118 3 5" xfId="13170"/>
    <cellStyle name="Normal 118 4" xfId="2826"/>
    <cellStyle name="Normal 118 4 2" xfId="6324"/>
    <cellStyle name="Normal 118 4 2 2" xfId="14805"/>
    <cellStyle name="Normal 118 4 2 3" xfId="21319"/>
    <cellStyle name="Normal 118 4 2 4" xfId="27708"/>
    <cellStyle name="Normal 118 4 3" xfId="11333"/>
    <cellStyle name="Normal 118 4 4" xfId="17902"/>
    <cellStyle name="Normal 118 4 5" xfId="24304"/>
    <cellStyle name="Normal 118 5" xfId="3000"/>
    <cellStyle name="Normal 118 5 2" xfId="6491"/>
    <cellStyle name="Normal 118 5 2 2" xfId="14972"/>
    <cellStyle name="Normal 118 5 2 3" xfId="21486"/>
    <cellStyle name="Normal 118 5 2 4" xfId="27875"/>
    <cellStyle name="Normal 118 5 3" xfId="11503"/>
    <cellStyle name="Normal 118 5 4" xfId="18069"/>
    <cellStyle name="Normal 118 5 5" xfId="24471"/>
    <cellStyle name="Normal 118 6" xfId="3173"/>
    <cellStyle name="Normal 118 6 2" xfId="6658"/>
    <cellStyle name="Normal 118 6 2 2" xfId="15139"/>
    <cellStyle name="Normal 118 6 2 3" xfId="21653"/>
    <cellStyle name="Normal 118 6 2 4" xfId="28042"/>
    <cellStyle name="Normal 118 6 3" xfId="11674"/>
    <cellStyle name="Normal 118 6 4" xfId="18236"/>
    <cellStyle name="Normal 118 6 5" xfId="24638"/>
    <cellStyle name="Normal 118 7" xfId="3346"/>
    <cellStyle name="Normal 118 7 2" xfId="6825"/>
    <cellStyle name="Normal 118 7 2 2" xfId="15306"/>
    <cellStyle name="Normal 118 7 2 3" xfId="21820"/>
    <cellStyle name="Normal 118 7 2 4" xfId="28209"/>
    <cellStyle name="Normal 118 7 3" xfId="11844"/>
    <cellStyle name="Normal 118 7 4" xfId="18403"/>
    <cellStyle name="Normal 118 7 5" xfId="24805"/>
    <cellStyle name="Normal 118 8" xfId="3517"/>
    <cellStyle name="Normal 118 8 2" xfId="6990"/>
    <cellStyle name="Normal 118 8 2 2" xfId="15471"/>
    <cellStyle name="Normal 118 8 2 3" xfId="21985"/>
    <cellStyle name="Normal 118 8 2 4" xfId="28374"/>
    <cellStyle name="Normal 118 8 3" xfId="12013"/>
    <cellStyle name="Normal 118 8 4" xfId="18569"/>
    <cellStyle name="Normal 118 8 5" xfId="24970"/>
    <cellStyle name="Normal 118 9" xfId="3687"/>
    <cellStyle name="Normal 118 9 2" xfId="7154"/>
    <cellStyle name="Normal 118 9 2 2" xfId="15635"/>
    <cellStyle name="Normal 118 9 2 3" xfId="22149"/>
    <cellStyle name="Normal 118 9 2 4" xfId="28538"/>
    <cellStyle name="Normal 118 9 3" xfId="12182"/>
    <cellStyle name="Normal 118 9 4" xfId="18735"/>
    <cellStyle name="Normal 118 9 5" xfId="25134"/>
    <cellStyle name="Normal 119" xfId="663"/>
    <cellStyle name="Normal 119 10" xfId="3855"/>
    <cellStyle name="Normal 119 10 2" xfId="7316"/>
    <cellStyle name="Normal 119 10 2 2" xfId="15797"/>
    <cellStyle name="Normal 119 10 2 3" xfId="22311"/>
    <cellStyle name="Normal 119 10 2 4" xfId="28700"/>
    <cellStyle name="Normal 119 10 3" xfId="12349"/>
    <cellStyle name="Normal 119 10 4" xfId="18899"/>
    <cellStyle name="Normal 119 10 5" xfId="25296"/>
    <cellStyle name="Normal 119 11" xfId="4022"/>
    <cellStyle name="Normal 119 11 2" xfId="7478"/>
    <cellStyle name="Normal 119 11 2 2" xfId="15959"/>
    <cellStyle name="Normal 119 11 2 3" xfId="22473"/>
    <cellStyle name="Normal 119 11 2 4" xfId="28862"/>
    <cellStyle name="Normal 119 11 3" xfId="12515"/>
    <cellStyle name="Normal 119 11 4" xfId="19062"/>
    <cellStyle name="Normal 119 11 5" xfId="25458"/>
    <cellStyle name="Normal 119 12" xfId="4187"/>
    <cellStyle name="Normal 119 12 2" xfId="7638"/>
    <cellStyle name="Normal 119 12 2 2" xfId="16119"/>
    <cellStyle name="Normal 119 12 2 3" xfId="22633"/>
    <cellStyle name="Normal 119 12 2 4" xfId="29022"/>
    <cellStyle name="Normal 119 12 3" xfId="12679"/>
    <cellStyle name="Normal 119 12 4" xfId="19223"/>
    <cellStyle name="Normal 119 12 5" xfId="25618"/>
    <cellStyle name="Normal 119 13" xfId="4349"/>
    <cellStyle name="Normal 119 13 2" xfId="7795"/>
    <cellStyle name="Normal 119 13 2 2" xfId="16276"/>
    <cellStyle name="Normal 119 13 2 3" xfId="22790"/>
    <cellStyle name="Normal 119 13 2 4" xfId="29179"/>
    <cellStyle name="Normal 119 13 3" xfId="12840"/>
    <cellStyle name="Normal 119 13 4" xfId="19381"/>
    <cellStyle name="Normal 119 13 5" xfId="25775"/>
    <cellStyle name="Normal 119 14" xfId="4509"/>
    <cellStyle name="Normal 119 14 2" xfId="7950"/>
    <cellStyle name="Normal 119 14 2 2" xfId="16431"/>
    <cellStyle name="Normal 119 14 2 3" xfId="22945"/>
    <cellStyle name="Normal 119 14 2 4" xfId="29334"/>
    <cellStyle name="Normal 119 14 3" xfId="13000"/>
    <cellStyle name="Normal 119 14 4" xfId="19537"/>
    <cellStyle name="Normal 119 14 5" xfId="25930"/>
    <cellStyle name="Normal 119 15" xfId="4669"/>
    <cellStyle name="Normal 119 15 2" xfId="8105"/>
    <cellStyle name="Normal 119 15 2 2" xfId="16586"/>
    <cellStyle name="Normal 119 15 2 3" xfId="23100"/>
    <cellStyle name="Normal 119 15 2 4" xfId="29489"/>
    <cellStyle name="Normal 119 15 3" xfId="13159"/>
    <cellStyle name="Normal 119 15 4" xfId="19693"/>
    <cellStyle name="Normal 119 15 5" xfId="26085"/>
    <cellStyle name="Normal 119 16" xfId="4828"/>
    <cellStyle name="Normal 119 16 2" xfId="8259"/>
    <cellStyle name="Normal 119 16 2 2" xfId="16740"/>
    <cellStyle name="Normal 119 16 2 3" xfId="23254"/>
    <cellStyle name="Normal 119 16 2 4" xfId="29643"/>
    <cellStyle name="Normal 119 16 3" xfId="13317"/>
    <cellStyle name="Normal 119 16 4" xfId="19848"/>
    <cellStyle name="Normal 119 16 5" xfId="26239"/>
    <cellStyle name="Normal 119 17" xfId="4986"/>
    <cellStyle name="Normal 119 17 2" xfId="8412"/>
    <cellStyle name="Normal 119 17 2 2" xfId="16893"/>
    <cellStyle name="Normal 119 17 2 3" xfId="23407"/>
    <cellStyle name="Normal 119 17 2 4" xfId="29796"/>
    <cellStyle name="Normal 119 17 3" xfId="13474"/>
    <cellStyle name="Normal 119 17 4" xfId="20002"/>
    <cellStyle name="Normal 119 17 5" xfId="26392"/>
    <cellStyle name="Normal 119 18" xfId="5115"/>
    <cellStyle name="Normal 119 18 2" xfId="8536"/>
    <cellStyle name="Normal 119 18 2 2" xfId="17017"/>
    <cellStyle name="Normal 119 18 2 3" xfId="23531"/>
    <cellStyle name="Normal 119 18 2 4" xfId="29920"/>
    <cellStyle name="Normal 119 18 3" xfId="13601"/>
    <cellStyle name="Normal 119 18 4" xfId="20126"/>
    <cellStyle name="Normal 119 18 5" xfId="26516"/>
    <cellStyle name="Normal 119 19" xfId="5156"/>
    <cellStyle name="Normal 119 19 2" xfId="13638"/>
    <cellStyle name="Normal 119 19 3" xfId="20156"/>
    <cellStyle name="Normal 119 19 4" xfId="26545"/>
    <cellStyle name="Normal 119 2" xfId="1760"/>
    <cellStyle name="Normal 119 2 2" xfId="5358"/>
    <cellStyle name="Normal 119 2 2 2" xfId="13839"/>
    <cellStyle name="Normal 119 2 2 3" xfId="20353"/>
    <cellStyle name="Normal 119 2 2 4" xfId="26742"/>
    <cellStyle name="Normal 119 2 3" xfId="10332"/>
    <cellStyle name="Normal 119 2 4" xfId="9651"/>
    <cellStyle name="Normal 119 2 5" xfId="17075"/>
    <cellStyle name="Normal 119 20" xfId="9732"/>
    <cellStyle name="Normal 119 21" xfId="9995"/>
    <cellStyle name="Normal 119 22" xfId="9763"/>
    <cellStyle name="Normal 119 3" xfId="2094"/>
    <cellStyle name="Normal 119 3 2" xfId="5667"/>
    <cellStyle name="Normal 119 3 2 2" xfId="14148"/>
    <cellStyle name="Normal 119 3 2 3" xfId="20662"/>
    <cellStyle name="Normal 119 3 2 4" xfId="27051"/>
    <cellStyle name="Normal 119 3 3" xfId="10653"/>
    <cellStyle name="Normal 119 3 4" xfId="9417"/>
    <cellStyle name="Normal 119 3 5" xfId="13328"/>
    <cellStyle name="Normal 119 4" xfId="2825"/>
    <cellStyle name="Normal 119 4 2" xfId="6323"/>
    <cellStyle name="Normal 119 4 2 2" xfId="14804"/>
    <cellStyle name="Normal 119 4 2 3" xfId="21318"/>
    <cellStyle name="Normal 119 4 2 4" xfId="27707"/>
    <cellStyle name="Normal 119 4 3" xfId="11332"/>
    <cellStyle name="Normal 119 4 4" xfId="17901"/>
    <cellStyle name="Normal 119 4 5" xfId="24303"/>
    <cellStyle name="Normal 119 5" xfId="2999"/>
    <cellStyle name="Normal 119 5 2" xfId="6490"/>
    <cellStyle name="Normal 119 5 2 2" xfId="14971"/>
    <cellStyle name="Normal 119 5 2 3" xfId="21485"/>
    <cellStyle name="Normal 119 5 2 4" xfId="27874"/>
    <cellStyle name="Normal 119 5 3" xfId="11502"/>
    <cellStyle name="Normal 119 5 4" xfId="18068"/>
    <cellStyle name="Normal 119 5 5" xfId="24470"/>
    <cellStyle name="Normal 119 6" xfId="3172"/>
    <cellStyle name="Normal 119 6 2" xfId="6657"/>
    <cellStyle name="Normal 119 6 2 2" xfId="15138"/>
    <cellStyle name="Normal 119 6 2 3" xfId="21652"/>
    <cellStyle name="Normal 119 6 2 4" xfId="28041"/>
    <cellStyle name="Normal 119 6 3" xfId="11673"/>
    <cellStyle name="Normal 119 6 4" xfId="18235"/>
    <cellStyle name="Normal 119 6 5" xfId="24637"/>
    <cellStyle name="Normal 119 7" xfId="3345"/>
    <cellStyle name="Normal 119 7 2" xfId="6824"/>
    <cellStyle name="Normal 119 7 2 2" xfId="15305"/>
    <cellStyle name="Normal 119 7 2 3" xfId="21819"/>
    <cellStyle name="Normal 119 7 2 4" xfId="28208"/>
    <cellStyle name="Normal 119 7 3" xfId="11843"/>
    <cellStyle name="Normal 119 7 4" xfId="18402"/>
    <cellStyle name="Normal 119 7 5" xfId="24804"/>
    <cellStyle name="Normal 119 8" xfId="3516"/>
    <cellStyle name="Normal 119 8 2" xfId="6989"/>
    <cellStyle name="Normal 119 8 2 2" xfId="15470"/>
    <cellStyle name="Normal 119 8 2 3" xfId="21984"/>
    <cellStyle name="Normal 119 8 2 4" xfId="28373"/>
    <cellStyle name="Normal 119 8 3" xfId="12012"/>
    <cellStyle name="Normal 119 8 4" xfId="18568"/>
    <cellStyle name="Normal 119 8 5" xfId="24969"/>
    <cellStyle name="Normal 119 9" xfId="3686"/>
    <cellStyle name="Normal 119 9 2" xfId="7153"/>
    <cellStyle name="Normal 119 9 2 2" xfId="15634"/>
    <cellStyle name="Normal 119 9 2 3" xfId="22148"/>
    <cellStyle name="Normal 119 9 2 4" xfId="28537"/>
    <cellStyle name="Normal 119 9 3" xfId="12181"/>
    <cellStyle name="Normal 119 9 4" xfId="18734"/>
    <cellStyle name="Normal 119 9 5" xfId="25133"/>
    <cellStyle name="Normal 12" xfId="664"/>
    <cellStyle name="Normal 12 10" xfId="3113"/>
    <cellStyle name="Normal 12 10 2" xfId="6600"/>
    <cellStyle name="Normal 12 10 2 2" xfId="15081"/>
    <cellStyle name="Normal 12 10 2 3" xfId="21595"/>
    <cellStyle name="Normal 12 10 2 4" xfId="27984"/>
    <cellStyle name="Normal 12 10 3" xfId="11615"/>
    <cellStyle name="Normal 12 10 4" xfId="18178"/>
    <cellStyle name="Normal 12 10 5" xfId="24580"/>
    <cellStyle name="Normal 12 11" xfId="3286"/>
    <cellStyle name="Normal 12 11 2" xfId="6767"/>
    <cellStyle name="Normal 12 11 2 2" xfId="15248"/>
    <cellStyle name="Normal 12 11 2 3" xfId="21762"/>
    <cellStyle name="Normal 12 11 2 4" xfId="28151"/>
    <cellStyle name="Normal 12 11 3" xfId="11786"/>
    <cellStyle name="Normal 12 11 4" xfId="18345"/>
    <cellStyle name="Normal 12 11 5" xfId="24747"/>
    <cellStyle name="Normal 12 12" xfId="3457"/>
    <cellStyle name="Normal 12 12 2" xfId="6932"/>
    <cellStyle name="Normal 12 12 2 2" xfId="15413"/>
    <cellStyle name="Normal 12 12 2 3" xfId="21927"/>
    <cellStyle name="Normal 12 12 2 4" xfId="28316"/>
    <cellStyle name="Normal 12 12 3" xfId="11954"/>
    <cellStyle name="Normal 12 12 4" xfId="18510"/>
    <cellStyle name="Normal 12 12 5" xfId="24912"/>
    <cellStyle name="Normal 12 13" xfId="3627"/>
    <cellStyle name="Normal 12 13 2" xfId="7096"/>
    <cellStyle name="Normal 12 13 2 2" xfId="15577"/>
    <cellStyle name="Normal 12 13 2 3" xfId="22091"/>
    <cellStyle name="Normal 12 13 2 4" xfId="28480"/>
    <cellStyle name="Normal 12 13 3" xfId="12122"/>
    <cellStyle name="Normal 12 13 4" xfId="18675"/>
    <cellStyle name="Normal 12 13 5" xfId="25076"/>
    <cellStyle name="Normal 12 14" xfId="3796"/>
    <cellStyle name="Normal 12 14 2" xfId="7259"/>
    <cellStyle name="Normal 12 14 2 2" xfId="15740"/>
    <cellStyle name="Normal 12 14 2 3" xfId="22254"/>
    <cellStyle name="Normal 12 14 2 4" xfId="28643"/>
    <cellStyle name="Normal 12 14 3" xfId="12291"/>
    <cellStyle name="Normal 12 14 4" xfId="18841"/>
    <cellStyle name="Normal 12 14 5" xfId="25239"/>
    <cellStyle name="Normal 12 15" xfId="3963"/>
    <cellStyle name="Normal 12 15 2" xfId="7421"/>
    <cellStyle name="Normal 12 15 2 2" xfId="15902"/>
    <cellStyle name="Normal 12 15 2 3" xfId="22416"/>
    <cellStyle name="Normal 12 15 2 4" xfId="28805"/>
    <cellStyle name="Normal 12 15 3" xfId="12457"/>
    <cellStyle name="Normal 12 15 4" xfId="19004"/>
    <cellStyle name="Normal 12 15 5" xfId="25401"/>
    <cellStyle name="Normal 12 16" xfId="4128"/>
    <cellStyle name="Normal 12 16 2" xfId="7581"/>
    <cellStyle name="Normal 12 16 2 2" xfId="16062"/>
    <cellStyle name="Normal 12 16 2 3" xfId="22576"/>
    <cellStyle name="Normal 12 16 2 4" xfId="28965"/>
    <cellStyle name="Normal 12 16 3" xfId="12621"/>
    <cellStyle name="Normal 12 16 4" xfId="19165"/>
    <cellStyle name="Normal 12 16 5" xfId="25561"/>
    <cellStyle name="Normal 12 17" xfId="4290"/>
    <cellStyle name="Normal 12 17 2" xfId="7738"/>
    <cellStyle name="Normal 12 17 2 2" xfId="16219"/>
    <cellStyle name="Normal 12 17 2 3" xfId="22733"/>
    <cellStyle name="Normal 12 17 2 4" xfId="29122"/>
    <cellStyle name="Normal 12 17 3" xfId="12782"/>
    <cellStyle name="Normal 12 17 4" xfId="19323"/>
    <cellStyle name="Normal 12 17 5" xfId="25718"/>
    <cellStyle name="Normal 12 18" xfId="4450"/>
    <cellStyle name="Normal 12 18 2" xfId="7893"/>
    <cellStyle name="Normal 12 18 2 2" xfId="16374"/>
    <cellStyle name="Normal 12 18 2 3" xfId="22888"/>
    <cellStyle name="Normal 12 18 2 4" xfId="29277"/>
    <cellStyle name="Normal 12 18 3" xfId="12941"/>
    <cellStyle name="Normal 12 18 4" xfId="19479"/>
    <cellStyle name="Normal 12 18 5" xfId="25873"/>
    <cellStyle name="Normal 12 19" xfId="4610"/>
    <cellStyle name="Normal 12 19 2" xfId="8048"/>
    <cellStyle name="Normal 12 19 2 2" xfId="16529"/>
    <cellStyle name="Normal 12 19 2 3" xfId="23043"/>
    <cellStyle name="Normal 12 19 2 4" xfId="29432"/>
    <cellStyle name="Normal 12 19 3" xfId="13101"/>
    <cellStyle name="Normal 12 19 4" xfId="19635"/>
    <cellStyle name="Normal 12 19 5" xfId="26028"/>
    <cellStyle name="Normal 12 2" xfId="665"/>
    <cellStyle name="Normal 12 20" xfId="5157"/>
    <cellStyle name="Normal 12 20 2" xfId="8945"/>
    <cellStyle name="Normal 12 20 3" xfId="13639"/>
    <cellStyle name="Normal 12 20 4" xfId="20157"/>
    <cellStyle name="Normal 12 20 5" xfId="26546"/>
    <cellStyle name="Normal 12 21" xfId="9733"/>
    <cellStyle name="Normal 12 22" xfId="9994"/>
    <cellStyle name="Normal 12 23" xfId="9764"/>
    <cellStyle name="Normal 12 3" xfId="1761"/>
    <cellStyle name="Normal 12 3 2" xfId="5359"/>
    <cellStyle name="Normal 12 3 2 2" xfId="13840"/>
    <cellStyle name="Normal 12 3 2 3" xfId="20354"/>
    <cellStyle name="Normal 12 3 2 4" xfId="26743"/>
    <cellStyle name="Normal 12 3 3" xfId="10333"/>
    <cellStyle name="Normal 12 3 4" xfId="9650"/>
    <cellStyle name="Normal 12 3 5" xfId="17074"/>
    <cellStyle name="Normal 12 4" xfId="2095"/>
    <cellStyle name="Normal 12 4 2" xfId="5668"/>
    <cellStyle name="Normal 12 4 2 2" xfId="14149"/>
    <cellStyle name="Normal 12 4 2 3" xfId="20663"/>
    <cellStyle name="Normal 12 4 2 4" xfId="27052"/>
    <cellStyle name="Normal 12 4 3" xfId="10654"/>
    <cellStyle name="Normal 12 4 4" xfId="9416"/>
    <cellStyle name="Normal 12 4 5" xfId="13485"/>
    <cellStyle name="Normal 12 5" xfId="2235"/>
    <cellStyle name="Normal 12 5 2" xfId="5805"/>
    <cellStyle name="Normal 12 5 2 2" xfId="14286"/>
    <cellStyle name="Normal 12 5 2 3" xfId="20800"/>
    <cellStyle name="Normal 12 5 2 4" xfId="27189"/>
    <cellStyle name="Normal 12 5 3" xfId="10791"/>
    <cellStyle name="Normal 12 5 4" xfId="17165"/>
    <cellStyle name="Normal 12 5 5" xfId="23641"/>
    <cellStyle name="Normal 12 6" xfId="2163"/>
    <cellStyle name="Normal 12 6 2" xfId="5734"/>
    <cellStyle name="Normal 12 6 2 2" xfId="14215"/>
    <cellStyle name="Normal 12 6 2 3" xfId="20729"/>
    <cellStyle name="Normal 12 6 2 4" xfId="27118"/>
    <cellStyle name="Normal 12 6 3" xfId="10720"/>
    <cellStyle name="Normal 12 6 4" xfId="17474"/>
    <cellStyle name="Normal 12 6 5" xfId="23899"/>
    <cellStyle name="Normal 12 7" xfId="2180"/>
    <cellStyle name="Normal 12 7 2" xfId="5750"/>
    <cellStyle name="Normal 12 7 2 2" xfId="14231"/>
    <cellStyle name="Normal 12 7 2 3" xfId="20745"/>
    <cellStyle name="Normal 12 7 2 4" xfId="27134"/>
    <cellStyle name="Normal 12 7 3" xfId="10736"/>
    <cellStyle name="Normal 12 7 4" xfId="17128"/>
    <cellStyle name="Normal 12 7 5" xfId="23605"/>
    <cellStyle name="Normal 12 8" xfId="2765"/>
    <cellStyle name="Normal 12 8 2" xfId="6266"/>
    <cellStyle name="Normal 12 8 2 2" xfId="14747"/>
    <cellStyle name="Normal 12 8 2 3" xfId="21261"/>
    <cellStyle name="Normal 12 8 2 4" xfId="27650"/>
    <cellStyle name="Normal 12 8 3" xfId="11275"/>
    <cellStyle name="Normal 12 8 4" xfId="17844"/>
    <cellStyle name="Normal 12 8 5" xfId="24246"/>
    <cellStyle name="Normal 12 9" xfId="2939"/>
    <cellStyle name="Normal 12 9 2" xfId="6433"/>
    <cellStyle name="Normal 12 9 2 2" xfId="14914"/>
    <cellStyle name="Normal 12 9 2 3" xfId="21428"/>
    <cellStyle name="Normal 12 9 2 4" xfId="27817"/>
    <cellStyle name="Normal 12 9 3" xfId="11445"/>
    <cellStyle name="Normal 12 9 4" xfId="18011"/>
    <cellStyle name="Normal 12 9 5" xfId="24413"/>
    <cellStyle name="Normal 120" xfId="666"/>
    <cellStyle name="Normal 120 10" xfId="3854"/>
    <cellStyle name="Normal 120 10 2" xfId="7315"/>
    <cellStyle name="Normal 120 10 2 2" xfId="15796"/>
    <cellStyle name="Normal 120 10 2 3" xfId="22310"/>
    <cellStyle name="Normal 120 10 2 4" xfId="28699"/>
    <cellStyle name="Normal 120 10 3" xfId="12348"/>
    <cellStyle name="Normal 120 10 4" xfId="18898"/>
    <cellStyle name="Normal 120 10 5" xfId="25295"/>
    <cellStyle name="Normal 120 11" xfId="4021"/>
    <cellStyle name="Normal 120 11 2" xfId="7477"/>
    <cellStyle name="Normal 120 11 2 2" xfId="15958"/>
    <cellStyle name="Normal 120 11 2 3" xfId="22472"/>
    <cellStyle name="Normal 120 11 2 4" xfId="28861"/>
    <cellStyle name="Normal 120 11 3" xfId="12514"/>
    <cellStyle name="Normal 120 11 4" xfId="19061"/>
    <cellStyle name="Normal 120 11 5" xfId="25457"/>
    <cellStyle name="Normal 120 12" xfId="4186"/>
    <cellStyle name="Normal 120 12 2" xfId="7637"/>
    <cellStyle name="Normal 120 12 2 2" xfId="16118"/>
    <cellStyle name="Normal 120 12 2 3" xfId="22632"/>
    <cellStyle name="Normal 120 12 2 4" xfId="29021"/>
    <cellStyle name="Normal 120 12 3" xfId="12678"/>
    <cellStyle name="Normal 120 12 4" xfId="19222"/>
    <cellStyle name="Normal 120 12 5" xfId="25617"/>
    <cellStyle name="Normal 120 13" xfId="4348"/>
    <cellStyle name="Normal 120 13 2" xfId="7794"/>
    <cellStyle name="Normal 120 13 2 2" xfId="16275"/>
    <cellStyle name="Normal 120 13 2 3" xfId="22789"/>
    <cellStyle name="Normal 120 13 2 4" xfId="29178"/>
    <cellStyle name="Normal 120 13 3" xfId="12839"/>
    <cellStyle name="Normal 120 13 4" xfId="19380"/>
    <cellStyle name="Normal 120 13 5" xfId="25774"/>
    <cellStyle name="Normal 120 14" xfId="4508"/>
    <cellStyle name="Normal 120 14 2" xfId="7949"/>
    <cellStyle name="Normal 120 14 2 2" xfId="16430"/>
    <cellStyle name="Normal 120 14 2 3" xfId="22944"/>
    <cellStyle name="Normal 120 14 2 4" xfId="29333"/>
    <cellStyle name="Normal 120 14 3" xfId="12999"/>
    <cellStyle name="Normal 120 14 4" xfId="19536"/>
    <cellStyle name="Normal 120 14 5" xfId="25929"/>
    <cellStyle name="Normal 120 15" xfId="4668"/>
    <cellStyle name="Normal 120 15 2" xfId="8104"/>
    <cellStyle name="Normal 120 15 2 2" xfId="16585"/>
    <cellStyle name="Normal 120 15 2 3" xfId="23099"/>
    <cellStyle name="Normal 120 15 2 4" xfId="29488"/>
    <cellStyle name="Normal 120 15 3" xfId="13158"/>
    <cellStyle name="Normal 120 15 4" xfId="19692"/>
    <cellStyle name="Normal 120 15 5" xfId="26084"/>
    <cellStyle name="Normal 120 16" xfId="4827"/>
    <cellStyle name="Normal 120 16 2" xfId="8258"/>
    <cellStyle name="Normal 120 16 2 2" xfId="16739"/>
    <cellStyle name="Normal 120 16 2 3" xfId="23253"/>
    <cellStyle name="Normal 120 16 2 4" xfId="29642"/>
    <cellStyle name="Normal 120 16 3" xfId="13316"/>
    <cellStyle name="Normal 120 16 4" xfId="19847"/>
    <cellStyle name="Normal 120 16 5" xfId="26238"/>
    <cellStyle name="Normal 120 17" xfId="4985"/>
    <cellStyle name="Normal 120 17 2" xfId="8411"/>
    <cellStyle name="Normal 120 17 2 2" xfId="16892"/>
    <cellStyle name="Normal 120 17 2 3" xfId="23406"/>
    <cellStyle name="Normal 120 17 2 4" xfId="29795"/>
    <cellStyle name="Normal 120 17 3" xfId="13473"/>
    <cellStyle name="Normal 120 17 4" xfId="20001"/>
    <cellStyle name="Normal 120 17 5" xfId="26391"/>
    <cellStyle name="Normal 120 18" xfId="5114"/>
    <cellStyle name="Normal 120 18 2" xfId="8535"/>
    <cellStyle name="Normal 120 18 2 2" xfId="17016"/>
    <cellStyle name="Normal 120 18 2 3" xfId="23530"/>
    <cellStyle name="Normal 120 18 2 4" xfId="29919"/>
    <cellStyle name="Normal 120 18 3" xfId="13600"/>
    <cellStyle name="Normal 120 18 4" xfId="20125"/>
    <cellStyle name="Normal 120 18 5" xfId="26515"/>
    <cellStyle name="Normal 120 19" xfId="5158"/>
    <cellStyle name="Normal 120 19 2" xfId="13640"/>
    <cellStyle name="Normal 120 19 3" xfId="20158"/>
    <cellStyle name="Normal 120 19 4" xfId="26547"/>
    <cellStyle name="Normal 120 2" xfId="1762"/>
    <cellStyle name="Normal 120 2 2" xfId="5360"/>
    <cellStyle name="Normal 120 2 2 2" xfId="13841"/>
    <cellStyle name="Normal 120 2 2 3" xfId="20355"/>
    <cellStyle name="Normal 120 2 2 4" xfId="26744"/>
    <cellStyle name="Normal 120 2 3" xfId="10334"/>
    <cellStyle name="Normal 120 2 4" xfId="9649"/>
    <cellStyle name="Normal 120 2 5" xfId="17073"/>
    <cellStyle name="Normal 120 20" xfId="9735"/>
    <cellStyle name="Normal 120 21" xfId="17336"/>
    <cellStyle name="Normal 120 22" xfId="23800"/>
    <cellStyle name="Normal 120 3" xfId="2096"/>
    <cellStyle name="Normal 120 3 2" xfId="5669"/>
    <cellStyle name="Normal 120 3 2 2" xfId="14150"/>
    <cellStyle name="Normal 120 3 2 3" xfId="20664"/>
    <cellStyle name="Normal 120 3 2 4" xfId="27053"/>
    <cellStyle name="Normal 120 3 3" xfId="10655"/>
    <cellStyle name="Normal 120 3 4" xfId="9415"/>
    <cellStyle name="Normal 120 3 5" xfId="13612"/>
    <cellStyle name="Normal 120 4" xfId="2824"/>
    <cellStyle name="Normal 120 4 2" xfId="6322"/>
    <cellStyle name="Normal 120 4 2 2" xfId="14803"/>
    <cellStyle name="Normal 120 4 2 3" xfId="21317"/>
    <cellStyle name="Normal 120 4 2 4" xfId="27706"/>
    <cellStyle name="Normal 120 4 3" xfId="11331"/>
    <cellStyle name="Normal 120 4 4" xfId="17900"/>
    <cellStyle name="Normal 120 4 5" xfId="24302"/>
    <cellStyle name="Normal 120 5" xfId="2998"/>
    <cellStyle name="Normal 120 5 2" xfId="6489"/>
    <cellStyle name="Normal 120 5 2 2" xfId="14970"/>
    <cellStyle name="Normal 120 5 2 3" xfId="21484"/>
    <cellStyle name="Normal 120 5 2 4" xfId="27873"/>
    <cellStyle name="Normal 120 5 3" xfId="11501"/>
    <cellStyle name="Normal 120 5 4" xfId="18067"/>
    <cellStyle name="Normal 120 5 5" xfId="24469"/>
    <cellStyle name="Normal 120 6" xfId="3171"/>
    <cellStyle name="Normal 120 6 2" xfId="6656"/>
    <cellStyle name="Normal 120 6 2 2" xfId="15137"/>
    <cellStyle name="Normal 120 6 2 3" xfId="21651"/>
    <cellStyle name="Normal 120 6 2 4" xfId="28040"/>
    <cellStyle name="Normal 120 6 3" xfId="11672"/>
    <cellStyle name="Normal 120 6 4" xfId="18234"/>
    <cellStyle name="Normal 120 6 5" xfId="24636"/>
    <cellStyle name="Normal 120 7" xfId="3344"/>
    <cellStyle name="Normal 120 7 2" xfId="6823"/>
    <cellStyle name="Normal 120 7 2 2" xfId="15304"/>
    <cellStyle name="Normal 120 7 2 3" xfId="21818"/>
    <cellStyle name="Normal 120 7 2 4" xfId="28207"/>
    <cellStyle name="Normal 120 7 3" xfId="11842"/>
    <cellStyle name="Normal 120 7 4" xfId="18401"/>
    <cellStyle name="Normal 120 7 5" xfId="24803"/>
    <cellStyle name="Normal 120 8" xfId="3515"/>
    <cellStyle name="Normal 120 8 2" xfId="6988"/>
    <cellStyle name="Normal 120 8 2 2" xfId="15469"/>
    <cellStyle name="Normal 120 8 2 3" xfId="21983"/>
    <cellStyle name="Normal 120 8 2 4" xfId="28372"/>
    <cellStyle name="Normal 120 8 3" xfId="12011"/>
    <cellStyle name="Normal 120 8 4" xfId="18567"/>
    <cellStyle name="Normal 120 8 5" xfId="24968"/>
    <cellStyle name="Normal 120 9" xfId="3685"/>
    <cellStyle name="Normal 120 9 2" xfId="7152"/>
    <cellStyle name="Normal 120 9 2 2" xfId="15633"/>
    <cellStyle name="Normal 120 9 2 3" xfId="22147"/>
    <cellStyle name="Normal 120 9 2 4" xfId="28536"/>
    <cellStyle name="Normal 120 9 3" xfId="12180"/>
    <cellStyle name="Normal 120 9 4" xfId="18733"/>
    <cellStyle name="Normal 120 9 5" xfId="25132"/>
    <cellStyle name="Normal 121" xfId="667"/>
    <cellStyle name="Normal 121 10" xfId="3853"/>
    <cellStyle name="Normal 121 10 2" xfId="7314"/>
    <cellStyle name="Normal 121 10 2 2" xfId="15795"/>
    <cellStyle name="Normal 121 10 2 3" xfId="22309"/>
    <cellStyle name="Normal 121 10 2 4" xfId="28698"/>
    <cellStyle name="Normal 121 10 3" xfId="12347"/>
    <cellStyle name="Normal 121 10 4" xfId="18897"/>
    <cellStyle name="Normal 121 10 5" xfId="25294"/>
    <cellStyle name="Normal 121 11" xfId="4020"/>
    <cellStyle name="Normal 121 11 2" xfId="7476"/>
    <cellStyle name="Normal 121 11 2 2" xfId="15957"/>
    <cellStyle name="Normal 121 11 2 3" xfId="22471"/>
    <cellStyle name="Normal 121 11 2 4" xfId="28860"/>
    <cellStyle name="Normal 121 11 3" xfId="12513"/>
    <cellStyle name="Normal 121 11 4" xfId="19060"/>
    <cellStyle name="Normal 121 11 5" xfId="25456"/>
    <cellStyle name="Normal 121 12" xfId="4185"/>
    <cellStyle name="Normal 121 12 2" xfId="7636"/>
    <cellStyle name="Normal 121 12 2 2" xfId="16117"/>
    <cellStyle name="Normal 121 12 2 3" xfId="22631"/>
    <cellStyle name="Normal 121 12 2 4" xfId="29020"/>
    <cellStyle name="Normal 121 12 3" xfId="12677"/>
    <cellStyle name="Normal 121 12 4" xfId="19221"/>
    <cellStyle name="Normal 121 12 5" xfId="25616"/>
    <cellStyle name="Normal 121 13" xfId="4347"/>
    <cellStyle name="Normal 121 13 2" xfId="7793"/>
    <cellStyle name="Normal 121 13 2 2" xfId="16274"/>
    <cellStyle name="Normal 121 13 2 3" xfId="22788"/>
    <cellStyle name="Normal 121 13 2 4" xfId="29177"/>
    <cellStyle name="Normal 121 13 3" xfId="12838"/>
    <cellStyle name="Normal 121 13 4" xfId="19379"/>
    <cellStyle name="Normal 121 13 5" xfId="25773"/>
    <cellStyle name="Normal 121 14" xfId="4507"/>
    <cellStyle name="Normal 121 14 2" xfId="7948"/>
    <cellStyle name="Normal 121 14 2 2" xfId="16429"/>
    <cellStyle name="Normal 121 14 2 3" xfId="22943"/>
    <cellStyle name="Normal 121 14 2 4" xfId="29332"/>
    <cellStyle name="Normal 121 14 3" xfId="12998"/>
    <cellStyle name="Normal 121 14 4" xfId="19535"/>
    <cellStyle name="Normal 121 14 5" xfId="25928"/>
    <cellStyle name="Normal 121 15" xfId="4667"/>
    <cellStyle name="Normal 121 15 2" xfId="8103"/>
    <cellStyle name="Normal 121 15 2 2" xfId="16584"/>
    <cellStyle name="Normal 121 15 2 3" xfId="23098"/>
    <cellStyle name="Normal 121 15 2 4" xfId="29487"/>
    <cellStyle name="Normal 121 15 3" xfId="13157"/>
    <cellStyle name="Normal 121 15 4" xfId="19691"/>
    <cellStyle name="Normal 121 15 5" xfId="26083"/>
    <cellStyle name="Normal 121 16" xfId="4826"/>
    <cellStyle name="Normal 121 16 2" xfId="8257"/>
    <cellStyle name="Normal 121 16 2 2" xfId="16738"/>
    <cellStyle name="Normal 121 16 2 3" xfId="23252"/>
    <cellStyle name="Normal 121 16 2 4" xfId="29641"/>
    <cellStyle name="Normal 121 16 3" xfId="13315"/>
    <cellStyle name="Normal 121 16 4" xfId="19846"/>
    <cellStyle name="Normal 121 16 5" xfId="26237"/>
    <cellStyle name="Normal 121 17" xfId="4984"/>
    <cellStyle name="Normal 121 17 2" xfId="8410"/>
    <cellStyle name="Normal 121 17 2 2" xfId="16891"/>
    <cellStyle name="Normal 121 17 2 3" xfId="23405"/>
    <cellStyle name="Normal 121 17 2 4" xfId="29794"/>
    <cellStyle name="Normal 121 17 3" xfId="13472"/>
    <cellStyle name="Normal 121 17 4" xfId="20000"/>
    <cellStyle name="Normal 121 17 5" xfId="26390"/>
    <cellStyle name="Normal 121 18" xfId="5113"/>
    <cellStyle name="Normal 121 18 2" xfId="8534"/>
    <cellStyle name="Normal 121 18 2 2" xfId="17015"/>
    <cellStyle name="Normal 121 18 2 3" xfId="23529"/>
    <cellStyle name="Normal 121 18 2 4" xfId="29918"/>
    <cellStyle name="Normal 121 18 3" xfId="13599"/>
    <cellStyle name="Normal 121 18 4" xfId="20124"/>
    <cellStyle name="Normal 121 18 5" xfId="26514"/>
    <cellStyle name="Normal 121 19" xfId="5159"/>
    <cellStyle name="Normal 121 19 2" xfId="13641"/>
    <cellStyle name="Normal 121 19 3" xfId="20159"/>
    <cellStyle name="Normal 121 19 4" xfId="26548"/>
    <cellStyle name="Normal 121 2" xfId="1763"/>
    <cellStyle name="Normal 121 2 2" xfId="5361"/>
    <cellStyle name="Normal 121 2 2 2" xfId="13842"/>
    <cellStyle name="Normal 121 2 2 3" xfId="20356"/>
    <cellStyle name="Normal 121 2 2 4" xfId="26745"/>
    <cellStyle name="Normal 121 2 3" xfId="10335"/>
    <cellStyle name="Normal 121 2 4" xfId="9648"/>
    <cellStyle name="Normal 121 2 5" xfId="17547"/>
    <cellStyle name="Normal 121 20" xfId="9736"/>
    <cellStyle name="Normal 121 21" xfId="9993"/>
    <cellStyle name="Normal 121 22" xfId="9765"/>
    <cellStyle name="Normal 121 3" xfId="2097"/>
    <cellStyle name="Normal 121 3 2" xfId="5670"/>
    <cellStyle name="Normal 121 3 2 2" xfId="14151"/>
    <cellStyle name="Normal 121 3 2 3" xfId="20665"/>
    <cellStyle name="Normal 121 3 2 4" xfId="27054"/>
    <cellStyle name="Normal 121 3 3" xfId="10656"/>
    <cellStyle name="Normal 121 3 4" xfId="9414"/>
    <cellStyle name="Normal 121 3 5" xfId="13615"/>
    <cellStyle name="Normal 121 4" xfId="2823"/>
    <cellStyle name="Normal 121 4 2" xfId="6321"/>
    <cellStyle name="Normal 121 4 2 2" xfId="14802"/>
    <cellStyle name="Normal 121 4 2 3" xfId="21316"/>
    <cellStyle name="Normal 121 4 2 4" xfId="27705"/>
    <cellStyle name="Normal 121 4 3" xfId="11330"/>
    <cellStyle name="Normal 121 4 4" xfId="17899"/>
    <cellStyle name="Normal 121 4 5" xfId="24301"/>
    <cellStyle name="Normal 121 5" xfId="2997"/>
    <cellStyle name="Normal 121 5 2" xfId="6488"/>
    <cellStyle name="Normal 121 5 2 2" xfId="14969"/>
    <cellStyle name="Normal 121 5 2 3" xfId="21483"/>
    <cellStyle name="Normal 121 5 2 4" xfId="27872"/>
    <cellStyle name="Normal 121 5 3" xfId="11500"/>
    <cellStyle name="Normal 121 5 4" xfId="18066"/>
    <cellStyle name="Normal 121 5 5" xfId="24468"/>
    <cellStyle name="Normal 121 6" xfId="3170"/>
    <cellStyle name="Normal 121 6 2" xfId="6655"/>
    <cellStyle name="Normal 121 6 2 2" xfId="15136"/>
    <cellStyle name="Normal 121 6 2 3" xfId="21650"/>
    <cellStyle name="Normal 121 6 2 4" xfId="28039"/>
    <cellStyle name="Normal 121 6 3" xfId="11671"/>
    <cellStyle name="Normal 121 6 4" xfId="18233"/>
    <cellStyle name="Normal 121 6 5" xfId="24635"/>
    <cellStyle name="Normal 121 7" xfId="3343"/>
    <cellStyle name="Normal 121 7 2" xfId="6822"/>
    <cellStyle name="Normal 121 7 2 2" xfId="15303"/>
    <cellStyle name="Normal 121 7 2 3" xfId="21817"/>
    <cellStyle name="Normal 121 7 2 4" xfId="28206"/>
    <cellStyle name="Normal 121 7 3" xfId="11841"/>
    <cellStyle name="Normal 121 7 4" xfId="18400"/>
    <cellStyle name="Normal 121 7 5" xfId="24802"/>
    <cellStyle name="Normal 121 8" xfId="3514"/>
    <cellStyle name="Normal 121 8 2" xfId="6987"/>
    <cellStyle name="Normal 121 8 2 2" xfId="15468"/>
    <cellStyle name="Normal 121 8 2 3" xfId="21982"/>
    <cellStyle name="Normal 121 8 2 4" xfId="28371"/>
    <cellStyle name="Normal 121 8 3" xfId="12010"/>
    <cellStyle name="Normal 121 8 4" xfId="18566"/>
    <cellStyle name="Normal 121 8 5" xfId="24967"/>
    <cellStyle name="Normal 121 9" xfId="3684"/>
    <cellStyle name="Normal 121 9 2" xfId="7151"/>
    <cellStyle name="Normal 121 9 2 2" xfId="15632"/>
    <cellStyle name="Normal 121 9 2 3" xfId="22146"/>
    <cellStyle name="Normal 121 9 2 4" xfId="28535"/>
    <cellStyle name="Normal 121 9 3" xfId="12179"/>
    <cellStyle name="Normal 121 9 4" xfId="18732"/>
    <cellStyle name="Normal 121 9 5" xfId="25131"/>
    <cellStyle name="Normal 122" xfId="668"/>
    <cellStyle name="Normal 122 10" xfId="3852"/>
    <cellStyle name="Normal 122 10 2" xfId="7313"/>
    <cellStyle name="Normal 122 10 2 2" xfId="15794"/>
    <cellStyle name="Normal 122 10 2 3" xfId="22308"/>
    <cellStyle name="Normal 122 10 2 4" xfId="28697"/>
    <cellStyle name="Normal 122 10 3" xfId="12346"/>
    <cellStyle name="Normal 122 10 4" xfId="18896"/>
    <cellStyle name="Normal 122 10 5" xfId="25293"/>
    <cellStyle name="Normal 122 11" xfId="4019"/>
    <cellStyle name="Normal 122 11 2" xfId="7475"/>
    <cellStyle name="Normal 122 11 2 2" xfId="15956"/>
    <cellStyle name="Normal 122 11 2 3" xfId="22470"/>
    <cellStyle name="Normal 122 11 2 4" xfId="28859"/>
    <cellStyle name="Normal 122 11 3" xfId="12512"/>
    <cellStyle name="Normal 122 11 4" xfId="19059"/>
    <cellStyle name="Normal 122 11 5" xfId="25455"/>
    <cellStyle name="Normal 122 12" xfId="4184"/>
    <cellStyle name="Normal 122 12 2" xfId="7635"/>
    <cellStyle name="Normal 122 12 2 2" xfId="16116"/>
    <cellStyle name="Normal 122 12 2 3" xfId="22630"/>
    <cellStyle name="Normal 122 12 2 4" xfId="29019"/>
    <cellStyle name="Normal 122 12 3" xfId="12676"/>
    <cellStyle name="Normal 122 12 4" xfId="19220"/>
    <cellStyle name="Normal 122 12 5" xfId="25615"/>
    <cellStyle name="Normal 122 13" xfId="4346"/>
    <cellStyle name="Normal 122 13 2" xfId="7792"/>
    <cellStyle name="Normal 122 13 2 2" xfId="16273"/>
    <cellStyle name="Normal 122 13 2 3" xfId="22787"/>
    <cellStyle name="Normal 122 13 2 4" xfId="29176"/>
    <cellStyle name="Normal 122 13 3" xfId="12837"/>
    <cellStyle name="Normal 122 13 4" xfId="19378"/>
    <cellStyle name="Normal 122 13 5" xfId="25772"/>
    <cellStyle name="Normal 122 14" xfId="4506"/>
    <cellStyle name="Normal 122 14 2" xfId="7947"/>
    <cellStyle name="Normal 122 14 2 2" xfId="16428"/>
    <cellStyle name="Normal 122 14 2 3" xfId="22942"/>
    <cellStyle name="Normal 122 14 2 4" xfId="29331"/>
    <cellStyle name="Normal 122 14 3" xfId="12997"/>
    <cellStyle name="Normal 122 14 4" xfId="19534"/>
    <cellStyle name="Normal 122 14 5" xfId="25927"/>
    <cellStyle name="Normal 122 15" xfId="4666"/>
    <cellStyle name="Normal 122 15 2" xfId="8102"/>
    <cellStyle name="Normal 122 15 2 2" xfId="16583"/>
    <cellStyle name="Normal 122 15 2 3" xfId="23097"/>
    <cellStyle name="Normal 122 15 2 4" xfId="29486"/>
    <cellStyle name="Normal 122 15 3" xfId="13156"/>
    <cellStyle name="Normal 122 15 4" xfId="19690"/>
    <cellStyle name="Normal 122 15 5" xfId="26082"/>
    <cellStyle name="Normal 122 16" xfId="4825"/>
    <cellStyle name="Normal 122 16 2" xfId="8256"/>
    <cellStyle name="Normal 122 16 2 2" xfId="16737"/>
    <cellStyle name="Normal 122 16 2 3" xfId="23251"/>
    <cellStyle name="Normal 122 16 2 4" xfId="29640"/>
    <cellStyle name="Normal 122 16 3" xfId="13314"/>
    <cellStyle name="Normal 122 16 4" xfId="19845"/>
    <cellStyle name="Normal 122 16 5" xfId="26236"/>
    <cellStyle name="Normal 122 17" xfId="4983"/>
    <cellStyle name="Normal 122 17 2" xfId="8409"/>
    <cellStyle name="Normal 122 17 2 2" xfId="16890"/>
    <cellStyle name="Normal 122 17 2 3" xfId="23404"/>
    <cellStyle name="Normal 122 17 2 4" xfId="29793"/>
    <cellStyle name="Normal 122 17 3" xfId="13471"/>
    <cellStyle name="Normal 122 17 4" xfId="19999"/>
    <cellStyle name="Normal 122 17 5" xfId="26389"/>
    <cellStyle name="Normal 122 18" xfId="5112"/>
    <cellStyle name="Normal 122 18 2" xfId="8533"/>
    <cellStyle name="Normal 122 18 2 2" xfId="17014"/>
    <cellStyle name="Normal 122 18 2 3" xfId="23528"/>
    <cellStyle name="Normal 122 18 2 4" xfId="29917"/>
    <cellStyle name="Normal 122 18 3" xfId="13598"/>
    <cellStyle name="Normal 122 18 4" xfId="20123"/>
    <cellStyle name="Normal 122 18 5" xfId="26513"/>
    <cellStyle name="Normal 122 19" xfId="5160"/>
    <cellStyle name="Normal 122 19 2" xfId="13642"/>
    <cellStyle name="Normal 122 19 3" xfId="20160"/>
    <cellStyle name="Normal 122 19 4" xfId="26549"/>
    <cellStyle name="Normal 122 2" xfId="1764"/>
    <cellStyle name="Normal 122 2 2" xfId="5362"/>
    <cellStyle name="Normal 122 2 2 2" xfId="13843"/>
    <cellStyle name="Normal 122 2 2 3" xfId="20357"/>
    <cellStyle name="Normal 122 2 2 4" xfId="26746"/>
    <cellStyle name="Normal 122 2 3" xfId="10336"/>
    <cellStyle name="Normal 122 2 4" xfId="9647"/>
    <cellStyle name="Normal 122 2 5" xfId="17535"/>
    <cellStyle name="Normal 122 20" xfId="9737"/>
    <cellStyle name="Normal 122 21" xfId="9992"/>
    <cellStyle name="Normal 122 22" xfId="9766"/>
    <cellStyle name="Normal 122 3" xfId="2098"/>
    <cellStyle name="Normal 122 3 2" xfId="5671"/>
    <cellStyle name="Normal 122 3 2 2" xfId="14152"/>
    <cellStyle name="Normal 122 3 2 3" xfId="20666"/>
    <cellStyle name="Normal 122 3 2 4" xfId="27055"/>
    <cellStyle name="Normal 122 3 3" xfId="10657"/>
    <cellStyle name="Normal 122 3 4" xfId="9413"/>
    <cellStyle name="Normal 122 3 5" xfId="13807"/>
    <cellStyle name="Normal 122 4" xfId="2822"/>
    <cellStyle name="Normal 122 4 2" xfId="6320"/>
    <cellStyle name="Normal 122 4 2 2" xfId="14801"/>
    <cellStyle name="Normal 122 4 2 3" xfId="21315"/>
    <cellStyle name="Normal 122 4 2 4" xfId="27704"/>
    <cellStyle name="Normal 122 4 3" xfId="11329"/>
    <cellStyle name="Normal 122 4 4" xfId="17898"/>
    <cellStyle name="Normal 122 4 5" xfId="24300"/>
    <cellStyle name="Normal 122 5" xfId="2996"/>
    <cellStyle name="Normal 122 5 2" xfId="6487"/>
    <cellStyle name="Normal 122 5 2 2" xfId="14968"/>
    <cellStyle name="Normal 122 5 2 3" xfId="21482"/>
    <cellStyle name="Normal 122 5 2 4" xfId="27871"/>
    <cellStyle name="Normal 122 5 3" xfId="11499"/>
    <cellStyle name="Normal 122 5 4" xfId="18065"/>
    <cellStyle name="Normal 122 5 5" xfId="24467"/>
    <cellStyle name="Normal 122 6" xfId="3169"/>
    <cellStyle name="Normal 122 6 2" xfId="6654"/>
    <cellStyle name="Normal 122 6 2 2" xfId="15135"/>
    <cellStyle name="Normal 122 6 2 3" xfId="21649"/>
    <cellStyle name="Normal 122 6 2 4" xfId="28038"/>
    <cellStyle name="Normal 122 6 3" xfId="11670"/>
    <cellStyle name="Normal 122 6 4" xfId="18232"/>
    <cellStyle name="Normal 122 6 5" xfId="24634"/>
    <cellStyle name="Normal 122 7" xfId="3342"/>
    <cellStyle name="Normal 122 7 2" xfId="6821"/>
    <cellStyle name="Normal 122 7 2 2" xfId="15302"/>
    <cellStyle name="Normal 122 7 2 3" xfId="21816"/>
    <cellStyle name="Normal 122 7 2 4" xfId="28205"/>
    <cellStyle name="Normal 122 7 3" xfId="11840"/>
    <cellStyle name="Normal 122 7 4" xfId="18399"/>
    <cellStyle name="Normal 122 7 5" xfId="24801"/>
    <cellStyle name="Normal 122 8" xfId="3513"/>
    <cellStyle name="Normal 122 8 2" xfId="6986"/>
    <cellStyle name="Normal 122 8 2 2" xfId="15467"/>
    <cellStyle name="Normal 122 8 2 3" xfId="21981"/>
    <cellStyle name="Normal 122 8 2 4" xfId="28370"/>
    <cellStyle name="Normal 122 8 3" xfId="12009"/>
    <cellStyle name="Normal 122 8 4" xfId="18565"/>
    <cellStyle name="Normal 122 8 5" xfId="24966"/>
    <cellStyle name="Normal 122 9" xfId="3683"/>
    <cellStyle name="Normal 122 9 2" xfId="7150"/>
    <cellStyle name="Normal 122 9 2 2" xfId="15631"/>
    <cellStyle name="Normal 122 9 2 3" xfId="22145"/>
    <cellStyle name="Normal 122 9 2 4" xfId="28534"/>
    <cellStyle name="Normal 122 9 3" xfId="12178"/>
    <cellStyle name="Normal 122 9 4" xfId="18731"/>
    <cellStyle name="Normal 122 9 5" xfId="25130"/>
    <cellStyle name="Normal 123" xfId="669"/>
    <cellStyle name="Normal 123 10" xfId="3851"/>
    <cellStyle name="Normal 123 10 2" xfId="7312"/>
    <cellStyle name="Normal 123 10 2 2" xfId="15793"/>
    <cellStyle name="Normal 123 10 2 3" xfId="22307"/>
    <cellStyle name="Normal 123 10 2 4" xfId="28696"/>
    <cellStyle name="Normal 123 10 3" xfId="12345"/>
    <cellStyle name="Normal 123 10 4" xfId="18895"/>
    <cellStyle name="Normal 123 10 5" xfId="25292"/>
    <cellStyle name="Normal 123 11" xfId="4018"/>
    <cellStyle name="Normal 123 11 2" xfId="7474"/>
    <cellStyle name="Normal 123 11 2 2" xfId="15955"/>
    <cellStyle name="Normal 123 11 2 3" xfId="22469"/>
    <cellStyle name="Normal 123 11 2 4" xfId="28858"/>
    <cellStyle name="Normal 123 11 3" xfId="12511"/>
    <cellStyle name="Normal 123 11 4" xfId="19058"/>
    <cellStyle name="Normal 123 11 5" xfId="25454"/>
    <cellStyle name="Normal 123 12" xfId="4183"/>
    <cellStyle name="Normal 123 12 2" xfId="7634"/>
    <cellStyle name="Normal 123 12 2 2" xfId="16115"/>
    <cellStyle name="Normal 123 12 2 3" xfId="22629"/>
    <cellStyle name="Normal 123 12 2 4" xfId="29018"/>
    <cellStyle name="Normal 123 12 3" xfId="12675"/>
    <cellStyle name="Normal 123 12 4" xfId="19219"/>
    <cellStyle name="Normal 123 12 5" xfId="25614"/>
    <cellStyle name="Normal 123 13" xfId="4345"/>
    <cellStyle name="Normal 123 13 2" xfId="7791"/>
    <cellStyle name="Normal 123 13 2 2" xfId="16272"/>
    <cellStyle name="Normal 123 13 2 3" xfId="22786"/>
    <cellStyle name="Normal 123 13 2 4" xfId="29175"/>
    <cellStyle name="Normal 123 13 3" xfId="12836"/>
    <cellStyle name="Normal 123 13 4" xfId="19377"/>
    <cellStyle name="Normal 123 13 5" xfId="25771"/>
    <cellStyle name="Normal 123 14" xfId="4505"/>
    <cellStyle name="Normal 123 14 2" xfId="7946"/>
    <cellStyle name="Normal 123 14 2 2" xfId="16427"/>
    <cellStyle name="Normal 123 14 2 3" xfId="22941"/>
    <cellStyle name="Normal 123 14 2 4" xfId="29330"/>
    <cellStyle name="Normal 123 14 3" xfId="12996"/>
    <cellStyle name="Normal 123 14 4" xfId="19533"/>
    <cellStyle name="Normal 123 14 5" xfId="25926"/>
    <cellStyle name="Normal 123 15" xfId="4665"/>
    <cellStyle name="Normal 123 15 2" xfId="8101"/>
    <cellStyle name="Normal 123 15 2 2" xfId="16582"/>
    <cellStyle name="Normal 123 15 2 3" xfId="23096"/>
    <cellStyle name="Normal 123 15 2 4" xfId="29485"/>
    <cellStyle name="Normal 123 15 3" xfId="13155"/>
    <cellStyle name="Normal 123 15 4" xfId="19689"/>
    <cellStyle name="Normal 123 15 5" xfId="26081"/>
    <cellStyle name="Normal 123 16" xfId="4824"/>
    <cellStyle name="Normal 123 16 2" xfId="8255"/>
    <cellStyle name="Normal 123 16 2 2" xfId="16736"/>
    <cellStyle name="Normal 123 16 2 3" xfId="23250"/>
    <cellStyle name="Normal 123 16 2 4" xfId="29639"/>
    <cellStyle name="Normal 123 16 3" xfId="13313"/>
    <cellStyle name="Normal 123 16 4" xfId="19844"/>
    <cellStyle name="Normal 123 16 5" xfId="26235"/>
    <cellStyle name="Normal 123 17" xfId="4982"/>
    <cellStyle name="Normal 123 17 2" xfId="8408"/>
    <cellStyle name="Normal 123 17 2 2" xfId="16889"/>
    <cellStyle name="Normal 123 17 2 3" xfId="23403"/>
    <cellStyle name="Normal 123 17 2 4" xfId="29792"/>
    <cellStyle name="Normal 123 17 3" xfId="13470"/>
    <cellStyle name="Normal 123 17 4" xfId="19998"/>
    <cellStyle name="Normal 123 17 5" xfId="26388"/>
    <cellStyle name="Normal 123 18" xfId="5111"/>
    <cellStyle name="Normal 123 18 2" xfId="8532"/>
    <cellStyle name="Normal 123 18 2 2" xfId="17013"/>
    <cellStyle name="Normal 123 18 2 3" xfId="23527"/>
    <cellStyle name="Normal 123 18 2 4" xfId="29916"/>
    <cellStyle name="Normal 123 18 3" xfId="13597"/>
    <cellStyle name="Normal 123 18 4" xfId="20122"/>
    <cellStyle name="Normal 123 18 5" xfId="26512"/>
    <cellStyle name="Normal 123 19" xfId="5161"/>
    <cellStyle name="Normal 123 19 2" xfId="13643"/>
    <cellStyle name="Normal 123 19 3" xfId="20161"/>
    <cellStyle name="Normal 123 19 4" xfId="26550"/>
    <cellStyle name="Normal 123 2" xfId="1765"/>
    <cellStyle name="Normal 123 2 2" xfId="5363"/>
    <cellStyle name="Normal 123 2 2 2" xfId="13844"/>
    <cellStyle name="Normal 123 2 2 3" xfId="20358"/>
    <cellStyle name="Normal 123 2 2 4" xfId="26747"/>
    <cellStyle name="Normal 123 2 3" xfId="10337"/>
    <cellStyle name="Normal 123 2 4" xfId="9646"/>
    <cellStyle name="Normal 123 2 5" xfId="17523"/>
    <cellStyle name="Normal 123 20" xfId="9738"/>
    <cellStyle name="Normal 123 21" xfId="9991"/>
    <cellStyle name="Normal 123 22" xfId="9767"/>
    <cellStyle name="Normal 123 3" xfId="2099"/>
    <cellStyle name="Normal 123 3 2" xfId="5672"/>
    <cellStyle name="Normal 123 3 2 2" xfId="14153"/>
    <cellStyle name="Normal 123 3 2 3" xfId="20667"/>
    <cellStyle name="Normal 123 3 2 4" xfId="27056"/>
    <cellStyle name="Normal 123 3 3" xfId="10658"/>
    <cellStyle name="Normal 123 3 4" xfId="9412"/>
    <cellStyle name="Normal 123 3 5" xfId="10500"/>
    <cellStyle name="Normal 123 4" xfId="2821"/>
    <cellStyle name="Normal 123 4 2" xfId="6319"/>
    <cellStyle name="Normal 123 4 2 2" xfId="14800"/>
    <cellStyle name="Normal 123 4 2 3" xfId="21314"/>
    <cellStyle name="Normal 123 4 2 4" xfId="27703"/>
    <cellStyle name="Normal 123 4 3" xfId="11328"/>
    <cellStyle name="Normal 123 4 4" xfId="17897"/>
    <cellStyle name="Normal 123 4 5" xfId="24299"/>
    <cellStyle name="Normal 123 5" xfId="2995"/>
    <cellStyle name="Normal 123 5 2" xfId="6486"/>
    <cellStyle name="Normal 123 5 2 2" xfId="14967"/>
    <cellStyle name="Normal 123 5 2 3" xfId="21481"/>
    <cellStyle name="Normal 123 5 2 4" xfId="27870"/>
    <cellStyle name="Normal 123 5 3" xfId="11498"/>
    <cellStyle name="Normal 123 5 4" xfId="18064"/>
    <cellStyle name="Normal 123 5 5" xfId="24466"/>
    <cellStyle name="Normal 123 6" xfId="3168"/>
    <cellStyle name="Normal 123 6 2" xfId="6653"/>
    <cellStyle name="Normal 123 6 2 2" xfId="15134"/>
    <cellStyle name="Normal 123 6 2 3" xfId="21648"/>
    <cellStyle name="Normal 123 6 2 4" xfId="28037"/>
    <cellStyle name="Normal 123 6 3" xfId="11669"/>
    <cellStyle name="Normal 123 6 4" xfId="18231"/>
    <cellStyle name="Normal 123 6 5" xfId="24633"/>
    <cellStyle name="Normal 123 7" xfId="3341"/>
    <cellStyle name="Normal 123 7 2" xfId="6820"/>
    <cellStyle name="Normal 123 7 2 2" xfId="15301"/>
    <cellStyle name="Normal 123 7 2 3" xfId="21815"/>
    <cellStyle name="Normal 123 7 2 4" xfId="28204"/>
    <cellStyle name="Normal 123 7 3" xfId="11839"/>
    <cellStyle name="Normal 123 7 4" xfId="18398"/>
    <cellStyle name="Normal 123 7 5" xfId="24800"/>
    <cellStyle name="Normal 123 8" xfId="3512"/>
    <cellStyle name="Normal 123 8 2" xfId="6985"/>
    <cellStyle name="Normal 123 8 2 2" xfId="15466"/>
    <cellStyle name="Normal 123 8 2 3" xfId="21980"/>
    <cellStyle name="Normal 123 8 2 4" xfId="28369"/>
    <cellStyle name="Normal 123 8 3" xfId="12008"/>
    <cellStyle name="Normal 123 8 4" xfId="18564"/>
    <cellStyle name="Normal 123 8 5" xfId="24965"/>
    <cellStyle name="Normal 123 9" xfId="3682"/>
    <cellStyle name="Normal 123 9 2" xfId="7149"/>
    <cellStyle name="Normal 123 9 2 2" xfId="15630"/>
    <cellStyle name="Normal 123 9 2 3" xfId="22144"/>
    <cellStyle name="Normal 123 9 2 4" xfId="28533"/>
    <cellStyle name="Normal 123 9 3" xfId="12177"/>
    <cellStyle name="Normal 123 9 4" xfId="18730"/>
    <cellStyle name="Normal 123 9 5" xfId="25129"/>
    <cellStyle name="Normal 124" xfId="670"/>
    <cellStyle name="Normal 124 10" xfId="3850"/>
    <cellStyle name="Normal 124 10 2" xfId="7311"/>
    <cellStyle name="Normal 124 10 2 2" xfId="15792"/>
    <cellStyle name="Normal 124 10 2 3" xfId="22306"/>
    <cellStyle name="Normal 124 10 2 4" xfId="28695"/>
    <cellStyle name="Normal 124 10 3" xfId="12344"/>
    <cellStyle name="Normal 124 10 4" xfId="18894"/>
    <cellStyle name="Normal 124 10 5" xfId="25291"/>
    <cellStyle name="Normal 124 11" xfId="4017"/>
    <cellStyle name="Normal 124 11 2" xfId="7473"/>
    <cellStyle name="Normal 124 11 2 2" xfId="15954"/>
    <cellStyle name="Normal 124 11 2 3" xfId="22468"/>
    <cellStyle name="Normal 124 11 2 4" xfId="28857"/>
    <cellStyle name="Normal 124 11 3" xfId="12510"/>
    <cellStyle name="Normal 124 11 4" xfId="19057"/>
    <cellStyle name="Normal 124 11 5" xfId="25453"/>
    <cellStyle name="Normal 124 12" xfId="4182"/>
    <cellStyle name="Normal 124 12 2" xfId="7633"/>
    <cellStyle name="Normal 124 12 2 2" xfId="16114"/>
    <cellStyle name="Normal 124 12 2 3" xfId="22628"/>
    <cellStyle name="Normal 124 12 2 4" xfId="29017"/>
    <cellStyle name="Normal 124 12 3" xfId="12674"/>
    <cellStyle name="Normal 124 12 4" xfId="19218"/>
    <cellStyle name="Normal 124 12 5" xfId="25613"/>
    <cellStyle name="Normal 124 13" xfId="4344"/>
    <cellStyle name="Normal 124 13 2" xfId="7790"/>
    <cellStyle name="Normal 124 13 2 2" xfId="16271"/>
    <cellStyle name="Normal 124 13 2 3" xfId="22785"/>
    <cellStyle name="Normal 124 13 2 4" xfId="29174"/>
    <cellStyle name="Normal 124 13 3" xfId="12835"/>
    <cellStyle name="Normal 124 13 4" xfId="19376"/>
    <cellStyle name="Normal 124 13 5" xfId="25770"/>
    <cellStyle name="Normal 124 14" xfId="4504"/>
    <cellStyle name="Normal 124 14 2" xfId="7945"/>
    <cellStyle name="Normal 124 14 2 2" xfId="16426"/>
    <cellStyle name="Normal 124 14 2 3" xfId="22940"/>
    <cellStyle name="Normal 124 14 2 4" xfId="29329"/>
    <cellStyle name="Normal 124 14 3" xfId="12995"/>
    <cellStyle name="Normal 124 14 4" xfId="19532"/>
    <cellStyle name="Normal 124 14 5" xfId="25925"/>
    <cellStyle name="Normal 124 15" xfId="4664"/>
    <cellStyle name="Normal 124 15 2" xfId="8100"/>
    <cellStyle name="Normal 124 15 2 2" xfId="16581"/>
    <cellStyle name="Normal 124 15 2 3" xfId="23095"/>
    <cellStyle name="Normal 124 15 2 4" xfId="29484"/>
    <cellStyle name="Normal 124 15 3" xfId="13154"/>
    <cellStyle name="Normal 124 15 4" xfId="19688"/>
    <cellStyle name="Normal 124 15 5" xfId="26080"/>
    <cellStyle name="Normal 124 16" xfId="4823"/>
    <cellStyle name="Normal 124 16 2" xfId="8254"/>
    <cellStyle name="Normal 124 16 2 2" xfId="16735"/>
    <cellStyle name="Normal 124 16 2 3" xfId="23249"/>
    <cellStyle name="Normal 124 16 2 4" xfId="29638"/>
    <cellStyle name="Normal 124 16 3" xfId="13312"/>
    <cellStyle name="Normal 124 16 4" xfId="19843"/>
    <cellStyle name="Normal 124 16 5" xfId="26234"/>
    <cellStyle name="Normal 124 17" xfId="4981"/>
    <cellStyle name="Normal 124 17 2" xfId="8407"/>
    <cellStyle name="Normal 124 17 2 2" xfId="16888"/>
    <cellStyle name="Normal 124 17 2 3" xfId="23402"/>
    <cellStyle name="Normal 124 17 2 4" xfId="29791"/>
    <cellStyle name="Normal 124 17 3" xfId="13469"/>
    <cellStyle name="Normal 124 17 4" xfId="19997"/>
    <cellStyle name="Normal 124 17 5" xfId="26387"/>
    <cellStyle name="Normal 124 18" xfId="5110"/>
    <cellStyle name="Normal 124 18 2" xfId="8531"/>
    <cellStyle name="Normal 124 18 2 2" xfId="17012"/>
    <cellStyle name="Normal 124 18 2 3" xfId="23526"/>
    <cellStyle name="Normal 124 18 2 4" xfId="29915"/>
    <cellStyle name="Normal 124 18 3" xfId="13596"/>
    <cellStyle name="Normal 124 18 4" xfId="20121"/>
    <cellStyle name="Normal 124 18 5" xfId="26511"/>
    <cellStyle name="Normal 124 19" xfId="5162"/>
    <cellStyle name="Normal 124 19 2" xfId="13644"/>
    <cellStyle name="Normal 124 19 3" xfId="20162"/>
    <cellStyle name="Normal 124 19 4" xfId="26551"/>
    <cellStyle name="Normal 124 2" xfId="1766"/>
    <cellStyle name="Normal 124 2 2" xfId="5364"/>
    <cellStyle name="Normal 124 2 2 2" xfId="13845"/>
    <cellStyle name="Normal 124 2 2 3" xfId="20359"/>
    <cellStyle name="Normal 124 2 2 4" xfId="26748"/>
    <cellStyle name="Normal 124 2 3" xfId="10338"/>
    <cellStyle name="Normal 124 2 4" xfId="9645"/>
    <cellStyle name="Normal 124 2 5" xfId="17511"/>
    <cellStyle name="Normal 124 20" xfId="9739"/>
    <cellStyle name="Normal 124 21" xfId="9990"/>
    <cellStyle name="Normal 124 22" xfId="9768"/>
    <cellStyle name="Normal 124 3" xfId="2100"/>
    <cellStyle name="Normal 124 3 2" xfId="5673"/>
    <cellStyle name="Normal 124 3 2 2" xfId="14154"/>
    <cellStyle name="Normal 124 3 2 3" xfId="20668"/>
    <cellStyle name="Normal 124 3 2 4" xfId="27057"/>
    <cellStyle name="Normal 124 3 3" xfId="10659"/>
    <cellStyle name="Normal 124 3 4" xfId="9411"/>
    <cellStyle name="Normal 124 3 5" xfId="11347"/>
    <cellStyle name="Normal 124 4" xfId="2820"/>
    <cellStyle name="Normal 124 4 2" xfId="6318"/>
    <cellStyle name="Normal 124 4 2 2" xfId="14799"/>
    <cellStyle name="Normal 124 4 2 3" xfId="21313"/>
    <cellStyle name="Normal 124 4 2 4" xfId="27702"/>
    <cellStyle name="Normal 124 4 3" xfId="11327"/>
    <cellStyle name="Normal 124 4 4" xfId="17896"/>
    <cellStyle name="Normal 124 4 5" xfId="24298"/>
    <cellStyle name="Normal 124 5" xfId="2994"/>
    <cellStyle name="Normal 124 5 2" xfId="6485"/>
    <cellStyle name="Normal 124 5 2 2" xfId="14966"/>
    <cellStyle name="Normal 124 5 2 3" xfId="21480"/>
    <cellStyle name="Normal 124 5 2 4" xfId="27869"/>
    <cellStyle name="Normal 124 5 3" xfId="11497"/>
    <cellStyle name="Normal 124 5 4" xfId="18063"/>
    <cellStyle name="Normal 124 5 5" xfId="24465"/>
    <cellStyle name="Normal 124 6" xfId="3167"/>
    <cellStyle name="Normal 124 6 2" xfId="6652"/>
    <cellStyle name="Normal 124 6 2 2" xfId="15133"/>
    <cellStyle name="Normal 124 6 2 3" xfId="21647"/>
    <cellStyle name="Normal 124 6 2 4" xfId="28036"/>
    <cellStyle name="Normal 124 6 3" xfId="11668"/>
    <cellStyle name="Normal 124 6 4" xfId="18230"/>
    <cellStyle name="Normal 124 6 5" xfId="24632"/>
    <cellStyle name="Normal 124 7" xfId="3340"/>
    <cellStyle name="Normal 124 7 2" xfId="6819"/>
    <cellStyle name="Normal 124 7 2 2" xfId="15300"/>
    <cellStyle name="Normal 124 7 2 3" xfId="21814"/>
    <cellStyle name="Normal 124 7 2 4" xfId="28203"/>
    <cellStyle name="Normal 124 7 3" xfId="11838"/>
    <cellStyle name="Normal 124 7 4" xfId="18397"/>
    <cellStyle name="Normal 124 7 5" xfId="24799"/>
    <cellStyle name="Normal 124 8" xfId="3511"/>
    <cellStyle name="Normal 124 8 2" xfId="6984"/>
    <cellStyle name="Normal 124 8 2 2" xfId="15465"/>
    <cellStyle name="Normal 124 8 2 3" xfId="21979"/>
    <cellStyle name="Normal 124 8 2 4" xfId="28368"/>
    <cellStyle name="Normal 124 8 3" xfId="12007"/>
    <cellStyle name="Normal 124 8 4" xfId="18563"/>
    <cellStyle name="Normal 124 8 5" xfId="24964"/>
    <cellStyle name="Normal 124 9" xfId="3681"/>
    <cellStyle name="Normal 124 9 2" xfId="7148"/>
    <cellStyle name="Normal 124 9 2 2" xfId="15629"/>
    <cellStyle name="Normal 124 9 2 3" xfId="22143"/>
    <cellStyle name="Normal 124 9 2 4" xfId="28532"/>
    <cellStyle name="Normal 124 9 3" xfId="12176"/>
    <cellStyle name="Normal 124 9 4" xfId="18729"/>
    <cellStyle name="Normal 124 9 5" xfId="25128"/>
    <cellStyle name="Normal 125" xfId="671"/>
    <cellStyle name="Normal 125 10" xfId="3849"/>
    <cellStyle name="Normal 125 10 2" xfId="7310"/>
    <cellStyle name="Normal 125 10 2 2" xfId="15791"/>
    <cellStyle name="Normal 125 10 2 3" xfId="22305"/>
    <cellStyle name="Normal 125 10 2 4" xfId="28694"/>
    <cellStyle name="Normal 125 10 3" xfId="12343"/>
    <cellStyle name="Normal 125 10 4" xfId="18893"/>
    <cellStyle name="Normal 125 10 5" xfId="25290"/>
    <cellStyle name="Normal 125 11" xfId="4016"/>
    <cellStyle name="Normal 125 11 2" xfId="7472"/>
    <cellStyle name="Normal 125 11 2 2" xfId="15953"/>
    <cellStyle name="Normal 125 11 2 3" xfId="22467"/>
    <cellStyle name="Normal 125 11 2 4" xfId="28856"/>
    <cellStyle name="Normal 125 11 3" xfId="12509"/>
    <cellStyle name="Normal 125 11 4" xfId="19056"/>
    <cellStyle name="Normal 125 11 5" xfId="25452"/>
    <cellStyle name="Normal 125 12" xfId="4181"/>
    <cellStyle name="Normal 125 12 2" xfId="7632"/>
    <cellStyle name="Normal 125 12 2 2" xfId="16113"/>
    <cellStyle name="Normal 125 12 2 3" xfId="22627"/>
    <cellStyle name="Normal 125 12 2 4" xfId="29016"/>
    <cellStyle name="Normal 125 12 3" xfId="12673"/>
    <cellStyle name="Normal 125 12 4" xfId="19217"/>
    <cellStyle name="Normal 125 12 5" xfId="25612"/>
    <cellStyle name="Normal 125 13" xfId="4343"/>
    <cellStyle name="Normal 125 13 2" xfId="7789"/>
    <cellStyle name="Normal 125 13 2 2" xfId="16270"/>
    <cellStyle name="Normal 125 13 2 3" xfId="22784"/>
    <cellStyle name="Normal 125 13 2 4" xfId="29173"/>
    <cellStyle name="Normal 125 13 3" xfId="12834"/>
    <cellStyle name="Normal 125 13 4" xfId="19375"/>
    <cellStyle name="Normal 125 13 5" xfId="25769"/>
    <cellStyle name="Normal 125 14" xfId="4503"/>
    <cellStyle name="Normal 125 14 2" xfId="7944"/>
    <cellStyle name="Normal 125 14 2 2" xfId="16425"/>
    <cellStyle name="Normal 125 14 2 3" xfId="22939"/>
    <cellStyle name="Normal 125 14 2 4" xfId="29328"/>
    <cellStyle name="Normal 125 14 3" xfId="12994"/>
    <cellStyle name="Normal 125 14 4" xfId="19531"/>
    <cellStyle name="Normal 125 14 5" xfId="25924"/>
    <cellStyle name="Normal 125 15" xfId="4663"/>
    <cellStyle name="Normal 125 15 2" xfId="8099"/>
    <cellStyle name="Normal 125 15 2 2" xfId="16580"/>
    <cellStyle name="Normal 125 15 2 3" xfId="23094"/>
    <cellStyle name="Normal 125 15 2 4" xfId="29483"/>
    <cellStyle name="Normal 125 15 3" xfId="13153"/>
    <cellStyle name="Normal 125 15 4" xfId="19687"/>
    <cellStyle name="Normal 125 15 5" xfId="26079"/>
    <cellStyle name="Normal 125 16" xfId="4822"/>
    <cellStyle name="Normal 125 16 2" xfId="8253"/>
    <cellStyle name="Normal 125 16 2 2" xfId="16734"/>
    <cellStyle name="Normal 125 16 2 3" xfId="23248"/>
    <cellStyle name="Normal 125 16 2 4" xfId="29637"/>
    <cellStyle name="Normal 125 16 3" xfId="13311"/>
    <cellStyle name="Normal 125 16 4" xfId="19842"/>
    <cellStyle name="Normal 125 16 5" xfId="26233"/>
    <cellStyle name="Normal 125 17" xfId="4980"/>
    <cellStyle name="Normal 125 17 2" xfId="8406"/>
    <cellStyle name="Normal 125 17 2 2" xfId="16887"/>
    <cellStyle name="Normal 125 17 2 3" xfId="23401"/>
    <cellStyle name="Normal 125 17 2 4" xfId="29790"/>
    <cellStyle name="Normal 125 17 3" xfId="13468"/>
    <cellStyle name="Normal 125 17 4" xfId="19996"/>
    <cellStyle name="Normal 125 17 5" xfId="26386"/>
    <cellStyle name="Normal 125 18" xfId="5109"/>
    <cellStyle name="Normal 125 18 2" xfId="8530"/>
    <cellStyle name="Normal 125 18 2 2" xfId="17011"/>
    <cellStyle name="Normal 125 18 2 3" xfId="23525"/>
    <cellStyle name="Normal 125 18 2 4" xfId="29914"/>
    <cellStyle name="Normal 125 18 3" xfId="13595"/>
    <cellStyle name="Normal 125 18 4" xfId="20120"/>
    <cellStyle name="Normal 125 18 5" xfId="26510"/>
    <cellStyle name="Normal 125 19" xfId="5163"/>
    <cellStyle name="Normal 125 19 2" xfId="13645"/>
    <cellStyle name="Normal 125 19 3" xfId="20163"/>
    <cellStyle name="Normal 125 19 4" xfId="26552"/>
    <cellStyle name="Normal 125 2" xfId="1767"/>
    <cellStyle name="Normal 125 2 2" xfId="5365"/>
    <cellStyle name="Normal 125 2 2 2" xfId="13846"/>
    <cellStyle name="Normal 125 2 2 3" xfId="20360"/>
    <cellStyle name="Normal 125 2 2 4" xfId="26749"/>
    <cellStyle name="Normal 125 2 3" xfId="10339"/>
    <cellStyle name="Normal 125 2 4" xfId="9644"/>
    <cellStyle name="Normal 125 2 5" xfId="10112"/>
    <cellStyle name="Normal 125 20" xfId="9740"/>
    <cellStyle name="Normal 125 21" xfId="9989"/>
    <cellStyle name="Normal 125 22" xfId="9769"/>
    <cellStyle name="Normal 125 3" xfId="2101"/>
    <cellStyle name="Normal 125 3 2" xfId="5674"/>
    <cellStyle name="Normal 125 3 2 2" xfId="14155"/>
    <cellStyle name="Normal 125 3 2 3" xfId="20669"/>
    <cellStyle name="Normal 125 3 2 4" xfId="27058"/>
    <cellStyle name="Normal 125 3 3" xfId="10660"/>
    <cellStyle name="Normal 125 3 4" xfId="9410"/>
    <cellStyle name="Normal 125 3 5" xfId="11517"/>
    <cellStyle name="Normal 125 4" xfId="2819"/>
    <cellStyle name="Normal 125 4 2" xfId="6317"/>
    <cellStyle name="Normal 125 4 2 2" xfId="14798"/>
    <cellStyle name="Normal 125 4 2 3" xfId="21312"/>
    <cellStyle name="Normal 125 4 2 4" xfId="27701"/>
    <cellStyle name="Normal 125 4 3" xfId="11326"/>
    <cellStyle name="Normal 125 4 4" xfId="17895"/>
    <cellStyle name="Normal 125 4 5" xfId="24297"/>
    <cellStyle name="Normal 125 5" xfId="2993"/>
    <cellStyle name="Normal 125 5 2" xfId="6484"/>
    <cellStyle name="Normal 125 5 2 2" xfId="14965"/>
    <cellStyle name="Normal 125 5 2 3" xfId="21479"/>
    <cellStyle name="Normal 125 5 2 4" xfId="27868"/>
    <cellStyle name="Normal 125 5 3" xfId="11496"/>
    <cellStyle name="Normal 125 5 4" xfId="18062"/>
    <cellStyle name="Normal 125 5 5" xfId="24464"/>
    <cellStyle name="Normal 125 6" xfId="3166"/>
    <cellStyle name="Normal 125 6 2" xfId="6651"/>
    <cellStyle name="Normal 125 6 2 2" xfId="15132"/>
    <cellStyle name="Normal 125 6 2 3" xfId="21646"/>
    <cellStyle name="Normal 125 6 2 4" xfId="28035"/>
    <cellStyle name="Normal 125 6 3" xfId="11667"/>
    <cellStyle name="Normal 125 6 4" xfId="18229"/>
    <cellStyle name="Normal 125 6 5" xfId="24631"/>
    <cellStyle name="Normal 125 7" xfId="3339"/>
    <cellStyle name="Normal 125 7 2" xfId="6818"/>
    <cellStyle name="Normal 125 7 2 2" xfId="15299"/>
    <cellStyle name="Normal 125 7 2 3" xfId="21813"/>
    <cellStyle name="Normal 125 7 2 4" xfId="28202"/>
    <cellStyle name="Normal 125 7 3" xfId="11837"/>
    <cellStyle name="Normal 125 7 4" xfId="18396"/>
    <cellStyle name="Normal 125 7 5" xfId="24798"/>
    <cellStyle name="Normal 125 8" xfId="3510"/>
    <cellStyle name="Normal 125 8 2" xfId="6983"/>
    <cellStyle name="Normal 125 8 2 2" xfId="15464"/>
    <cellStyle name="Normal 125 8 2 3" xfId="21978"/>
    <cellStyle name="Normal 125 8 2 4" xfId="28367"/>
    <cellStyle name="Normal 125 8 3" xfId="12006"/>
    <cellStyle name="Normal 125 8 4" xfId="18562"/>
    <cellStyle name="Normal 125 8 5" xfId="24963"/>
    <cellStyle name="Normal 125 9" xfId="3680"/>
    <cellStyle name="Normal 125 9 2" xfId="7147"/>
    <cellStyle name="Normal 125 9 2 2" xfId="15628"/>
    <cellStyle name="Normal 125 9 2 3" xfId="22142"/>
    <cellStyle name="Normal 125 9 2 4" xfId="28531"/>
    <cellStyle name="Normal 125 9 3" xfId="12175"/>
    <cellStyle name="Normal 125 9 4" xfId="18728"/>
    <cellStyle name="Normal 125 9 5" xfId="25127"/>
    <cellStyle name="Normal 126" xfId="672"/>
    <cellStyle name="Normal 126 10" xfId="3848"/>
    <cellStyle name="Normal 126 10 2" xfId="7309"/>
    <cellStyle name="Normal 126 10 2 2" xfId="15790"/>
    <cellStyle name="Normal 126 10 2 3" xfId="22304"/>
    <cellStyle name="Normal 126 10 2 4" xfId="28693"/>
    <cellStyle name="Normal 126 10 3" xfId="12342"/>
    <cellStyle name="Normal 126 10 4" xfId="18892"/>
    <cellStyle name="Normal 126 10 5" xfId="25289"/>
    <cellStyle name="Normal 126 11" xfId="4015"/>
    <cellStyle name="Normal 126 11 2" xfId="7471"/>
    <cellStyle name="Normal 126 11 2 2" xfId="15952"/>
    <cellStyle name="Normal 126 11 2 3" xfId="22466"/>
    <cellStyle name="Normal 126 11 2 4" xfId="28855"/>
    <cellStyle name="Normal 126 11 3" xfId="12508"/>
    <cellStyle name="Normal 126 11 4" xfId="19055"/>
    <cellStyle name="Normal 126 11 5" xfId="25451"/>
    <cellStyle name="Normal 126 12" xfId="4180"/>
    <cellStyle name="Normal 126 12 2" xfId="7631"/>
    <cellStyle name="Normal 126 12 2 2" xfId="16112"/>
    <cellStyle name="Normal 126 12 2 3" xfId="22626"/>
    <cellStyle name="Normal 126 12 2 4" xfId="29015"/>
    <cellStyle name="Normal 126 12 3" xfId="12672"/>
    <cellStyle name="Normal 126 12 4" xfId="19216"/>
    <cellStyle name="Normal 126 12 5" xfId="25611"/>
    <cellStyle name="Normal 126 13" xfId="4342"/>
    <cellStyle name="Normal 126 13 2" xfId="7788"/>
    <cellStyle name="Normal 126 13 2 2" xfId="16269"/>
    <cellStyle name="Normal 126 13 2 3" xfId="22783"/>
    <cellStyle name="Normal 126 13 2 4" xfId="29172"/>
    <cellStyle name="Normal 126 13 3" xfId="12833"/>
    <cellStyle name="Normal 126 13 4" xfId="19374"/>
    <cellStyle name="Normal 126 13 5" xfId="25768"/>
    <cellStyle name="Normal 126 14" xfId="4502"/>
    <cellStyle name="Normal 126 14 2" xfId="7943"/>
    <cellStyle name="Normal 126 14 2 2" xfId="16424"/>
    <cellStyle name="Normal 126 14 2 3" xfId="22938"/>
    <cellStyle name="Normal 126 14 2 4" xfId="29327"/>
    <cellStyle name="Normal 126 14 3" xfId="12993"/>
    <cellStyle name="Normal 126 14 4" xfId="19530"/>
    <cellStyle name="Normal 126 14 5" xfId="25923"/>
    <cellStyle name="Normal 126 15" xfId="4662"/>
    <cellStyle name="Normal 126 15 2" xfId="8098"/>
    <cellStyle name="Normal 126 15 2 2" xfId="16579"/>
    <cellStyle name="Normal 126 15 2 3" xfId="23093"/>
    <cellStyle name="Normal 126 15 2 4" xfId="29482"/>
    <cellStyle name="Normal 126 15 3" xfId="13152"/>
    <cellStyle name="Normal 126 15 4" xfId="19686"/>
    <cellStyle name="Normal 126 15 5" xfId="26078"/>
    <cellStyle name="Normal 126 16" xfId="4821"/>
    <cellStyle name="Normal 126 16 2" xfId="8252"/>
    <cellStyle name="Normal 126 16 2 2" xfId="16733"/>
    <cellStyle name="Normal 126 16 2 3" xfId="23247"/>
    <cellStyle name="Normal 126 16 2 4" xfId="29636"/>
    <cellStyle name="Normal 126 16 3" xfId="13310"/>
    <cellStyle name="Normal 126 16 4" xfId="19841"/>
    <cellStyle name="Normal 126 16 5" xfId="26232"/>
    <cellStyle name="Normal 126 17" xfId="4979"/>
    <cellStyle name="Normal 126 17 2" xfId="8405"/>
    <cellStyle name="Normal 126 17 2 2" xfId="16886"/>
    <cellStyle name="Normal 126 17 2 3" xfId="23400"/>
    <cellStyle name="Normal 126 17 2 4" xfId="29789"/>
    <cellStyle name="Normal 126 17 3" xfId="13467"/>
    <cellStyle name="Normal 126 17 4" xfId="19995"/>
    <cellStyle name="Normal 126 17 5" xfId="26385"/>
    <cellStyle name="Normal 126 18" xfId="5108"/>
    <cellStyle name="Normal 126 18 2" xfId="8529"/>
    <cellStyle name="Normal 126 18 2 2" xfId="17010"/>
    <cellStyle name="Normal 126 18 2 3" xfId="23524"/>
    <cellStyle name="Normal 126 18 2 4" xfId="29913"/>
    <cellStyle name="Normal 126 18 3" xfId="13594"/>
    <cellStyle name="Normal 126 18 4" xfId="20119"/>
    <cellStyle name="Normal 126 18 5" xfId="26509"/>
    <cellStyle name="Normal 126 19" xfId="5164"/>
    <cellStyle name="Normal 126 19 2" xfId="13646"/>
    <cellStyle name="Normal 126 19 3" xfId="20164"/>
    <cellStyle name="Normal 126 19 4" xfId="26553"/>
    <cellStyle name="Normal 126 2" xfId="1768"/>
    <cellStyle name="Normal 126 2 2" xfId="5366"/>
    <cellStyle name="Normal 126 2 2 2" xfId="13847"/>
    <cellStyle name="Normal 126 2 2 3" xfId="20361"/>
    <cellStyle name="Normal 126 2 2 4" xfId="26750"/>
    <cellStyle name="Normal 126 2 3" xfId="10340"/>
    <cellStyle name="Normal 126 2 4" xfId="9643"/>
    <cellStyle name="Normal 126 2 5" xfId="17486"/>
    <cellStyle name="Normal 126 20" xfId="9741"/>
    <cellStyle name="Normal 126 21" xfId="9988"/>
    <cellStyle name="Normal 126 22" xfId="9770"/>
    <cellStyle name="Normal 126 3" xfId="2102"/>
    <cellStyle name="Normal 126 3 2" xfId="5675"/>
    <cellStyle name="Normal 126 3 2 2" xfId="14156"/>
    <cellStyle name="Normal 126 3 2 3" xfId="20670"/>
    <cellStyle name="Normal 126 3 2 4" xfId="27059"/>
    <cellStyle name="Normal 126 3 3" xfId="10661"/>
    <cellStyle name="Normal 126 3 4" xfId="17425"/>
    <cellStyle name="Normal 126 3 5" xfId="23861"/>
    <cellStyle name="Normal 126 4" xfId="2818"/>
    <cellStyle name="Normal 126 4 2" xfId="6316"/>
    <cellStyle name="Normal 126 4 2 2" xfId="14797"/>
    <cellStyle name="Normal 126 4 2 3" xfId="21311"/>
    <cellStyle name="Normal 126 4 2 4" xfId="27700"/>
    <cellStyle name="Normal 126 4 3" xfId="11325"/>
    <cellStyle name="Normal 126 4 4" xfId="17894"/>
    <cellStyle name="Normal 126 4 5" xfId="24296"/>
    <cellStyle name="Normal 126 5" xfId="2992"/>
    <cellStyle name="Normal 126 5 2" xfId="6483"/>
    <cellStyle name="Normal 126 5 2 2" xfId="14964"/>
    <cellStyle name="Normal 126 5 2 3" xfId="21478"/>
    <cellStyle name="Normal 126 5 2 4" xfId="27867"/>
    <cellStyle name="Normal 126 5 3" xfId="11495"/>
    <cellStyle name="Normal 126 5 4" xfId="18061"/>
    <cellStyle name="Normal 126 5 5" xfId="24463"/>
    <cellStyle name="Normal 126 6" xfId="3165"/>
    <cellStyle name="Normal 126 6 2" xfId="6650"/>
    <cellStyle name="Normal 126 6 2 2" xfId="15131"/>
    <cellStyle name="Normal 126 6 2 3" xfId="21645"/>
    <cellStyle name="Normal 126 6 2 4" xfId="28034"/>
    <cellStyle name="Normal 126 6 3" xfId="11666"/>
    <cellStyle name="Normal 126 6 4" xfId="18228"/>
    <cellStyle name="Normal 126 6 5" xfId="24630"/>
    <cellStyle name="Normal 126 7" xfId="3338"/>
    <cellStyle name="Normal 126 7 2" xfId="6817"/>
    <cellStyle name="Normal 126 7 2 2" xfId="15298"/>
    <cellStyle name="Normal 126 7 2 3" xfId="21812"/>
    <cellStyle name="Normal 126 7 2 4" xfId="28201"/>
    <cellStyle name="Normal 126 7 3" xfId="11836"/>
    <cellStyle name="Normal 126 7 4" xfId="18395"/>
    <cellStyle name="Normal 126 7 5" xfId="24797"/>
    <cellStyle name="Normal 126 8" xfId="3509"/>
    <cellStyle name="Normal 126 8 2" xfId="6982"/>
    <cellStyle name="Normal 126 8 2 2" xfId="15463"/>
    <cellStyle name="Normal 126 8 2 3" xfId="21977"/>
    <cellStyle name="Normal 126 8 2 4" xfId="28366"/>
    <cellStyle name="Normal 126 8 3" xfId="12005"/>
    <cellStyle name="Normal 126 8 4" xfId="18561"/>
    <cellStyle name="Normal 126 8 5" xfId="24962"/>
    <cellStyle name="Normal 126 9" xfId="3679"/>
    <cellStyle name="Normal 126 9 2" xfId="7146"/>
    <cellStyle name="Normal 126 9 2 2" xfId="15627"/>
    <cellStyle name="Normal 126 9 2 3" xfId="22141"/>
    <cellStyle name="Normal 126 9 2 4" xfId="28530"/>
    <cellStyle name="Normal 126 9 3" xfId="12174"/>
    <cellStyle name="Normal 126 9 4" xfId="18727"/>
    <cellStyle name="Normal 126 9 5" xfId="25126"/>
    <cellStyle name="Normal 127" xfId="673"/>
    <cellStyle name="Normal 127 10" xfId="3847"/>
    <cellStyle name="Normal 127 10 2" xfId="7308"/>
    <cellStyle name="Normal 127 10 2 2" xfId="15789"/>
    <cellStyle name="Normal 127 10 2 3" xfId="22303"/>
    <cellStyle name="Normal 127 10 2 4" xfId="28692"/>
    <cellStyle name="Normal 127 10 3" xfId="12341"/>
    <cellStyle name="Normal 127 10 4" xfId="18891"/>
    <cellStyle name="Normal 127 10 5" xfId="25288"/>
    <cellStyle name="Normal 127 11" xfId="4014"/>
    <cellStyle name="Normal 127 11 2" xfId="7470"/>
    <cellStyle name="Normal 127 11 2 2" xfId="15951"/>
    <cellStyle name="Normal 127 11 2 3" xfId="22465"/>
    <cellStyle name="Normal 127 11 2 4" xfId="28854"/>
    <cellStyle name="Normal 127 11 3" xfId="12507"/>
    <cellStyle name="Normal 127 11 4" xfId="19054"/>
    <cellStyle name="Normal 127 11 5" xfId="25450"/>
    <cellStyle name="Normal 127 12" xfId="4179"/>
    <cellStyle name="Normal 127 12 2" xfId="7630"/>
    <cellStyle name="Normal 127 12 2 2" xfId="16111"/>
    <cellStyle name="Normal 127 12 2 3" xfId="22625"/>
    <cellStyle name="Normal 127 12 2 4" xfId="29014"/>
    <cellStyle name="Normal 127 12 3" xfId="12671"/>
    <cellStyle name="Normal 127 12 4" xfId="19215"/>
    <cellStyle name="Normal 127 12 5" xfId="25610"/>
    <cellStyle name="Normal 127 13" xfId="4341"/>
    <cellStyle name="Normal 127 13 2" xfId="7787"/>
    <cellStyle name="Normal 127 13 2 2" xfId="16268"/>
    <cellStyle name="Normal 127 13 2 3" xfId="22782"/>
    <cellStyle name="Normal 127 13 2 4" xfId="29171"/>
    <cellStyle name="Normal 127 13 3" xfId="12832"/>
    <cellStyle name="Normal 127 13 4" xfId="19373"/>
    <cellStyle name="Normal 127 13 5" xfId="25767"/>
    <cellStyle name="Normal 127 14" xfId="4501"/>
    <cellStyle name="Normal 127 14 2" xfId="7942"/>
    <cellStyle name="Normal 127 14 2 2" xfId="16423"/>
    <cellStyle name="Normal 127 14 2 3" xfId="22937"/>
    <cellStyle name="Normal 127 14 2 4" xfId="29326"/>
    <cellStyle name="Normal 127 14 3" xfId="12992"/>
    <cellStyle name="Normal 127 14 4" xfId="19529"/>
    <cellStyle name="Normal 127 14 5" xfId="25922"/>
    <cellStyle name="Normal 127 15" xfId="4661"/>
    <cellStyle name="Normal 127 15 2" xfId="8097"/>
    <cellStyle name="Normal 127 15 2 2" xfId="16578"/>
    <cellStyle name="Normal 127 15 2 3" xfId="23092"/>
    <cellStyle name="Normal 127 15 2 4" xfId="29481"/>
    <cellStyle name="Normal 127 15 3" xfId="13151"/>
    <cellStyle name="Normal 127 15 4" xfId="19685"/>
    <cellStyle name="Normal 127 15 5" xfId="26077"/>
    <cellStyle name="Normal 127 16" xfId="4820"/>
    <cellStyle name="Normal 127 16 2" xfId="8251"/>
    <cellStyle name="Normal 127 16 2 2" xfId="16732"/>
    <cellStyle name="Normal 127 16 2 3" xfId="23246"/>
    <cellStyle name="Normal 127 16 2 4" xfId="29635"/>
    <cellStyle name="Normal 127 16 3" xfId="13309"/>
    <cellStyle name="Normal 127 16 4" xfId="19840"/>
    <cellStyle name="Normal 127 16 5" xfId="26231"/>
    <cellStyle name="Normal 127 17" xfId="4978"/>
    <cellStyle name="Normal 127 17 2" xfId="8404"/>
    <cellStyle name="Normal 127 17 2 2" xfId="16885"/>
    <cellStyle name="Normal 127 17 2 3" xfId="23399"/>
    <cellStyle name="Normal 127 17 2 4" xfId="29788"/>
    <cellStyle name="Normal 127 17 3" xfId="13466"/>
    <cellStyle name="Normal 127 17 4" xfId="19994"/>
    <cellStyle name="Normal 127 17 5" xfId="26384"/>
    <cellStyle name="Normal 127 18" xfId="5107"/>
    <cellStyle name="Normal 127 18 2" xfId="8528"/>
    <cellStyle name="Normal 127 18 2 2" xfId="17009"/>
    <cellStyle name="Normal 127 18 2 3" xfId="23523"/>
    <cellStyle name="Normal 127 18 2 4" xfId="29912"/>
    <cellStyle name="Normal 127 18 3" xfId="13593"/>
    <cellStyle name="Normal 127 18 4" xfId="20118"/>
    <cellStyle name="Normal 127 18 5" xfId="26508"/>
    <cellStyle name="Normal 127 19" xfId="5165"/>
    <cellStyle name="Normal 127 19 2" xfId="13647"/>
    <cellStyle name="Normal 127 19 3" xfId="20165"/>
    <cellStyle name="Normal 127 19 4" xfId="26554"/>
    <cellStyle name="Normal 127 2" xfId="1769"/>
    <cellStyle name="Normal 127 2 2" xfId="5367"/>
    <cellStyle name="Normal 127 2 2 2" xfId="13848"/>
    <cellStyle name="Normal 127 2 2 3" xfId="20362"/>
    <cellStyle name="Normal 127 2 2 4" xfId="26751"/>
    <cellStyle name="Normal 127 2 3" xfId="10341"/>
    <cellStyle name="Normal 127 2 4" xfId="9642"/>
    <cellStyle name="Normal 127 2 5" xfId="17337"/>
    <cellStyle name="Normal 127 20" xfId="9742"/>
    <cellStyle name="Normal 127 21" xfId="9987"/>
    <cellStyle name="Normal 127 22" xfId="9771"/>
    <cellStyle name="Normal 127 3" xfId="2103"/>
    <cellStyle name="Normal 127 3 2" xfId="5676"/>
    <cellStyle name="Normal 127 3 2 2" xfId="14157"/>
    <cellStyle name="Normal 127 3 2 3" xfId="20671"/>
    <cellStyle name="Normal 127 3 2 4" xfId="27060"/>
    <cellStyle name="Normal 127 3 3" xfId="10662"/>
    <cellStyle name="Normal 127 3 4" xfId="9409"/>
    <cellStyle name="Normal 127 3 5" xfId="11688"/>
    <cellStyle name="Normal 127 4" xfId="2817"/>
    <cellStyle name="Normal 127 4 2" xfId="6315"/>
    <cellStyle name="Normal 127 4 2 2" xfId="14796"/>
    <cellStyle name="Normal 127 4 2 3" xfId="21310"/>
    <cellStyle name="Normal 127 4 2 4" xfId="27699"/>
    <cellStyle name="Normal 127 4 3" xfId="11324"/>
    <cellStyle name="Normal 127 4 4" xfId="17893"/>
    <cellStyle name="Normal 127 4 5" xfId="24295"/>
    <cellStyle name="Normal 127 5" xfId="2991"/>
    <cellStyle name="Normal 127 5 2" xfId="6482"/>
    <cellStyle name="Normal 127 5 2 2" xfId="14963"/>
    <cellStyle name="Normal 127 5 2 3" xfId="21477"/>
    <cellStyle name="Normal 127 5 2 4" xfId="27866"/>
    <cellStyle name="Normal 127 5 3" xfId="11494"/>
    <cellStyle name="Normal 127 5 4" xfId="18060"/>
    <cellStyle name="Normal 127 5 5" xfId="24462"/>
    <cellStyle name="Normal 127 6" xfId="3164"/>
    <cellStyle name="Normal 127 6 2" xfId="6649"/>
    <cellStyle name="Normal 127 6 2 2" xfId="15130"/>
    <cellStyle name="Normal 127 6 2 3" xfId="21644"/>
    <cellStyle name="Normal 127 6 2 4" xfId="28033"/>
    <cellStyle name="Normal 127 6 3" xfId="11665"/>
    <cellStyle name="Normal 127 6 4" xfId="18227"/>
    <cellStyle name="Normal 127 6 5" xfId="24629"/>
    <cellStyle name="Normal 127 7" xfId="3337"/>
    <cellStyle name="Normal 127 7 2" xfId="6816"/>
    <cellStyle name="Normal 127 7 2 2" xfId="15297"/>
    <cellStyle name="Normal 127 7 2 3" xfId="21811"/>
    <cellStyle name="Normal 127 7 2 4" xfId="28200"/>
    <cellStyle name="Normal 127 7 3" xfId="11835"/>
    <cellStyle name="Normal 127 7 4" xfId="18394"/>
    <cellStyle name="Normal 127 7 5" xfId="24796"/>
    <cellStyle name="Normal 127 8" xfId="3508"/>
    <cellStyle name="Normal 127 8 2" xfId="6981"/>
    <cellStyle name="Normal 127 8 2 2" xfId="15462"/>
    <cellStyle name="Normal 127 8 2 3" xfId="21976"/>
    <cellStyle name="Normal 127 8 2 4" xfId="28365"/>
    <cellStyle name="Normal 127 8 3" xfId="12004"/>
    <cellStyle name="Normal 127 8 4" xfId="18560"/>
    <cellStyle name="Normal 127 8 5" xfId="24961"/>
    <cellStyle name="Normal 127 9" xfId="3678"/>
    <cellStyle name="Normal 127 9 2" xfId="7145"/>
    <cellStyle name="Normal 127 9 2 2" xfId="15626"/>
    <cellStyle name="Normal 127 9 2 3" xfId="22140"/>
    <cellStyle name="Normal 127 9 2 4" xfId="28529"/>
    <cellStyle name="Normal 127 9 3" xfId="12173"/>
    <cellStyle name="Normal 127 9 4" xfId="18726"/>
    <cellStyle name="Normal 127 9 5" xfId="25125"/>
    <cellStyle name="Normal 128" xfId="674"/>
    <cellStyle name="Normal 128 10" xfId="3846"/>
    <cellStyle name="Normal 128 10 2" xfId="7307"/>
    <cellStyle name="Normal 128 10 2 2" xfId="15788"/>
    <cellStyle name="Normal 128 10 2 3" xfId="22302"/>
    <cellStyle name="Normal 128 10 2 4" xfId="28691"/>
    <cellStyle name="Normal 128 10 3" xfId="12340"/>
    <cellStyle name="Normal 128 10 4" xfId="18890"/>
    <cellStyle name="Normal 128 10 5" xfId="25287"/>
    <cellStyle name="Normal 128 11" xfId="4013"/>
    <cellStyle name="Normal 128 11 2" xfId="7469"/>
    <cellStyle name="Normal 128 11 2 2" xfId="15950"/>
    <cellStyle name="Normal 128 11 2 3" xfId="22464"/>
    <cellStyle name="Normal 128 11 2 4" xfId="28853"/>
    <cellStyle name="Normal 128 11 3" xfId="12506"/>
    <cellStyle name="Normal 128 11 4" xfId="19053"/>
    <cellStyle name="Normal 128 11 5" xfId="25449"/>
    <cellStyle name="Normal 128 12" xfId="4178"/>
    <cellStyle name="Normal 128 12 2" xfId="7629"/>
    <cellStyle name="Normal 128 12 2 2" xfId="16110"/>
    <cellStyle name="Normal 128 12 2 3" xfId="22624"/>
    <cellStyle name="Normal 128 12 2 4" xfId="29013"/>
    <cellStyle name="Normal 128 12 3" xfId="12670"/>
    <cellStyle name="Normal 128 12 4" xfId="19214"/>
    <cellStyle name="Normal 128 12 5" xfId="25609"/>
    <cellStyle name="Normal 128 13" xfId="4340"/>
    <cellStyle name="Normal 128 13 2" xfId="7786"/>
    <cellStyle name="Normal 128 13 2 2" xfId="16267"/>
    <cellStyle name="Normal 128 13 2 3" xfId="22781"/>
    <cellStyle name="Normal 128 13 2 4" xfId="29170"/>
    <cellStyle name="Normal 128 13 3" xfId="12831"/>
    <cellStyle name="Normal 128 13 4" xfId="19372"/>
    <cellStyle name="Normal 128 13 5" xfId="25766"/>
    <cellStyle name="Normal 128 14" xfId="4500"/>
    <cellStyle name="Normal 128 14 2" xfId="7941"/>
    <cellStyle name="Normal 128 14 2 2" xfId="16422"/>
    <cellStyle name="Normal 128 14 2 3" xfId="22936"/>
    <cellStyle name="Normal 128 14 2 4" xfId="29325"/>
    <cellStyle name="Normal 128 14 3" xfId="12991"/>
    <cellStyle name="Normal 128 14 4" xfId="19528"/>
    <cellStyle name="Normal 128 14 5" xfId="25921"/>
    <cellStyle name="Normal 128 15" xfId="4660"/>
    <cellStyle name="Normal 128 15 2" xfId="8096"/>
    <cellStyle name="Normal 128 15 2 2" xfId="16577"/>
    <cellStyle name="Normal 128 15 2 3" xfId="23091"/>
    <cellStyle name="Normal 128 15 2 4" xfId="29480"/>
    <cellStyle name="Normal 128 15 3" xfId="13150"/>
    <cellStyle name="Normal 128 15 4" xfId="19684"/>
    <cellStyle name="Normal 128 15 5" xfId="26076"/>
    <cellStyle name="Normal 128 16" xfId="4819"/>
    <cellStyle name="Normal 128 16 2" xfId="8250"/>
    <cellStyle name="Normal 128 16 2 2" xfId="16731"/>
    <cellStyle name="Normal 128 16 2 3" xfId="23245"/>
    <cellStyle name="Normal 128 16 2 4" xfId="29634"/>
    <cellStyle name="Normal 128 16 3" xfId="13308"/>
    <cellStyle name="Normal 128 16 4" xfId="19839"/>
    <cellStyle name="Normal 128 16 5" xfId="26230"/>
    <cellStyle name="Normal 128 17" xfId="4977"/>
    <cellStyle name="Normal 128 17 2" xfId="8403"/>
    <cellStyle name="Normal 128 17 2 2" xfId="16884"/>
    <cellStyle name="Normal 128 17 2 3" xfId="23398"/>
    <cellStyle name="Normal 128 17 2 4" xfId="29787"/>
    <cellStyle name="Normal 128 17 3" xfId="13465"/>
    <cellStyle name="Normal 128 17 4" xfId="19993"/>
    <cellStyle name="Normal 128 17 5" xfId="26383"/>
    <cellStyle name="Normal 128 18" xfId="5106"/>
    <cellStyle name="Normal 128 18 2" xfId="8527"/>
    <cellStyle name="Normal 128 18 2 2" xfId="17008"/>
    <cellStyle name="Normal 128 18 2 3" xfId="23522"/>
    <cellStyle name="Normal 128 18 2 4" xfId="29911"/>
    <cellStyle name="Normal 128 18 3" xfId="13592"/>
    <cellStyle name="Normal 128 18 4" xfId="20117"/>
    <cellStyle name="Normal 128 18 5" xfId="26507"/>
    <cellStyle name="Normal 128 19" xfId="5166"/>
    <cellStyle name="Normal 128 19 2" xfId="13648"/>
    <cellStyle name="Normal 128 19 3" xfId="20166"/>
    <cellStyle name="Normal 128 19 4" xfId="26555"/>
    <cellStyle name="Normal 128 2" xfId="1770"/>
    <cellStyle name="Normal 128 2 2" xfId="5368"/>
    <cellStyle name="Normal 128 2 2 2" xfId="13849"/>
    <cellStyle name="Normal 128 2 2 3" xfId="20363"/>
    <cellStyle name="Normal 128 2 2 4" xfId="26752"/>
    <cellStyle name="Normal 128 2 3" xfId="10342"/>
    <cellStyle name="Normal 128 2 4" xfId="9641"/>
    <cellStyle name="Normal 128 2 5" xfId="10113"/>
    <cellStyle name="Normal 128 20" xfId="9743"/>
    <cellStyle name="Normal 128 21" xfId="9986"/>
    <cellStyle name="Normal 128 22" xfId="9772"/>
    <cellStyle name="Normal 128 3" xfId="2104"/>
    <cellStyle name="Normal 128 3 2" xfId="5677"/>
    <cellStyle name="Normal 128 3 2 2" xfId="14158"/>
    <cellStyle name="Normal 128 3 2 3" xfId="20672"/>
    <cellStyle name="Normal 128 3 2 4" xfId="27061"/>
    <cellStyle name="Normal 128 3 3" xfId="10663"/>
    <cellStyle name="Normal 128 3 4" xfId="9408"/>
    <cellStyle name="Normal 128 3 5" xfId="11856"/>
    <cellStyle name="Normal 128 4" xfId="2816"/>
    <cellStyle name="Normal 128 4 2" xfId="6314"/>
    <cellStyle name="Normal 128 4 2 2" xfId="14795"/>
    <cellStyle name="Normal 128 4 2 3" xfId="21309"/>
    <cellStyle name="Normal 128 4 2 4" xfId="27698"/>
    <cellStyle name="Normal 128 4 3" xfId="11323"/>
    <cellStyle name="Normal 128 4 4" xfId="17892"/>
    <cellStyle name="Normal 128 4 5" xfId="24294"/>
    <cellStyle name="Normal 128 5" xfId="2990"/>
    <cellStyle name="Normal 128 5 2" xfId="6481"/>
    <cellStyle name="Normal 128 5 2 2" xfId="14962"/>
    <cellStyle name="Normal 128 5 2 3" xfId="21476"/>
    <cellStyle name="Normal 128 5 2 4" xfId="27865"/>
    <cellStyle name="Normal 128 5 3" xfId="11493"/>
    <cellStyle name="Normal 128 5 4" xfId="18059"/>
    <cellStyle name="Normal 128 5 5" xfId="24461"/>
    <cellStyle name="Normal 128 6" xfId="3163"/>
    <cellStyle name="Normal 128 6 2" xfId="6648"/>
    <cellStyle name="Normal 128 6 2 2" xfId="15129"/>
    <cellStyle name="Normal 128 6 2 3" xfId="21643"/>
    <cellStyle name="Normal 128 6 2 4" xfId="28032"/>
    <cellStyle name="Normal 128 6 3" xfId="11664"/>
    <cellStyle name="Normal 128 6 4" xfId="18226"/>
    <cellStyle name="Normal 128 6 5" xfId="24628"/>
    <cellStyle name="Normal 128 7" xfId="3336"/>
    <cellStyle name="Normal 128 7 2" xfId="6815"/>
    <cellStyle name="Normal 128 7 2 2" xfId="15296"/>
    <cellStyle name="Normal 128 7 2 3" xfId="21810"/>
    <cellStyle name="Normal 128 7 2 4" xfId="28199"/>
    <cellStyle name="Normal 128 7 3" xfId="11834"/>
    <cellStyle name="Normal 128 7 4" xfId="18393"/>
    <cellStyle name="Normal 128 7 5" xfId="24795"/>
    <cellStyle name="Normal 128 8" xfId="3507"/>
    <cellStyle name="Normal 128 8 2" xfId="6980"/>
    <cellStyle name="Normal 128 8 2 2" xfId="15461"/>
    <cellStyle name="Normal 128 8 2 3" xfId="21975"/>
    <cellStyle name="Normal 128 8 2 4" xfId="28364"/>
    <cellStyle name="Normal 128 8 3" xfId="12003"/>
    <cellStyle name="Normal 128 8 4" xfId="18559"/>
    <cellStyle name="Normal 128 8 5" xfId="24960"/>
    <cellStyle name="Normal 128 9" xfId="3677"/>
    <cellStyle name="Normal 128 9 2" xfId="7144"/>
    <cellStyle name="Normal 128 9 2 2" xfId="15625"/>
    <cellStyle name="Normal 128 9 2 3" xfId="22139"/>
    <cellStyle name="Normal 128 9 2 4" xfId="28528"/>
    <cellStyle name="Normal 128 9 3" xfId="12172"/>
    <cellStyle name="Normal 128 9 4" xfId="18725"/>
    <cellStyle name="Normal 128 9 5" xfId="25124"/>
    <cellStyle name="Normal 129" xfId="675"/>
    <cellStyle name="Normal 129 10" xfId="3845"/>
    <cellStyle name="Normal 129 10 2" xfId="7306"/>
    <cellStyle name="Normal 129 10 2 2" xfId="15787"/>
    <cellStyle name="Normal 129 10 2 3" xfId="22301"/>
    <cellStyle name="Normal 129 10 2 4" xfId="28690"/>
    <cellStyle name="Normal 129 10 3" xfId="12339"/>
    <cellStyle name="Normal 129 10 4" xfId="18889"/>
    <cellStyle name="Normal 129 10 5" xfId="25286"/>
    <cellStyle name="Normal 129 11" xfId="4012"/>
    <cellStyle name="Normal 129 11 2" xfId="7468"/>
    <cellStyle name="Normal 129 11 2 2" xfId="15949"/>
    <cellStyle name="Normal 129 11 2 3" xfId="22463"/>
    <cellStyle name="Normal 129 11 2 4" xfId="28852"/>
    <cellStyle name="Normal 129 11 3" xfId="12505"/>
    <cellStyle name="Normal 129 11 4" xfId="19052"/>
    <cellStyle name="Normal 129 11 5" xfId="25448"/>
    <cellStyle name="Normal 129 12" xfId="4177"/>
    <cellStyle name="Normal 129 12 2" xfId="7628"/>
    <cellStyle name="Normal 129 12 2 2" xfId="16109"/>
    <cellStyle name="Normal 129 12 2 3" xfId="22623"/>
    <cellStyle name="Normal 129 12 2 4" xfId="29012"/>
    <cellStyle name="Normal 129 12 3" xfId="12669"/>
    <cellStyle name="Normal 129 12 4" xfId="19213"/>
    <cellStyle name="Normal 129 12 5" xfId="25608"/>
    <cellStyle name="Normal 129 13" xfId="4339"/>
    <cellStyle name="Normal 129 13 2" xfId="7785"/>
    <cellStyle name="Normal 129 13 2 2" xfId="16266"/>
    <cellStyle name="Normal 129 13 2 3" xfId="22780"/>
    <cellStyle name="Normal 129 13 2 4" xfId="29169"/>
    <cellStyle name="Normal 129 13 3" xfId="12830"/>
    <cellStyle name="Normal 129 13 4" xfId="19371"/>
    <cellStyle name="Normal 129 13 5" xfId="25765"/>
    <cellStyle name="Normal 129 14" xfId="4499"/>
    <cellStyle name="Normal 129 14 2" xfId="7940"/>
    <cellStyle name="Normal 129 14 2 2" xfId="16421"/>
    <cellStyle name="Normal 129 14 2 3" xfId="22935"/>
    <cellStyle name="Normal 129 14 2 4" xfId="29324"/>
    <cellStyle name="Normal 129 14 3" xfId="12990"/>
    <cellStyle name="Normal 129 14 4" xfId="19527"/>
    <cellStyle name="Normal 129 14 5" xfId="25920"/>
    <cellStyle name="Normal 129 15" xfId="4659"/>
    <cellStyle name="Normal 129 15 2" xfId="8095"/>
    <cellStyle name="Normal 129 15 2 2" xfId="16576"/>
    <cellStyle name="Normal 129 15 2 3" xfId="23090"/>
    <cellStyle name="Normal 129 15 2 4" xfId="29479"/>
    <cellStyle name="Normal 129 15 3" xfId="13149"/>
    <cellStyle name="Normal 129 15 4" xfId="19683"/>
    <cellStyle name="Normal 129 15 5" xfId="26075"/>
    <cellStyle name="Normal 129 16" xfId="4818"/>
    <cellStyle name="Normal 129 16 2" xfId="8249"/>
    <cellStyle name="Normal 129 16 2 2" xfId="16730"/>
    <cellStyle name="Normal 129 16 2 3" xfId="23244"/>
    <cellStyle name="Normal 129 16 2 4" xfId="29633"/>
    <cellStyle name="Normal 129 16 3" xfId="13307"/>
    <cellStyle name="Normal 129 16 4" xfId="19838"/>
    <cellStyle name="Normal 129 16 5" xfId="26229"/>
    <cellStyle name="Normal 129 17" xfId="4976"/>
    <cellStyle name="Normal 129 17 2" xfId="8402"/>
    <cellStyle name="Normal 129 17 2 2" xfId="16883"/>
    <cellStyle name="Normal 129 17 2 3" xfId="23397"/>
    <cellStyle name="Normal 129 17 2 4" xfId="29786"/>
    <cellStyle name="Normal 129 17 3" xfId="13464"/>
    <cellStyle name="Normal 129 17 4" xfId="19992"/>
    <cellStyle name="Normal 129 17 5" xfId="26382"/>
    <cellStyle name="Normal 129 18" xfId="5105"/>
    <cellStyle name="Normal 129 18 2" xfId="8526"/>
    <cellStyle name="Normal 129 18 2 2" xfId="17007"/>
    <cellStyle name="Normal 129 18 2 3" xfId="23521"/>
    <cellStyle name="Normal 129 18 2 4" xfId="29910"/>
    <cellStyle name="Normal 129 18 3" xfId="13591"/>
    <cellStyle name="Normal 129 18 4" xfId="20116"/>
    <cellStyle name="Normal 129 18 5" xfId="26506"/>
    <cellStyle name="Normal 129 19" xfId="5167"/>
    <cellStyle name="Normal 129 19 2" xfId="13649"/>
    <cellStyle name="Normal 129 19 3" xfId="20167"/>
    <cellStyle name="Normal 129 19 4" xfId="26556"/>
    <cellStyle name="Normal 129 2" xfId="1771"/>
    <cellStyle name="Normal 129 2 2" xfId="5369"/>
    <cellStyle name="Normal 129 2 2 2" xfId="13850"/>
    <cellStyle name="Normal 129 2 2 3" xfId="20364"/>
    <cellStyle name="Normal 129 2 2 4" xfId="26753"/>
    <cellStyle name="Normal 129 2 3" xfId="10343"/>
    <cellStyle name="Normal 129 2 4" xfId="9640"/>
    <cellStyle name="Normal 129 2 5" xfId="17144"/>
    <cellStyle name="Normal 129 20" xfId="9744"/>
    <cellStyle name="Normal 129 21" xfId="9985"/>
    <cellStyle name="Normal 129 22" xfId="9773"/>
    <cellStyle name="Normal 129 3" xfId="2105"/>
    <cellStyle name="Normal 129 3 2" xfId="5678"/>
    <cellStyle name="Normal 129 3 2 2" xfId="14159"/>
    <cellStyle name="Normal 129 3 2 3" xfId="20673"/>
    <cellStyle name="Normal 129 3 2 4" xfId="27062"/>
    <cellStyle name="Normal 129 3 3" xfId="10664"/>
    <cellStyle name="Normal 129 3 4" xfId="9407"/>
    <cellStyle name="Normal 129 3 5" xfId="12025"/>
    <cellStyle name="Normal 129 4" xfId="2815"/>
    <cellStyle name="Normal 129 4 2" xfId="6313"/>
    <cellStyle name="Normal 129 4 2 2" xfId="14794"/>
    <cellStyle name="Normal 129 4 2 3" xfId="21308"/>
    <cellStyle name="Normal 129 4 2 4" xfId="27697"/>
    <cellStyle name="Normal 129 4 3" xfId="11322"/>
    <cellStyle name="Normal 129 4 4" xfId="17891"/>
    <cellStyle name="Normal 129 4 5" xfId="24293"/>
    <cellStyle name="Normal 129 5" xfId="2989"/>
    <cellStyle name="Normal 129 5 2" xfId="6480"/>
    <cellStyle name="Normal 129 5 2 2" xfId="14961"/>
    <cellStyle name="Normal 129 5 2 3" xfId="21475"/>
    <cellStyle name="Normal 129 5 2 4" xfId="27864"/>
    <cellStyle name="Normal 129 5 3" xfId="11492"/>
    <cellStyle name="Normal 129 5 4" xfId="18058"/>
    <cellStyle name="Normal 129 5 5" xfId="24460"/>
    <cellStyle name="Normal 129 6" xfId="3162"/>
    <cellStyle name="Normal 129 6 2" xfId="6647"/>
    <cellStyle name="Normal 129 6 2 2" xfId="15128"/>
    <cellStyle name="Normal 129 6 2 3" xfId="21642"/>
    <cellStyle name="Normal 129 6 2 4" xfId="28031"/>
    <cellStyle name="Normal 129 6 3" xfId="11663"/>
    <cellStyle name="Normal 129 6 4" xfId="18225"/>
    <cellStyle name="Normal 129 6 5" xfId="24627"/>
    <cellStyle name="Normal 129 7" xfId="3335"/>
    <cellStyle name="Normal 129 7 2" xfId="6814"/>
    <cellStyle name="Normal 129 7 2 2" xfId="15295"/>
    <cellStyle name="Normal 129 7 2 3" xfId="21809"/>
    <cellStyle name="Normal 129 7 2 4" xfId="28198"/>
    <cellStyle name="Normal 129 7 3" xfId="11833"/>
    <cellStyle name="Normal 129 7 4" xfId="18392"/>
    <cellStyle name="Normal 129 7 5" xfId="24794"/>
    <cellStyle name="Normal 129 8" xfId="3506"/>
    <cellStyle name="Normal 129 8 2" xfId="6979"/>
    <cellStyle name="Normal 129 8 2 2" xfId="15460"/>
    <cellStyle name="Normal 129 8 2 3" xfId="21974"/>
    <cellStyle name="Normal 129 8 2 4" xfId="28363"/>
    <cellStyle name="Normal 129 8 3" xfId="12002"/>
    <cellStyle name="Normal 129 8 4" xfId="18558"/>
    <cellStyle name="Normal 129 8 5" xfId="24959"/>
    <cellStyle name="Normal 129 9" xfId="3676"/>
    <cellStyle name="Normal 129 9 2" xfId="7143"/>
    <cellStyle name="Normal 129 9 2 2" xfId="15624"/>
    <cellStyle name="Normal 129 9 2 3" xfId="22138"/>
    <cellStyle name="Normal 129 9 2 4" xfId="28527"/>
    <cellStyle name="Normal 129 9 3" xfId="12171"/>
    <cellStyle name="Normal 129 9 4" xfId="18724"/>
    <cellStyle name="Normal 129 9 5" xfId="25123"/>
    <cellStyle name="Normal 13" xfId="676"/>
    <cellStyle name="Normal 13 10" xfId="3404"/>
    <cellStyle name="Normal 13 10 2" xfId="6879"/>
    <cellStyle name="Normal 13 10 2 2" xfId="15360"/>
    <cellStyle name="Normal 13 10 2 3" xfId="21874"/>
    <cellStyle name="Normal 13 10 2 4" xfId="28263"/>
    <cellStyle name="Normal 13 10 3" xfId="11901"/>
    <cellStyle name="Normal 13 10 4" xfId="18457"/>
    <cellStyle name="Normal 13 10 5" xfId="24859"/>
    <cellStyle name="Normal 13 11" xfId="3574"/>
    <cellStyle name="Normal 13 11 2" xfId="7043"/>
    <cellStyle name="Normal 13 11 2 2" xfId="15524"/>
    <cellStyle name="Normal 13 11 2 3" xfId="22038"/>
    <cellStyle name="Normal 13 11 2 4" xfId="28427"/>
    <cellStyle name="Normal 13 11 3" xfId="12069"/>
    <cellStyle name="Normal 13 11 4" xfId="18622"/>
    <cellStyle name="Normal 13 11 5" xfId="25023"/>
    <cellStyle name="Normal 13 12" xfId="3744"/>
    <cellStyle name="Normal 13 12 2" xfId="7207"/>
    <cellStyle name="Normal 13 12 2 2" xfId="15688"/>
    <cellStyle name="Normal 13 12 2 3" xfId="22202"/>
    <cellStyle name="Normal 13 12 2 4" xfId="28591"/>
    <cellStyle name="Normal 13 12 3" xfId="12239"/>
    <cellStyle name="Normal 13 12 4" xfId="18789"/>
    <cellStyle name="Normal 13 12 5" xfId="25187"/>
    <cellStyle name="Normal 13 13" xfId="3912"/>
    <cellStyle name="Normal 13 13 2" xfId="7370"/>
    <cellStyle name="Normal 13 13 2 2" xfId="15851"/>
    <cellStyle name="Normal 13 13 2 3" xfId="22365"/>
    <cellStyle name="Normal 13 13 2 4" xfId="28754"/>
    <cellStyle name="Normal 13 13 3" xfId="12406"/>
    <cellStyle name="Normal 13 13 4" xfId="18953"/>
    <cellStyle name="Normal 13 13 5" xfId="25350"/>
    <cellStyle name="Normal 13 14" xfId="4077"/>
    <cellStyle name="Normal 13 14 2" xfId="7530"/>
    <cellStyle name="Normal 13 14 2 2" xfId="16011"/>
    <cellStyle name="Normal 13 14 2 3" xfId="22525"/>
    <cellStyle name="Normal 13 14 2 4" xfId="28914"/>
    <cellStyle name="Normal 13 14 3" xfId="12570"/>
    <cellStyle name="Normal 13 14 4" xfId="19114"/>
    <cellStyle name="Normal 13 14 5" xfId="25510"/>
    <cellStyle name="Normal 13 15" xfId="4242"/>
    <cellStyle name="Normal 13 15 2" xfId="7690"/>
    <cellStyle name="Normal 13 15 2 2" xfId="16171"/>
    <cellStyle name="Normal 13 15 2 3" xfId="22685"/>
    <cellStyle name="Normal 13 15 2 4" xfId="29074"/>
    <cellStyle name="Normal 13 15 3" xfId="12734"/>
    <cellStyle name="Normal 13 15 4" xfId="19275"/>
    <cellStyle name="Normal 13 15 5" xfId="25670"/>
    <cellStyle name="Normal 13 16" xfId="4402"/>
    <cellStyle name="Normal 13 16 2" xfId="7845"/>
    <cellStyle name="Normal 13 16 2 2" xfId="16326"/>
    <cellStyle name="Normal 13 16 2 3" xfId="22840"/>
    <cellStyle name="Normal 13 16 2 4" xfId="29229"/>
    <cellStyle name="Normal 13 16 3" xfId="12893"/>
    <cellStyle name="Normal 13 16 4" xfId="19431"/>
    <cellStyle name="Normal 13 16 5" xfId="25825"/>
    <cellStyle name="Normal 13 17" xfId="4562"/>
    <cellStyle name="Normal 13 17 2" xfId="8000"/>
    <cellStyle name="Normal 13 17 2 2" xfId="16481"/>
    <cellStyle name="Normal 13 17 2 3" xfId="22995"/>
    <cellStyle name="Normal 13 17 2 4" xfId="29384"/>
    <cellStyle name="Normal 13 17 3" xfId="13053"/>
    <cellStyle name="Normal 13 17 4" xfId="19587"/>
    <cellStyle name="Normal 13 17 5" xfId="25980"/>
    <cellStyle name="Normal 13 18" xfId="4722"/>
    <cellStyle name="Normal 13 18 2" xfId="8155"/>
    <cellStyle name="Normal 13 18 2 2" xfId="16636"/>
    <cellStyle name="Normal 13 18 2 3" xfId="23150"/>
    <cellStyle name="Normal 13 18 2 4" xfId="29539"/>
    <cellStyle name="Normal 13 18 3" xfId="13212"/>
    <cellStyle name="Normal 13 18 4" xfId="19743"/>
    <cellStyle name="Normal 13 18 5" xfId="26135"/>
    <cellStyle name="Normal 13 19" xfId="4881"/>
    <cellStyle name="Normal 13 19 2" xfId="8309"/>
    <cellStyle name="Normal 13 19 2 2" xfId="16790"/>
    <cellStyle name="Normal 13 19 2 3" xfId="23304"/>
    <cellStyle name="Normal 13 19 2 4" xfId="29693"/>
    <cellStyle name="Normal 13 19 3" xfId="13370"/>
    <cellStyle name="Normal 13 19 4" xfId="19898"/>
    <cellStyle name="Normal 13 19 5" xfId="26289"/>
    <cellStyle name="Normal 13 2" xfId="677"/>
    <cellStyle name="Normal 13 2 10" xfId="3844"/>
    <cellStyle name="Normal 13 2 10 2" xfId="7305"/>
    <cellStyle name="Normal 13 2 10 2 2" xfId="15786"/>
    <cellStyle name="Normal 13 2 10 2 3" xfId="22300"/>
    <cellStyle name="Normal 13 2 10 2 4" xfId="28689"/>
    <cellStyle name="Normal 13 2 10 3" xfId="12338"/>
    <cellStyle name="Normal 13 2 10 4" xfId="18888"/>
    <cellStyle name="Normal 13 2 10 5" xfId="25285"/>
    <cellStyle name="Normal 13 2 11" xfId="4011"/>
    <cellStyle name="Normal 13 2 11 2" xfId="7467"/>
    <cellStyle name="Normal 13 2 11 2 2" xfId="15948"/>
    <cellStyle name="Normal 13 2 11 2 3" xfId="22462"/>
    <cellStyle name="Normal 13 2 11 2 4" xfId="28851"/>
    <cellStyle name="Normal 13 2 11 3" xfId="12504"/>
    <cellStyle name="Normal 13 2 11 4" xfId="19051"/>
    <cellStyle name="Normal 13 2 11 5" xfId="25447"/>
    <cellStyle name="Normal 13 2 12" xfId="4176"/>
    <cellStyle name="Normal 13 2 12 2" xfId="7627"/>
    <cellStyle name="Normal 13 2 12 2 2" xfId="16108"/>
    <cellStyle name="Normal 13 2 12 2 3" xfId="22622"/>
    <cellStyle name="Normal 13 2 12 2 4" xfId="29011"/>
    <cellStyle name="Normal 13 2 12 3" xfId="12668"/>
    <cellStyle name="Normal 13 2 12 4" xfId="19212"/>
    <cellStyle name="Normal 13 2 12 5" xfId="25607"/>
    <cellStyle name="Normal 13 2 13" xfId="4338"/>
    <cellStyle name="Normal 13 2 13 2" xfId="7784"/>
    <cellStyle name="Normal 13 2 13 2 2" xfId="16265"/>
    <cellStyle name="Normal 13 2 13 2 3" xfId="22779"/>
    <cellStyle name="Normal 13 2 13 2 4" xfId="29168"/>
    <cellStyle name="Normal 13 2 13 3" xfId="12829"/>
    <cellStyle name="Normal 13 2 13 4" xfId="19370"/>
    <cellStyle name="Normal 13 2 13 5" xfId="25764"/>
    <cellStyle name="Normal 13 2 14" xfId="4498"/>
    <cellStyle name="Normal 13 2 14 2" xfId="7939"/>
    <cellStyle name="Normal 13 2 14 2 2" xfId="16420"/>
    <cellStyle name="Normal 13 2 14 2 3" xfId="22934"/>
    <cellStyle name="Normal 13 2 14 2 4" xfId="29323"/>
    <cellStyle name="Normal 13 2 14 3" xfId="12989"/>
    <cellStyle name="Normal 13 2 14 4" xfId="19526"/>
    <cellStyle name="Normal 13 2 14 5" xfId="25919"/>
    <cellStyle name="Normal 13 2 15" xfId="4658"/>
    <cellStyle name="Normal 13 2 15 2" xfId="8094"/>
    <cellStyle name="Normal 13 2 15 2 2" xfId="16575"/>
    <cellStyle name="Normal 13 2 15 2 3" xfId="23089"/>
    <cellStyle name="Normal 13 2 15 2 4" xfId="29478"/>
    <cellStyle name="Normal 13 2 15 3" xfId="13148"/>
    <cellStyle name="Normal 13 2 15 4" xfId="19682"/>
    <cellStyle name="Normal 13 2 15 5" xfId="26074"/>
    <cellStyle name="Normal 13 2 16" xfId="4817"/>
    <cellStyle name="Normal 13 2 16 2" xfId="8248"/>
    <cellStyle name="Normal 13 2 16 2 2" xfId="16729"/>
    <cellStyle name="Normal 13 2 16 2 3" xfId="23243"/>
    <cellStyle name="Normal 13 2 16 2 4" xfId="29632"/>
    <cellStyle name="Normal 13 2 16 3" xfId="13306"/>
    <cellStyle name="Normal 13 2 16 4" xfId="19837"/>
    <cellStyle name="Normal 13 2 16 5" xfId="26228"/>
    <cellStyle name="Normal 13 2 17" xfId="4975"/>
    <cellStyle name="Normal 13 2 17 2" xfId="8401"/>
    <cellStyle name="Normal 13 2 17 2 2" xfId="16882"/>
    <cellStyle name="Normal 13 2 17 2 3" xfId="23396"/>
    <cellStyle name="Normal 13 2 17 2 4" xfId="29785"/>
    <cellStyle name="Normal 13 2 17 3" xfId="13463"/>
    <cellStyle name="Normal 13 2 17 4" xfId="19991"/>
    <cellStyle name="Normal 13 2 17 5" xfId="26381"/>
    <cellStyle name="Normal 13 2 18" xfId="5104"/>
    <cellStyle name="Normal 13 2 18 2" xfId="8525"/>
    <cellStyle name="Normal 13 2 18 2 2" xfId="17006"/>
    <cellStyle name="Normal 13 2 18 2 3" xfId="23520"/>
    <cellStyle name="Normal 13 2 18 2 4" xfId="29909"/>
    <cellStyle name="Normal 13 2 18 3" xfId="13590"/>
    <cellStyle name="Normal 13 2 18 4" xfId="20115"/>
    <cellStyle name="Normal 13 2 18 5" xfId="26505"/>
    <cellStyle name="Normal 13 2 19" xfId="5169"/>
    <cellStyle name="Normal 13 2 19 2" xfId="13651"/>
    <cellStyle name="Normal 13 2 19 3" xfId="20169"/>
    <cellStyle name="Normal 13 2 19 4" xfId="26558"/>
    <cellStyle name="Normal 13 2 2" xfId="1773"/>
    <cellStyle name="Normal 13 2 2 2" xfId="5371"/>
    <cellStyle name="Normal 13 2 2 2 2" xfId="13852"/>
    <cellStyle name="Normal 13 2 2 2 3" xfId="20366"/>
    <cellStyle name="Normal 13 2 2 2 4" xfId="26755"/>
    <cellStyle name="Normal 13 2 2 3" xfId="10345"/>
    <cellStyle name="Normal 13 2 2 4" xfId="9638"/>
    <cellStyle name="Normal 13 2 2 5" xfId="17460"/>
    <cellStyle name="Normal 13 2 20" xfId="9746"/>
    <cellStyle name="Normal 13 2 21" xfId="9983"/>
    <cellStyle name="Normal 13 2 22" xfId="9786"/>
    <cellStyle name="Normal 13 2 3" xfId="2107"/>
    <cellStyle name="Normal 13 2 3 2" xfId="5680"/>
    <cellStyle name="Normal 13 2 3 2 2" xfId="14161"/>
    <cellStyle name="Normal 13 2 3 2 3" xfId="20675"/>
    <cellStyle name="Normal 13 2 3 2 4" xfId="27064"/>
    <cellStyle name="Normal 13 2 3 3" xfId="10666"/>
    <cellStyle name="Normal 13 2 3 4" xfId="9405"/>
    <cellStyle name="Normal 13 2 3 5" xfId="12362"/>
    <cellStyle name="Normal 13 2 4" xfId="2814"/>
    <cellStyle name="Normal 13 2 4 2" xfId="6312"/>
    <cellStyle name="Normal 13 2 4 2 2" xfId="14793"/>
    <cellStyle name="Normal 13 2 4 2 3" xfId="21307"/>
    <cellStyle name="Normal 13 2 4 2 4" xfId="27696"/>
    <cellStyle name="Normal 13 2 4 3" xfId="11321"/>
    <cellStyle name="Normal 13 2 4 4" xfId="17890"/>
    <cellStyle name="Normal 13 2 4 5" xfId="24292"/>
    <cellStyle name="Normal 13 2 5" xfId="2988"/>
    <cellStyle name="Normal 13 2 5 2" xfId="6479"/>
    <cellStyle name="Normal 13 2 5 2 2" xfId="14960"/>
    <cellStyle name="Normal 13 2 5 2 3" xfId="21474"/>
    <cellStyle name="Normal 13 2 5 2 4" xfId="27863"/>
    <cellStyle name="Normal 13 2 5 3" xfId="11491"/>
    <cellStyle name="Normal 13 2 5 4" xfId="18057"/>
    <cellStyle name="Normal 13 2 5 5" xfId="24459"/>
    <cellStyle name="Normal 13 2 6" xfId="3161"/>
    <cellStyle name="Normal 13 2 6 2" xfId="6646"/>
    <cellStyle name="Normal 13 2 6 2 2" xfId="15127"/>
    <cellStyle name="Normal 13 2 6 2 3" xfId="21641"/>
    <cellStyle name="Normal 13 2 6 2 4" xfId="28030"/>
    <cellStyle name="Normal 13 2 6 3" xfId="11662"/>
    <cellStyle name="Normal 13 2 6 4" xfId="18224"/>
    <cellStyle name="Normal 13 2 6 5" xfId="24626"/>
    <cellStyle name="Normal 13 2 7" xfId="3334"/>
    <cellStyle name="Normal 13 2 7 2" xfId="6813"/>
    <cellStyle name="Normal 13 2 7 2 2" xfId="15294"/>
    <cellStyle name="Normal 13 2 7 2 3" xfId="21808"/>
    <cellStyle name="Normal 13 2 7 2 4" xfId="28197"/>
    <cellStyle name="Normal 13 2 7 3" xfId="11832"/>
    <cellStyle name="Normal 13 2 7 4" xfId="18391"/>
    <cellStyle name="Normal 13 2 7 5" xfId="24793"/>
    <cellStyle name="Normal 13 2 8" xfId="3505"/>
    <cellStyle name="Normal 13 2 8 2" xfId="6978"/>
    <cellStyle name="Normal 13 2 8 2 2" xfId="15459"/>
    <cellStyle name="Normal 13 2 8 2 3" xfId="21973"/>
    <cellStyle name="Normal 13 2 8 2 4" xfId="28362"/>
    <cellStyle name="Normal 13 2 8 3" xfId="12001"/>
    <cellStyle name="Normal 13 2 8 4" xfId="18557"/>
    <cellStyle name="Normal 13 2 8 5" xfId="24958"/>
    <cellStyle name="Normal 13 2 9" xfId="3675"/>
    <cellStyle name="Normal 13 2 9 2" xfId="7142"/>
    <cellStyle name="Normal 13 2 9 2 2" xfId="15623"/>
    <cellStyle name="Normal 13 2 9 2 3" xfId="22137"/>
    <cellStyle name="Normal 13 2 9 2 4" xfId="28526"/>
    <cellStyle name="Normal 13 2 9 3" xfId="12170"/>
    <cellStyle name="Normal 13 2 9 4" xfId="18723"/>
    <cellStyle name="Normal 13 2 9 5" xfId="25122"/>
    <cellStyle name="Normal 13 20" xfId="5168"/>
    <cellStyle name="Normal 13 20 2" xfId="8652"/>
    <cellStyle name="Normal 13 20 3" xfId="13650"/>
    <cellStyle name="Normal 13 20 4" xfId="20168"/>
    <cellStyle name="Normal 13 20 5" xfId="26557"/>
    <cellStyle name="Normal 13 21" xfId="9745"/>
    <cellStyle name="Normal 13 22" xfId="9984"/>
    <cellStyle name="Normal 13 23" xfId="9774"/>
    <cellStyle name="Normal 13 3" xfId="1772"/>
    <cellStyle name="Normal 13 3 2" xfId="5370"/>
    <cellStyle name="Normal 13 3 2 2" xfId="13851"/>
    <cellStyle name="Normal 13 3 2 3" xfId="20365"/>
    <cellStyle name="Normal 13 3 2 4" xfId="26754"/>
    <cellStyle name="Normal 13 3 3" xfId="10344"/>
    <cellStyle name="Normal 13 3 4" xfId="9639"/>
    <cellStyle name="Normal 13 3 5" xfId="17348"/>
    <cellStyle name="Normal 13 4" xfId="2106"/>
    <cellStyle name="Normal 13 4 2" xfId="5679"/>
    <cellStyle name="Normal 13 4 2 2" xfId="14160"/>
    <cellStyle name="Normal 13 4 2 3" xfId="20674"/>
    <cellStyle name="Normal 13 4 2 4" xfId="27063"/>
    <cellStyle name="Normal 13 4 3" xfId="10665"/>
    <cellStyle name="Normal 13 4 4" xfId="9406"/>
    <cellStyle name="Normal 13 4 5" xfId="12194"/>
    <cellStyle name="Normal 13 5" xfId="2234"/>
    <cellStyle name="Normal 13 5 2" xfId="5804"/>
    <cellStyle name="Normal 13 5 2 2" xfId="14285"/>
    <cellStyle name="Normal 13 5 2 3" xfId="20799"/>
    <cellStyle name="Normal 13 5 2 4" xfId="27188"/>
    <cellStyle name="Normal 13 5 3" xfId="10790"/>
    <cellStyle name="Normal 13 5 4" xfId="17552"/>
    <cellStyle name="Normal 13 5 5" xfId="23960"/>
    <cellStyle name="Normal 13 6" xfId="2712"/>
    <cellStyle name="Normal 13 6 2" xfId="6213"/>
    <cellStyle name="Normal 13 6 2 2" xfId="14694"/>
    <cellStyle name="Normal 13 6 2 3" xfId="21208"/>
    <cellStyle name="Normal 13 6 2 4" xfId="27597"/>
    <cellStyle name="Normal 13 6 3" xfId="11222"/>
    <cellStyle name="Normal 13 6 4" xfId="17791"/>
    <cellStyle name="Normal 13 6 5" xfId="24193"/>
    <cellStyle name="Normal 13 7" xfId="2886"/>
    <cellStyle name="Normal 13 7 2" xfId="6380"/>
    <cellStyle name="Normal 13 7 2 2" xfId="14861"/>
    <cellStyle name="Normal 13 7 2 3" xfId="21375"/>
    <cellStyle name="Normal 13 7 2 4" xfId="27764"/>
    <cellStyle name="Normal 13 7 3" xfId="11392"/>
    <cellStyle name="Normal 13 7 4" xfId="17958"/>
    <cellStyle name="Normal 13 7 5" xfId="24360"/>
    <cellStyle name="Normal 13 8" xfId="3060"/>
    <cellStyle name="Normal 13 8 2" xfId="6547"/>
    <cellStyle name="Normal 13 8 2 2" xfId="15028"/>
    <cellStyle name="Normal 13 8 2 3" xfId="21542"/>
    <cellStyle name="Normal 13 8 2 4" xfId="27931"/>
    <cellStyle name="Normal 13 8 3" xfId="11562"/>
    <cellStyle name="Normal 13 8 4" xfId="18125"/>
    <cellStyle name="Normal 13 8 5" xfId="24527"/>
    <cellStyle name="Normal 13 9" xfId="3233"/>
    <cellStyle name="Normal 13 9 2" xfId="6714"/>
    <cellStyle name="Normal 13 9 2 2" xfId="15195"/>
    <cellStyle name="Normal 13 9 2 3" xfId="21709"/>
    <cellStyle name="Normal 13 9 2 4" xfId="28098"/>
    <cellStyle name="Normal 13 9 3" xfId="11733"/>
    <cellStyle name="Normal 13 9 4" xfId="18292"/>
    <cellStyle name="Normal 13 9 5" xfId="24694"/>
    <cellStyle name="Normal 130" xfId="678"/>
    <cellStyle name="Normal 130 10" xfId="3843"/>
    <cellStyle name="Normal 130 10 2" xfId="7304"/>
    <cellStyle name="Normal 130 10 2 2" xfId="15785"/>
    <cellStyle name="Normal 130 10 2 3" xfId="22299"/>
    <cellStyle name="Normal 130 10 2 4" xfId="28688"/>
    <cellStyle name="Normal 130 10 3" xfId="12337"/>
    <cellStyle name="Normal 130 10 4" xfId="18887"/>
    <cellStyle name="Normal 130 10 5" xfId="25284"/>
    <cellStyle name="Normal 130 11" xfId="4010"/>
    <cellStyle name="Normal 130 11 2" xfId="7466"/>
    <cellStyle name="Normal 130 11 2 2" xfId="15947"/>
    <cellStyle name="Normal 130 11 2 3" xfId="22461"/>
    <cellStyle name="Normal 130 11 2 4" xfId="28850"/>
    <cellStyle name="Normal 130 11 3" xfId="12503"/>
    <cellStyle name="Normal 130 11 4" xfId="19050"/>
    <cellStyle name="Normal 130 11 5" xfId="25446"/>
    <cellStyle name="Normal 130 12" xfId="4175"/>
    <cellStyle name="Normal 130 12 2" xfId="7626"/>
    <cellStyle name="Normal 130 12 2 2" xfId="16107"/>
    <cellStyle name="Normal 130 12 2 3" xfId="22621"/>
    <cellStyle name="Normal 130 12 2 4" xfId="29010"/>
    <cellStyle name="Normal 130 12 3" xfId="12667"/>
    <cellStyle name="Normal 130 12 4" xfId="19211"/>
    <cellStyle name="Normal 130 12 5" xfId="25606"/>
    <cellStyle name="Normal 130 13" xfId="4337"/>
    <cellStyle name="Normal 130 13 2" xfId="7783"/>
    <cellStyle name="Normal 130 13 2 2" xfId="16264"/>
    <cellStyle name="Normal 130 13 2 3" xfId="22778"/>
    <cellStyle name="Normal 130 13 2 4" xfId="29167"/>
    <cellStyle name="Normal 130 13 3" xfId="12828"/>
    <cellStyle name="Normal 130 13 4" xfId="19369"/>
    <cellStyle name="Normal 130 13 5" xfId="25763"/>
    <cellStyle name="Normal 130 14" xfId="4497"/>
    <cellStyle name="Normal 130 14 2" xfId="7938"/>
    <cellStyle name="Normal 130 14 2 2" xfId="16419"/>
    <cellStyle name="Normal 130 14 2 3" xfId="22933"/>
    <cellStyle name="Normal 130 14 2 4" xfId="29322"/>
    <cellStyle name="Normal 130 14 3" xfId="12988"/>
    <cellStyle name="Normal 130 14 4" xfId="19525"/>
    <cellStyle name="Normal 130 14 5" xfId="25918"/>
    <cellStyle name="Normal 130 15" xfId="4657"/>
    <cellStyle name="Normal 130 15 2" xfId="8093"/>
    <cellStyle name="Normal 130 15 2 2" xfId="16574"/>
    <cellStyle name="Normal 130 15 2 3" xfId="23088"/>
    <cellStyle name="Normal 130 15 2 4" xfId="29477"/>
    <cellStyle name="Normal 130 15 3" xfId="13147"/>
    <cellStyle name="Normal 130 15 4" xfId="19681"/>
    <cellStyle name="Normal 130 15 5" xfId="26073"/>
    <cellStyle name="Normal 130 16" xfId="4816"/>
    <cellStyle name="Normal 130 16 2" xfId="8247"/>
    <cellStyle name="Normal 130 16 2 2" xfId="16728"/>
    <cellStyle name="Normal 130 16 2 3" xfId="23242"/>
    <cellStyle name="Normal 130 16 2 4" xfId="29631"/>
    <cellStyle name="Normal 130 16 3" xfId="13305"/>
    <cellStyle name="Normal 130 16 4" xfId="19836"/>
    <cellStyle name="Normal 130 16 5" xfId="26227"/>
    <cellStyle name="Normal 130 17" xfId="4974"/>
    <cellStyle name="Normal 130 17 2" xfId="8400"/>
    <cellStyle name="Normal 130 17 2 2" xfId="16881"/>
    <cellStyle name="Normal 130 17 2 3" xfId="23395"/>
    <cellStyle name="Normal 130 17 2 4" xfId="29784"/>
    <cellStyle name="Normal 130 17 3" xfId="13462"/>
    <cellStyle name="Normal 130 17 4" xfId="19990"/>
    <cellStyle name="Normal 130 17 5" xfId="26380"/>
    <cellStyle name="Normal 130 18" xfId="5103"/>
    <cellStyle name="Normal 130 18 2" xfId="8524"/>
    <cellStyle name="Normal 130 18 2 2" xfId="17005"/>
    <cellStyle name="Normal 130 18 2 3" xfId="23519"/>
    <cellStyle name="Normal 130 18 2 4" xfId="29908"/>
    <cellStyle name="Normal 130 18 3" xfId="13589"/>
    <cellStyle name="Normal 130 18 4" xfId="20114"/>
    <cellStyle name="Normal 130 18 5" xfId="26504"/>
    <cellStyle name="Normal 130 19" xfId="5170"/>
    <cellStyle name="Normal 130 19 2" xfId="13652"/>
    <cellStyle name="Normal 130 19 3" xfId="20170"/>
    <cellStyle name="Normal 130 19 4" xfId="26559"/>
    <cellStyle name="Normal 130 2" xfId="1774"/>
    <cellStyle name="Normal 130 2 2" xfId="5372"/>
    <cellStyle name="Normal 130 2 2 2" xfId="13853"/>
    <cellStyle name="Normal 130 2 2 3" xfId="20367"/>
    <cellStyle name="Normal 130 2 2 4" xfId="26756"/>
    <cellStyle name="Normal 130 2 3" xfId="10346"/>
    <cellStyle name="Normal 130 2 4" xfId="9637"/>
    <cellStyle name="Normal 130 2 5" xfId="17449"/>
    <cellStyle name="Normal 130 20" xfId="9747"/>
    <cellStyle name="Normal 130 21" xfId="9980"/>
    <cellStyle name="Normal 130 22" xfId="9789"/>
    <cellStyle name="Normal 130 3" xfId="2108"/>
    <cellStyle name="Normal 130 3 2" xfId="5681"/>
    <cellStyle name="Normal 130 3 2 2" xfId="14162"/>
    <cellStyle name="Normal 130 3 2 3" xfId="20676"/>
    <cellStyle name="Normal 130 3 2 4" xfId="27065"/>
    <cellStyle name="Normal 130 3 3" xfId="10667"/>
    <cellStyle name="Normal 130 3 4" xfId="9404"/>
    <cellStyle name="Normal 130 3 5" xfId="10259"/>
    <cellStyle name="Normal 130 4" xfId="2813"/>
    <cellStyle name="Normal 130 4 2" xfId="6311"/>
    <cellStyle name="Normal 130 4 2 2" xfId="14792"/>
    <cellStyle name="Normal 130 4 2 3" xfId="21306"/>
    <cellStyle name="Normal 130 4 2 4" xfId="27695"/>
    <cellStyle name="Normal 130 4 3" xfId="11320"/>
    <cellStyle name="Normal 130 4 4" xfId="17889"/>
    <cellStyle name="Normal 130 4 5" xfId="24291"/>
    <cellStyle name="Normal 130 5" xfId="2987"/>
    <cellStyle name="Normal 130 5 2" xfId="6478"/>
    <cellStyle name="Normal 130 5 2 2" xfId="14959"/>
    <cellStyle name="Normal 130 5 2 3" xfId="21473"/>
    <cellStyle name="Normal 130 5 2 4" xfId="27862"/>
    <cellStyle name="Normal 130 5 3" xfId="11490"/>
    <cellStyle name="Normal 130 5 4" xfId="18056"/>
    <cellStyle name="Normal 130 5 5" xfId="24458"/>
    <cellStyle name="Normal 130 6" xfId="3160"/>
    <cellStyle name="Normal 130 6 2" xfId="6645"/>
    <cellStyle name="Normal 130 6 2 2" xfId="15126"/>
    <cellStyle name="Normal 130 6 2 3" xfId="21640"/>
    <cellStyle name="Normal 130 6 2 4" xfId="28029"/>
    <cellStyle name="Normal 130 6 3" xfId="11661"/>
    <cellStyle name="Normal 130 6 4" xfId="18223"/>
    <cellStyle name="Normal 130 6 5" xfId="24625"/>
    <cellStyle name="Normal 130 7" xfId="3333"/>
    <cellStyle name="Normal 130 7 2" xfId="6812"/>
    <cellStyle name="Normal 130 7 2 2" xfId="15293"/>
    <cellStyle name="Normal 130 7 2 3" xfId="21807"/>
    <cellStyle name="Normal 130 7 2 4" xfId="28196"/>
    <cellStyle name="Normal 130 7 3" xfId="11831"/>
    <cellStyle name="Normal 130 7 4" xfId="18390"/>
    <cellStyle name="Normal 130 7 5" xfId="24792"/>
    <cellStyle name="Normal 130 8" xfId="3504"/>
    <cellStyle name="Normal 130 8 2" xfId="6977"/>
    <cellStyle name="Normal 130 8 2 2" xfId="15458"/>
    <cellStyle name="Normal 130 8 2 3" xfId="21972"/>
    <cellStyle name="Normal 130 8 2 4" xfId="28361"/>
    <cellStyle name="Normal 130 8 3" xfId="12000"/>
    <cellStyle name="Normal 130 8 4" xfId="18556"/>
    <cellStyle name="Normal 130 8 5" xfId="24957"/>
    <cellStyle name="Normal 130 9" xfId="3674"/>
    <cellStyle name="Normal 130 9 2" xfId="7141"/>
    <cellStyle name="Normal 130 9 2 2" xfId="15622"/>
    <cellStyle name="Normal 130 9 2 3" xfId="22136"/>
    <cellStyle name="Normal 130 9 2 4" xfId="28525"/>
    <cellStyle name="Normal 130 9 3" xfId="12169"/>
    <cellStyle name="Normal 130 9 4" xfId="18722"/>
    <cellStyle name="Normal 130 9 5" xfId="25121"/>
    <cellStyle name="Normal 131" xfId="679"/>
    <cellStyle name="Normal 131 10" xfId="3585"/>
    <cellStyle name="Normal 131 10 2" xfId="7054"/>
    <cellStyle name="Normal 131 10 2 2" xfId="15535"/>
    <cellStyle name="Normal 131 10 2 3" xfId="22049"/>
    <cellStyle name="Normal 131 10 2 4" xfId="28438"/>
    <cellStyle name="Normal 131 10 3" xfId="12080"/>
    <cellStyle name="Normal 131 10 4" xfId="18633"/>
    <cellStyle name="Normal 131 10 5" xfId="25034"/>
    <cellStyle name="Normal 131 11" xfId="3755"/>
    <cellStyle name="Normal 131 11 2" xfId="7218"/>
    <cellStyle name="Normal 131 11 2 2" xfId="15699"/>
    <cellStyle name="Normal 131 11 2 3" xfId="22213"/>
    <cellStyle name="Normal 131 11 2 4" xfId="28602"/>
    <cellStyle name="Normal 131 11 3" xfId="12250"/>
    <cellStyle name="Normal 131 11 4" xfId="18800"/>
    <cellStyle name="Normal 131 11 5" xfId="25198"/>
    <cellStyle name="Normal 131 12" xfId="3923"/>
    <cellStyle name="Normal 131 12 2" xfId="7381"/>
    <cellStyle name="Normal 131 12 2 2" xfId="15862"/>
    <cellStyle name="Normal 131 12 2 3" xfId="22376"/>
    <cellStyle name="Normal 131 12 2 4" xfId="28765"/>
    <cellStyle name="Normal 131 12 3" xfId="12417"/>
    <cellStyle name="Normal 131 12 4" xfId="18964"/>
    <cellStyle name="Normal 131 12 5" xfId="25361"/>
    <cellStyle name="Normal 131 13" xfId="4088"/>
    <cellStyle name="Normal 131 13 2" xfId="7541"/>
    <cellStyle name="Normal 131 13 2 2" xfId="16022"/>
    <cellStyle name="Normal 131 13 2 3" xfId="22536"/>
    <cellStyle name="Normal 131 13 2 4" xfId="28925"/>
    <cellStyle name="Normal 131 13 3" xfId="12581"/>
    <cellStyle name="Normal 131 13 4" xfId="19125"/>
    <cellStyle name="Normal 131 13 5" xfId="25521"/>
    <cellStyle name="Normal 131 14" xfId="4253"/>
    <cellStyle name="Normal 131 14 2" xfId="7701"/>
    <cellStyle name="Normal 131 14 2 2" xfId="16182"/>
    <cellStyle name="Normal 131 14 2 3" xfId="22696"/>
    <cellStyle name="Normal 131 14 2 4" xfId="29085"/>
    <cellStyle name="Normal 131 14 3" xfId="12745"/>
    <cellStyle name="Normal 131 14 4" xfId="19286"/>
    <cellStyle name="Normal 131 14 5" xfId="25681"/>
    <cellStyle name="Normal 131 15" xfId="4413"/>
    <cellStyle name="Normal 131 15 2" xfId="7856"/>
    <cellStyle name="Normal 131 15 2 2" xfId="16337"/>
    <cellStyle name="Normal 131 15 2 3" xfId="22851"/>
    <cellStyle name="Normal 131 15 2 4" xfId="29240"/>
    <cellStyle name="Normal 131 15 3" xfId="12904"/>
    <cellStyle name="Normal 131 15 4" xfId="19442"/>
    <cellStyle name="Normal 131 15 5" xfId="25836"/>
    <cellStyle name="Normal 131 16" xfId="4573"/>
    <cellStyle name="Normal 131 16 2" xfId="8011"/>
    <cellStyle name="Normal 131 16 2 2" xfId="16492"/>
    <cellStyle name="Normal 131 16 2 3" xfId="23006"/>
    <cellStyle name="Normal 131 16 2 4" xfId="29395"/>
    <cellStyle name="Normal 131 16 3" xfId="13064"/>
    <cellStyle name="Normal 131 16 4" xfId="19598"/>
    <cellStyle name="Normal 131 16 5" xfId="25991"/>
    <cellStyle name="Normal 131 17" xfId="4733"/>
    <cellStyle name="Normal 131 17 2" xfId="8166"/>
    <cellStyle name="Normal 131 17 2 2" xfId="16647"/>
    <cellStyle name="Normal 131 17 2 3" xfId="23161"/>
    <cellStyle name="Normal 131 17 2 4" xfId="29550"/>
    <cellStyle name="Normal 131 17 3" xfId="13223"/>
    <cellStyle name="Normal 131 17 4" xfId="19754"/>
    <cellStyle name="Normal 131 17 5" xfId="26146"/>
    <cellStyle name="Normal 131 18" xfId="4892"/>
    <cellStyle name="Normal 131 18 2" xfId="8320"/>
    <cellStyle name="Normal 131 18 2 2" xfId="16801"/>
    <cellStyle name="Normal 131 18 2 3" xfId="23315"/>
    <cellStyle name="Normal 131 18 2 4" xfId="29704"/>
    <cellStyle name="Normal 131 18 3" xfId="13381"/>
    <cellStyle name="Normal 131 18 4" xfId="19909"/>
    <cellStyle name="Normal 131 18 5" xfId="26300"/>
    <cellStyle name="Normal 131 19" xfId="5171"/>
    <cellStyle name="Normal 131 19 2" xfId="13653"/>
    <cellStyle name="Normal 131 19 3" xfId="20171"/>
    <cellStyle name="Normal 131 19 4" xfId="26560"/>
    <cellStyle name="Normal 131 2" xfId="1775"/>
    <cellStyle name="Normal 131 2 2" xfId="5373"/>
    <cellStyle name="Normal 131 2 2 2" xfId="13854"/>
    <cellStyle name="Normal 131 2 2 3" xfId="20368"/>
    <cellStyle name="Normal 131 2 2 4" xfId="26757"/>
    <cellStyle name="Normal 131 2 3" xfId="10347"/>
    <cellStyle name="Normal 131 2 4" xfId="9636"/>
    <cellStyle name="Normal 131 2 5" xfId="17438"/>
    <cellStyle name="Normal 131 20" xfId="9748"/>
    <cellStyle name="Normal 131 21" xfId="9978"/>
    <cellStyle name="Normal 131 22" xfId="9791"/>
    <cellStyle name="Normal 131 3" xfId="2109"/>
    <cellStyle name="Normal 131 3 2" xfId="5682"/>
    <cellStyle name="Normal 131 3 2 2" xfId="14163"/>
    <cellStyle name="Normal 131 3 2 3" xfId="20677"/>
    <cellStyle name="Normal 131 3 2 4" xfId="27066"/>
    <cellStyle name="Normal 131 3 3" xfId="10668"/>
    <cellStyle name="Normal 131 3 4" xfId="9403"/>
    <cellStyle name="Normal 131 3 5" xfId="10260"/>
    <cellStyle name="Normal 131 4" xfId="2223"/>
    <cellStyle name="Normal 131 4 2" xfId="5793"/>
    <cellStyle name="Normal 131 4 2 2" xfId="14274"/>
    <cellStyle name="Normal 131 4 2 3" xfId="20788"/>
    <cellStyle name="Normal 131 4 2 4" xfId="27177"/>
    <cellStyle name="Normal 131 4 3" xfId="10779"/>
    <cellStyle name="Normal 131 4 4" xfId="17441"/>
    <cellStyle name="Normal 131 4 5" xfId="23874"/>
    <cellStyle name="Normal 131 5" xfId="2723"/>
    <cellStyle name="Normal 131 5 2" xfId="6224"/>
    <cellStyle name="Normal 131 5 2 2" xfId="14705"/>
    <cellStyle name="Normal 131 5 2 3" xfId="21219"/>
    <cellStyle name="Normal 131 5 2 4" xfId="27608"/>
    <cellStyle name="Normal 131 5 3" xfId="11233"/>
    <cellStyle name="Normal 131 5 4" xfId="17802"/>
    <cellStyle name="Normal 131 5 5" xfId="24204"/>
    <cellStyle name="Normal 131 6" xfId="2897"/>
    <cellStyle name="Normal 131 6 2" xfId="6391"/>
    <cellStyle name="Normal 131 6 2 2" xfId="14872"/>
    <cellStyle name="Normal 131 6 2 3" xfId="21386"/>
    <cellStyle name="Normal 131 6 2 4" xfId="27775"/>
    <cellStyle name="Normal 131 6 3" xfId="11403"/>
    <cellStyle name="Normal 131 6 4" xfId="17969"/>
    <cellStyle name="Normal 131 6 5" xfId="24371"/>
    <cellStyle name="Normal 131 7" xfId="3071"/>
    <cellStyle name="Normal 131 7 2" xfId="6558"/>
    <cellStyle name="Normal 131 7 2 2" xfId="15039"/>
    <cellStyle name="Normal 131 7 2 3" xfId="21553"/>
    <cellStyle name="Normal 131 7 2 4" xfId="27942"/>
    <cellStyle name="Normal 131 7 3" xfId="11573"/>
    <cellStyle name="Normal 131 7 4" xfId="18136"/>
    <cellStyle name="Normal 131 7 5" xfId="24538"/>
    <cellStyle name="Normal 131 8" xfId="3244"/>
    <cellStyle name="Normal 131 8 2" xfId="6725"/>
    <cellStyle name="Normal 131 8 2 2" xfId="15206"/>
    <cellStyle name="Normal 131 8 2 3" xfId="21720"/>
    <cellStyle name="Normal 131 8 2 4" xfId="28109"/>
    <cellStyle name="Normal 131 8 3" xfId="11744"/>
    <cellStyle name="Normal 131 8 4" xfId="18303"/>
    <cellStyle name="Normal 131 8 5" xfId="24705"/>
    <cellStyle name="Normal 131 9" xfId="3415"/>
    <cellStyle name="Normal 131 9 2" xfId="6890"/>
    <cellStyle name="Normal 131 9 2 2" xfId="15371"/>
    <cellStyle name="Normal 131 9 2 3" xfId="21885"/>
    <cellStyle name="Normal 131 9 2 4" xfId="28274"/>
    <cellStyle name="Normal 131 9 3" xfId="11912"/>
    <cellStyle name="Normal 131 9 4" xfId="18468"/>
    <cellStyle name="Normal 131 9 5" xfId="24870"/>
    <cellStyle name="Normal 132" xfId="680"/>
    <cellStyle name="Normal 132 10" xfId="3842"/>
    <cellStyle name="Normal 132 10 2" xfId="7303"/>
    <cellStyle name="Normal 132 10 2 2" xfId="15784"/>
    <cellStyle name="Normal 132 10 2 3" xfId="22298"/>
    <cellStyle name="Normal 132 10 2 4" xfId="28687"/>
    <cellStyle name="Normal 132 10 3" xfId="12336"/>
    <cellStyle name="Normal 132 10 4" xfId="18886"/>
    <cellStyle name="Normal 132 10 5" xfId="25283"/>
    <cellStyle name="Normal 132 11" xfId="4009"/>
    <cellStyle name="Normal 132 11 2" xfId="7465"/>
    <cellStyle name="Normal 132 11 2 2" xfId="15946"/>
    <cellStyle name="Normal 132 11 2 3" xfId="22460"/>
    <cellStyle name="Normal 132 11 2 4" xfId="28849"/>
    <cellStyle name="Normal 132 11 3" xfId="12502"/>
    <cellStyle name="Normal 132 11 4" xfId="19049"/>
    <cellStyle name="Normal 132 11 5" xfId="25445"/>
    <cellStyle name="Normal 132 12" xfId="4174"/>
    <cellStyle name="Normal 132 12 2" xfId="7625"/>
    <cellStyle name="Normal 132 12 2 2" xfId="16106"/>
    <cellStyle name="Normal 132 12 2 3" xfId="22620"/>
    <cellStyle name="Normal 132 12 2 4" xfId="29009"/>
    <cellStyle name="Normal 132 12 3" xfId="12666"/>
    <cellStyle name="Normal 132 12 4" xfId="19210"/>
    <cellStyle name="Normal 132 12 5" xfId="25605"/>
    <cellStyle name="Normal 132 13" xfId="4336"/>
    <cellStyle name="Normal 132 13 2" xfId="7782"/>
    <cellStyle name="Normal 132 13 2 2" xfId="16263"/>
    <cellStyle name="Normal 132 13 2 3" xfId="22777"/>
    <cellStyle name="Normal 132 13 2 4" xfId="29166"/>
    <cellStyle name="Normal 132 13 3" xfId="12827"/>
    <cellStyle name="Normal 132 13 4" xfId="19368"/>
    <cellStyle name="Normal 132 13 5" xfId="25762"/>
    <cellStyle name="Normal 132 14" xfId="4496"/>
    <cellStyle name="Normal 132 14 2" xfId="7937"/>
    <cellStyle name="Normal 132 14 2 2" xfId="16418"/>
    <cellStyle name="Normal 132 14 2 3" xfId="22932"/>
    <cellStyle name="Normal 132 14 2 4" xfId="29321"/>
    <cellStyle name="Normal 132 14 3" xfId="12987"/>
    <cellStyle name="Normal 132 14 4" xfId="19524"/>
    <cellStyle name="Normal 132 14 5" xfId="25917"/>
    <cellStyle name="Normal 132 15" xfId="4656"/>
    <cellStyle name="Normal 132 15 2" xfId="8092"/>
    <cellStyle name="Normal 132 15 2 2" xfId="16573"/>
    <cellStyle name="Normal 132 15 2 3" xfId="23087"/>
    <cellStyle name="Normal 132 15 2 4" xfId="29476"/>
    <cellStyle name="Normal 132 15 3" xfId="13146"/>
    <cellStyle name="Normal 132 15 4" xfId="19680"/>
    <cellStyle name="Normal 132 15 5" xfId="26072"/>
    <cellStyle name="Normal 132 16" xfId="4815"/>
    <cellStyle name="Normal 132 16 2" xfId="8246"/>
    <cellStyle name="Normal 132 16 2 2" xfId="16727"/>
    <cellStyle name="Normal 132 16 2 3" xfId="23241"/>
    <cellStyle name="Normal 132 16 2 4" xfId="29630"/>
    <cellStyle name="Normal 132 16 3" xfId="13304"/>
    <cellStyle name="Normal 132 16 4" xfId="19835"/>
    <cellStyle name="Normal 132 16 5" xfId="26226"/>
    <cellStyle name="Normal 132 17" xfId="4973"/>
    <cellStyle name="Normal 132 17 2" xfId="8399"/>
    <cellStyle name="Normal 132 17 2 2" xfId="16880"/>
    <cellStyle name="Normal 132 17 2 3" xfId="23394"/>
    <cellStyle name="Normal 132 17 2 4" xfId="29783"/>
    <cellStyle name="Normal 132 17 3" xfId="13461"/>
    <cellStyle name="Normal 132 17 4" xfId="19989"/>
    <cellStyle name="Normal 132 17 5" xfId="26379"/>
    <cellStyle name="Normal 132 18" xfId="5102"/>
    <cellStyle name="Normal 132 18 2" xfId="8523"/>
    <cellStyle name="Normal 132 18 2 2" xfId="17004"/>
    <cellStyle name="Normal 132 18 2 3" xfId="23518"/>
    <cellStyle name="Normal 132 18 2 4" xfId="29907"/>
    <cellStyle name="Normal 132 18 3" xfId="13588"/>
    <cellStyle name="Normal 132 18 4" xfId="20113"/>
    <cellStyle name="Normal 132 18 5" xfId="26503"/>
    <cellStyle name="Normal 132 19" xfId="5172"/>
    <cellStyle name="Normal 132 19 2" xfId="13654"/>
    <cellStyle name="Normal 132 19 3" xfId="20172"/>
    <cellStyle name="Normal 132 19 4" xfId="26561"/>
    <cellStyle name="Normal 132 2" xfId="1776"/>
    <cellStyle name="Normal 132 2 2" xfId="5374"/>
    <cellStyle name="Normal 132 2 2 2" xfId="13855"/>
    <cellStyle name="Normal 132 2 2 3" xfId="20369"/>
    <cellStyle name="Normal 132 2 2 4" xfId="26758"/>
    <cellStyle name="Normal 132 2 3" xfId="10348"/>
    <cellStyle name="Normal 132 2 4" xfId="9635"/>
    <cellStyle name="Normal 132 2 5" xfId="17423"/>
    <cellStyle name="Normal 132 20" xfId="9749"/>
    <cellStyle name="Normal 132 21" xfId="9977"/>
    <cellStyle name="Normal 132 22" xfId="9792"/>
    <cellStyle name="Normal 132 3" xfId="2110"/>
    <cellStyle name="Normal 132 3 2" xfId="5683"/>
    <cellStyle name="Normal 132 3 2 2" xfId="14164"/>
    <cellStyle name="Normal 132 3 2 3" xfId="20678"/>
    <cellStyle name="Normal 132 3 2 4" xfId="27067"/>
    <cellStyle name="Normal 132 3 3" xfId="10669"/>
    <cellStyle name="Normal 132 3 4" xfId="9402"/>
    <cellStyle name="Normal 132 3 5" xfId="10261"/>
    <cellStyle name="Normal 132 4" xfId="2812"/>
    <cellStyle name="Normal 132 4 2" xfId="6310"/>
    <cellStyle name="Normal 132 4 2 2" xfId="14791"/>
    <cellStyle name="Normal 132 4 2 3" xfId="21305"/>
    <cellStyle name="Normal 132 4 2 4" xfId="27694"/>
    <cellStyle name="Normal 132 4 3" xfId="11319"/>
    <cellStyle name="Normal 132 4 4" xfId="17888"/>
    <cellStyle name="Normal 132 4 5" xfId="24290"/>
    <cellStyle name="Normal 132 5" xfId="2986"/>
    <cellStyle name="Normal 132 5 2" xfId="6477"/>
    <cellStyle name="Normal 132 5 2 2" xfId="14958"/>
    <cellStyle name="Normal 132 5 2 3" xfId="21472"/>
    <cellStyle name="Normal 132 5 2 4" xfId="27861"/>
    <cellStyle name="Normal 132 5 3" xfId="11489"/>
    <cellStyle name="Normal 132 5 4" xfId="18055"/>
    <cellStyle name="Normal 132 5 5" xfId="24457"/>
    <cellStyle name="Normal 132 6" xfId="3159"/>
    <cellStyle name="Normal 132 6 2" xfId="6644"/>
    <cellStyle name="Normal 132 6 2 2" xfId="15125"/>
    <cellStyle name="Normal 132 6 2 3" xfId="21639"/>
    <cellStyle name="Normal 132 6 2 4" xfId="28028"/>
    <cellStyle name="Normal 132 6 3" xfId="11660"/>
    <cellStyle name="Normal 132 6 4" xfId="18222"/>
    <cellStyle name="Normal 132 6 5" xfId="24624"/>
    <cellStyle name="Normal 132 7" xfId="3332"/>
    <cellStyle name="Normal 132 7 2" xfId="6811"/>
    <cellStyle name="Normal 132 7 2 2" xfId="15292"/>
    <cellStyle name="Normal 132 7 2 3" xfId="21806"/>
    <cellStyle name="Normal 132 7 2 4" xfId="28195"/>
    <cellStyle name="Normal 132 7 3" xfId="11830"/>
    <cellStyle name="Normal 132 7 4" xfId="18389"/>
    <cellStyle name="Normal 132 7 5" xfId="24791"/>
    <cellStyle name="Normal 132 8" xfId="3503"/>
    <cellStyle name="Normal 132 8 2" xfId="6976"/>
    <cellStyle name="Normal 132 8 2 2" xfId="15457"/>
    <cellStyle name="Normal 132 8 2 3" xfId="21971"/>
    <cellStyle name="Normal 132 8 2 4" xfId="28360"/>
    <cellStyle name="Normal 132 8 3" xfId="11999"/>
    <cellStyle name="Normal 132 8 4" xfId="18555"/>
    <cellStyle name="Normal 132 8 5" xfId="24956"/>
    <cellStyle name="Normal 132 9" xfId="3673"/>
    <cellStyle name="Normal 132 9 2" xfId="7140"/>
    <cellStyle name="Normal 132 9 2 2" xfId="15621"/>
    <cellStyle name="Normal 132 9 2 3" xfId="22135"/>
    <cellStyle name="Normal 132 9 2 4" xfId="28524"/>
    <cellStyle name="Normal 132 9 3" xfId="12168"/>
    <cellStyle name="Normal 132 9 4" xfId="18721"/>
    <cellStyle name="Normal 132 9 5" xfId="25120"/>
    <cellStyle name="Normal 133" xfId="681"/>
    <cellStyle name="Normal 133 10" xfId="3841"/>
    <cellStyle name="Normal 133 10 2" xfId="7302"/>
    <cellStyle name="Normal 133 10 2 2" xfId="15783"/>
    <cellStyle name="Normal 133 10 2 3" xfId="22297"/>
    <cellStyle name="Normal 133 10 2 4" xfId="28686"/>
    <cellStyle name="Normal 133 10 3" xfId="12335"/>
    <cellStyle name="Normal 133 10 4" xfId="18885"/>
    <cellStyle name="Normal 133 10 5" xfId="25282"/>
    <cellStyle name="Normal 133 11" xfId="4008"/>
    <cellStyle name="Normal 133 11 2" xfId="7464"/>
    <cellStyle name="Normal 133 11 2 2" xfId="15945"/>
    <cellStyle name="Normal 133 11 2 3" xfId="22459"/>
    <cellStyle name="Normal 133 11 2 4" xfId="28848"/>
    <cellStyle name="Normal 133 11 3" xfId="12501"/>
    <cellStyle name="Normal 133 11 4" xfId="19048"/>
    <cellStyle name="Normal 133 11 5" xfId="25444"/>
    <cellStyle name="Normal 133 12" xfId="4173"/>
    <cellStyle name="Normal 133 12 2" xfId="7624"/>
    <cellStyle name="Normal 133 12 2 2" xfId="16105"/>
    <cellStyle name="Normal 133 12 2 3" xfId="22619"/>
    <cellStyle name="Normal 133 12 2 4" xfId="29008"/>
    <cellStyle name="Normal 133 12 3" xfId="12665"/>
    <cellStyle name="Normal 133 12 4" xfId="19209"/>
    <cellStyle name="Normal 133 12 5" xfId="25604"/>
    <cellStyle name="Normal 133 13" xfId="4335"/>
    <cellStyle name="Normal 133 13 2" xfId="7781"/>
    <cellStyle name="Normal 133 13 2 2" xfId="16262"/>
    <cellStyle name="Normal 133 13 2 3" xfId="22776"/>
    <cellStyle name="Normal 133 13 2 4" xfId="29165"/>
    <cellStyle name="Normal 133 13 3" xfId="12826"/>
    <cellStyle name="Normal 133 13 4" xfId="19367"/>
    <cellStyle name="Normal 133 13 5" xfId="25761"/>
    <cellStyle name="Normal 133 14" xfId="4495"/>
    <cellStyle name="Normal 133 14 2" xfId="7936"/>
    <cellStyle name="Normal 133 14 2 2" xfId="16417"/>
    <cellStyle name="Normal 133 14 2 3" xfId="22931"/>
    <cellStyle name="Normal 133 14 2 4" xfId="29320"/>
    <cellStyle name="Normal 133 14 3" xfId="12986"/>
    <cellStyle name="Normal 133 14 4" xfId="19523"/>
    <cellStyle name="Normal 133 14 5" xfId="25916"/>
    <cellStyle name="Normal 133 15" xfId="4655"/>
    <cellStyle name="Normal 133 15 2" xfId="8091"/>
    <cellStyle name="Normal 133 15 2 2" xfId="16572"/>
    <cellStyle name="Normal 133 15 2 3" xfId="23086"/>
    <cellStyle name="Normal 133 15 2 4" xfId="29475"/>
    <cellStyle name="Normal 133 15 3" xfId="13145"/>
    <cellStyle name="Normal 133 15 4" xfId="19679"/>
    <cellStyle name="Normal 133 15 5" xfId="26071"/>
    <cellStyle name="Normal 133 16" xfId="4814"/>
    <cellStyle name="Normal 133 16 2" xfId="8245"/>
    <cellStyle name="Normal 133 16 2 2" xfId="16726"/>
    <cellStyle name="Normal 133 16 2 3" xfId="23240"/>
    <cellStyle name="Normal 133 16 2 4" xfId="29629"/>
    <cellStyle name="Normal 133 16 3" xfId="13303"/>
    <cellStyle name="Normal 133 16 4" xfId="19834"/>
    <cellStyle name="Normal 133 16 5" xfId="26225"/>
    <cellStyle name="Normal 133 17" xfId="4972"/>
    <cellStyle name="Normal 133 17 2" xfId="8398"/>
    <cellStyle name="Normal 133 17 2 2" xfId="16879"/>
    <cellStyle name="Normal 133 17 2 3" xfId="23393"/>
    <cellStyle name="Normal 133 17 2 4" xfId="29782"/>
    <cellStyle name="Normal 133 17 3" xfId="13460"/>
    <cellStyle name="Normal 133 17 4" xfId="19988"/>
    <cellStyle name="Normal 133 17 5" xfId="26378"/>
    <cellStyle name="Normal 133 18" xfId="5101"/>
    <cellStyle name="Normal 133 18 2" xfId="8522"/>
    <cellStyle name="Normal 133 18 2 2" xfId="17003"/>
    <cellStyle name="Normal 133 18 2 3" xfId="23517"/>
    <cellStyle name="Normal 133 18 2 4" xfId="29906"/>
    <cellStyle name="Normal 133 18 3" xfId="13587"/>
    <cellStyle name="Normal 133 18 4" xfId="20112"/>
    <cellStyle name="Normal 133 18 5" xfId="26502"/>
    <cellStyle name="Normal 133 19" xfId="5173"/>
    <cellStyle name="Normal 133 19 2" xfId="13655"/>
    <cellStyle name="Normal 133 19 3" xfId="20173"/>
    <cellStyle name="Normal 133 19 4" xfId="26562"/>
    <cellStyle name="Normal 133 2" xfId="1777"/>
    <cellStyle name="Normal 133 2 2" xfId="5375"/>
    <cellStyle name="Normal 133 2 2 2" xfId="13856"/>
    <cellStyle name="Normal 133 2 2 3" xfId="20370"/>
    <cellStyle name="Normal 133 2 2 4" xfId="26759"/>
    <cellStyle name="Normal 133 2 3" xfId="10349"/>
    <cellStyle name="Normal 133 2 4" xfId="9634"/>
    <cellStyle name="Normal 133 2 5" xfId="17410"/>
    <cellStyle name="Normal 133 20" xfId="9750"/>
    <cellStyle name="Normal 133 21" xfId="9975"/>
    <cellStyle name="Normal 133 22" xfId="9794"/>
    <cellStyle name="Normal 133 3" xfId="2111"/>
    <cellStyle name="Normal 133 3 2" xfId="5684"/>
    <cellStyle name="Normal 133 3 2 2" xfId="14165"/>
    <cellStyle name="Normal 133 3 2 3" xfId="20679"/>
    <cellStyle name="Normal 133 3 2 4" xfId="27068"/>
    <cellStyle name="Normal 133 3 3" xfId="10670"/>
    <cellStyle name="Normal 133 3 4" xfId="9401"/>
    <cellStyle name="Normal 133 3 5" xfId="10262"/>
    <cellStyle name="Normal 133 4" xfId="2811"/>
    <cellStyle name="Normal 133 4 2" xfId="6309"/>
    <cellStyle name="Normal 133 4 2 2" xfId="14790"/>
    <cellStyle name="Normal 133 4 2 3" xfId="21304"/>
    <cellStyle name="Normal 133 4 2 4" xfId="27693"/>
    <cellStyle name="Normal 133 4 3" xfId="11318"/>
    <cellStyle name="Normal 133 4 4" xfId="17887"/>
    <cellStyle name="Normal 133 4 5" xfId="24289"/>
    <cellStyle name="Normal 133 5" xfId="2985"/>
    <cellStyle name="Normal 133 5 2" xfId="6476"/>
    <cellStyle name="Normal 133 5 2 2" xfId="14957"/>
    <cellStyle name="Normal 133 5 2 3" xfId="21471"/>
    <cellStyle name="Normal 133 5 2 4" xfId="27860"/>
    <cellStyle name="Normal 133 5 3" xfId="11488"/>
    <cellStyle name="Normal 133 5 4" xfId="18054"/>
    <cellStyle name="Normal 133 5 5" xfId="24456"/>
    <cellStyle name="Normal 133 6" xfId="3158"/>
    <cellStyle name="Normal 133 6 2" xfId="6643"/>
    <cellStyle name="Normal 133 6 2 2" xfId="15124"/>
    <cellStyle name="Normal 133 6 2 3" xfId="21638"/>
    <cellStyle name="Normal 133 6 2 4" xfId="28027"/>
    <cellStyle name="Normal 133 6 3" xfId="11659"/>
    <cellStyle name="Normal 133 6 4" xfId="18221"/>
    <cellStyle name="Normal 133 6 5" xfId="24623"/>
    <cellStyle name="Normal 133 7" xfId="3331"/>
    <cellStyle name="Normal 133 7 2" xfId="6810"/>
    <cellStyle name="Normal 133 7 2 2" xfId="15291"/>
    <cellStyle name="Normal 133 7 2 3" xfId="21805"/>
    <cellStyle name="Normal 133 7 2 4" xfId="28194"/>
    <cellStyle name="Normal 133 7 3" xfId="11829"/>
    <cellStyle name="Normal 133 7 4" xfId="18388"/>
    <cellStyle name="Normal 133 7 5" xfId="24790"/>
    <cellStyle name="Normal 133 8" xfId="3502"/>
    <cellStyle name="Normal 133 8 2" xfId="6975"/>
    <cellStyle name="Normal 133 8 2 2" xfId="15456"/>
    <cellStyle name="Normal 133 8 2 3" xfId="21970"/>
    <cellStyle name="Normal 133 8 2 4" xfId="28359"/>
    <cellStyle name="Normal 133 8 3" xfId="11998"/>
    <cellStyle name="Normal 133 8 4" xfId="18554"/>
    <cellStyle name="Normal 133 8 5" xfId="24955"/>
    <cellStyle name="Normal 133 9" xfId="3672"/>
    <cellStyle name="Normal 133 9 2" xfId="7139"/>
    <cellStyle name="Normal 133 9 2 2" xfId="15620"/>
    <cellStyle name="Normal 133 9 2 3" xfId="22134"/>
    <cellStyle name="Normal 133 9 2 4" xfId="28523"/>
    <cellStyle name="Normal 133 9 3" xfId="12167"/>
    <cellStyle name="Normal 133 9 4" xfId="18720"/>
    <cellStyle name="Normal 133 9 5" xfId="25119"/>
    <cellStyle name="Normal 134" xfId="682"/>
    <cellStyle name="Normal 134 10" xfId="3840"/>
    <cellStyle name="Normal 134 10 2" xfId="7301"/>
    <cellStyle name="Normal 134 10 2 2" xfId="15782"/>
    <cellStyle name="Normal 134 10 2 3" xfId="22296"/>
    <cellStyle name="Normal 134 10 2 4" xfId="28685"/>
    <cellStyle name="Normal 134 10 3" xfId="12334"/>
    <cellStyle name="Normal 134 10 4" xfId="18884"/>
    <cellStyle name="Normal 134 10 5" xfId="25281"/>
    <cellStyle name="Normal 134 11" xfId="4007"/>
    <cellStyle name="Normal 134 11 2" xfId="7463"/>
    <cellStyle name="Normal 134 11 2 2" xfId="15944"/>
    <cellStyle name="Normal 134 11 2 3" xfId="22458"/>
    <cellStyle name="Normal 134 11 2 4" xfId="28847"/>
    <cellStyle name="Normal 134 11 3" xfId="12500"/>
    <cellStyle name="Normal 134 11 4" xfId="19047"/>
    <cellStyle name="Normal 134 11 5" xfId="25443"/>
    <cellStyle name="Normal 134 12" xfId="4172"/>
    <cellStyle name="Normal 134 12 2" xfId="7623"/>
    <cellStyle name="Normal 134 12 2 2" xfId="16104"/>
    <cellStyle name="Normal 134 12 2 3" xfId="22618"/>
    <cellStyle name="Normal 134 12 2 4" xfId="29007"/>
    <cellStyle name="Normal 134 12 3" xfId="12664"/>
    <cellStyle name="Normal 134 12 4" xfId="19208"/>
    <cellStyle name="Normal 134 12 5" xfId="25603"/>
    <cellStyle name="Normal 134 13" xfId="4334"/>
    <cellStyle name="Normal 134 13 2" xfId="7780"/>
    <cellStyle name="Normal 134 13 2 2" xfId="16261"/>
    <cellStyle name="Normal 134 13 2 3" xfId="22775"/>
    <cellStyle name="Normal 134 13 2 4" xfId="29164"/>
    <cellStyle name="Normal 134 13 3" xfId="12825"/>
    <cellStyle name="Normal 134 13 4" xfId="19366"/>
    <cellStyle name="Normal 134 13 5" xfId="25760"/>
    <cellStyle name="Normal 134 14" xfId="4494"/>
    <cellStyle name="Normal 134 14 2" xfId="7935"/>
    <cellStyle name="Normal 134 14 2 2" xfId="16416"/>
    <cellStyle name="Normal 134 14 2 3" xfId="22930"/>
    <cellStyle name="Normal 134 14 2 4" xfId="29319"/>
    <cellStyle name="Normal 134 14 3" xfId="12985"/>
    <cellStyle name="Normal 134 14 4" xfId="19522"/>
    <cellStyle name="Normal 134 14 5" xfId="25915"/>
    <cellStyle name="Normal 134 15" xfId="4654"/>
    <cellStyle name="Normal 134 15 2" xfId="8090"/>
    <cellStyle name="Normal 134 15 2 2" xfId="16571"/>
    <cellStyle name="Normal 134 15 2 3" xfId="23085"/>
    <cellStyle name="Normal 134 15 2 4" xfId="29474"/>
    <cellStyle name="Normal 134 15 3" xfId="13144"/>
    <cellStyle name="Normal 134 15 4" xfId="19678"/>
    <cellStyle name="Normal 134 15 5" xfId="26070"/>
    <cellStyle name="Normal 134 16" xfId="4813"/>
    <cellStyle name="Normal 134 16 2" xfId="8244"/>
    <cellStyle name="Normal 134 16 2 2" xfId="16725"/>
    <cellStyle name="Normal 134 16 2 3" xfId="23239"/>
    <cellStyle name="Normal 134 16 2 4" xfId="29628"/>
    <cellStyle name="Normal 134 16 3" xfId="13302"/>
    <cellStyle name="Normal 134 16 4" xfId="19833"/>
    <cellStyle name="Normal 134 16 5" xfId="26224"/>
    <cellStyle name="Normal 134 17" xfId="4971"/>
    <cellStyle name="Normal 134 17 2" xfId="8397"/>
    <cellStyle name="Normal 134 17 2 2" xfId="16878"/>
    <cellStyle name="Normal 134 17 2 3" xfId="23392"/>
    <cellStyle name="Normal 134 17 2 4" xfId="29781"/>
    <cellStyle name="Normal 134 17 3" xfId="13459"/>
    <cellStyle name="Normal 134 17 4" xfId="19987"/>
    <cellStyle name="Normal 134 17 5" xfId="26377"/>
    <cellStyle name="Normal 134 18" xfId="5100"/>
    <cellStyle name="Normal 134 18 2" xfId="8521"/>
    <cellStyle name="Normal 134 18 2 2" xfId="17002"/>
    <cellStyle name="Normal 134 18 2 3" xfId="23516"/>
    <cellStyle name="Normal 134 18 2 4" xfId="29905"/>
    <cellStyle name="Normal 134 18 3" xfId="13586"/>
    <cellStyle name="Normal 134 18 4" xfId="20111"/>
    <cellStyle name="Normal 134 18 5" xfId="26501"/>
    <cellStyle name="Normal 134 19" xfId="5174"/>
    <cellStyle name="Normal 134 19 2" xfId="13656"/>
    <cellStyle name="Normal 134 19 3" xfId="20174"/>
    <cellStyle name="Normal 134 19 4" xfId="26563"/>
    <cellStyle name="Normal 134 2" xfId="1778"/>
    <cellStyle name="Normal 134 2 2" xfId="5376"/>
    <cellStyle name="Normal 134 2 2 2" xfId="13857"/>
    <cellStyle name="Normal 134 2 2 3" xfId="20371"/>
    <cellStyle name="Normal 134 2 2 4" xfId="26760"/>
    <cellStyle name="Normal 134 2 3" xfId="10350"/>
    <cellStyle name="Normal 134 2 4" xfId="9633"/>
    <cellStyle name="Normal 134 2 5" xfId="10114"/>
    <cellStyle name="Normal 134 20" xfId="9751"/>
    <cellStyle name="Normal 134 21" xfId="9974"/>
    <cellStyle name="Normal 134 22" xfId="9795"/>
    <cellStyle name="Normal 134 3" xfId="2112"/>
    <cellStyle name="Normal 134 3 2" xfId="5685"/>
    <cellStyle name="Normal 134 3 2 2" xfId="14166"/>
    <cellStyle name="Normal 134 3 2 3" xfId="20680"/>
    <cellStyle name="Normal 134 3 2 4" xfId="27069"/>
    <cellStyle name="Normal 134 3 3" xfId="10671"/>
    <cellStyle name="Normal 134 3 4" xfId="9400"/>
    <cellStyle name="Normal 134 3 5" xfId="10263"/>
    <cellStyle name="Normal 134 4" xfId="2810"/>
    <cellStyle name="Normal 134 4 2" xfId="6308"/>
    <cellStyle name="Normal 134 4 2 2" xfId="14789"/>
    <cellStyle name="Normal 134 4 2 3" xfId="21303"/>
    <cellStyle name="Normal 134 4 2 4" xfId="27692"/>
    <cellStyle name="Normal 134 4 3" xfId="11317"/>
    <cellStyle name="Normal 134 4 4" xfId="17886"/>
    <cellStyle name="Normal 134 4 5" xfId="24288"/>
    <cellStyle name="Normal 134 5" xfId="2984"/>
    <cellStyle name="Normal 134 5 2" xfId="6475"/>
    <cellStyle name="Normal 134 5 2 2" xfId="14956"/>
    <cellStyle name="Normal 134 5 2 3" xfId="21470"/>
    <cellStyle name="Normal 134 5 2 4" xfId="27859"/>
    <cellStyle name="Normal 134 5 3" xfId="11487"/>
    <cellStyle name="Normal 134 5 4" xfId="18053"/>
    <cellStyle name="Normal 134 5 5" xfId="24455"/>
    <cellStyle name="Normal 134 6" xfId="3157"/>
    <cellStyle name="Normal 134 6 2" xfId="6642"/>
    <cellStyle name="Normal 134 6 2 2" xfId="15123"/>
    <cellStyle name="Normal 134 6 2 3" xfId="21637"/>
    <cellStyle name="Normal 134 6 2 4" xfId="28026"/>
    <cellStyle name="Normal 134 6 3" xfId="11658"/>
    <cellStyle name="Normal 134 6 4" xfId="18220"/>
    <cellStyle name="Normal 134 6 5" xfId="24622"/>
    <cellStyle name="Normal 134 7" xfId="3330"/>
    <cellStyle name="Normal 134 7 2" xfId="6809"/>
    <cellStyle name="Normal 134 7 2 2" xfId="15290"/>
    <cellStyle name="Normal 134 7 2 3" xfId="21804"/>
    <cellStyle name="Normal 134 7 2 4" xfId="28193"/>
    <cellStyle name="Normal 134 7 3" xfId="11828"/>
    <cellStyle name="Normal 134 7 4" xfId="18387"/>
    <cellStyle name="Normal 134 7 5" xfId="24789"/>
    <cellStyle name="Normal 134 8" xfId="3501"/>
    <cellStyle name="Normal 134 8 2" xfId="6974"/>
    <cellStyle name="Normal 134 8 2 2" xfId="15455"/>
    <cellStyle name="Normal 134 8 2 3" xfId="21969"/>
    <cellStyle name="Normal 134 8 2 4" xfId="28358"/>
    <cellStyle name="Normal 134 8 3" xfId="11997"/>
    <cellStyle name="Normal 134 8 4" xfId="18553"/>
    <cellStyle name="Normal 134 8 5" xfId="24954"/>
    <cellStyle name="Normal 134 9" xfId="3671"/>
    <cellStyle name="Normal 134 9 2" xfId="7138"/>
    <cellStyle name="Normal 134 9 2 2" xfId="15619"/>
    <cellStyle name="Normal 134 9 2 3" xfId="22133"/>
    <cellStyle name="Normal 134 9 2 4" xfId="28522"/>
    <cellStyle name="Normal 134 9 3" xfId="12166"/>
    <cellStyle name="Normal 134 9 4" xfId="18719"/>
    <cellStyle name="Normal 134 9 5" xfId="25118"/>
    <cellStyle name="Normal 135" xfId="683"/>
    <cellStyle name="Normal 135 10" xfId="3839"/>
    <cellStyle name="Normal 135 10 2" xfId="7300"/>
    <cellStyle name="Normal 135 10 2 2" xfId="15781"/>
    <cellStyle name="Normal 135 10 2 3" xfId="22295"/>
    <cellStyle name="Normal 135 10 2 4" xfId="28684"/>
    <cellStyle name="Normal 135 10 3" xfId="12333"/>
    <cellStyle name="Normal 135 10 4" xfId="18883"/>
    <cellStyle name="Normal 135 10 5" xfId="25280"/>
    <cellStyle name="Normal 135 11" xfId="4006"/>
    <cellStyle name="Normal 135 11 2" xfId="7462"/>
    <cellStyle name="Normal 135 11 2 2" xfId="15943"/>
    <cellStyle name="Normal 135 11 2 3" xfId="22457"/>
    <cellStyle name="Normal 135 11 2 4" xfId="28846"/>
    <cellStyle name="Normal 135 11 3" xfId="12499"/>
    <cellStyle name="Normal 135 11 4" xfId="19046"/>
    <cellStyle name="Normal 135 11 5" xfId="25442"/>
    <cellStyle name="Normal 135 12" xfId="4171"/>
    <cellStyle name="Normal 135 12 2" xfId="7622"/>
    <cellStyle name="Normal 135 12 2 2" xfId="16103"/>
    <cellStyle name="Normal 135 12 2 3" xfId="22617"/>
    <cellStyle name="Normal 135 12 2 4" xfId="29006"/>
    <cellStyle name="Normal 135 12 3" xfId="12663"/>
    <cellStyle name="Normal 135 12 4" xfId="19207"/>
    <cellStyle name="Normal 135 12 5" xfId="25602"/>
    <cellStyle name="Normal 135 13" xfId="4333"/>
    <cellStyle name="Normal 135 13 2" xfId="7779"/>
    <cellStyle name="Normal 135 13 2 2" xfId="16260"/>
    <cellStyle name="Normal 135 13 2 3" xfId="22774"/>
    <cellStyle name="Normal 135 13 2 4" xfId="29163"/>
    <cellStyle name="Normal 135 13 3" xfId="12824"/>
    <cellStyle name="Normal 135 13 4" xfId="19365"/>
    <cellStyle name="Normal 135 13 5" xfId="25759"/>
    <cellStyle name="Normal 135 14" xfId="4493"/>
    <cellStyle name="Normal 135 14 2" xfId="7934"/>
    <cellStyle name="Normal 135 14 2 2" xfId="16415"/>
    <cellStyle name="Normal 135 14 2 3" xfId="22929"/>
    <cellStyle name="Normal 135 14 2 4" xfId="29318"/>
    <cellStyle name="Normal 135 14 3" xfId="12984"/>
    <cellStyle name="Normal 135 14 4" xfId="19521"/>
    <cellStyle name="Normal 135 14 5" xfId="25914"/>
    <cellStyle name="Normal 135 15" xfId="4653"/>
    <cellStyle name="Normal 135 15 2" xfId="8089"/>
    <cellStyle name="Normal 135 15 2 2" xfId="16570"/>
    <cellStyle name="Normal 135 15 2 3" xfId="23084"/>
    <cellStyle name="Normal 135 15 2 4" xfId="29473"/>
    <cellStyle name="Normal 135 15 3" xfId="13143"/>
    <cellStyle name="Normal 135 15 4" xfId="19677"/>
    <cellStyle name="Normal 135 15 5" xfId="26069"/>
    <cellStyle name="Normal 135 16" xfId="4812"/>
    <cellStyle name="Normal 135 16 2" xfId="8243"/>
    <cellStyle name="Normal 135 16 2 2" xfId="16724"/>
    <cellStyle name="Normal 135 16 2 3" xfId="23238"/>
    <cellStyle name="Normal 135 16 2 4" xfId="29627"/>
    <cellStyle name="Normal 135 16 3" xfId="13301"/>
    <cellStyle name="Normal 135 16 4" xfId="19832"/>
    <cellStyle name="Normal 135 16 5" xfId="26223"/>
    <cellStyle name="Normal 135 17" xfId="4970"/>
    <cellStyle name="Normal 135 17 2" xfId="8396"/>
    <cellStyle name="Normal 135 17 2 2" xfId="16877"/>
    <cellStyle name="Normal 135 17 2 3" xfId="23391"/>
    <cellStyle name="Normal 135 17 2 4" xfId="29780"/>
    <cellStyle name="Normal 135 17 3" xfId="13458"/>
    <cellStyle name="Normal 135 17 4" xfId="19986"/>
    <cellStyle name="Normal 135 17 5" xfId="26376"/>
    <cellStyle name="Normal 135 18" xfId="5099"/>
    <cellStyle name="Normal 135 18 2" xfId="8520"/>
    <cellStyle name="Normal 135 18 2 2" xfId="17001"/>
    <cellStyle name="Normal 135 18 2 3" xfId="23515"/>
    <cellStyle name="Normal 135 18 2 4" xfId="29904"/>
    <cellStyle name="Normal 135 18 3" xfId="13585"/>
    <cellStyle name="Normal 135 18 4" xfId="20110"/>
    <cellStyle name="Normal 135 18 5" xfId="26500"/>
    <cellStyle name="Normal 135 19" xfId="5175"/>
    <cellStyle name="Normal 135 19 2" xfId="13657"/>
    <cellStyle name="Normal 135 19 3" xfId="20175"/>
    <cellStyle name="Normal 135 19 4" xfId="26564"/>
    <cellStyle name="Normal 135 2" xfId="1779"/>
    <cellStyle name="Normal 135 2 2" xfId="5377"/>
    <cellStyle name="Normal 135 2 2 2" xfId="13858"/>
    <cellStyle name="Normal 135 2 2 3" xfId="20372"/>
    <cellStyle name="Normal 135 2 2 4" xfId="26761"/>
    <cellStyle name="Normal 135 2 3" xfId="10351"/>
    <cellStyle name="Normal 135 2 4" xfId="9632"/>
    <cellStyle name="Normal 135 2 5" xfId="10115"/>
    <cellStyle name="Normal 135 20" xfId="9752"/>
    <cellStyle name="Normal 135 21" xfId="9973"/>
    <cellStyle name="Normal 135 22" xfId="9796"/>
    <cellStyle name="Normal 135 3" xfId="2113"/>
    <cellStyle name="Normal 135 3 2" xfId="5686"/>
    <cellStyle name="Normal 135 3 2 2" xfId="14167"/>
    <cellStyle name="Normal 135 3 2 3" xfId="20681"/>
    <cellStyle name="Normal 135 3 2 4" xfId="27070"/>
    <cellStyle name="Normal 135 3 3" xfId="10672"/>
    <cellStyle name="Normal 135 3 4" xfId="9399"/>
    <cellStyle name="Normal 135 3 5" xfId="10264"/>
    <cellStyle name="Normal 135 4" xfId="2809"/>
    <cellStyle name="Normal 135 4 2" xfId="6307"/>
    <cellStyle name="Normal 135 4 2 2" xfId="14788"/>
    <cellStyle name="Normal 135 4 2 3" xfId="21302"/>
    <cellStyle name="Normal 135 4 2 4" xfId="27691"/>
    <cellStyle name="Normal 135 4 3" xfId="11316"/>
    <cellStyle name="Normal 135 4 4" xfId="17885"/>
    <cellStyle name="Normal 135 4 5" xfId="24287"/>
    <cellStyle name="Normal 135 5" xfId="2983"/>
    <cellStyle name="Normal 135 5 2" xfId="6474"/>
    <cellStyle name="Normal 135 5 2 2" xfId="14955"/>
    <cellStyle name="Normal 135 5 2 3" xfId="21469"/>
    <cellStyle name="Normal 135 5 2 4" xfId="27858"/>
    <cellStyle name="Normal 135 5 3" xfId="11486"/>
    <cellStyle name="Normal 135 5 4" xfId="18052"/>
    <cellStyle name="Normal 135 5 5" xfId="24454"/>
    <cellStyle name="Normal 135 6" xfId="3156"/>
    <cellStyle name="Normal 135 6 2" xfId="6641"/>
    <cellStyle name="Normal 135 6 2 2" xfId="15122"/>
    <cellStyle name="Normal 135 6 2 3" xfId="21636"/>
    <cellStyle name="Normal 135 6 2 4" xfId="28025"/>
    <cellStyle name="Normal 135 6 3" xfId="11657"/>
    <cellStyle name="Normal 135 6 4" xfId="18219"/>
    <cellStyle name="Normal 135 6 5" xfId="24621"/>
    <cellStyle name="Normal 135 7" xfId="3329"/>
    <cellStyle name="Normal 135 7 2" xfId="6808"/>
    <cellStyle name="Normal 135 7 2 2" xfId="15289"/>
    <cellStyle name="Normal 135 7 2 3" xfId="21803"/>
    <cellStyle name="Normal 135 7 2 4" xfId="28192"/>
    <cellStyle name="Normal 135 7 3" xfId="11827"/>
    <cellStyle name="Normal 135 7 4" xfId="18386"/>
    <cellStyle name="Normal 135 7 5" xfId="24788"/>
    <cellStyle name="Normal 135 8" xfId="3500"/>
    <cellStyle name="Normal 135 8 2" xfId="6973"/>
    <cellStyle name="Normal 135 8 2 2" xfId="15454"/>
    <cellStyle name="Normal 135 8 2 3" xfId="21968"/>
    <cellStyle name="Normal 135 8 2 4" xfId="28357"/>
    <cellStyle name="Normal 135 8 3" xfId="11996"/>
    <cellStyle name="Normal 135 8 4" xfId="18552"/>
    <cellStyle name="Normal 135 8 5" xfId="24953"/>
    <cellStyle name="Normal 135 9" xfId="3670"/>
    <cellStyle name="Normal 135 9 2" xfId="7137"/>
    <cellStyle name="Normal 135 9 2 2" xfId="15618"/>
    <cellStyle name="Normal 135 9 2 3" xfId="22132"/>
    <cellStyle name="Normal 135 9 2 4" xfId="28521"/>
    <cellStyle name="Normal 135 9 3" xfId="12165"/>
    <cellStyle name="Normal 135 9 4" xfId="18718"/>
    <cellStyle name="Normal 135 9 5" xfId="25117"/>
    <cellStyle name="Normal 136" xfId="684"/>
    <cellStyle name="Normal 136 10" xfId="3838"/>
    <cellStyle name="Normal 136 10 2" xfId="7299"/>
    <cellStyle name="Normal 136 10 2 2" xfId="15780"/>
    <cellStyle name="Normal 136 10 2 3" xfId="22294"/>
    <cellStyle name="Normal 136 10 2 4" xfId="28683"/>
    <cellStyle name="Normal 136 10 3" xfId="12332"/>
    <cellStyle name="Normal 136 10 4" xfId="18882"/>
    <cellStyle name="Normal 136 10 5" xfId="25279"/>
    <cellStyle name="Normal 136 11" xfId="4005"/>
    <cellStyle name="Normal 136 11 2" xfId="7461"/>
    <cellStyle name="Normal 136 11 2 2" xfId="15942"/>
    <cellStyle name="Normal 136 11 2 3" xfId="22456"/>
    <cellStyle name="Normal 136 11 2 4" xfId="28845"/>
    <cellStyle name="Normal 136 11 3" xfId="12498"/>
    <cellStyle name="Normal 136 11 4" xfId="19045"/>
    <cellStyle name="Normal 136 11 5" xfId="25441"/>
    <cellStyle name="Normal 136 12" xfId="4170"/>
    <cellStyle name="Normal 136 12 2" xfId="7621"/>
    <cellStyle name="Normal 136 12 2 2" xfId="16102"/>
    <cellStyle name="Normal 136 12 2 3" xfId="22616"/>
    <cellStyle name="Normal 136 12 2 4" xfId="29005"/>
    <cellStyle name="Normal 136 12 3" xfId="12662"/>
    <cellStyle name="Normal 136 12 4" xfId="19206"/>
    <cellStyle name="Normal 136 12 5" xfId="25601"/>
    <cellStyle name="Normal 136 13" xfId="4332"/>
    <cellStyle name="Normal 136 13 2" xfId="7778"/>
    <cellStyle name="Normal 136 13 2 2" xfId="16259"/>
    <cellStyle name="Normal 136 13 2 3" xfId="22773"/>
    <cellStyle name="Normal 136 13 2 4" xfId="29162"/>
    <cellStyle name="Normal 136 13 3" xfId="12823"/>
    <cellStyle name="Normal 136 13 4" xfId="19364"/>
    <cellStyle name="Normal 136 13 5" xfId="25758"/>
    <cellStyle name="Normal 136 14" xfId="4492"/>
    <cellStyle name="Normal 136 14 2" xfId="7933"/>
    <cellStyle name="Normal 136 14 2 2" xfId="16414"/>
    <cellStyle name="Normal 136 14 2 3" xfId="22928"/>
    <cellStyle name="Normal 136 14 2 4" xfId="29317"/>
    <cellStyle name="Normal 136 14 3" xfId="12983"/>
    <cellStyle name="Normal 136 14 4" xfId="19520"/>
    <cellStyle name="Normal 136 14 5" xfId="25913"/>
    <cellStyle name="Normal 136 15" xfId="4652"/>
    <cellStyle name="Normal 136 15 2" xfId="8088"/>
    <cellStyle name="Normal 136 15 2 2" xfId="16569"/>
    <cellStyle name="Normal 136 15 2 3" xfId="23083"/>
    <cellStyle name="Normal 136 15 2 4" xfId="29472"/>
    <cellStyle name="Normal 136 15 3" xfId="13142"/>
    <cellStyle name="Normal 136 15 4" xfId="19676"/>
    <cellStyle name="Normal 136 15 5" xfId="26068"/>
    <cellStyle name="Normal 136 16" xfId="4811"/>
    <cellStyle name="Normal 136 16 2" xfId="8242"/>
    <cellStyle name="Normal 136 16 2 2" xfId="16723"/>
    <cellStyle name="Normal 136 16 2 3" xfId="23237"/>
    <cellStyle name="Normal 136 16 2 4" xfId="29626"/>
    <cellStyle name="Normal 136 16 3" xfId="13300"/>
    <cellStyle name="Normal 136 16 4" xfId="19831"/>
    <cellStyle name="Normal 136 16 5" xfId="26222"/>
    <cellStyle name="Normal 136 17" xfId="4969"/>
    <cellStyle name="Normal 136 17 2" xfId="8395"/>
    <cellStyle name="Normal 136 17 2 2" xfId="16876"/>
    <cellStyle name="Normal 136 17 2 3" xfId="23390"/>
    <cellStyle name="Normal 136 17 2 4" xfId="29779"/>
    <cellStyle name="Normal 136 17 3" xfId="13457"/>
    <cellStyle name="Normal 136 17 4" xfId="19985"/>
    <cellStyle name="Normal 136 17 5" xfId="26375"/>
    <cellStyle name="Normal 136 18" xfId="5098"/>
    <cellStyle name="Normal 136 18 2" xfId="8519"/>
    <cellStyle name="Normal 136 18 2 2" xfId="17000"/>
    <cellStyle name="Normal 136 18 2 3" xfId="23514"/>
    <cellStyle name="Normal 136 18 2 4" xfId="29903"/>
    <cellStyle name="Normal 136 18 3" xfId="13584"/>
    <cellStyle name="Normal 136 18 4" xfId="20109"/>
    <cellStyle name="Normal 136 18 5" xfId="26499"/>
    <cellStyle name="Normal 136 19" xfId="5176"/>
    <cellStyle name="Normal 136 19 2" xfId="13658"/>
    <cellStyle name="Normal 136 19 3" xfId="20176"/>
    <cellStyle name="Normal 136 19 4" xfId="26565"/>
    <cellStyle name="Normal 136 2" xfId="1780"/>
    <cellStyle name="Normal 136 2 2" xfId="5378"/>
    <cellStyle name="Normal 136 2 2 2" xfId="13859"/>
    <cellStyle name="Normal 136 2 2 3" xfId="20373"/>
    <cellStyle name="Normal 136 2 2 4" xfId="26762"/>
    <cellStyle name="Normal 136 2 3" xfId="10352"/>
    <cellStyle name="Normal 136 2 4" xfId="9631"/>
    <cellStyle name="Normal 136 2 5" xfId="10116"/>
    <cellStyle name="Normal 136 20" xfId="9753"/>
    <cellStyle name="Normal 136 21" xfId="9971"/>
    <cellStyle name="Normal 136 22" xfId="9798"/>
    <cellStyle name="Normal 136 3" xfId="2114"/>
    <cellStyle name="Normal 136 3 2" xfId="5687"/>
    <cellStyle name="Normal 136 3 2 2" xfId="14168"/>
    <cellStyle name="Normal 136 3 2 3" xfId="20682"/>
    <cellStyle name="Normal 136 3 2 4" xfId="27071"/>
    <cellStyle name="Normal 136 3 3" xfId="10673"/>
    <cellStyle name="Normal 136 3 4" xfId="9398"/>
    <cellStyle name="Normal 136 3 5" xfId="10265"/>
    <cellStyle name="Normal 136 4" xfId="2808"/>
    <cellStyle name="Normal 136 4 2" xfId="6306"/>
    <cellStyle name="Normal 136 4 2 2" xfId="14787"/>
    <cellStyle name="Normal 136 4 2 3" xfId="21301"/>
    <cellStyle name="Normal 136 4 2 4" xfId="27690"/>
    <cellStyle name="Normal 136 4 3" xfId="11315"/>
    <cellStyle name="Normal 136 4 4" xfId="17884"/>
    <cellStyle name="Normal 136 4 5" xfId="24286"/>
    <cellStyle name="Normal 136 5" xfId="2982"/>
    <cellStyle name="Normal 136 5 2" xfId="6473"/>
    <cellStyle name="Normal 136 5 2 2" xfId="14954"/>
    <cellStyle name="Normal 136 5 2 3" xfId="21468"/>
    <cellStyle name="Normal 136 5 2 4" xfId="27857"/>
    <cellStyle name="Normal 136 5 3" xfId="11485"/>
    <cellStyle name="Normal 136 5 4" xfId="18051"/>
    <cellStyle name="Normal 136 5 5" xfId="24453"/>
    <cellStyle name="Normal 136 6" xfId="3155"/>
    <cellStyle name="Normal 136 6 2" xfId="6640"/>
    <cellStyle name="Normal 136 6 2 2" xfId="15121"/>
    <cellStyle name="Normal 136 6 2 3" xfId="21635"/>
    <cellStyle name="Normal 136 6 2 4" xfId="28024"/>
    <cellStyle name="Normal 136 6 3" xfId="11656"/>
    <cellStyle name="Normal 136 6 4" xfId="18218"/>
    <cellStyle name="Normal 136 6 5" xfId="24620"/>
    <cellStyle name="Normal 136 7" xfId="3328"/>
    <cellStyle name="Normal 136 7 2" xfId="6807"/>
    <cellStyle name="Normal 136 7 2 2" xfId="15288"/>
    <cellStyle name="Normal 136 7 2 3" xfId="21802"/>
    <cellStyle name="Normal 136 7 2 4" xfId="28191"/>
    <cellStyle name="Normal 136 7 3" xfId="11826"/>
    <cellStyle name="Normal 136 7 4" xfId="18385"/>
    <cellStyle name="Normal 136 7 5" xfId="24787"/>
    <cellStyle name="Normal 136 8" xfId="3499"/>
    <cellStyle name="Normal 136 8 2" xfId="6972"/>
    <cellStyle name="Normal 136 8 2 2" xfId="15453"/>
    <cellStyle name="Normal 136 8 2 3" xfId="21967"/>
    <cellStyle name="Normal 136 8 2 4" xfId="28356"/>
    <cellStyle name="Normal 136 8 3" xfId="11995"/>
    <cellStyle name="Normal 136 8 4" xfId="18551"/>
    <cellStyle name="Normal 136 8 5" xfId="24952"/>
    <cellStyle name="Normal 136 9" xfId="3669"/>
    <cellStyle name="Normal 136 9 2" xfId="7136"/>
    <cellStyle name="Normal 136 9 2 2" xfId="15617"/>
    <cellStyle name="Normal 136 9 2 3" xfId="22131"/>
    <cellStyle name="Normal 136 9 2 4" xfId="28520"/>
    <cellStyle name="Normal 136 9 3" xfId="12164"/>
    <cellStyle name="Normal 136 9 4" xfId="18717"/>
    <cellStyle name="Normal 136 9 5" xfId="25116"/>
    <cellStyle name="Normal 137" xfId="685"/>
    <cellStyle name="Normal 137 10" xfId="3837"/>
    <cellStyle name="Normal 137 10 2" xfId="7298"/>
    <cellStyle name="Normal 137 10 2 2" xfId="15779"/>
    <cellStyle name="Normal 137 10 2 3" xfId="22293"/>
    <cellStyle name="Normal 137 10 2 4" xfId="28682"/>
    <cellStyle name="Normal 137 10 3" xfId="12331"/>
    <cellStyle name="Normal 137 10 4" xfId="18881"/>
    <cellStyle name="Normal 137 10 5" xfId="25278"/>
    <cellStyle name="Normal 137 11" xfId="4004"/>
    <cellStyle name="Normal 137 11 2" xfId="7460"/>
    <cellStyle name="Normal 137 11 2 2" xfId="15941"/>
    <cellStyle name="Normal 137 11 2 3" xfId="22455"/>
    <cellStyle name="Normal 137 11 2 4" xfId="28844"/>
    <cellStyle name="Normal 137 11 3" xfId="12497"/>
    <cellStyle name="Normal 137 11 4" xfId="19044"/>
    <cellStyle name="Normal 137 11 5" xfId="25440"/>
    <cellStyle name="Normal 137 12" xfId="4169"/>
    <cellStyle name="Normal 137 12 2" xfId="7620"/>
    <cellStyle name="Normal 137 12 2 2" xfId="16101"/>
    <cellStyle name="Normal 137 12 2 3" xfId="22615"/>
    <cellStyle name="Normal 137 12 2 4" xfId="29004"/>
    <cellStyle name="Normal 137 12 3" xfId="12661"/>
    <cellStyle name="Normal 137 12 4" xfId="19205"/>
    <cellStyle name="Normal 137 12 5" xfId="25600"/>
    <cellStyle name="Normal 137 13" xfId="4331"/>
    <cellStyle name="Normal 137 13 2" xfId="7777"/>
    <cellStyle name="Normal 137 13 2 2" xfId="16258"/>
    <cellStyle name="Normal 137 13 2 3" xfId="22772"/>
    <cellStyle name="Normal 137 13 2 4" xfId="29161"/>
    <cellStyle name="Normal 137 13 3" xfId="12822"/>
    <cellStyle name="Normal 137 13 4" xfId="19363"/>
    <cellStyle name="Normal 137 13 5" xfId="25757"/>
    <cellStyle name="Normal 137 14" xfId="4491"/>
    <cellStyle name="Normal 137 14 2" xfId="7932"/>
    <cellStyle name="Normal 137 14 2 2" xfId="16413"/>
    <cellStyle name="Normal 137 14 2 3" xfId="22927"/>
    <cellStyle name="Normal 137 14 2 4" xfId="29316"/>
    <cellStyle name="Normal 137 14 3" xfId="12982"/>
    <cellStyle name="Normal 137 14 4" xfId="19519"/>
    <cellStyle name="Normal 137 14 5" xfId="25912"/>
    <cellStyle name="Normal 137 15" xfId="4651"/>
    <cellStyle name="Normal 137 15 2" xfId="8087"/>
    <cellStyle name="Normal 137 15 2 2" xfId="16568"/>
    <cellStyle name="Normal 137 15 2 3" xfId="23082"/>
    <cellStyle name="Normal 137 15 2 4" xfId="29471"/>
    <cellStyle name="Normal 137 15 3" xfId="13141"/>
    <cellStyle name="Normal 137 15 4" xfId="19675"/>
    <cellStyle name="Normal 137 15 5" xfId="26067"/>
    <cellStyle name="Normal 137 16" xfId="4810"/>
    <cellStyle name="Normal 137 16 2" xfId="8241"/>
    <cellStyle name="Normal 137 16 2 2" xfId="16722"/>
    <cellStyle name="Normal 137 16 2 3" xfId="23236"/>
    <cellStyle name="Normal 137 16 2 4" xfId="29625"/>
    <cellStyle name="Normal 137 16 3" xfId="13299"/>
    <cellStyle name="Normal 137 16 4" xfId="19830"/>
    <cellStyle name="Normal 137 16 5" xfId="26221"/>
    <cellStyle name="Normal 137 17" xfId="4968"/>
    <cellStyle name="Normal 137 17 2" xfId="8394"/>
    <cellStyle name="Normal 137 17 2 2" xfId="16875"/>
    <cellStyle name="Normal 137 17 2 3" xfId="23389"/>
    <cellStyle name="Normal 137 17 2 4" xfId="29778"/>
    <cellStyle name="Normal 137 17 3" xfId="13456"/>
    <cellStyle name="Normal 137 17 4" xfId="19984"/>
    <cellStyle name="Normal 137 17 5" xfId="26374"/>
    <cellStyle name="Normal 137 18" xfId="5097"/>
    <cellStyle name="Normal 137 18 2" xfId="8518"/>
    <cellStyle name="Normal 137 18 2 2" xfId="16999"/>
    <cellStyle name="Normal 137 18 2 3" xfId="23513"/>
    <cellStyle name="Normal 137 18 2 4" xfId="29902"/>
    <cellStyle name="Normal 137 18 3" xfId="13583"/>
    <cellStyle name="Normal 137 18 4" xfId="20108"/>
    <cellStyle name="Normal 137 18 5" xfId="26498"/>
    <cellStyle name="Normal 137 19" xfId="5177"/>
    <cellStyle name="Normal 137 19 2" xfId="13659"/>
    <cellStyle name="Normal 137 19 3" xfId="20177"/>
    <cellStyle name="Normal 137 19 4" xfId="26566"/>
    <cellStyle name="Normal 137 2" xfId="1781"/>
    <cellStyle name="Normal 137 2 2" xfId="5379"/>
    <cellStyle name="Normal 137 2 2 2" xfId="13860"/>
    <cellStyle name="Normal 137 2 2 3" xfId="20374"/>
    <cellStyle name="Normal 137 2 2 4" xfId="26763"/>
    <cellStyle name="Normal 137 2 3" xfId="10353"/>
    <cellStyle name="Normal 137 2 4" xfId="9630"/>
    <cellStyle name="Normal 137 2 5" xfId="10117"/>
    <cellStyle name="Normal 137 20" xfId="9754"/>
    <cellStyle name="Normal 137 21" xfId="9970"/>
    <cellStyle name="Normal 137 22" xfId="9799"/>
    <cellStyle name="Normal 137 3" xfId="2115"/>
    <cellStyle name="Normal 137 3 2" xfId="5688"/>
    <cellStyle name="Normal 137 3 2 2" xfId="14169"/>
    <cellStyle name="Normal 137 3 2 3" xfId="20683"/>
    <cellStyle name="Normal 137 3 2 4" xfId="27072"/>
    <cellStyle name="Normal 137 3 3" xfId="10674"/>
    <cellStyle name="Normal 137 3 4" xfId="9397"/>
    <cellStyle name="Normal 137 3 5" xfId="10266"/>
    <cellStyle name="Normal 137 4" xfId="2807"/>
    <cellStyle name="Normal 137 4 2" xfId="6305"/>
    <cellStyle name="Normal 137 4 2 2" xfId="14786"/>
    <cellStyle name="Normal 137 4 2 3" xfId="21300"/>
    <cellStyle name="Normal 137 4 2 4" xfId="27689"/>
    <cellStyle name="Normal 137 4 3" xfId="11314"/>
    <cellStyle name="Normal 137 4 4" xfId="17883"/>
    <cellStyle name="Normal 137 4 5" xfId="24285"/>
    <cellStyle name="Normal 137 5" xfId="2981"/>
    <cellStyle name="Normal 137 5 2" xfId="6472"/>
    <cellStyle name="Normal 137 5 2 2" xfId="14953"/>
    <cellStyle name="Normal 137 5 2 3" xfId="21467"/>
    <cellStyle name="Normal 137 5 2 4" xfId="27856"/>
    <cellStyle name="Normal 137 5 3" xfId="11484"/>
    <cellStyle name="Normal 137 5 4" xfId="18050"/>
    <cellStyle name="Normal 137 5 5" xfId="24452"/>
    <cellStyle name="Normal 137 6" xfId="3154"/>
    <cellStyle name="Normal 137 6 2" xfId="6639"/>
    <cellStyle name="Normal 137 6 2 2" xfId="15120"/>
    <cellStyle name="Normal 137 6 2 3" xfId="21634"/>
    <cellStyle name="Normal 137 6 2 4" xfId="28023"/>
    <cellStyle name="Normal 137 6 3" xfId="11655"/>
    <cellStyle name="Normal 137 6 4" xfId="18217"/>
    <cellStyle name="Normal 137 6 5" xfId="24619"/>
    <cellStyle name="Normal 137 7" xfId="3327"/>
    <cellStyle name="Normal 137 7 2" xfId="6806"/>
    <cellStyle name="Normal 137 7 2 2" xfId="15287"/>
    <cellStyle name="Normal 137 7 2 3" xfId="21801"/>
    <cellStyle name="Normal 137 7 2 4" xfId="28190"/>
    <cellStyle name="Normal 137 7 3" xfId="11825"/>
    <cellStyle name="Normal 137 7 4" xfId="18384"/>
    <cellStyle name="Normal 137 7 5" xfId="24786"/>
    <cellStyle name="Normal 137 8" xfId="3498"/>
    <cellStyle name="Normal 137 8 2" xfId="6971"/>
    <cellStyle name="Normal 137 8 2 2" xfId="15452"/>
    <cellStyle name="Normal 137 8 2 3" xfId="21966"/>
    <cellStyle name="Normal 137 8 2 4" xfId="28355"/>
    <cellStyle name="Normal 137 8 3" xfId="11994"/>
    <cellStyle name="Normal 137 8 4" xfId="18550"/>
    <cellStyle name="Normal 137 8 5" xfId="24951"/>
    <cellStyle name="Normal 137 9" xfId="3668"/>
    <cellStyle name="Normal 137 9 2" xfId="7135"/>
    <cellStyle name="Normal 137 9 2 2" xfId="15616"/>
    <cellStyle name="Normal 137 9 2 3" xfId="22130"/>
    <cellStyle name="Normal 137 9 2 4" xfId="28519"/>
    <cellStyle name="Normal 137 9 3" xfId="12163"/>
    <cellStyle name="Normal 137 9 4" xfId="18716"/>
    <cellStyle name="Normal 137 9 5" xfId="25115"/>
    <cellStyle name="Normal 138" xfId="686"/>
    <cellStyle name="Normal 138 10" xfId="3836"/>
    <cellStyle name="Normal 138 10 2" xfId="7297"/>
    <cellStyle name="Normal 138 10 2 2" xfId="15778"/>
    <cellStyle name="Normal 138 10 2 3" xfId="22292"/>
    <cellStyle name="Normal 138 10 2 4" xfId="28681"/>
    <cellStyle name="Normal 138 10 3" xfId="12330"/>
    <cellStyle name="Normal 138 10 4" xfId="18880"/>
    <cellStyle name="Normal 138 10 5" xfId="25277"/>
    <cellStyle name="Normal 138 11" xfId="4003"/>
    <cellStyle name="Normal 138 11 2" xfId="7459"/>
    <cellStyle name="Normal 138 11 2 2" xfId="15940"/>
    <cellStyle name="Normal 138 11 2 3" xfId="22454"/>
    <cellStyle name="Normal 138 11 2 4" xfId="28843"/>
    <cellStyle name="Normal 138 11 3" xfId="12496"/>
    <cellStyle name="Normal 138 11 4" xfId="19043"/>
    <cellStyle name="Normal 138 11 5" xfId="25439"/>
    <cellStyle name="Normal 138 12" xfId="4168"/>
    <cellStyle name="Normal 138 12 2" xfId="7619"/>
    <cellStyle name="Normal 138 12 2 2" xfId="16100"/>
    <cellStyle name="Normal 138 12 2 3" xfId="22614"/>
    <cellStyle name="Normal 138 12 2 4" xfId="29003"/>
    <cellStyle name="Normal 138 12 3" xfId="12660"/>
    <cellStyle name="Normal 138 12 4" xfId="19204"/>
    <cellStyle name="Normal 138 12 5" xfId="25599"/>
    <cellStyle name="Normal 138 13" xfId="4330"/>
    <cellStyle name="Normal 138 13 2" xfId="7776"/>
    <cellStyle name="Normal 138 13 2 2" xfId="16257"/>
    <cellStyle name="Normal 138 13 2 3" xfId="22771"/>
    <cellStyle name="Normal 138 13 2 4" xfId="29160"/>
    <cellStyle name="Normal 138 13 3" xfId="12821"/>
    <cellStyle name="Normal 138 13 4" xfId="19362"/>
    <cellStyle name="Normal 138 13 5" xfId="25756"/>
    <cellStyle name="Normal 138 14" xfId="4490"/>
    <cellStyle name="Normal 138 14 2" xfId="7931"/>
    <cellStyle name="Normal 138 14 2 2" xfId="16412"/>
    <cellStyle name="Normal 138 14 2 3" xfId="22926"/>
    <cellStyle name="Normal 138 14 2 4" xfId="29315"/>
    <cellStyle name="Normal 138 14 3" xfId="12981"/>
    <cellStyle name="Normal 138 14 4" xfId="19518"/>
    <cellStyle name="Normal 138 14 5" xfId="25911"/>
    <cellStyle name="Normal 138 15" xfId="4650"/>
    <cellStyle name="Normal 138 15 2" xfId="8086"/>
    <cellStyle name="Normal 138 15 2 2" xfId="16567"/>
    <cellStyle name="Normal 138 15 2 3" xfId="23081"/>
    <cellStyle name="Normal 138 15 2 4" xfId="29470"/>
    <cellStyle name="Normal 138 15 3" xfId="13140"/>
    <cellStyle name="Normal 138 15 4" xfId="19674"/>
    <cellStyle name="Normal 138 15 5" xfId="26066"/>
    <cellStyle name="Normal 138 16" xfId="4809"/>
    <cellStyle name="Normal 138 16 2" xfId="8240"/>
    <cellStyle name="Normal 138 16 2 2" xfId="16721"/>
    <cellStyle name="Normal 138 16 2 3" xfId="23235"/>
    <cellStyle name="Normal 138 16 2 4" xfId="29624"/>
    <cellStyle name="Normal 138 16 3" xfId="13298"/>
    <cellStyle name="Normal 138 16 4" xfId="19829"/>
    <cellStyle name="Normal 138 16 5" xfId="26220"/>
    <cellStyle name="Normal 138 17" xfId="4967"/>
    <cellStyle name="Normal 138 17 2" xfId="8393"/>
    <cellStyle name="Normal 138 17 2 2" xfId="16874"/>
    <cellStyle name="Normal 138 17 2 3" xfId="23388"/>
    <cellStyle name="Normal 138 17 2 4" xfId="29777"/>
    <cellStyle name="Normal 138 17 3" xfId="13455"/>
    <cellStyle name="Normal 138 17 4" xfId="19983"/>
    <cellStyle name="Normal 138 17 5" xfId="26373"/>
    <cellStyle name="Normal 138 18" xfId="5096"/>
    <cellStyle name="Normal 138 18 2" xfId="8517"/>
    <cellStyle name="Normal 138 18 2 2" xfId="16998"/>
    <cellStyle name="Normal 138 18 2 3" xfId="23512"/>
    <cellStyle name="Normal 138 18 2 4" xfId="29901"/>
    <cellStyle name="Normal 138 18 3" xfId="13582"/>
    <cellStyle name="Normal 138 18 4" xfId="20107"/>
    <cellStyle name="Normal 138 18 5" xfId="26497"/>
    <cellStyle name="Normal 138 19" xfId="5178"/>
    <cellStyle name="Normal 138 19 2" xfId="13660"/>
    <cellStyle name="Normal 138 19 3" xfId="20178"/>
    <cellStyle name="Normal 138 19 4" xfId="26567"/>
    <cellStyle name="Normal 138 2" xfId="1782"/>
    <cellStyle name="Normal 138 2 2" xfId="5380"/>
    <cellStyle name="Normal 138 2 2 2" xfId="13861"/>
    <cellStyle name="Normal 138 2 2 3" xfId="20375"/>
    <cellStyle name="Normal 138 2 2 4" xfId="26764"/>
    <cellStyle name="Normal 138 2 3" xfId="10354"/>
    <cellStyle name="Normal 138 2 4" xfId="17387"/>
    <cellStyle name="Normal 138 2 5" xfId="23826"/>
    <cellStyle name="Normal 138 20" xfId="9755"/>
    <cellStyle name="Normal 138 21" xfId="9969"/>
    <cellStyle name="Normal 138 22" xfId="9800"/>
    <cellStyle name="Normal 138 3" xfId="2116"/>
    <cellStyle name="Normal 138 3 2" xfId="5689"/>
    <cellStyle name="Normal 138 3 2 2" xfId="14170"/>
    <cellStyle name="Normal 138 3 2 3" xfId="20684"/>
    <cellStyle name="Normal 138 3 2 4" xfId="27073"/>
    <cellStyle name="Normal 138 3 3" xfId="10675"/>
    <cellStyle name="Normal 138 3 4" xfId="9396"/>
    <cellStyle name="Normal 138 3 5" xfId="10267"/>
    <cellStyle name="Normal 138 4" xfId="2806"/>
    <cellStyle name="Normal 138 4 2" xfId="6304"/>
    <cellStyle name="Normal 138 4 2 2" xfId="14785"/>
    <cellStyle name="Normal 138 4 2 3" xfId="21299"/>
    <cellStyle name="Normal 138 4 2 4" xfId="27688"/>
    <cellStyle name="Normal 138 4 3" xfId="11313"/>
    <cellStyle name="Normal 138 4 4" xfId="17882"/>
    <cellStyle name="Normal 138 4 5" xfId="24284"/>
    <cellStyle name="Normal 138 5" xfId="2980"/>
    <cellStyle name="Normal 138 5 2" xfId="6471"/>
    <cellStyle name="Normal 138 5 2 2" xfId="14952"/>
    <cellStyle name="Normal 138 5 2 3" xfId="21466"/>
    <cellStyle name="Normal 138 5 2 4" xfId="27855"/>
    <cellStyle name="Normal 138 5 3" xfId="11483"/>
    <cellStyle name="Normal 138 5 4" xfId="18049"/>
    <cellStyle name="Normal 138 5 5" xfId="24451"/>
    <cellStyle name="Normal 138 6" xfId="3153"/>
    <cellStyle name="Normal 138 6 2" xfId="6638"/>
    <cellStyle name="Normal 138 6 2 2" xfId="15119"/>
    <cellStyle name="Normal 138 6 2 3" xfId="21633"/>
    <cellStyle name="Normal 138 6 2 4" xfId="28022"/>
    <cellStyle name="Normal 138 6 3" xfId="11654"/>
    <cellStyle name="Normal 138 6 4" xfId="18216"/>
    <cellStyle name="Normal 138 6 5" xfId="24618"/>
    <cellStyle name="Normal 138 7" xfId="3326"/>
    <cellStyle name="Normal 138 7 2" xfId="6805"/>
    <cellStyle name="Normal 138 7 2 2" xfId="15286"/>
    <cellStyle name="Normal 138 7 2 3" xfId="21800"/>
    <cellStyle name="Normal 138 7 2 4" xfId="28189"/>
    <cellStyle name="Normal 138 7 3" xfId="11824"/>
    <cellStyle name="Normal 138 7 4" xfId="18383"/>
    <cellStyle name="Normal 138 7 5" xfId="24785"/>
    <cellStyle name="Normal 138 8" xfId="3497"/>
    <cellStyle name="Normal 138 8 2" xfId="6970"/>
    <cellStyle name="Normal 138 8 2 2" xfId="15451"/>
    <cellStyle name="Normal 138 8 2 3" xfId="21965"/>
    <cellStyle name="Normal 138 8 2 4" xfId="28354"/>
    <cellStyle name="Normal 138 8 3" xfId="11993"/>
    <cellStyle name="Normal 138 8 4" xfId="18549"/>
    <cellStyle name="Normal 138 8 5" xfId="24950"/>
    <cellStyle name="Normal 138 9" xfId="3667"/>
    <cellStyle name="Normal 138 9 2" xfId="7134"/>
    <cellStyle name="Normal 138 9 2 2" xfId="15615"/>
    <cellStyle name="Normal 138 9 2 3" xfId="22129"/>
    <cellStyle name="Normal 138 9 2 4" xfId="28518"/>
    <cellStyle name="Normal 138 9 3" xfId="12162"/>
    <cellStyle name="Normal 138 9 4" xfId="18715"/>
    <cellStyle name="Normal 138 9 5" xfId="25114"/>
    <cellStyle name="Normal 139" xfId="687"/>
    <cellStyle name="Normal 139 10" xfId="3835"/>
    <cellStyle name="Normal 139 10 2" xfId="7296"/>
    <cellStyle name="Normal 139 10 2 2" xfId="15777"/>
    <cellStyle name="Normal 139 10 2 3" xfId="22291"/>
    <cellStyle name="Normal 139 10 2 4" xfId="28680"/>
    <cellStyle name="Normal 139 10 3" xfId="12329"/>
    <cellStyle name="Normal 139 10 4" xfId="18879"/>
    <cellStyle name="Normal 139 10 5" xfId="25276"/>
    <cellStyle name="Normal 139 11" xfId="4002"/>
    <cellStyle name="Normal 139 11 2" xfId="7458"/>
    <cellStyle name="Normal 139 11 2 2" xfId="15939"/>
    <cellStyle name="Normal 139 11 2 3" xfId="22453"/>
    <cellStyle name="Normal 139 11 2 4" xfId="28842"/>
    <cellStyle name="Normal 139 11 3" xfId="12495"/>
    <cellStyle name="Normal 139 11 4" xfId="19042"/>
    <cellStyle name="Normal 139 11 5" xfId="25438"/>
    <cellStyle name="Normal 139 12" xfId="4167"/>
    <cellStyle name="Normal 139 12 2" xfId="7618"/>
    <cellStyle name="Normal 139 12 2 2" xfId="16099"/>
    <cellStyle name="Normal 139 12 2 3" xfId="22613"/>
    <cellStyle name="Normal 139 12 2 4" xfId="29002"/>
    <cellStyle name="Normal 139 12 3" xfId="12659"/>
    <cellStyle name="Normal 139 12 4" xfId="19203"/>
    <cellStyle name="Normal 139 12 5" xfId="25598"/>
    <cellStyle name="Normal 139 13" xfId="4329"/>
    <cellStyle name="Normal 139 13 2" xfId="7775"/>
    <cellStyle name="Normal 139 13 2 2" xfId="16256"/>
    <cellStyle name="Normal 139 13 2 3" xfId="22770"/>
    <cellStyle name="Normal 139 13 2 4" xfId="29159"/>
    <cellStyle name="Normal 139 13 3" xfId="12820"/>
    <cellStyle name="Normal 139 13 4" xfId="19361"/>
    <cellStyle name="Normal 139 13 5" xfId="25755"/>
    <cellStyle name="Normal 139 14" xfId="4489"/>
    <cellStyle name="Normal 139 14 2" xfId="7930"/>
    <cellStyle name="Normal 139 14 2 2" xfId="16411"/>
    <cellStyle name="Normal 139 14 2 3" xfId="22925"/>
    <cellStyle name="Normal 139 14 2 4" xfId="29314"/>
    <cellStyle name="Normal 139 14 3" xfId="12980"/>
    <cellStyle name="Normal 139 14 4" xfId="19517"/>
    <cellStyle name="Normal 139 14 5" xfId="25910"/>
    <cellStyle name="Normal 139 15" xfId="4649"/>
    <cellStyle name="Normal 139 15 2" xfId="8085"/>
    <cellStyle name="Normal 139 15 2 2" xfId="16566"/>
    <cellStyle name="Normal 139 15 2 3" xfId="23080"/>
    <cellStyle name="Normal 139 15 2 4" xfId="29469"/>
    <cellStyle name="Normal 139 15 3" xfId="13139"/>
    <cellStyle name="Normal 139 15 4" xfId="19673"/>
    <cellStyle name="Normal 139 15 5" xfId="26065"/>
    <cellStyle name="Normal 139 16" xfId="4808"/>
    <cellStyle name="Normal 139 16 2" xfId="8239"/>
    <cellStyle name="Normal 139 16 2 2" xfId="16720"/>
    <cellStyle name="Normal 139 16 2 3" xfId="23234"/>
    <cellStyle name="Normal 139 16 2 4" xfId="29623"/>
    <cellStyle name="Normal 139 16 3" xfId="13297"/>
    <cellStyle name="Normal 139 16 4" xfId="19828"/>
    <cellStyle name="Normal 139 16 5" xfId="26219"/>
    <cellStyle name="Normal 139 17" xfId="4966"/>
    <cellStyle name="Normal 139 17 2" xfId="8392"/>
    <cellStyle name="Normal 139 17 2 2" xfId="16873"/>
    <cellStyle name="Normal 139 17 2 3" xfId="23387"/>
    <cellStyle name="Normal 139 17 2 4" xfId="29776"/>
    <cellStyle name="Normal 139 17 3" xfId="13454"/>
    <cellStyle name="Normal 139 17 4" xfId="19982"/>
    <cellStyle name="Normal 139 17 5" xfId="26372"/>
    <cellStyle name="Normal 139 18" xfId="5095"/>
    <cellStyle name="Normal 139 18 2" xfId="8516"/>
    <cellStyle name="Normal 139 18 2 2" xfId="16997"/>
    <cellStyle name="Normal 139 18 2 3" xfId="23511"/>
    <cellStyle name="Normal 139 18 2 4" xfId="29900"/>
    <cellStyle name="Normal 139 18 3" xfId="13581"/>
    <cellStyle name="Normal 139 18 4" xfId="20106"/>
    <cellStyle name="Normal 139 18 5" xfId="26496"/>
    <cellStyle name="Normal 139 19" xfId="5179"/>
    <cellStyle name="Normal 139 19 2" xfId="13661"/>
    <cellStyle name="Normal 139 19 3" xfId="20179"/>
    <cellStyle name="Normal 139 19 4" xfId="26568"/>
    <cellStyle name="Normal 139 2" xfId="1783"/>
    <cellStyle name="Normal 139 2 2" xfId="5381"/>
    <cellStyle name="Normal 139 2 2 2" xfId="13862"/>
    <cellStyle name="Normal 139 2 2 3" xfId="20376"/>
    <cellStyle name="Normal 139 2 2 4" xfId="26765"/>
    <cellStyle name="Normal 139 2 3" xfId="10355"/>
    <cellStyle name="Normal 139 2 4" xfId="17397"/>
    <cellStyle name="Normal 139 2 5" xfId="23836"/>
    <cellStyle name="Normal 139 20" xfId="9756"/>
    <cellStyle name="Normal 139 21" xfId="9968"/>
    <cellStyle name="Normal 139 22" xfId="9801"/>
    <cellStyle name="Normal 139 3" xfId="2117"/>
    <cellStyle name="Normal 139 3 2" xfId="5690"/>
    <cellStyle name="Normal 139 3 2 2" xfId="14171"/>
    <cellStyle name="Normal 139 3 2 3" xfId="20685"/>
    <cellStyle name="Normal 139 3 2 4" xfId="27074"/>
    <cellStyle name="Normal 139 3 3" xfId="10676"/>
    <cellStyle name="Normal 139 3 4" xfId="9395"/>
    <cellStyle name="Normal 139 3 5" xfId="10268"/>
    <cellStyle name="Normal 139 4" xfId="2805"/>
    <cellStyle name="Normal 139 4 2" xfId="6303"/>
    <cellStyle name="Normal 139 4 2 2" xfId="14784"/>
    <cellStyle name="Normal 139 4 2 3" xfId="21298"/>
    <cellStyle name="Normal 139 4 2 4" xfId="27687"/>
    <cellStyle name="Normal 139 4 3" xfId="11312"/>
    <cellStyle name="Normal 139 4 4" xfId="17881"/>
    <cellStyle name="Normal 139 4 5" xfId="24283"/>
    <cellStyle name="Normal 139 5" xfId="2979"/>
    <cellStyle name="Normal 139 5 2" xfId="6470"/>
    <cellStyle name="Normal 139 5 2 2" xfId="14951"/>
    <cellStyle name="Normal 139 5 2 3" xfId="21465"/>
    <cellStyle name="Normal 139 5 2 4" xfId="27854"/>
    <cellStyle name="Normal 139 5 3" xfId="11482"/>
    <cellStyle name="Normal 139 5 4" xfId="18048"/>
    <cellStyle name="Normal 139 5 5" xfId="24450"/>
    <cellStyle name="Normal 139 6" xfId="3152"/>
    <cellStyle name="Normal 139 6 2" xfId="6637"/>
    <cellStyle name="Normal 139 6 2 2" xfId="15118"/>
    <cellStyle name="Normal 139 6 2 3" xfId="21632"/>
    <cellStyle name="Normal 139 6 2 4" xfId="28021"/>
    <cellStyle name="Normal 139 6 3" xfId="11653"/>
    <cellStyle name="Normal 139 6 4" xfId="18215"/>
    <cellStyle name="Normal 139 6 5" xfId="24617"/>
    <cellStyle name="Normal 139 7" xfId="3325"/>
    <cellStyle name="Normal 139 7 2" xfId="6804"/>
    <cellStyle name="Normal 139 7 2 2" xfId="15285"/>
    <cellStyle name="Normal 139 7 2 3" xfId="21799"/>
    <cellStyle name="Normal 139 7 2 4" xfId="28188"/>
    <cellStyle name="Normal 139 7 3" xfId="11823"/>
    <cellStyle name="Normal 139 7 4" xfId="18382"/>
    <cellStyle name="Normal 139 7 5" xfId="24784"/>
    <cellStyle name="Normal 139 8" xfId="3496"/>
    <cellStyle name="Normal 139 8 2" xfId="6969"/>
    <cellStyle name="Normal 139 8 2 2" xfId="15450"/>
    <cellStyle name="Normal 139 8 2 3" xfId="21964"/>
    <cellStyle name="Normal 139 8 2 4" xfId="28353"/>
    <cellStyle name="Normal 139 8 3" xfId="11992"/>
    <cellStyle name="Normal 139 8 4" xfId="18548"/>
    <cellStyle name="Normal 139 8 5" xfId="24949"/>
    <cellStyle name="Normal 139 9" xfId="3666"/>
    <cellStyle name="Normal 139 9 2" xfId="7133"/>
    <cellStyle name="Normal 139 9 2 2" xfId="15614"/>
    <cellStyle name="Normal 139 9 2 3" xfId="22128"/>
    <cellStyle name="Normal 139 9 2 4" xfId="28517"/>
    <cellStyle name="Normal 139 9 3" xfId="12161"/>
    <cellStyle name="Normal 139 9 4" xfId="18714"/>
    <cellStyle name="Normal 139 9 5" xfId="25113"/>
    <cellStyle name="Normal 14" xfId="688"/>
    <cellStyle name="Normal 14 10" xfId="689"/>
    <cellStyle name="Normal 14 11" xfId="690"/>
    <cellStyle name="Normal 14 12" xfId="691"/>
    <cellStyle name="Normal 14 13" xfId="692"/>
    <cellStyle name="Normal 14 14" xfId="693"/>
    <cellStyle name="Normal 14 15" xfId="694"/>
    <cellStyle name="Normal 14 16" xfId="695"/>
    <cellStyle name="Normal 14 17" xfId="696"/>
    <cellStyle name="Normal 14 18" xfId="697"/>
    <cellStyle name="Normal 14 19" xfId="698"/>
    <cellStyle name="Normal 14 2" xfId="699"/>
    <cellStyle name="Normal 14 20" xfId="700"/>
    <cellStyle name="Normal 14 21" xfId="1784"/>
    <cellStyle name="Normal 14 21 2" xfId="5382"/>
    <cellStyle name="Normal 14 21 2 2" xfId="13863"/>
    <cellStyle name="Normal 14 21 2 3" xfId="20377"/>
    <cellStyle name="Normal 14 21 2 4" xfId="26766"/>
    <cellStyle name="Normal 14 21 3" xfId="10356"/>
    <cellStyle name="Normal 14 21 4" xfId="17408"/>
    <cellStyle name="Normal 14 21 5" xfId="23846"/>
    <cellStyle name="Normal 14 22" xfId="2118"/>
    <cellStyle name="Normal 14 22 2" xfId="5691"/>
    <cellStyle name="Normal 14 22 2 2" xfId="14172"/>
    <cellStyle name="Normal 14 22 2 3" xfId="20686"/>
    <cellStyle name="Normal 14 22 2 4" xfId="27075"/>
    <cellStyle name="Normal 14 22 3" xfId="10677"/>
    <cellStyle name="Normal 14 22 4" xfId="9394"/>
    <cellStyle name="Normal 14 22 5" xfId="10269"/>
    <cellStyle name="Normal 14 23" xfId="2804"/>
    <cellStyle name="Normal 14 23 2" xfId="6302"/>
    <cellStyle name="Normal 14 23 2 2" xfId="14783"/>
    <cellStyle name="Normal 14 23 2 3" xfId="21297"/>
    <cellStyle name="Normal 14 23 2 4" xfId="27686"/>
    <cellStyle name="Normal 14 23 3" xfId="11311"/>
    <cellStyle name="Normal 14 23 4" xfId="17880"/>
    <cellStyle name="Normal 14 23 5" xfId="24282"/>
    <cellStyle name="Normal 14 24" xfId="2978"/>
    <cellStyle name="Normal 14 24 2" xfId="6469"/>
    <cellStyle name="Normal 14 24 2 2" xfId="14950"/>
    <cellStyle name="Normal 14 24 2 3" xfId="21464"/>
    <cellStyle name="Normal 14 24 2 4" xfId="27853"/>
    <cellStyle name="Normal 14 24 3" xfId="11481"/>
    <cellStyle name="Normal 14 24 4" xfId="18047"/>
    <cellStyle name="Normal 14 24 5" xfId="24449"/>
    <cellStyle name="Normal 14 25" xfId="3151"/>
    <cellStyle name="Normal 14 25 2" xfId="6636"/>
    <cellStyle name="Normal 14 25 2 2" xfId="15117"/>
    <cellStyle name="Normal 14 25 2 3" xfId="21631"/>
    <cellStyle name="Normal 14 25 2 4" xfId="28020"/>
    <cellStyle name="Normal 14 25 3" xfId="11652"/>
    <cellStyle name="Normal 14 25 4" xfId="18214"/>
    <cellStyle name="Normal 14 25 5" xfId="24616"/>
    <cellStyle name="Normal 14 26" xfId="3324"/>
    <cellStyle name="Normal 14 26 2" xfId="6803"/>
    <cellStyle name="Normal 14 26 2 2" xfId="15284"/>
    <cellStyle name="Normal 14 26 2 3" xfId="21798"/>
    <cellStyle name="Normal 14 26 2 4" xfId="28187"/>
    <cellStyle name="Normal 14 26 3" xfId="11822"/>
    <cellStyle name="Normal 14 26 4" xfId="18381"/>
    <cellStyle name="Normal 14 26 5" xfId="24783"/>
    <cellStyle name="Normal 14 27" xfId="3495"/>
    <cellStyle name="Normal 14 27 2" xfId="6968"/>
    <cellStyle name="Normal 14 27 2 2" xfId="15449"/>
    <cellStyle name="Normal 14 27 2 3" xfId="21963"/>
    <cellStyle name="Normal 14 27 2 4" xfId="28352"/>
    <cellStyle name="Normal 14 27 3" xfId="11991"/>
    <cellStyle name="Normal 14 27 4" xfId="18547"/>
    <cellStyle name="Normal 14 27 5" xfId="24948"/>
    <cellStyle name="Normal 14 28" xfId="3665"/>
    <cellStyle name="Normal 14 28 2" xfId="7132"/>
    <cellStyle name="Normal 14 28 2 2" xfId="15613"/>
    <cellStyle name="Normal 14 28 2 3" xfId="22127"/>
    <cellStyle name="Normal 14 28 2 4" xfId="28516"/>
    <cellStyle name="Normal 14 28 3" xfId="12160"/>
    <cellStyle name="Normal 14 28 4" xfId="18713"/>
    <cellStyle name="Normal 14 28 5" xfId="25112"/>
    <cellStyle name="Normal 14 29" xfId="3834"/>
    <cellStyle name="Normal 14 29 2" xfId="7295"/>
    <cellStyle name="Normal 14 29 2 2" xfId="15776"/>
    <cellStyle name="Normal 14 29 2 3" xfId="22290"/>
    <cellStyle name="Normal 14 29 2 4" xfId="28679"/>
    <cellStyle name="Normal 14 29 3" xfId="12328"/>
    <cellStyle name="Normal 14 29 4" xfId="18878"/>
    <cellStyle name="Normal 14 29 5" xfId="25275"/>
    <cellStyle name="Normal 14 3" xfId="701"/>
    <cellStyle name="Normal 14 30" xfId="4001"/>
    <cellStyle name="Normal 14 30 2" xfId="7457"/>
    <cellStyle name="Normal 14 30 2 2" xfId="15938"/>
    <cellStyle name="Normal 14 30 2 3" xfId="22452"/>
    <cellStyle name="Normal 14 30 2 4" xfId="28841"/>
    <cellStyle name="Normal 14 30 3" xfId="12494"/>
    <cellStyle name="Normal 14 30 4" xfId="19041"/>
    <cellStyle name="Normal 14 30 5" xfId="25437"/>
    <cellStyle name="Normal 14 31" xfId="4166"/>
    <cellStyle name="Normal 14 31 2" xfId="7617"/>
    <cellStyle name="Normal 14 31 2 2" xfId="16098"/>
    <cellStyle name="Normal 14 31 2 3" xfId="22612"/>
    <cellStyle name="Normal 14 31 2 4" xfId="29001"/>
    <cellStyle name="Normal 14 31 3" xfId="12658"/>
    <cellStyle name="Normal 14 31 4" xfId="19202"/>
    <cellStyle name="Normal 14 31 5" xfId="25597"/>
    <cellStyle name="Normal 14 32" xfId="4328"/>
    <cellStyle name="Normal 14 32 2" xfId="7774"/>
    <cellStyle name="Normal 14 32 2 2" xfId="16255"/>
    <cellStyle name="Normal 14 32 2 3" xfId="22769"/>
    <cellStyle name="Normal 14 32 2 4" xfId="29158"/>
    <cellStyle name="Normal 14 32 3" xfId="12819"/>
    <cellStyle name="Normal 14 32 4" xfId="19360"/>
    <cellStyle name="Normal 14 32 5" xfId="25754"/>
    <cellStyle name="Normal 14 33" xfId="4488"/>
    <cellStyle name="Normal 14 33 2" xfId="7929"/>
    <cellStyle name="Normal 14 33 2 2" xfId="16410"/>
    <cellStyle name="Normal 14 33 2 3" xfId="22924"/>
    <cellStyle name="Normal 14 33 2 4" xfId="29313"/>
    <cellStyle name="Normal 14 33 3" xfId="12979"/>
    <cellStyle name="Normal 14 33 4" xfId="19516"/>
    <cellStyle name="Normal 14 33 5" xfId="25909"/>
    <cellStyle name="Normal 14 34" xfId="4648"/>
    <cellStyle name="Normal 14 34 2" xfId="8084"/>
    <cellStyle name="Normal 14 34 2 2" xfId="16565"/>
    <cellStyle name="Normal 14 34 2 3" xfId="23079"/>
    <cellStyle name="Normal 14 34 2 4" xfId="29468"/>
    <cellStyle name="Normal 14 34 3" xfId="13138"/>
    <cellStyle name="Normal 14 34 4" xfId="19672"/>
    <cellStyle name="Normal 14 34 5" xfId="26064"/>
    <cellStyle name="Normal 14 35" xfId="4807"/>
    <cellStyle name="Normal 14 35 2" xfId="8238"/>
    <cellStyle name="Normal 14 35 2 2" xfId="16719"/>
    <cellStyle name="Normal 14 35 2 3" xfId="23233"/>
    <cellStyle name="Normal 14 35 2 4" xfId="29622"/>
    <cellStyle name="Normal 14 35 3" xfId="13296"/>
    <cellStyle name="Normal 14 35 4" xfId="19827"/>
    <cellStyle name="Normal 14 35 5" xfId="26218"/>
    <cellStyle name="Normal 14 36" xfId="4965"/>
    <cellStyle name="Normal 14 36 2" xfId="8391"/>
    <cellStyle name="Normal 14 36 2 2" xfId="16872"/>
    <cellStyle name="Normal 14 36 2 3" xfId="23386"/>
    <cellStyle name="Normal 14 36 2 4" xfId="29775"/>
    <cellStyle name="Normal 14 36 3" xfId="13453"/>
    <cellStyle name="Normal 14 36 4" xfId="19981"/>
    <cellStyle name="Normal 14 36 5" xfId="26371"/>
    <cellStyle name="Normal 14 37" xfId="5094"/>
    <cellStyle name="Normal 14 37 2" xfId="8515"/>
    <cellStyle name="Normal 14 37 2 2" xfId="16996"/>
    <cellStyle name="Normal 14 37 2 3" xfId="23510"/>
    <cellStyle name="Normal 14 37 2 4" xfId="29899"/>
    <cellStyle name="Normal 14 37 3" xfId="13580"/>
    <cellStyle name="Normal 14 37 4" xfId="20105"/>
    <cellStyle name="Normal 14 37 5" xfId="26495"/>
    <cellStyle name="Normal 14 38" xfId="5180"/>
    <cellStyle name="Normal 14 38 2" xfId="13662"/>
    <cellStyle name="Normal 14 38 3" xfId="20180"/>
    <cellStyle name="Normal 14 38 4" xfId="26569"/>
    <cellStyle name="Normal 14 39" xfId="9757"/>
    <cellStyle name="Normal 14 4" xfId="702"/>
    <cellStyle name="Normal 14 40" xfId="9967"/>
    <cellStyle name="Normal 14 41" xfId="9802"/>
    <cellStyle name="Normal 14 5" xfId="703"/>
    <cellStyle name="Normal 14 6" xfId="704"/>
    <cellStyle name="Normal 14 7" xfId="705"/>
    <cellStyle name="Normal 14 8" xfId="706"/>
    <cellStyle name="Normal 14 9" xfId="707"/>
    <cellStyle name="Normal 140" xfId="708"/>
    <cellStyle name="Normal 140 10" xfId="3833"/>
    <cellStyle name="Normal 140 10 2" xfId="7294"/>
    <cellStyle name="Normal 140 10 2 2" xfId="15775"/>
    <cellStyle name="Normal 140 10 2 3" xfId="22289"/>
    <cellStyle name="Normal 140 10 2 4" xfId="28678"/>
    <cellStyle name="Normal 140 10 3" xfId="12327"/>
    <cellStyle name="Normal 140 10 4" xfId="18877"/>
    <cellStyle name="Normal 140 10 5" xfId="25274"/>
    <cellStyle name="Normal 140 11" xfId="4000"/>
    <cellStyle name="Normal 140 11 2" xfId="7456"/>
    <cellStyle name="Normal 140 11 2 2" xfId="15937"/>
    <cellStyle name="Normal 140 11 2 3" xfId="22451"/>
    <cellStyle name="Normal 140 11 2 4" xfId="28840"/>
    <cellStyle name="Normal 140 11 3" xfId="12493"/>
    <cellStyle name="Normal 140 11 4" xfId="19040"/>
    <cellStyle name="Normal 140 11 5" xfId="25436"/>
    <cellStyle name="Normal 140 12" xfId="4165"/>
    <cellStyle name="Normal 140 12 2" xfId="7616"/>
    <cellStyle name="Normal 140 12 2 2" xfId="16097"/>
    <cellStyle name="Normal 140 12 2 3" xfId="22611"/>
    <cellStyle name="Normal 140 12 2 4" xfId="29000"/>
    <cellStyle name="Normal 140 12 3" xfId="12657"/>
    <cellStyle name="Normal 140 12 4" xfId="19201"/>
    <cellStyle name="Normal 140 12 5" xfId="25596"/>
    <cellStyle name="Normal 140 13" xfId="4327"/>
    <cellStyle name="Normal 140 13 2" xfId="7773"/>
    <cellStyle name="Normal 140 13 2 2" xfId="16254"/>
    <cellStyle name="Normal 140 13 2 3" xfId="22768"/>
    <cellStyle name="Normal 140 13 2 4" xfId="29157"/>
    <cellStyle name="Normal 140 13 3" xfId="12818"/>
    <cellStyle name="Normal 140 13 4" xfId="19359"/>
    <cellStyle name="Normal 140 13 5" xfId="25753"/>
    <cellStyle name="Normal 140 14" xfId="4487"/>
    <cellStyle name="Normal 140 14 2" xfId="7928"/>
    <cellStyle name="Normal 140 14 2 2" xfId="16409"/>
    <cellStyle name="Normal 140 14 2 3" xfId="22923"/>
    <cellStyle name="Normal 140 14 2 4" xfId="29312"/>
    <cellStyle name="Normal 140 14 3" xfId="12978"/>
    <cellStyle name="Normal 140 14 4" xfId="19515"/>
    <cellStyle name="Normal 140 14 5" xfId="25908"/>
    <cellStyle name="Normal 140 15" xfId="4647"/>
    <cellStyle name="Normal 140 15 2" xfId="8083"/>
    <cellStyle name="Normal 140 15 2 2" xfId="16564"/>
    <cellStyle name="Normal 140 15 2 3" xfId="23078"/>
    <cellStyle name="Normal 140 15 2 4" xfId="29467"/>
    <cellStyle name="Normal 140 15 3" xfId="13137"/>
    <cellStyle name="Normal 140 15 4" xfId="19671"/>
    <cellStyle name="Normal 140 15 5" xfId="26063"/>
    <cellStyle name="Normal 140 16" xfId="4806"/>
    <cellStyle name="Normal 140 16 2" xfId="8237"/>
    <cellStyle name="Normal 140 16 2 2" xfId="16718"/>
    <cellStyle name="Normal 140 16 2 3" xfId="23232"/>
    <cellStyle name="Normal 140 16 2 4" xfId="29621"/>
    <cellStyle name="Normal 140 16 3" xfId="13295"/>
    <cellStyle name="Normal 140 16 4" xfId="19826"/>
    <cellStyle name="Normal 140 16 5" xfId="26217"/>
    <cellStyle name="Normal 140 17" xfId="4964"/>
    <cellStyle name="Normal 140 17 2" xfId="8390"/>
    <cellStyle name="Normal 140 17 2 2" xfId="16871"/>
    <cellStyle name="Normal 140 17 2 3" xfId="23385"/>
    <cellStyle name="Normal 140 17 2 4" xfId="29774"/>
    <cellStyle name="Normal 140 17 3" xfId="13452"/>
    <cellStyle name="Normal 140 17 4" xfId="19980"/>
    <cellStyle name="Normal 140 17 5" xfId="26370"/>
    <cellStyle name="Normal 140 18" xfId="5093"/>
    <cellStyle name="Normal 140 18 2" xfId="8514"/>
    <cellStyle name="Normal 140 18 2 2" xfId="16995"/>
    <cellStyle name="Normal 140 18 2 3" xfId="23509"/>
    <cellStyle name="Normal 140 18 2 4" xfId="29898"/>
    <cellStyle name="Normal 140 18 3" xfId="13579"/>
    <cellStyle name="Normal 140 18 4" xfId="20104"/>
    <cellStyle name="Normal 140 18 5" xfId="26494"/>
    <cellStyle name="Normal 140 19" xfId="5181"/>
    <cellStyle name="Normal 140 19 2" xfId="13663"/>
    <cellStyle name="Normal 140 19 3" xfId="20181"/>
    <cellStyle name="Normal 140 19 4" xfId="26570"/>
    <cellStyle name="Normal 140 2" xfId="1785"/>
    <cellStyle name="Normal 140 2 2" xfId="5383"/>
    <cellStyle name="Normal 140 2 2 2" xfId="13864"/>
    <cellStyle name="Normal 140 2 2 3" xfId="20378"/>
    <cellStyle name="Normal 140 2 2 4" xfId="26767"/>
    <cellStyle name="Normal 140 2 3" xfId="10357"/>
    <cellStyle name="Normal 140 2 4" xfId="17419"/>
    <cellStyle name="Normal 140 2 5" xfId="23856"/>
    <cellStyle name="Normal 140 20" xfId="9775"/>
    <cellStyle name="Normal 140 21" xfId="9963"/>
    <cellStyle name="Normal 140 22" xfId="9816"/>
    <cellStyle name="Normal 140 3" xfId="2119"/>
    <cellStyle name="Normal 140 3 2" xfId="5692"/>
    <cellStyle name="Normal 140 3 2 2" xfId="14173"/>
    <cellStyle name="Normal 140 3 2 3" xfId="20687"/>
    <cellStyle name="Normal 140 3 2 4" xfId="27076"/>
    <cellStyle name="Normal 140 3 3" xfId="10678"/>
    <cellStyle name="Normal 140 3 4" xfId="9393"/>
    <cellStyle name="Normal 140 3 5" xfId="10270"/>
    <cellStyle name="Normal 140 4" xfId="2803"/>
    <cellStyle name="Normal 140 4 2" xfId="6301"/>
    <cellStyle name="Normal 140 4 2 2" xfId="14782"/>
    <cellStyle name="Normal 140 4 2 3" xfId="21296"/>
    <cellStyle name="Normal 140 4 2 4" xfId="27685"/>
    <cellStyle name="Normal 140 4 3" xfId="11310"/>
    <cellStyle name="Normal 140 4 4" xfId="17879"/>
    <cellStyle name="Normal 140 4 5" xfId="24281"/>
    <cellStyle name="Normal 140 5" xfId="2977"/>
    <cellStyle name="Normal 140 5 2" xfId="6468"/>
    <cellStyle name="Normal 140 5 2 2" xfId="14949"/>
    <cellStyle name="Normal 140 5 2 3" xfId="21463"/>
    <cellStyle name="Normal 140 5 2 4" xfId="27852"/>
    <cellStyle name="Normal 140 5 3" xfId="11480"/>
    <cellStyle name="Normal 140 5 4" xfId="18046"/>
    <cellStyle name="Normal 140 5 5" xfId="24448"/>
    <cellStyle name="Normal 140 6" xfId="3150"/>
    <cellStyle name="Normal 140 6 2" xfId="6635"/>
    <cellStyle name="Normal 140 6 2 2" xfId="15116"/>
    <cellStyle name="Normal 140 6 2 3" xfId="21630"/>
    <cellStyle name="Normal 140 6 2 4" xfId="28019"/>
    <cellStyle name="Normal 140 6 3" xfId="11651"/>
    <cellStyle name="Normal 140 6 4" xfId="18213"/>
    <cellStyle name="Normal 140 6 5" xfId="24615"/>
    <cellStyle name="Normal 140 7" xfId="3323"/>
    <cellStyle name="Normal 140 7 2" xfId="6802"/>
    <cellStyle name="Normal 140 7 2 2" xfId="15283"/>
    <cellStyle name="Normal 140 7 2 3" xfId="21797"/>
    <cellStyle name="Normal 140 7 2 4" xfId="28186"/>
    <cellStyle name="Normal 140 7 3" xfId="11821"/>
    <cellStyle name="Normal 140 7 4" xfId="18380"/>
    <cellStyle name="Normal 140 7 5" xfId="24782"/>
    <cellStyle name="Normal 140 8" xfId="3494"/>
    <cellStyle name="Normal 140 8 2" xfId="6967"/>
    <cellStyle name="Normal 140 8 2 2" xfId="15448"/>
    <cellStyle name="Normal 140 8 2 3" xfId="21962"/>
    <cellStyle name="Normal 140 8 2 4" xfId="28351"/>
    <cellStyle name="Normal 140 8 3" xfId="11990"/>
    <cellStyle name="Normal 140 8 4" xfId="18546"/>
    <cellStyle name="Normal 140 8 5" xfId="24947"/>
    <cellStyle name="Normal 140 9" xfId="3664"/>
    <cellStyle name="Normal 140 9 2" xfId="7131"/>
    <cellStyle name="Normal 140 9 2 2" xfId="15612"/>
    <cellStyle name="Normal 140 9 2 3" xfId="22126"/>
    <cellStyle name="Normal 140 9 2 4" xfId="28515"/>
    <cellStyle name="Normal 140 9 3" xfId="12159"/>
    <cellStyle name="Normal 140 9 4" xfId="18712"/>
    <cellStyle name="Normal 140 9 5" xfId="25111"/>
    <cellStyle name="Normal 141" xfId="709"/>
    <cellStyle name="Normal 141 10" xfId="3832"/>
    <cellStyle name="Normal 141 10 2" xfId="7293"/>
    <cellStyle name="Normal 141 10 2 2" xfId="15774"/>
    <cellStyle name="Normal 141 10 2 3" xfId="22288"/>
    <cellStyle name="Normal 141 10 2 4" xfId="28677"/>
    <cellStyle name="Normal 141 10 3" xfId="12326"/>
    <cellStyle name="Normal 141 10 4" xfId="18876"/>
    <cellStyle name="Normal 141 10 5" xfId="25273"/>
    <cellStyle name="Normal 141 11" xfId="3999"/>
    <cellStyle name="Normal 141 11 2" xfId="7455"/>
    <cellStyle name="Normal 141 11 2 2" xfId="15936"/>
    <cellStyle name="Normal 141 11 2 3" xfId="22450"/>
    <cellStyle name="Normal 141 11 2 4" xfId="28839"/>
    <cellStyle name="Normal 141 11 3" xfId="12492"/>
    <cellStyle name="Normal 141 11 4" xfId="19039"/>
    <cellStyle name="Normal 141 11 5" xfId="25435"/>
    <cellStyle name="Normal 141 12" xfId="4164"/>
    <cellStyle name="Normal 141 12 2" xfId="7615"/>
    <cellStyle name="Normal 141 12 2 2" xfId="16096"/>
    <cellStyle name="Normal 141 12 2 3" xfId="22610"/>
    <cellStyle name="Normal 141 12 2 4" xfId="28999"/>
    <cellStyle name="Normal 141 12 3" xfId="12656"/>
    <cellStyle name="Normal 141 12 4" xfId="19200"/>
    <cellStyle name="Normal 141 12 5" xfId="25595"/>
    <cellStyle name="Normal 141 13" xfId="4326"/>
    <cellStyle name="Normal 141 13 2" xfId="7772"/>
    <cellStyle name="Normal 141 13 2 2" xfId="16253"/>
    <cellStyle name="Normal 141 13 2 3" xfId="22767"/>
    <cellStyle name="Normal 141 13 2 4" xfId="29156"/>
    <cellStyle name="Normal 141 13 3" xfId="12817"/>
    <cellStyle name="Normal 141 13 4" xfId="19358"/>
    <cellStyle name="Normal 141 13 5" xfId="25752"/>
    <cellStyle name="Normal 141 14" xfId="4486"/>
    <cellStyle name="Normal 141 14 2" xfId="7927"/>
    <cellStyle name="Normal 141 14 2 2" xfId="16408"/>
    <cellStyle name="Normal 141 14 2 3" xfId="22922"/>
    <cellStyle name="Normal 141 14 2 4" xfId="29311"/>
    <cellStyle name="Normal 141 14 3" xfId="12977"/>
    <cellStyle name="Normal 141 14 4" xfId="19514"/>
    <cellStyle name="Normal 141 14 5" xfId="25907"/>
    <cellStyle name="Normal 141 15" xfId="4646"/>
    <cellStyle name="Normal 141 15 2" xfId="8082"/>
    <cellStyle name="Normal 141 15 2 2" xfId="16563"/>
    <cellStyle name="Normal 141 15 2 3" xfId="23077"/>
    <cellStyle name="Normal 141 15 2 4" xfId="29466"/>
    <cellStyle name="Normal 141 15 3" xfId="13136"/>
    <cellStyle name="Normal 141 15 4" xfId="19670"/>
    <cellStyle name="Normal 141 15 5" xfId="26062"/>
    <cellStyle name="Normal 141 16" xfId="4805"/>
    <cellStyle name="Normal 141 16 2" xfId="8236"/>
    <cellStyle name="Normal 141 16 2 2" xfId="16717"/>
    <cellStyle name="Normal 141 16 2 3" xfId="23231"/>
    <cellStyle name="Normal 141 16 2 4" xfId="29620"/>
    <cellStyle name="Normal 141 16 3" xfId="13294"/>
    <cellStyle name="Normal 141 16 4" xfId="19825"/>
    <cellStyle name="Normal 141 16 5" xfId="26216"/>
    <cellStyle name="Normal 141 17" xfId="4963"/>
    <cellStyle name="Normal 141 17 2" xfId="8389"/>
    <cellStyle name="Normal 141 17 2 2" xfId="16870"/>
    <cellStyle name="Normal 141 17 2 3" xfId="23384"/>
    <cellStyle name="Normal 141 17 2 4" xfId="29773"/>
    <cellStyle name="Normal 141 17 3" xfId="13451"/>
    <cellStyle name="Normal 141 17 4" xfId="19979"/>
    <cellStyle name="Normal 141 17 5" xfId="26369"/>
    <cellStyle name="Normal 141 18" xfId="5092"/>
    <cellStyle name="Normal 141 18 2" xfId="8513"/>
    <cellStyle name="Normal 141 18 2 2" xfId="16994"/>
    <cellStyle name="Normal 141 18 2 3" xfId="23508"/>
    <cellStyle name="Normal 141 18 2 4" xfId="29897"/>
    <cellStyle name="Normal 141 18 3" xfId="13578"/>
    <cellStyle name="Normal 141 18 4" xfId="20103"/>
    <cellStyle name="Normal 141 18 5" xfId="26493"/>
    <cellStyle name="Normal 141 19" xfId="5182"/>
    <cellStyle name="Normal 141 19 2" xfId="13664"/>
    <cellStyle name="Normal 141 19 3" xfId="20182"/>
    <cellStyle name="Normal 141 19 4" xfId="26571"/>
    <cellStyle name="Normal 141 2" xfId="1786"/>
    <cellStyle name="Normal 141 2 2" xfId="5384"/>
    <cellStyle name="Normal 141 2 2 2" xfId="13865"/>
    <cellStyle name="Normal 141 2 2 3" xfId="20379"/>
    <cellStyle name="Normal 141 2 2 4" xfId="26768"/>
    <cellStyle name="Normal 141 2 3" xfId="10358"/>
    <cellStyle name="Normal 141 2 4" xfId="17431"/>
    <cellStyle name="Normal 141 2 5" xfId="23866"/>
    <cellStyle name="Normal 141 20" xfId="9776"/>
    <cellStyle name="Normal 141 21" xfId="9962"/>
    <cellStyle name="Normal 141 22" xfId="9817"/>
    <cellStyle name="Normal 141 3" xfId="2120"/>
    <cellStyle name="Normal 141 3 2" xfId="5693"/>
    <cellStyle name="Normal 141 3 2 2" xfId="14174"/>
    <cellStyle name="Normal 141 3 2 3" xfId="20688"/>
    <cellStyle name="Normal 141 3 2 4" xfId="27077"/>
    <cellStyle name="Normal 141 3 3" xfId="10679"/>
    <cellStyle name="Normal 141 3 4" xfId="9392"/>
    <cellStyle name="Normal 141 3 5" xfId="10271"/>
    <cellStyle name="Normal 141 4" xfId="2802"/>
    <cellStyle name="Normal 141 4 2" xfId="6300"/>
    <cellStyle name="Normal 141 4 2 2" xfId="14781"/>
    <cellStyle name="Normal 141 4 2 3" xfId="21295"/>
    <cellStyle name="Normal 141 4 2 4" xfId="27684"/>
    <cellStyle name="Normal 141 4 3" xfId="11309"/>
    <cellStyle name="Normal 141 4 4" xfId="17878"/>
    <cellStyle name="Normal 141 4 5" xfId="24280"/>
    <cellStyle name="Normal 141 5" xfId="2976"/>
    <cellStyle name="Normal 141 5 2" xfId="6467"/>
    <cellStyle name="Normal 141 5 2 2" xfId="14948"/>
    <cellStyle name="Normal 141 5 2 3" xfId="21462"/>
    <cellStyle name="Normal 141 5 2 4" xfId="27851"/>
    <cellStyle name="Normal 141 5 3" xfId="11479"/>
    <cellStyle name="Normal 141 5 4" xfId="18045"/>
    <cellStyle name="Normal 141 5 5" xfId="24447"/>
    <cellStyle name="Normal 141 6" xfId="3149"/>
    <cellStyle name="Normal 141 6 2" xfId="6634"/>
    <cellStyle name="Normal 141 6 2 2" xfId="15115"/>
    <cellStyle name="Normal 141 6 2 3" xfId="21629"/>
    <cellStyle name="Normal 141 6 2 4" xfId="28018"/>
    <cellStyle name="Normal 141 6 3" xfId="11650"/>
    <cellStyle name="Normal 141 6 4" xfId="18212"/>
    <cellStyle name="Normal 141 6 5" xfId="24614"/>
    <cellStyle name="Normal 141 7" xfId="3322"/>
    <cellStyle name="Normal 141 7 2" xfId="6801"/>
    <cellStyle name="Normal 141 7 2 2" xfId="15282"/>
    <cellStyle name="Normal 141 7 2 3" xfId="21796"/>
    <cellStyle name="Normal 141 7 2 4" xfId="28185"/>
    <cellStyle name="Normal 141 7 3" xfId="11820"/>
    <cellStyle name="Normal 141 7 4" xfId="18379"/>
    <cellStyle name="Normal 141 7 5" xfId="24781"/>
    <cellStyle name="Normal 141 8" xfId="3493"/>
    <cellStyle name="Normal 141 8 2" xfId="6966"/>
    <cellStyle name="Normal 141 8 2 2" xfId="15447"/>
    <cellStyle name="Normal 141 8 2 3" xfId="21961"/>
    <cellStyle name="Normal 141 8 2 4" xfId="28350"/>
    <cellStyle name="Normal 141 8 3" xfId="11989"/>
    <cellStyle name="Normal 141 8 4" xfId="18545"/>
    <cellStyle name="Normal 141 8 5" xfId="24946"/>
    <cellStyle name="Normal 141 9" xfId="3663"/>
    <cellStyle name="Normal 141 9 2" xfId="7130"/>
    <cellStyle name="Normal 141 9 2 2" xfId="15611"/>
    <cellStyle name="Normal 141 9 2 3" xfId="22125"/>
    <cellStyle name="Normal 141 9 2 4" xfId="28514"/>
    <cellStyle name="Normal 141 9 3" xfId="12158"/>
    <cellStyle name="Normal 141 9 4" xfId="18711"/>
    <cellStyle name="Normal 141 9 5" xfId="25110"/>
    <cellStyle name="Normal 142" xfId="710"/>
    <cellStyle name="Normal 142 10" xfId="3831"/>
    <cellStyle name="Normal 142 10 2" xfId="7292"/>
    <cellStyle name="Normal 142 10 2 2" xfId="15773"/>
    <cellStyle name="Normal 142 10 2 3" xfId="22287"/>
    <cellStyle name="Normal 142 10 2 4" xfId="28676"/>
    <cellStyle name="Normal 142 10 3" xfId="12325"/>
    <cellStyle name="Normal 142 10 4" xfId="18875"/>
    <cellStyle name="Normal 142 10 5" xfId="25272"/>
    <cellStyle name="Normal 142 11" xfId="3998"/>
    <cellStyle name="Normal 142 11 2" xfId="7454"/>
    <cellStyle name="Normal 142 11 2 2" xfId="15935"/>
    <cellStyle name="Normal 142 11 2 3" xfId="22449"/>
    <cellStyle name="Normal 142 11 2 4" xfId="28838"/>
    <cellStyle name="Normal 142 11 3" xfId="12491"/>
    <cellStyle name="Normal 142 11 4" xfId="19038"/>
    <cellStyle name="Normal 142 11 5" xfId="25434"/>
    <cellStyle name="Normal 142 12" xfId="4163"/>
    <cellStyle name="Normal 142 12 2" xfId="7614"/>
    <cellStyle name="Normal 142 12 2 2" xfId="16095"/>
    <cellStyle name="Normal 142 12 2 3" xfId="22609"/>
    <cellStyle name="Normal 142 12 2 4" xfId="28998"/>
    <cellStyle name="Normal 142 12 3" xfId="12655"/>
    <cellStyle name="Normal 142 12 4" xfId="19199"/>
    <cellStyle name="Normal 142 12 5" xfId="25594"/>
    <cellStyle name="Normal 142 13" xfId="4325"/>
    <cellStyle name="Normal 142 13 2" xfId="7771"/>
    <cellStyle name="Normal 142 13 2 2" xfId="16252"/>
    <cellStyle name="Normal 142 13 2 3" xfId="22766"/>
    <cellStyle name="Normal 142 13 2 4" xfId="29155"/>
    <cellStyle name="Normal 142 13 3" xfId="12816"/>
    <cellStyle name="Normal 142 13 4" xfId="19357"/>
    <cellStyle name="Normal 142 13 5" xfId="25751"/>
    <cellStyle name="Normal 142 14" xfId="4485"/>
    <cellStyle name="Normal 142 14 2" xfId="7926"/>
    <cellStyle name="Normal 142 14 2 2" xfId="16407"/>
    <cellStyle name="Normal 142 14 2 3" xfId="22921"/>
    <cellStyle name="Normal 142 14 2 4" xfId="29310"/>
    <cellStyle name="Normal 142 14 3" xfId="12976"/>
    <cellStyle name="Normal 142 14 4" xfId="19513"/>
    <cellStyle name="Normal 142 14 5" xfId="25906"/>
    <cellStyle name="Normal 142 15" xfId="4645"/>
    <cellStyle name="Normal 142 15 2" xfId="8081"/>
    <cellStyle name="Normal 142 15 2 2" xfId="16562"/>
    <cellStyle name="Normal 142 15 2 3" xfId="23076"/>
    <cellStyle name="Normal 142 15 2 4" xfId="29465"/>
    <cellStyle name="Normal 142 15 3" xfId="13135"/>
    <cellStyle name="Normal 142 15 4" xfId="19669"/>
    <cellStyle name="Normal 142 15 5" xfId="26061"/>
    <cellStyle name="Normal 142 16" xfId="4804"/>
    <cellStyle name="Normal 142 16 2" xfId="8235"/>
    <cellStyle name="Normal 142 16 2 2" xfId="16716"/>
    <cellStyle name="Normal 142 16 2 3" xfId="23230"/>
    <cellStyle name="Normal 142 16 2 4" xfId="29619"/>
    <cellStyle name="Normal 142 16 3" xfId="13293"/>
    <cellStyle name="Normal 142 16 4" xfId="19824"/>
    <cellStyle name="Normal 142 16 5" xfId="26215"/>
    <cellStyle name="Normal 142 17" xfId="4962"/>
    <cellStyle name="Normal 142 17 2" xfId="8388"/>
    <cellStyle name="Normal 142 17 2 2" xfId="16869"/>
    <cellStyle name="Normal 142 17 2 3" xfId="23383"/>
    <cellStyle name="Normal 142 17 2 4" xfId="29772"/>
    <cellStyle name="Normal 142 17 3" xfId="13450"/>
    <cellStyle name="Normal 142 17 4" xfId="19978"/>
    <cellStyle name="Normal 142 17 5" xfId="26368"/>
    <cellStyle name="Normal 142 18" xfId="5091"/>
    <cellStyle name="Normal 142 18 2" xfId="8512"/>
    <cellStyle name="Normal 142 18 2 2" xfId="16993"/>
    <cellStyle name="Normal 142 18 2 3" xfId="23507"/>
    <cellStyle name="Normal 142 18 2 4" xfId="29896"/>
    <cellStyle name="Normal 142 18 3" xfId="13577"/>
    <cellStyle name="Normal 142 18 4" xfId="20102"/>
    <cellStyle name="Normal 142 18 5" xfId="26492"/>
    <cellStyle name="Normal 142 19" xfId="5183"/>
    <cellStyle name="Normal 142 19 2" xfId="13665"/>
    <cellStyle name="Normal 142 19 3" xfId="20183"/>
    <cellStyle name="Normal 142 19 4" xfId="26572"/>
    <cellStyle name="Normal 142 2" xfId="1787"/>
    <cellStyle name="Normal 142 2 2" xfId="5385"/>
    <cellStyle name="Normal 142 2 2 2" xfId="13866"/>
    <cellStyle name="Normal 142 2 2 3" xfId="20380"/>
    <cellStyle name="Normal 142 2 2 4" xfId="26769"/>
    <cellStyle name="Normal 142 2 3" xfId="10359"/>
    <cellStyle name="Normal 142 2 4" xfId="9629"/>
    <cellStyle name="Normal 142 2 5" xfId="10118"/>
    <cellStyle name="Normal 142 20" xfId="9777"/>
    <cellStyle name="Normal 142 21" xfId="9960"/>
    <cellStyle name="Normal 142 22" xfId="9819"/>
    <cellStyle name="Normal 142 3" xfId="2121"/>
    <cellStyle name="Normal 142 3 2" xfId="5694"/>
    <cellStyle name="Normal 142 3 2 2" xfId="14175"/>
    <cellStyle name="Normal 142 3 2 3" xfId="20689"/>
    <cellStyle name="Normal 142 3 2 4" xfId="27078"/>
    <cellStyle name="Normal 142 3 3" xfId="10680"/>
    <cellStyle name="Normal 142 3 4" xfId="17440"/>
    <cellStyle name="Normal 142 3 5" xfId="23873"/>
    <cellStyle name="Normal 142 4" xfId="2801"/>
    <cellStyle name="Normal 142 4 2" xfId="6299"/>
    <cellStyle name="Normal 142 4 2 2" xfId="14780"/>
    <cellStyle name="Normal 142 4 2 3" xfId="21294"/>
    <cellStyle name="Normal 142 4 2 4" xfId="27683"/>
    <cellStyle name="Normal 142 4 3" xfId="11308"/>
    <cellStyle name="Normal 142 4 4" xfId="17877"/>
    <cellStyle name="Normal 142 4 5" xfId="24279"/>
    <cellStyle name="Normal 142 5" xfId="2975"/>
    <cellStyle name="Normal 142 5 2" xfId="6466"/>
    <cellStyle name="Normal 142 5 2 2" xfId="14947"/>
    <cellStyle name="Normal 142 5 2 3" xfId="21461"/>
    <cellStyle name="Normal 142 5 2 4" xfId="27850"/>
    <cellStyle name="Normal 142 5 3" xfId="11478"/>
    <cellStyle name="Normal 142 5 4" xfId="18044"/>
    <cellStyle name="Normal 142 5 5" xfId="24446"/>
    <cellStyle name="Normal 142 6" xfId="3148"/>
    <cellStyle name="Normal 142 6 2" xfId="6633"/>
    <cellStyle name="Normal 142 6 2 2" xfId="15114"/>
    <cellStyle name="Normal 142 6 2 3" xfId="21628"/>
    <cellStyle name="Normal 142 6 2 4" xfId="28017"/>
    <cellStyle name="Normal 142 6 3" xfId="11649"/>
    <cellStyle name="Normal 142 6 4" xfId="18211"/>
    <cellStyle name="Normal 142 6 5" xfId="24613"/>
    <cellStyle name="Normal 142 7" xfId="3321"/>
    <cellStyle name="Normal 142 7 2" xfId="6800"/>
    <cellStyle name="Normal 142 7 2 2" xfId="15281"/>
    <cellStyle name="Normal 142 7 2 3" xfId="21795"/>
    <cellStyle name="Normal 142 7 2 4" xfId="28184"/>
    <cellStyle name="Normal 142 7 3" xfId="11819"/>
    <cellStyle name="Normal 142 7 4" xfId="18378"/>
    <cellStyle name="Normal 142 7 5" xfId="24780"/>
    <cellStyle name="Normal 142 8" xfId="3492"/>
    <cellStyle name="Normal 142 8 2" xfId="6965"/>
    <cellStyle name="Normal 142 8 2 2" xfId="15446"/>
    <cellStyle name="Normal 142 8 2 3" xfId="21960"/>
    <cellStyle name="Normal 142 8 2 4" xfId="28349"/>
    <cellStyle name="Normal 142 8 3" xfId="11988"/>
    <cellStyle name="Normal 142 8 4" xfId="18544"/>
    <cellStyle name="Normal 142 8 5" xfId="24945"/>
    <cellStyle name="Normal 142 9" xfId="3662"/>
    <cellStyle name="Normal 142 9 2" xfId="7129"/>
    <cellStyle name="Normal 142 9 2 2" xfId="15610"/>
    <cellStyle name="Normal 142 9 2 3" xfId="22124"/>
    <cellStyle name="Normal 142 9 2 4" xfId="28513"/>
    <cellStyle name="Normal 142 9 3" xfId="12157"/>
    <cellStyle name="Normal 142 9 4" xfId="18710"/>
    <cellStyle name="Normal 142 9 5" xfId="25109"/>
    <cellStyle name="Normal 143" xfId="711"/>
    <cellStyle name="Normal 143 10" xfId="3830"/>
    <cellStyle name="Normal 143 10 2" xfId="7291"/>
    <cellStyle name="Normal 143 10 2 2" xfId="15772"/>
    <cellStyle name="Normal 143 10 2 3" xfId="22286"/>
    <cellStyle name="Normal 143 10 2 4" xfId="28675"/>
    <cellStyle name="Normal 143 10 3" xfId="12324"/>
    <cellStyle name="Normal 143 10 4" xfId="18874"/>
    <cellStyle name="Normal 143 10 5" xfId="25271"/>
    <cellStyle name="Normal 143 11" xfId="3997"/>
    <cellStyle name="Normal 143 11 2" xfId="7453"/>
    <cellStyle name="Normal 143 11 2 2" xfId="15934"/>
    <cellStyle name="Normal 143 11 2 3" xfId="22448"/>
    <cellStyle name="Normal 143 11 2 4" xfId="28837"/>
    <cellStyle name="Normal 143 11 3" xfId="12490"/>
    <cellStyle name="Normal 143 11 4" xfId="19037"/>
    <cellStyle name="Normal 143 11 5" xfId="25433"/>
    <cellStyle name="Normal 143 12" xfId="4162"/>
    <cellStyle name="Normal 143 12 2" xfId="7613"/>
    <cellStyle name="Normal 143 12 2 2" xfId="16094"/>
    <cellStyle name="Normal 143 12 2 3" xfId="22608"/>
    <cellStyle name="Normal 143 12 2 4" xfId="28997"/>
    <cellStyle name="Normal 143 12 3" xfId="12654"/>
    <cellStyle name="Normal 143 12 4" xfId="19198"/>
    <cellStyle name="Normal 143 12 5" xfId="25593"/>
    <cellStyle name="Normal 143 13" xfId="4324"/>
    <cellStyle name="Normal 143 13 2" xfId="7770"/>
    <cellStyle name="Normal 143 13 2 2" xfId="16251"/>
    <cellStyle name="Normal 143 13 2 3" xfId="22765"/>
    <cellStyle name="Normal 143 13 2 4" xfId="29154"/>
    <cellStyle name="Normal 143 13 3" xfId="12815"/>
    <cellStyle name="Normal 143 13 4" xfId="19356"/>
    <cellStyle name="Normal 143 13 5" xfId="25750"/>
    <cellStyle name="Normal 143 14" xfId="4484"/>
    <cellStyle name="Normal 143 14 2" xfId="7925"/>
    <cellStyle name="Normal 143 14 2 2" xfId="16406"/>
    <cellStyle name="Normal 143 14 2 3" xfId="22920"/>
    <cellStyle name="Normal 143 14 2 4" xfId="29309"/>
    <cellStyle name="Normal 143 14 3" xfId="12975"/>
    <cellStyle name="Normal 143 14 4" xfId="19512"/>
    <cellStyle name="Normal 143 14 5" xfId="25905"/>
    <cellStyle name="Normal 143 15" xfId="4644"/>
    <cellStyle name="Normal 143 15 2" xfId="8080"/>
    <cellStyle name="Normal 143 15 2 2" xfId="16561"/>
    <cellStyle name="Normal 143 15 2 3" xfId="23075"/>
    <cellStyle name="Normal 143 15 2 4" xfId="29464"/>
    <cellStyle name="Normal 143 15 3" xfId="13134"/>
    <cellStyle name="Normal 143 15 4" xfId="19668"/>
    <cellStyle name="Normal 143 15 5" xfId="26060"/>
    <cellStyle name="Normal 143 16" xfId="4803"/>
    <cellStyle name="Normal 143 16 2" xfId="8234"/>
    <cellStyle name="Normal 143 16 2 2" xfId="16715"/>
    <cellStyle name="Normal 143 16 2 3" xfId="23229"/>
    <cellStyle name="Normal 143 16 2 4" xfId="29618"/>
    <cellStyle name="Normal 143 16 3" xfId="13292"/>
    <cellStyle name="Normal 143 16 4" xfId="19823"/>
    <cellStyle name="Normal 143 16 5" xfId="26214"/>
    <cellStyle name="Normal 143 17" xfId="4961"/>
    <cellStyle name="Normal 143 17 2" xfId="8387"/>
    <cellStyle name="Normal 143 17 2 2" xfId="16868"/>
    <cellStyle name="Normal 143 17 2 3" xfId="23382"/>
    <cellStyle name="Normal 143 17 2 4" xfId="29771"/>
    <cellStyle name="Normal 143 17 3" xfId="13449"/>
    <cellStyle name="Normal 143 17 4" xfId="19977"/>
    <cellStyle name="Normal 143 17 5" xfId="26367"/>
    <cellStyle name="Normal 143 18" xfId="5090"/>
    <cellStyle name="Normal 143 18 2" xfId="8511"/>
    <cellStyle name="Normal 143 18 2 2" xfId="16992"/>
    <cellStyle name="Normal 143 18 2 3" xfId="23506"/>
    <cellStyle name="Normal 143 18 2 4" xfId="29895"/>
    <cellStyle name="Normal 143 18 3" xfId="13576"/>
    <cellStyle name="Normal 143 18 4" xfId="20101"/>
    <cellStyle name="Normal 143 18 5" xfId="26491"/>
    <cellStyle name="Normal 143 19" xfId="5184"/>
    <cellStyle name="Normal 143 19 2" xfId="13666"/>
    <cellStyle name="Normal 143 19 3" xfId="20184"/>
    <cellStyle name="Normal 143 19 4" xfId="26573"/>
    <cellStyle name="Normal 143 2" xfId="1788"/>
    <cellStyle name="Normal 143 2 2" xfId="5386"/>
    <cellStyle name="Normal 143 2 2 2" xfId="13867"/>
    <cellStyle name="Normal 143 2 2 3" xfId="20381"/>
    <cellStyle name="Normal 143 2 2 4" xfId="26770"/>
    <cellStyle name="Normal 143 2 3" xfId="10360"/>
    <cellStyle name="Normal 143 2 4" xfId="9628"/>
    <cellStyle name="Normal 143 2 5" xfId="10119"/>
    <cellStyle name="Normal 143 20" xfId="9778"/>
    <cellStyle name="Normal 143 21" xfId="9959"/>
    <cellStyle name="Normal 143 22" xfId="9820"/>
    <cellStyle name="Normal 143 3" xfId="2122"/>
    <cellStyle name="Normal 143 3 2" xfId="5695"/>
    <cellStyle name="Normal 143 3 2 2" xfId="14176"/>
    <cellStyle name="Normal 143 3 2 3" xfId="20690"/>
    <cellStyle name="Normal 143 3 2 4" xfId="27079"/>
    <cellStyle name="Normal 143 3 3" xfId="10681"/>
    <cellStyle name="Normal 143 3 4" xfId="17451"/>
    <cellStyle name="Normal 143 3 5" xfId="23881"/>
    <cellStyle name="Normal 143 4" xfId="2800"/>
    <cellStyle name="Normal 143 4 2" xfId="6298"/>
    <cellStyle name="Normal 143 4 2 2" xfId="14779"/>
    <cellStyle name="Normal 143 4 2 3" xfId="21293"/>
    <cellStyle name="Normal 143 4 2 4" xfId="27682"/>
    <cellStyle name="Normal 143 4 3" xfId="11307"/>
    <cellStyle name="Normal 143 4 4" xfId="17876"/>
    <cellStyle name="Normal 143 4 5" xfId="24278"/>
    <cellStyle name="Normal 143 5" xfId="2974"/>
    <cellStyle name="Normal 143 5 2" xfId="6465"/>
    <cellStyle name="Normal 143 5 2 2" xfId="14946"/>
    <cellStyle name="Normal 143 5 2 3" xfId="21460"/>
    <cellStyle name="Normal 143 5 2 4" xfId="27849"/>
    <cellStyle name="Normal 143 5 3" xfId="11477"/>
    <cellStyle name="Normal 143 5 4" xfId="18043"/>
    <cellStyle name="Normal 143 5 5" xfId="24445"/>
    <cellStyle name="Normal 143 6" xfId="3147"/>
    <cellStyle name="Normal 143 6 2" xfId="6632"/>
    <cellStyle name="Normal 143 6 2 2" xfId="15113"/>
    <cellStyle name="Normal 143 6 2 3" xfId="21627"/>
    <cellStyle name="Normal 143 6 2 4" xfId="28016"/>
    <cellStyle name="Normal 143 6 3" xfId="11648"/>
    <cellStyle name="Normal 143 6 4" xfId="18210"/>
    <cellStyle name="Normal 143 6 5" xfId="24612"/>
    <cellStyle name="Normal 143 7" xfId="3320"/>
    <cellStyle name="Normal 143 7 2" xfId="6799"/>
    <cellStyle name="Normal 143 7 2 2" xfId="15280"/>
    <cellStyle name="Normal 143 7 2 3" xfId="21794"/>
    <cellStyle name="Normal 143 7 2 4" xfId="28183"/>
    <cellStyle name="Normal 143 7 3" xfId="11818"/>
    <cellStyle name="Normal 143 7 4" xfId="18377"/>
    <cellStyle name="Normal 143 7 5" xfId="24779"/>
    <cellStyle name="Normal 143 8" xfId="3491"/>
    <cellStyle name="Normal 143 8 2" xfId="6964"/>
    <cellStyle name="Normal 143 8 2 2" xfId="15445"/>
    <cellStyle name="Normal 143 8 2 3" xfId="21959"/>
    <cellStyle name="Normal 143 8 2 4" xfId="28348"/>
    <cellStyle name="Normal 143 8 3" xfId="11987"/>
    <cellStyle name="Normal 143 8 4" xfId="18543"/>
    <cellStyle name="Normal 143 8 5" xfId="24944"/>
    <cellStyle name="Normal 143 9" xfId="3661"/>
    <cellStyle name="Normal 143 9 2" xfId="7128"/>
    <cellStyle name="Normal 143 9 2 2" xfId="15609"/>
    <cellStyle name="Normal 143 9 2 3" xfId="22123"/>
    <cellStyle name="Normal 143 9 2 4" xfId="28512"/>
    <cellStyle name="Normal 143 9 3" xfId="12156"/>
    <cellStyle name="Normal 143 9 4" xfId="18709"/>
    <cellStyle name="Normal 143 9 5" xfId="25108"/>
    <cellStyle name="Normal 144" xfId="712"/>
    <cellStyle name="Normal 144 10" xfId="3829"/>
    <cellStyle name="Normal 144 10 2" xfId="7290"/>
    <cellStyle name="Normal 144 10 2 2" xfId="15771"/>
    <cellStyle name="Normal 144 10 2 3" xfId="22285"/>
    <cellStyle name="Normal 144 10 2 4" xfId="28674"/>
    <cellStyle name="Normal 144 10 3" xfId="12323"/>
    <cellStyle name="Normal 144 10 4" xfId="18873"/>
    <cellStyle name="Normal 144 10 5" xfId="25270"/>
    <cellStyle name="Normal 144 11" xfId="3996"/>
    <cellStyle name="Normal 144 11 2" xfId="7452"/>
    <cellStyle name="Normal 144 11 2 2" xfId="15933"/>
    <cellStyle name="Normal 144 11 2 3" xfId="22447"/>
    <cellStyle name="Normal 144 11 2 4" xfId="28836"/>
    <cellStyle name="Normal 144 11 3" xfId="12489"/>
    <cellStyle name="Normal 144 11 4" xfId="19036"/>
    <cellStyle name="Normal 144 11 5" xfId="25432"/>
    <cellStyle name="Normal 144 12" xfId="4161"/>
    <cellStyle name="Normal 144 12 2" xfId="7612"/>
    <cellStyle name="Normal 144 12 2 2" xfId="16093"/>
    <cellStyle name="Normal 144 12 2 3" xfId="22607"/>
    <cellStyle name="Normal 144 12 2 4" xfId="28996"/>
    <cellStyle name="Normal 144 12 3" xfId="12653"/>
    <cellStyle name="Normal 144 12 4" xfId="19197"/>
    <cellStyle name="Normal 144 12 5" xfId="25592"/>
    <cellStyle name="Normal 144 13" xfId="4323"/>
    <cellStyle name="Normal 144 13 2" xfId="7769"/>
    <cellStyle name="Normal 144 13 2 2" xfId="16250"/>
    <cellStyle name="Normal 144 13 2 3" xfId="22764"/>
    <cellStyle name="Normal 144 13 2 4" xfId="29153"/>
    <cellStyle name="Normal 144 13 3" xfId="12814"/>
    <cellStyle name="Normal 144 13 4" xfId="19355"/>
    <cellStyle name="Normal 144 13 5" xfId="25749"/>
    <cellStyle name="Normal 144 14" xfId="4483"/>
    <cellStyle name="Normal 144 14 2" xfId="7924"/>
    <cellStyle name="Normal 144 14 2 2" xfId="16405"/>
    <cellStyle name="Normal 144 14 2 3" xfId="22919"/>
    <cellStyle name="Normal 144 14 2 4" xfId="29308"/>
    <cellStyle name="Normal 144 14 3" xfId="12974"/>
    <cellStyle name="Normal 144 14 4" xfId="19511"/>
    <cellStyle name="Normal 144 14 5" xfId="25904"/>
    <cellStyle name="Normal 144 15" xfId="4643"/>
    <cellStyle name="Normal 144 15 2" xfId="8079"/>
    <cellStyle name="Normal 144 15 2 2" xfId="16560"/>
    <cellStyle name="Normal 144 15 2 3" xfId="23074"/>
    <cellStyle name="Normal 144 15 2 4" xfId="29463"/>
    <cellStyle name="Normal 144 15 3" xfId="13133"/>
    <cellStyle name="Normal 144 15 4" xfId="19667"/>
    <cellStyle name="Normal 144 15 5" xfId="26059"/>
    <cellStyle name="Normal 144 16" xfId="4802"/>
    <cellStyle name="Normal 144 16 2" xfId="8233"/>
    <cellStyle name="Normal 144 16 2 2" xfId="16714"/>
    <cellStyle name="Normal 144 16 2 3" xfId="23228"/>
    <cellStyle name="Normal 144 16 2 4" xfId="29617"/>
    <cellStyle name="Normal 144 16 3" xfId="13291"/>
    <cellStyle name="Normal 144 16 4" xfId="19822"/>
    <cellStyle name="Normal 144 16 5" xfId="26213"/>
    <cellStyle name="Normal 144 17" xfId="4960"/>
    <cellStyle name="Normal 144 17 2" xfId="8386"/>
    <cellStyle name="Normal 144 17 2 2" xfId="16867"/>
    <cellStyle name="Normal 144 17 2 3" xfId="23381"/>
    <cellStyle name="Normal 144 17 2 4" xfId="29770"/>
    <cellStyle name="Normal 144 17 3" xfId="13448"/>
    <cellStyle name="Normal 144 17 4" xfId="19976"/>
    <cellStyle name="Normal 144 17 5" xfId="26366"/>
    <cellStyle name="Normal 144 18" xfId="5089"/>
    <cellStyle name="Normal 144 18 2" xfId="8510"/>
    <cellStyle name="Normal 144 18 2 2" xfId="16991"/>
    <cellStyle name="Normal 144 18 2 3" xfId="23505"/>
    <cellStyle name="Normal 144 18 2 4" xfId="29894"/>
    <cellStyle name="Normal 144 18 3" xfId="13575"/>
    <cellStyle name="Normal 144 18 4" xfId="20100"/>
    <cellStyle name="Normal 144 18 5" xfId="26490"/>
    <cellStyle name="Normal 144 19" xfId="5185"/>
    <cellStyle name="Normal 144 19 2" xfId="13667"/>
    <cellStyle name="Normal 144 19 3" xfId="20185"/>
    <cellStyle name="Normal 144 19 4" xfId="26574"/>
    <cellStyle name="Normal 144 2" xfId="1789"/>
    <cellStyle name="Normal 144 2 2" xfId="5387"/>
    <cellStyle name="Normal 144 2 2 2" xfId="13868"/>
    <cellStyle name="Normal 144 2 2 3" xfId="20382"/>
    <cellStyle name="Normal 144 2 2 4" xfId="26771"/>
    <cellStyle name="Normal 144 2 3" xfId="10361"/>
    <cellStyle name="Normal 144 2 4" xfId="17456"/>
    <cellStyle name="Normal 144 2 5" xfId="23886"/>
    <cellStyle name="Normal 144 20" xfId="9779"/>
    <cellStyle name="Normal 144 21" xfId="9958"/>
    <cellStyle name="Normal 144 22" xfId="9821"/>
    <cellStyle name="Normal 144 3" xfId="2123"/>
    <cellStyle name="Normal 144 3 2" xfId="5696"/>
    <cellStyle name="Normal 144 3 2 2" xfId="14177"/>
    <cellStyle name="Normal 144 3 2 3" xfId="20691"/>
    <cellStyle name="Normal 144 3 2 4" xfId="27080"/>
    <cellStyle name="Normal 144 3 3" xfId="10682"/>
    <cellStyle name="Normal 144 3 4" xfId="9391"/>
    <cellStyle name="Normal 144 3 5" xfId="10272"/>
    <cellStyle name="Normal 144 4" xfId="2799"/>
    <cellStyle name="Normal 144 4 2" xfId="6297"/>
    <cellStyle name="Normal 144 4 2 2" xfId="14778"/>
    <cellStyle name="Normal 144 4 2 3" xfId="21292"/>
    <cellStyle name="Normal 144 4 2 4" xfId="27681"/>
    <cellStyle name="Normal 144 4 3" xfId="11306"/>
    <cellStyle name="Normal 144 4 4" xfId="17875"/>
    <cellStyle name="Normal 144 4 5" xfId="24277"/>
    <cellStyle name="Normal 144 5" xfId="2973"/>
    <cellStyle name="Normal 144 5 2" xfId="6464"/>
    <cellStyle name="Normal 144 5 2 2" xfId="14945"/>
    <cellStyle name="Normal 144 5 2 3" xfId="21459"/>
    <cellStyle name="Normal 144 5 2 4" xfId="27848"/>
    <cellStyle name="Normal 144 5 3" xfId="11476"/>
    <cellStyle name="Normal 144 5 4" xfId="18042"/>
    <cellStyle name="Normal 144 5 5" xfId="24444"/>
    <cellStyle name="Normal 144 6" xfId="3146"/>
    <cellStyle name="Normal 144 6 2" xfId="6631"/>
    <cellStyle name="Normal 144 6 2 2" xfId="15112"/>
    <cellStyle name="Normal 144 6 2 3" xfId="21626"/>
    <cellStyle name="Normal 144 6 2 4" xfId="28015"/>
    <cellStyle name="Normal 144 6 3" xfId="11647"/>
    <cellStyle name="Normal 144 6 4" xfId="18209"/>
    <cellStyle name="Normal 144 6 5" xfId="24611"/>
    <cellStyle name="Normal 144 7" xfId="3319"/>
    <cellStyle name="Normal 144 7 2" xfId="6798"/>
    <cellStyle name="Normal 144 7 2 2" xfId="15279"/>
    <cellStyle name="Normal 144 7 2 3" xfId="21793"/>
    <cellStyle name="Normal 144 7 2 4" xfId="28182"/>
    <cellStyle name="Normal 144 7 3" xfId="11817"/>
    <cellStyle name="Normal 144 7 4" xfId="18376"/>
    <cellStyle name="Normal 144 7 5" xfId="24778"/>
    <cellStyle name="Normal 144 8" xfId="3490"/>
    <cellStyle name="Normal 144 8 2" xfId="6963"/>
    <cellStyle name="Normal 144 8 2 2" xfId="15444"/>
    <cellStyle name="Normal 144 8 2 3" xfId="21958"/>
    <cellStyle name="Normal 144 8 2 4" xfId="28347"/>
    <cellStyle name="Normal 144 8 3" xfId="11986"/>
    <cellStyle name="Normal 144 8 4" xfId="18542"/>
    <cellStyle name="Normal 144 8 5" xfId="24943"/>
    <cellStyle name="Normal 144 9" xfId="3660"/>
    <cellStyle name="Normal 144 9 2" xfId="7127"/>
    <cellStyle name="Normal 144 9 2 2" xfId="15608"/>
    <cellStyle name="Normal 144 9 2 3" xfId="22122"/>
    <cellStyle name="Normal 144 9 2 4" xfId="28511"/>
    <cellStyle name="Normal 144 9 3" xfId="12155"/>
    <cellStyle name="Normal 144 9 4" xfId="18708"/>
    <cellStyle name="Normal 144 9 5" xfId="25107"/>
    <cellStyle name="Normal 145" xfId="713"/>
    <cellStyle name="Normal 145 10" xfId="3586"/>
    <cellStyle name="Normal 145 10 2" xfId="7055"/>
    <cellStyle name="Normal 145 10 2 2" xfId="15536"/>
    <cellStyle name="Normal 145 10 2 3" xfId="22050"/>
    <cellStyle name="Normal 145 10 2 4" xfId="28439"/>
    <cellStyle name="Normal 145 10 3" xfId="12081"/>
    <cellStyle name="Normal 145 10 4" xfId="18634"/>
    <cellStyle name="Normal 145 10 5" xfId="25035"/>
    <cellStyle name="Normal 145 11" xfId="3756"/>
    <cellStyle name="Normal 145 11 2" xfId="7219"/>
    <cellStyle name="Normal 145 11 2 2" xfId="15700"/>
    <cellStyle name="Normal 145 11 2 3" xfId="22214"/>
    <cellStyle name="Normal 145 11 2 4" xfId="28603"/>
    <cellStyle name="Normal 145 11 3" xfId="12251"/>
    <cellStyle name="Normal 145 11 4" xfId="18801"/>
    <cellStyle name="Normal 145 11 5" xfId="25199"/>
    <cellStyle name="Normal 145 12" xfId="3924"/>
    <cellStyle name="Normal 145 12 2" xfId="7382"/>
    <cellStyle name="Normal 145 12 2 2" xfId="15863"/>
    <cellStyle name="Normal 145 12 2 3" xfId="22377"/>
    <cellStyle name="Normal 145 12 2 4" xfId="28766"/>
    <cellStyle name="Normal 145 12 3" xfId="12418"/>
    <cellStyle name="Normal 145 12 4" xfId="18965"/>
    <cellStyle name="Normal 145 12 5" xfId="25362"/>
    <cellStyle name="Normal 145 13" xfId="4089"/>
    <cellStyle name="Normal 145 13 2" xfId="7542"/>
    <cellStyle name="Normal 145 13 2 2" xfId="16023"/>
    <cellStyle name="Normal 145 13 2 3" xfId="22537"/>
    <cellStyle name="Normal 145 13 2 4" xfId="28926"/>
    <cellStyle name="Normal 145 13 3" xfId="12582"/>
    <cellStyle name="Normal 145 13 4" xfId="19126"/>
    <cellStyle name="Normal 145 13 5" xfId="25522"/>
    <cellStyle name="Normal 145 14" xfId="4254"/>
    <cellStyle name="Normal 145 14 2" xfId="7702"/>
    <cellStyle name="Normal 145 14 2 2" xfId="16183"/>
    <cellStyle name="Normal 145 14 2 3" xfId="22697"/>
    <cellStyle name="Normal 145 14 2 4" xfId="29086"/>
    <cellStyle name="Normal 145 14 3" xfId="12746"/>
    <cellStyle name="Normal 145 14 4" xfId="19287"/>
    <cellStyle name="Normal 145 14 5" xfId="25682"/>
    <cellStyle name="Normal 145 15" xfId="4414"/>
    <cellStyle name="Normal 145 15 2" xfId="7857"/>
    <cellStyle name="Normal 145 15 2 2" xfId="16338"/>
    <cellStyle name="Normal 145 15 2 3" xfId="22852"/>
    <cellStyle name="Normal 145 15 2 4" xfId="29241"/>
    <cellStyle name="Normal 145 15 3" xfId="12905"/>
    <cellStyle name="Normal 145 15 4" xfId="19443"/>
    <cellStyle name="Normal 145 15 5" xfId="25837"/>
    <cellStyle name="Normal 145 16" xfId="4574"/>
    <cellStyle name="Normal 145 16 2" xfId="8012"/>
    <cellStyle name="Normal 145 16 2 2" xfId="16493"/>
    <cellStyle name="Normal 145 16 2 3" xfId="23007"/>
    <cellStyle name="Normal 145 16 2 4" xfId="29396"/>
    <cellStyle name="Normal 145 16 3" xfId="13065"/>
    <cellStyle name="Normal 145 16 4" xfId="19599"/>
    <cellStyle name="Normal 145 16 5" xfId="25992"/>
    <cellStyle name="Normal 145 17" xfId="4734"/>
    <cellStyle name="Normal 145 17 2" xfId="8167"/>
    <cellStyle name="Normal 145 17 2 2" xfId="16648"/>
    <cellStyle name="Normal 145 17 2 3" xfId="23162"/>
    <cellStyle name="Normal 145 17 2 4" xfId="29551"/>
    <cellStyle name="Normal 145 17 3" xfId="13224"/>
    <cellStyle name="Normal 145 17 4" xfId="19755"/>
    <cellStyle name="Normal 145 17 5" xfId="26147"/>
    <cellStyle name="Normal 145 18" xfId="4893"/>
    <cellStyle name="Normal 145 18 2" xfId="8321"/>
    <cellStyle name="Normal 145 18 2 2" xfId="16802"/>
    <cellStyle name="Normal 145 18 2 3" xfId="23316"/>
    <cellStyle name="Normal 145 18 2 4" xfId="29705"/>
    <cellStyle name="Normal 145 18 3" xfId="13382"/>
    <cellStyle name="Normal 145 18 4" xfId="19910"/>
    <cellStyle name="Normal 145 18 5" xfId="26301"/>
    <cellStyle name="Normal 145 19" xfId="5186"/>
    <cellStyle name="Normal 145 19 2" xfId="13668"/>
    <cellStyle name="Normal 145 19 3" xfId="20186"/>
    <cellStyle name="Normal 145 19 4" xfId="26575"/>
    <cellStyle name="Normal 145 2" xfId="1790"/>
    <cellStyle name="Normal 145 2 2" xfId="5388"/>
    <cellStyle name="Normal 145 2 2 2" xfId="13869"/>
    <cellStyle name="Normal 145 2 2 3" xfId="20383"/>
    <cellStyle name="Normal 145 2 2 4" xfId="26772"/>
    <cellStyle name="Normal 145 2 3" xfId="10362"/>
    <cellStyle name="Normal 145 2 4" xfId="17468"/>
    <cellStyle name="Normal 145 2 5" xfId="23895"/>
    <cellStyle name="Normal 145 20" xfId="9780"/>
    <cellStyle name="Normal 145 21" xfId="9957"/>
    <cellStyle name="Normal 145 22" xfId="9822"/>
    <cellStyle name="Normal 145 3" xfId="2124"/>
    <cellStyle name="Normal 145 3 2" xfId="5697"/>
    <cellStyle name="Normal 145 3 2 2" xfId="14178"/>
    <cellStyle name="Normal 145 3 2 3" xfId="20692"/>
    <cellStyle name="Normal 145 3 2 4" xfId="27081"/>
    <cellStyle name="Normal 145 3 3" xfId="10683"/>
    <cellStyle name="Normal 145 3 4" xfId="9390"/>
    <cellStyle name="Normal 145 3 5" xfId="10273"/>
    <cellStyle name="Normal 145 4" xfId="2222"/>
    <cellStyle name="Normal 145 4 2" xfId="5792"/>
    <cellStyle name="Normal 145 4 2 2" xfId="14273"/>
    <cellStyle name="Normal 145 4 2 3" xfId="20787"/>
    <cellStyle name="Normal 145 4 2 4" xfId="27176"/>
    <cellStyle name="Normal 145 4 3" xfId="10778"/>
    <cellStyle name="Normal 145 4 4" xfId="17426"/>
    <cellStyle name="Normal 145 4 5" xfId="23862"/>
    <cellStyle name="Normal 145 5" xfId="2724"/>
    <cellStyle name="Normal 145 5 2" xfId="6225"/>
    <cellStyle name="Normal 145 5 2 2" xfId="14706"/>
    <cellStyle name="Normal 145 5 2 3" xfId="21220"/>
    <cellStyle name="Normal 145 5 2 4" xfId="27609"/>
    <cellStyle name="Normal 145 5 3" xfId="11234"/>
    <cellStyle name="Normal 145 5 4" xfId="17803"/>
    <cellStyle name="Normal 145 5 5" xfId="24205"/>
    <cellStyle name="Normal 145 6" xfId="2898"/>
    <cellStyle name="Normal 145 6 2" xfId="6392"/>
    <cellStyle name="Normal 145 6 2 2" xfId="14873"/>
    <cellStyle name="Normal 145 6 2 3" xfId="21387"/>
    <cellStyle name="Normal 145 6 2 4" xfId="27776"/>
    <cellStyle name="Normal 145 6 3" xfId="11404"/>
    <cellStyle name="Normal 145 6 4" xfId="17970"/>
    <cellStyle name="Normal 145 6 5" xfId="24372"/>
    <cellStyle name="Normal 145 7" xfId="3072"/>
    <cellStyle name="Normal 145 7 2" xfId="6559"/>
    <cellStyle name="Normal 145 7 2 2" xfId="15040"/>
    <cellStyle name="Normal 145 7 2 3" xfId="21554"/>
    <cellStyle name="Normal 145 7 2 4" xfId="27943"/>
    <cellStyle name="Normal 145 7 3" xfId="11574"/>
    <cellStyle name="Normal 145 7 4" xfId="18137"/>
    <cellStyle name="Normal 145 7 5" xfId="24539"/>
    <cellStyle name="Normal 145 8" xfId="3245"/>
    <cellStyle name="Normal 145 8 2" xfId="6726"/>
    <cellStyle name="Normal 145 8 2 2" xfId="15207"/>
    <cellStyle name="Normal 145 8 2 3" xfId="21721"/>
    <cellStyle name="Normal 145 8 2 4" xfId="28110"/>
    <cellStyle name="Normal 145 8 3" xfId="11745"/>
    <cellStyle name="Normal 145 8 4" xfId="18304"/>
    <cellStyle name="Normal 145 8 5" xfId="24706"/>
    <cellStyle name="Normal 145 9" xfId="3416"/>
    <cellStyle name="Normal 145 9 2" xfId="6891"/>
    <cellStyle name="Normal 145 9 2 2" xfId="15372"/>
    <cellStyle name="Normal 145 9 2 3" xfId="21886"/>
    <cellStyle name="Normal 145 9 2 4" xfId="28275"/>
    <cellStyle name="Normal 145 9 3" xfId="11913"/>
    <cellStyle name="Normal 145 9 4" xfId="18469"/>
    <cellStyle name="Normal 145 9 5" xfId="24871"/>
    <cellStyle name="Normal 146" xfId="714"/>
    <cellStyle name="Normal 146 10" xfId="3587"/>
    <cellStyle name="Normal 146 10 2" xfId="7056"/>
    <cellStyle name="Normal 146 10 2 2" xfId="15537"/>
    <cellStyle name="Normal 146 10 2 3" xfId="22051"/>
    <cellStyle name="Normal 146 10 2 4" xfId="28440"/>
    <cellStyle name="Normal 146 10 3" xfId="12082"/>
    <cellStyle name="Normal 146 10 4" xfId="18635"/>
    <cellStyle name="Normal 146 10 5" xfId="25036"/>
    <cellStyle name="Normal 146 11" xfId="3757"/>
    <cellStyle name="Normal 146 11 2" xfId="7220"/>
    <cellStyle name="Normal 146 11 2 2" xfId="15701"/>
    <cellStyle name="Normal 146 11 2 3" xfId="22215"/>
    <cellStyle name="Normal 146 11 2 4" xfId="28604"/>
    <cellStyle name="Normal 146 11 3" xfId="12252"/>
    <cellStyle name="Normal 146 11 4" xfId="18802"/>
    <cellStyle name="Normal 146 11 5" xfId="25200"/>
    <cellStyle name="Normal 146 12" xfId="3925"/>
    <cellStyle name="Normal 146 12 2" xfId="7383"/>
    <cellStyle name="Normal 146 12 2 2" xfId="15864"/>
    <cellStyle name="Normal 146 12 2 3" xfId="22378"/>
    <cellStyle name="Normal 146 12 2 4" xfId="28767"/>
    <cellStyle name="Normal 146 12 3" xfId="12419"/>
    <cellStyle name="Normal 146 12 4" xfId="18966"/>
    <cellStyle name="Normal 146 12 5" xfId="25363"/>
    <cellStyle name="Normal 146 13" xfId="4090"/>
    <cellStyle name="Normal 146 13 2" xfId="7543"/>
    <cellStyle name="Normal 146 13 2 2" xfId="16024"/>
    <cellStyle name="Normal 146 13 2 3" xfId="22538"/>
    <cellStyle name="Normal 146 13 2 4" xfId="28927"/>
    <cellStyle name="Normal 146 13 3" xfId="12583"/>
    <cellStyle name="Normal 146 13 4" xfId="19127"/>
    <cellStyle name="Normal 146 13 5" xfId="25523"/>
    <cellStyle name="Normal 146 14" xfId="4255"/>
    <cellStyle name="Normal 146 14 2" xfId="7703"/>
    <cellStyle name="Normal 146 14 2 2" xfId="16184"/>
    <cellStyle name="Normal 146 14 2 3" xfId="22698"/>
    <cellStyle name="Normal 146 14 2 4" xfId="29087"/>
    <cellStyle name="Normal 146 14 3" xfId="12747"/>
    <cellStyle name="Normal 146 14 4" xfId="19288"/>
    <cellStyle name="Normal 146 14 5" xfId="25683"/>
    <cellStyle name="Normal 146 15" xfId="4415"/>
    <cellStyle name="Normal 146 15 2" xfId="7858"/>
    <cellStyle name="Normal 146 15 2 2" xfId="16339"/>
    <cellStyle name="Normal 146 15 2 3" xfId="22853"/>
    <cellStyle name="Normal 146 15 2 4" xfId="29242"/>
    <cellStyle name="Normal 146 15 3" xfId="12906"/>
    <cellStyle name="Normal 146 15 4" xfId="19444"/>
    <cellStyle name="Normal 146 15 5" xfId="25838"/>
    <cellStyle name="Normal 146 16" xfId="4575"/>
    <cellStyle name="Normal 146 16 2" xfId="8013"/>
    <cellStyle name="Normal 146 16 2 2" xfId="16494"/>
    <cellStyle name="Normal 146 16 2 3" xfId="23008"/>
    <cellStyle name="Normal 146 16 2 4" xfId="29397"/>
    <cellStyle name="Normal 146 16 3" xfId="13066"/>
    <cellStyle name="Normal 146 16 4" xfId="19600"/>
    <cellStyle name="Normal 146 16 5" xfId="25993"/>
    <cellStyle name="Normal 146 17" xfId="4735"/>
    <cellStyle name="Normal 146 17 2" xfId="8168"/>
    <cellStyle name="Normal 146 17 2 2" xfId="16649"/>
    <cellStyle name="Normal 146 17 2 3" xfId="23163"/>
    <cellStyle name="Normal 146 17 2 4" xfId="29552"/>
    <cellStyle name="Normal 146 17 3" xfId="13225"/>
    <cellStyle name="Normal 146 17 4" xfId="19756"/>
    <cellStyle name="Normal 146 17 5" xfId="26148"/>
    <cellStyle name="Normal 146 18" xfId="4894"/>
    <cellStyle name="Normal 146 18 2" xfId="8322"/>
    <cellStyle name="Normal 146 18 2 2" xfId="16803"/>
    <cellStyle name="Normal 146 18 2 3" xfId="23317"/>
    <cellStyle name="Normal 146 18 2 4" xfId="29706"/>
    <cellStyle name="Normal 146 18 3" xfId="13383"/>
    <cellStyle name="Normal 146 18 4" xfId="19911"/>
    <cellStyle name="Normal 146 18 5" xfId="26302"/>
    <cellStyle name="Normal 146 19" xfId="5187"/>
    <cellStyle name="Normal 146 19 2" xfId="13669"/>
    <cellStyle name="Normal 146 19 3" xfId="20187"/>
    <cellStyle name="Normal 146 19 4" xfId="26576"/>
    <cellStyle name="Normal 146 2" xfId="1791"/>
    <cellStyle name="Normal 146 2 2" xfId="5389"/>
    <cellStyle name="Normal 146 2 2 2" xfId="13870"/>
    <cellStyle name="Normal 146 2 2 3" xfId="20384"/>
    <cellStyle name="Normal 146 2 2 4" xfId="26773"/>
    <cellStyle name="Normal 146 2 3" xfId="10363"/>
    <cellStyle name="Normal 146 2 4" xfId="17478"/>
    <cellStyle name="Normal 146 2 5" xfId="23903"/>
    <cellStyle name="Normal 146 20" xfId="9781"/>
    <cellStyle name="Normal 146 21" xfId="9956"/>
    <cellStyle name="Normal 146 22" xfId="10947"/>
    <cellStyle name="Normal 146 3" xfId="2125"/>
    <cellStyle name="Normal 146 3 2" xfId="5698"/>
    <cellStyle name="Normal 146 3 2 2" xfId="14179"/>
    <cellStyle name="Normal 146 3 2 3" xfId="20693"/>
    <cellStyle name="Normal 146 3 2 4" xfId="27082"/>
    <cellStyle name="Normal 146 3 3" xfId="10684"/>
    <cellStyle name="Normal 146 3 4" xfId="9389"/>
    <cellStyle name="Normal 146 3 5" xfId="10274"/>
    <cellStyle name="Normal 146 4" xfId="2221"/>
    <cellStyle name="Normal 146 4 2" xfId="5791"/>
    <cellStyle name="Normal 146 4 2 2" xfId="14272"/>
    <cellStyle name="Normal 146 4 2 3" xfId="20786"/>
    <cellStyle name="Normal 146 4 2 4" xfId="27175"/>
    <cellStyle name="Normal 146 4 3" xfId="10777"/>
    <cellStyle name="Normal 146 4 4" xfId="17413"/>
    <cellStyle name="Normal 146 4 5" xfId="23850"/>
    <cellStyle name="Normal 146 5" xfId="2725"/>
    <cellStyle name="Normal 146 5 2" xfId="6226"/>
    <cellStyle name="Normal 146 5 2 2" xfId="14707"/>
    <cellStyle name="Normal 146 5 2 3" xfId="21221"/>
    <cellStyle name="Normal 146 5 2 4" xfId="27610"/>
    <cellStyle name="Normal 146 5 3" xfId="11235"/>
    <cellStyle name="Normal 146 5 4" xfId="17804"/>
    <cellStyle name="Normal 146 5 5" xfId="24206"/>
    <cellStyle name="Normal 146 6" xfId="2899"/>
    <cellStyle name="Normal 146 6 2" xfId="6393"/>
    <cellStyle name="Normal 146 6 2 2" xfId="14874"/>
    <cellStyle name="Normal 146 6 2 3" xfId="21388"/>
    <cellStyle name="Normal 146 6 2 4" xfId="27777"/>
    <cellStyle name="Normal 146 6 3" xfId="11405"/>
    <cellStyle name="Normal 146 6 4" xfId="17971"/>
    <cellStyle name="Normal 146 6 5" xfId="24373"/>
    <cellStyle name="Normal 146 7" xfId="3073"/>
    <cellStyle name="Normal 146 7 2" xfId="6560"/>
    <cellStyle name="Normal 146 7 2 2" xfId="15041"/>
    <cellStyle name="Normal 146 7 2 3" xfId="21555"/>
    <cellStyle name="Normal 146 7 2 4" xfId="27944"/>
    <cellStyle name="Normal 146 7 3" xfId="11575"/>
    <cellStyle name="Normal 146 7 4" xfId="18138"/>
    <cellStyle name="Normal 146 7 5" xfId="24540"/>
    <cellStyle name="Normal 146 8" xfId="3246"/>
    <cellStyle name="Normal 146 8 2" xfId="6727"/>
    <cellStyle name="Normal 146 8 2 2" xfId="15208"/>
    <cellStyle name="Normal 146 8 2 3" xfId="21722"/>
    <cellStyle name="Normal 146 8 2 4" xfId="28111"/>
    <cellStyle name="Normal 146 8 3" xfId="11746"/>
    <cellStyle name="Normal 146 8 4" xfId="18305"/>
    <cellStyle name="Normal 146 8 5" xfId="24707"/>
    <cellStyle name="Normal 146 9" xfId="3417"/>
    <cellStyle name="Normal 146 9 2" xfId="6892"/>
    <cellStyle name="Normal 146 9 2 2" xfId="15373"/>
    <cellStyle name="Normal 146 9 2 3" xfId="21887"/>
    <cellStyle name="Normal 146 9 2 4" xfId="28276"/>
    <cellStyle name="Normal 146 9 3" xfId="11914"/>
    <cellStyle name="Normal 146 9 4" xfId="18470"/>
    <cellStyle name="Normal 146 9 5" xfId="24872"/>
    <cellStyle name="Normal 147" xfId="715"/>
    <cellStyle name="Normal 147 10" xfId="3588"/>
    <cellStyle name="Normal 147 10 2" xfId="7057"/>
    <cellStyle name="Normal 147 10 2 2" xfId="15538"/>
    <cellStyle name="Normal 147 10 2 3" xfId="22052"/>
    <cellStyle name="Normal 147 10 2 4" xfId="28441"/>
    <cellStyle name="Normal 147 10 3" xfId="12083"/>
    <cellStyle name="Normal 147 10 4" xfId="18636"/>
    <cellStyle name="Normal 147 10 5" xfId="25037"/>
    <cellStyle name="Normal 147 11" xfId="3758"/>
    <cellStyle name="Normal 147 11 2" xfId="7221"/>
    <cellStyle name="Normal 147 11 2 2" xfId="15702"/>
    <cellStyle name="Normal 147 11 2 3" xfId="22216"/>
    <cellStyle name="Normal 147 11 2 4" xfId="28605"/>
    <cellStyle name="Normal 147 11 3" xfId="12253"/>
    <cellStyle name="Normal 147 11 4" xfId="18803"/>
    <cellStyle name="Normal 147 11 5" xfId="25201"/>
    <cellStyle name="Normal 147 12" xfId="3926"/>
    <cellStyle name="Normal 147 12 2" xfId="7384"/>
    <cellStyle name="Normal 147 12 2 2" xfId="15865"/>
    <cellStyle name="Normal 147 12 2 3" xfId="22379"/>
    <cellStyle name="Normal 147 12 2 4" xfId="28768"/>
    <cellStyle name="Normal 147 12 3" xfId="12420"/>
    <cellStyle name="Normal 147 12 4" xfId="18967"/>
    <cellStyle name="Normal 147 12 5" xfId="25364"/>
    <cellStyle name="Normal 147 13" xfId="4091"/>
    <cellStyle name="Normal 147 13 2" xfId="7544"/>
    <cellStyle name="Normal 147 13 2 2" xfId="16025"/>
    <cellStyle name="Normal 147 13 2 3" xfId="22539"/>
    <cellStyle name="Normal 147 13 2 4" xfId="28928"/>
    <cellStyle name="Normal 147 13 3" xfId="12584"/>
    <cellStyle name="Normal 147 13 4" xfId="19128"/>
    <cellStyle name="Normal 147 13 5" xfId="25524"/>
    <cellStyle name="Normal 147 14" xfId="4256"/>
    <cellStyle name="Normal 147 14 2" xfId="7704"/>
    <cellStyle name="Normal 147 14 2 2" xfId="16185"/>
    <cellStyle name="Normal 147 14 2 3" xfId="22699"/>
    <cellStyle name="Normal 147 14 2 4" xfId="29088"/>
    <cellStyle name="Normal 147 14 3" xfId="12748"/>
    <cellStyle name="Normal 147 14 4" xfId="19289"/>
    <cellStyle name="Normal 147 14 5" xfId="25684"/>
    <cellStyle name="Normal 147 15" xfId="4416"/>
    <cellStyle name="Normal 147 15 2" xfId="7859"/>
    <cellStyle name="Normal 147 15 2 2" xfId="16340"/>
    <cellStyle name="Normal 147 15 2 3" xfId="22854"/>
    <cellStyle name="Normal 147 15 2 4" xfId="29243"/>
    <cellStyle name="Normal 147 15 3" xfId="12907"/>
    <cellStyle name="Normal 147 15 4" xfId="19445"/>
    <cellStyle name="Normal 147 15 5" xfId="25839"/>
    <cellStyle name="Normal 147 16" xfId="4576"/>
    <cellStyle name="Normal 147 16 2" xfId="8014"/>
    <cellStyle name="Normal 147 16 2 2" xfId="16495"/>
    <cellStyle name="Normal 147 16 2 3" xfId="23009"/>
    <cellStyle name="Normal 147 16 2 4" xfId="29398"/>
    <cellStyle name="Normal 147 16 3" xfId="13067"/>
    <cellStyle name="Normal 147 16 4" xfId="19601"/>
    <cellStyle name="Normal 147 16 5" xfId="25994"/>
    <cellStyle name="Normal 147 17" xfId="4736"/>
    <cellStyle name="Normal 147 17 2" xfId="8169"/>
    <cellStyle name="Normal 147 17 2 2" xfId="16650"/>
    <cellStyle name="Normal 147 17 2 3" xfId="23164"/>
    <cellStyle name="Normal 147 17 2 4" xfId="29553"/>
    <cellStyle name="Normal 147 17 3" xfId="13226"/>
    <cellStyle name="Normal 147 17 4" xfId="19757"/>
    <cellStyle name="Normal 147 17 5" xfId="26149"/>
    <cellStyle name="Normal 147 18" xfId="4895"/>
    <cellStyle name="Normal 147 18 2" xfId="8323"/>
    <cellStyle name="Normal 147 18 2 2" xfId="16804"/>
    <cellStyle name="Normal 147 18 2 3" xfId="23318"/>
    <cellStyle name="Normal 147 18 2 4" xfId="29707"/>
    <cellStyle name="Normal 147 18 3" xfId="13384"/>
    <cellStyle name="Normal 147 18 4" xfId="19912"/>
    <cellStyle name="Normal 147 18 5" xfId="26303"/>
    <cellStyle name="Normal 147 19" xfId="5188"/>
    <cellStyle name="Normal 147 19 2" xfId="13670"/>
    <cellStyle name="Normal 147 19 3" xfId="20188"/>
    <cellStyle name="Normal 147 19 4" xfId="26577"/>
    <cellStyle name="Normal 147 2" xfId="1792"/>
    <cellStyle name="Normal 147 2 2" xfId="5390"/>
    <cellStyle name="Normal 147 2 2 2" xfId="13871"/>
    <cellStyle name="Normal 147 2 2 3" xfId="20385"/>
    <cellStyle name="Normal 147 2 2 4" xfId="26774"/>
    <cellStyle name="Normal 147 2 3" xfId="10364"/>
    <cellStyle name="Normal 147 2 4" xfId="17492"/>
    <cellStyle name="Normal 147 2 5" xfId="23914"/>
    <cellStyle name="Normal 147 20" xfId="9782"/>
    <cellStyle name="Normal 147 21" xfId="9955"/>
    <cellStyle name="Normal 147 22" xfId="11055"/>
    <cellStyle name="Normal 147 3" xfId="2126"/>
    <cellStyle name="Normal 147 3 2" xfId="5699"/>
    <cellStyle name="Normal 147 3 2 2" xfId="14180"/>
    <cellStyle name="Normal 147 3 2 3" xfId="20694"/>
    <cellStyle name="Normal 147 3 2 4" xfId="27083"/>
    <cellStyle name="Normal 147 3 3" xfId="10685"/>
    <cellStyle name="Normal 147 3 4" xfId="9388"/>
    <cellStyle name="Normal 147 3 5" xfId="10275"/>
    <cellStyle name="Normal 147 4" xfId="2220"/>
    <cellStyle name="Normal 147 4 2" xfId="5790"/>
    <cellStyle name="Normal 147 4 2 2" xfId="14271"/>
    <cellStyle name="Normal 147 4 2 3" xfId="20785"/>
    <cellStyle name="Normal 147 4 2 4" xfId="27174"/>
    <cellStyle name="Normal 147 4 3" xfId="10776"/>
    <cellStyle name="Normal 147 4 4" xfId="17403"/>
    <cellStyle name="Normal 147 4 5" xfId="23841"/>
    <cellStyle name="Normal 147 5" xfId="2726"/>
    <cellStyle name="Normal 147 5 2" xfId="6227"/>
    <cellStyle name="Normal 147 5 2 2" xfId="14708"/>
    <cellStyle name="Normal 147 5 2 3" xfId="21222"/>
    <cellStyle name="Normal 147 5 2 4" xfId="27611"/>
    <cellStyle name="Normal 147 5 3" xfId="11236"/>
    <cellStyle name="Normal 147 5 4" xfId="17805"/>
    <cellStyle name="Normal 147 5 5" xfId="24207"/>
    <cellStyle name="Normal 147 6" xfId="2900"/>
    <cellStyle name="Normal 147 6 2" xfId="6394"/>
    <cellStyle name="Normal 147 6 2 2" xfId="14875"/>
    <cellStyle name="Normal 147 6 2 3" xfId="21389"/>
    <cellStyle name="Normal 147 6 2 4" xfId="27778"/>
    <cellStyle name="Normal 147 6 3" xfId="11406"/>
    <cellStyle name="Normal 147 6 4" xfId="17972"/>
    <cellStyle name="Normal 147 6 5" xfId="24374"/>
    <cellStyle name="Normal 147 7" xfId="3074"/>
    <cellStyle name="Normal 147 7 2" xfId="6561"/>
    <cellStyle name="Normal 147 7 2 2" xfId="15042"/>
    <cellStyle name="Normal 147 7 2 3" xfId="21556"/>
    <cellStyle name="Normal 147 7 2 4" xfId="27945"/>
    <cellStyle name="Normal 147 7 3" xfId="11576"/>
    <cellStyle name="Normal 147 7 4" xfId="18139"/>
    <cellStyle name="Normal 147 7 5" xfId="24541"/>
    <cellStyle name="Normal 147 8" xfId="3247"/>
    <cellStyle name="Normal 147 8 2" xfId="6728"/>
    <cellStyle name="Normal 147 8 2 2" xfId="15209"/>
    <cellStyle name="Normal 147 8 2 3" xfId="21723"/>
    <cellStyle name="Normal 147 8 2 4" xfId="28112"/>
    <cellStyle name="Normal 147 8 3" xfId="11747"/>
    <cellStyle name="Normal 147 8 4" xfId="18306"/>
    <cellStyle name="Normal 147 8 5" xfId="24708"/>
    <cellStyle name="Normal 147 9" xfId="3418"/>
    <cellStyle name="Normal 147 9 2" xfId="6893"/>
    <cellStyle name="Normal 147 9 2 2" xfId="15374"/>
    <cellStyle name="Normal 147 9 2 3" xfId="21888"/>
    <cellStyle name="Normal 147 9 2 4" xfId="28277"/>
    <cellStyle name="Normal 147 9 3" xfId="11915"/>
    <cellStyle name="Normal 147 9 4" xfId="18471"/>
    <cellStyle name="Normal 147 9 5" xfId="24873"/>
    <cellStyle name="Normal 148" xfId="716"/>
    <cellStyle name="Normal 148 10" xfId="3589"/>
    <cellStyle name="Normal 148 10 2" xfId="7058"/>
    <cellStyle name="Normal 148 10 2 2" xfId="15539"/>
    <cellStyle name="Normal 148 10 2 3" xfId="22053"/>
    <cellStyle name="Normal 148 10 2 4" xfId="28442"/>
    <cellStyle name="Normal 148 10 3" xfId="12084"/>
    <cellStyle name="Normal 148 10 4" xfId="18637"/>
    <cellStyle name="Normal 148 10 5" xfId="25038"/>
    <cellStyle name="Normal 148 11" xfId="3759"/>
    <cellStyle name="Normal 148 11 2" xfId="7222"/>
    <cellStyle name="Normal 148 11 2 2" xfId="15703"/>
    <cellStyle name="Normal 148 11 2 3" xfId="22217"/>
    <cellStyle name="Normal 148 11 2 4" xfId="28606"/>
    <cellStyle name="Normal 148 11 3" xfId="12254"/>
    <cellStyle name="Normal 148 11 4" xfId="18804"/>
    <cellStyle name="Normal 148 11 5" xfId="25202"/>
    <cellStyle name="Normal 148 12" xfId="3927"/>
    <cellStyle name="Normal 148 12 2" xfId="7385"/>
    <cellStyle name="Normal 148 12 2 2" xfId="15866"/>
    <cellStyle name="Normal 148 12 2 3" xfId="22380"/>
    <cellStyle name="Normal 148 12 2 4" xfId="28769"/>
    <cellStyle name="Normal 148 12 3" xfId="12421"/>
    <cellStyle name="Normal 148 12 4" xfId="18968"/>
    <cellStyle name="Normal 148 12 5" xfId="25365"/>
    <cellStyle name="Normal 148 13" xfId="4092"/>
    <cellStyle name="Normal 148 13 2" xfId="7545"/>
    <cellStyle name="Normal 148 13 2 2" xfId="16026"/>
    <cellStyle name="Normal 148 13 2 3" xfId="22540"/>
    <cellStyle name="Normal 148 13 2 4" xfId="28929"/>
    <cellStyle name="Normal 148 13 3" xfId="12585"/>
    <cellStyle name="Normal 148 13 4" xfId="19129"/>
    <cellStyle name="Normal 148 13 5" xfId="25525"/>
    <cellStyle name="Normal 148 14" xfId="4257"/>
    <cellStyle name="Normal 148 14 2" xfId="7705"/>
    <cellStyle name="Normal 148 14 2 2" xfId="16186"/>
    <cellStyle name="Normal 148 14 2 3" xfId="22700"/>
    <cellStyle name="Normal 148 14 2 4" xfId="29089"/>
    <cellStyle name="Normal 148 14 3" xfId="12749"/>
    <cellStyle name="Normal 148 14 4" xfId="19290"/>
    <cellStyle name="Normal 148 14 5" xfId="25685"/>
    <cellStyle name="Normal 148 15" xfId="4417"/>
    <cellStyle name="Normal 148 15 2" xfId="7860"/>
    <cellStyle name="Normal 148 15 2 2" xfId="16341"/>
    <cellStyle name="Normal 148 15 2 3" xfId="22855"/>
    <cellStyle name="Normal 148 15 2 4" xfId="29244"/>
    <cellStyle name="Normal 148 15 3" xfId="12908"/>
    <cellStyle name="Normal 148 15 4" xfId="19446"/>
    <cellStyle name="Normal 148 15 5" xfId="25840"/>
    <cellStyle name="Normal 148 16" xfId="4577"/>
    <cellStyle name="Normal 148 16 2" xfId="8015"/>
    <cellStyle name="Normal 148 16 2 2" xfId="16496"/>
    <cellStyle name="Normal 148 16 2 3" xfId="23010"/>
    <cellStyle name="Normal 148 16 2 4" xfId="29399"/>
    <cellStyle name="Normal 148 16 3" xfId="13068"/>
    <cellStyle name="Normal 148 16 4" xfId="19602"/>
    <cellStyle name="Normal 148 16 5" xfId="25995"/>
    <cellStyle name="Normal 148 17" xfId="4737"/>
    <cellStyle name="Normal 148 17 2" xfId="8170"/>
    <cellStyle name="Normal 148 17 2 2" xfId="16651"/>
    <cellStyle name="Normal 148 17 2 3" xfId="23165"/>
    <cellStyle name="Normal 148 17 2 4" xfId="29554"/>
    <cellStyle name="Normal 148 17 3" xfId="13227"/>
    <cellStyle name="Normal 148 17 4" xfId="19758"/>
    <cellStyle name="Normal 148 17 5" xfId="26150"/>
    <cellStyle name="Normal 148 18" xfId="4896"/>
    <cellStyle name="Normal 148 18 2" xfId="8324"/>
    <cellStyle name="Normal 148 18 2 2" xfId="16805"/>
    <cellStyle name="Normal 148 18 2 3" xfId="23319"/>
    <cellStyle name="Normal 148 18 2 4" xfId="29708"/>
    <cellStyle name="Normal 148 18 3" xfId="13385"/>
    <cellStyle name="Normal 148 18 4" xfId="19913"/>
    <cellStyle name="Normal 148 18 5" xfId="26304"/>
    <cellStyle name="Normal 148 19" xfId="5189"/>
    <cellStyle name="Normal 148 19 2" xfId="13671"/>
    <cellStyle name="Normal 148 19 3" xfId="20189"/>
    <cellStyle name="Normal 148 19 4" xfId="26578"/>
    <cellStyle name="Normal 148 2" xfId="1793"/>
    <cellStyle name="Normal 148 2 2" xfId="5391"/>
    <cellStyle name="Normal 148 2 2 2" xfId="13872"/>
    <cellStyle name="Normal 148 2 2 3" xfId="20386"/>
    <cellStyle name="Normal 148 2 2 4" xfId="26775"/>
    <cellStyle name="Normal 148 2 3" xfId="10365"/>
    <cellStyle name="Normal 148 2 4" xfId="17506"/>
    <cellStyle name="Normal 148 2 5" xfId="23924"/>
    <cellStyle name="Normal 148 20" xfId="9783"/>
    <cellStyle name="Normal 148 21" xfId="9954"/>
    <cellStyle name="Normal 148 22" xfId="11013"/>
    <cellStyle name="Normal 148 3" xfId="2127"/>
    <cellStyle name="Normal 148 3 2" xfId="5700"/>
    <cellStyle name="Normal 148 3 2 2" xfId="14181"/>
    <cellStyle name="Normal 148 3 2 3" xfId="20695"/>
    <cellStyle name="Normal 148 3 2 4" xfId="27084"/>
    <cellStyle name="Normal 148 3 3" xfId="10686"/>
    <cellStyle name="Normal 148 3 4" xfId="9387"/>
    <cellStyle name="Normal 148 3 5" xfId="10276"/>
    <cellStyle name="Normal 148 4" xfId="2219"/>
    <cellStyle name="Normal 148 4 2" xfId="5789"/>
    <cellStyle name="Normal 148 4 2 2" xfId="14270"/>
    <cellStyle name="Normal 148 4 2 3" xfId="20784"/>
    <cellStyle name="Normal 148 4 2 4" xfId="27173"/>
    <cellStyle name="Normal 148 4 3" xfId="10775"/>
    <cellStyle name="Normal 148 4 4" xfId="17392"/>
    <cellStyle name="Normal 148 4 5" xfId="23831"/>
    <cellStyle name="Normal 148 5" xfId="2727"/>
    <cellStyle name="Normal 148 5 2" xfId="6228"/>
    <cellStyle name="Normal 148 5 2 2" xfId="14709"/>
    <cellStyle name="Normal 148 5 2 3" xfId="21223"/>
    <cellStyle name="Normal 148 5 2 4" xfId="27612"/>
    <cellStyle name="Normal 148 5 3" xfId="11237"/>
    <cellStyle name="Normal 148 5 4" xfId="17806"/>
    <cellStyle name="Normal 148 5 5" xfId="24208"/>
    <cellStyle name="Normal 148 6" xfId="2901"/>
    <cellStyle name="Normal 148 6 2" xfId="6395"/>
    <cellStyle name="Normal 148 6 2 2" xfId="14876"/>
    <cellStyle name="Normal 148 6 2 3" xfId="21390"/>
    <cellStyle name="Normal 148 6 2 4" xfId="27779"/>
    <cellStyle name="Normal 148 6 3" xfId="11407"/>
    <cellStyle name="Normal 148 6 4" xfId="17973"/>
    <cellStyle name="Normal 148 6 5" xfId="24375"/>
    <cellStyle name="Normal 148 7" xfId="3075"/>
    <cellStyle name="Normal 148 7 2" xfId="6562"/>
    <cellStyle name="Normal 148 7 2 2" xfId="15043"/>
    <cellStyle name="Normal 148 7 2 3" xfId="21557"/>
    <cellStyle name="Normal 148 7 2 4" xfId="27946"/>
    <cellStyle name="Normal 148 7 3" xfId="11577"/>
    <cellStyle name="Normal 148 7 4" xfId="18140"/>
    <cellStyle name="Normal 148 7 5" xfId="24542"/>
    <cellStyle name="Normal 148 8" xfId="3248"/>
    <cellStyle name="Normal 148 8 2" xfId="6729"/>
    <cellStyle name="Normal 148 8 2 2" xfId="15210"/>
    <cellStyle name="Normal 148 8 2 3" xfId="21724"/>
    <cellStyle name="Normal 148 8 2 4" xfId="28113"/>
    <cellStyle name="Normal 148 8 3" xfId="11748"/>
    <cellStyle name="Normal 148 8 4" xfId="18307"/>
    <cellStyle name="Normal 148 8 5" xfId="24709"/>
    <cellStyle name="Normal 148 9" xfId="3419"/>
    <cellStyle name="Normal 148 9 2" xfId="6894"/>
    <cellStyle name="Normal 148 9 2 2" xfId="15375"/>
    <cellStyle name="Normal 148 9 2 3" xfId="21889"/>
    <cellStyle name="Normal 148 9 2 4" xfId="28278"/>
    <cellStyle name="Normal 148 9 3" xfId="11916"/>
    <cellStyle name="Normal 148 9 4" xfId="18472"/>
    <cellStyle name="Normal 148 9 5" xfId="24874"/>
    <cellStyle name="Normal 149" xfId="717"/>
    <cellStyle name="Normal 149 10" xfId="3590"/>
    <cellStyle name="Normal 149 10 2" xfId="7059"/>
    <cellStyle name="Normal 149 10 2 2" xfId="15540"/>
    <cellStyle name="Normal 149 10 2 3" xfId="22054"/>
    <cellStyle name="Normal 149 10 2 4" xfId="28443"/>
    <cellStyle name="Normal 149 10 3" xfId="12085"/>
    <cellStyle name="Normal 149 10 4" xfId="18638"/>
    <cellStyle name="Normal 149 10 5" xfId="25039"/>
    <cellStyle name="Normal 149 11" xfId="3760"/>
    <cellStyle name="Normal 149 11 2" xfId="7223"/>
    <cellStyle name="Normal 149 11 2 2" xfId="15704"/>
    <cellStyle name="Normal 149 11 2 3" xfId="22218"/>
    <cellStyle name="Normal 149 11 2 4" xfId="28607"/>
    <cellStyle name="Normal 149 11 3" xfId="12255"/>
    <cellStyle name="Normal 149 11 4" xfId="18805"/>
    <cellStyle name="Normal 149 11 5" xfId="25203"/>
    <cellStyle name="Normal 149 12" xfId="3928"/>
    <cellStyle name="Normal 149 12 2" xfId="7386"/>
    <cellStyle name="Normal 149 12 2 2" xfId="15867"/>
    <cellStyle name="Normal 149 12 2 3" xfId="22381"/>
    <cellStyle name="Normal 149 12 2 4" xfId="28770"/>
    <cellStyle name="Normal 149 12 3" xfId="12422"/>
    <cellStyle name="Normal 149 12 4" xfId="18969"/>
    <cellStyle name="Normal 149 12 5" xfId="25366"/>
    <cellStyle name="Normal 149 13" xfId="4093"/>
    <cellStyle name="Normal 149 13 2" xfId="7546"/>
    <cellStyle name="Normal 149 13 2 2" xfId="16027"/>
    <cellStyle name="Normal 149 13 2 3" xfId="22541"/>
    <cellStyle name="Normal 149 13 2 4" xfId="28930"/>
    <cellStyle name="Normal 149 13 3" xfId="12586"/>
    <cellStyle name="Normal 149 13 4" xfId="19130"/>
    <cellStyle name="Normal 149 13 5" xfId="25526"/>
    <cellStyle name="Normal 149 14" xfId="4258"/>
    <cellStyle name="Normal 149 14 2" xfId="7706"/>
    <cellStyle name="Normal 149 14 2 2" xfId="16187"/>
    <cellStyle name="Normal 149 14 2 3" xfId="22701"/>
    <cellStyle name="Normal 149 14 2 4" xfId="29090"/>
    <cellStyle name="Normal 149 14 3" xfId="12750"/>
    <cellStyle name="Normal 149 14 4" xfId="19291"/>
    <cellStyle name="Normal 149 14 5" xfId="25686"/>
    <cellStyle name="Normal 149 15" xfId="4418"/>
    <cellStyle name="Normal 149 15 2" xfId="7861"/>
    <cellStyle name="Normal 149 15 2 2" xfId="16342"/>
    <cellStyle name="Normal 149 15 2 3" xfId="22856"/>
    <cellStyle name="Normal 149 15 2 4" xfId="29245"/>
    <cellStyle name="Normal 149 15 3" xfId="12909"/>
    <cellStyle name="Normal 149 15 4" xfId="19447"/>
    <cellStyle name="Normal 149 15 5" xfId="25841"/>
    <cellStyle name="Normal 149 16" xfId="4578"/>
    <cellStyle name="Normal 149 16 2" xfId="8016"/>
    <cellStyle name="Normal 149 16 2 2" xfId="16497"/>
    <cellStyle name="Normal 149 16 2 3" xfId="23011"/>
    <cellStyle name="Normal 149 16 2 4" xfId="29400"/>
    <cellStyle name="Normal 149 16 3" xfId="13069"/>
    <cellStyle name="Normal 149 16 4" xfId="19603"/>
    <cellStyle name="Normal 149 16 5" xfId="25996"/>
    <cellStyle name="Normal 149 17" xfId="4738"/>
    <cellStyle name="Normal 149 17 2" xfId="8171"/>
    <cellStyle name="Normal 149 17 2 2" xfId="16652"/>
    <cellStyle name="Normal 149 17 2 3" xfId="23166"/>
    <cellStyle name="Normal 149 17 2 4" xfId="29555"/>
    <cellStyle name="Normal 149 17 3" xfId="13228"/>
    <cellStyle name="Normal 149 17 4" xfId="19759"/>
    <cellStyle name="Normal 149 17 5" xfId="26151"/>
    <cellStyle name="Normal 149 18" xfId="4897"/>
    <cellStyle name="Normal 149 18 2" xfId="8325"/>
    <cellStyle name="Normal 149 18 2 2" xfId="16806"/>
    <cellStyle name="Normal 149 18 2 3" xfId="23320"/>
    <cellStyle name="Normal 149 18 2 4" xfId="29709"/>
    <cellStyle name="Normal 149 18 3" xfId="13386"/>
    <cellStyle name="Normal 149 18 4" xfId="19914"/>
    <cellStyle name="Normal 149 18 5" xfId="26305"/>
    <cellStyle name="Normal 149 19" xfId="5190"/>
    <cellStyle name="Normal 149 19 2" xfId="13672"/>
    <cellStyle name="Normal 149 19 3" xfId="20190"/>
    <cellStyle name="Normal 149 19 4" xfId="26579"/>
    <cellStyle name="Normal 149 2" xfId="1794"/>
    <cellStyle name="Normal 149 2 2" xfId="5392"/>
    <cellStyle name="Normal 149 2 2 2" xfId="13873"/>
    <cellStyle name="Normal 149 2 2 3" xfId="20387"/>
    <cellStyle name="Normal 149 2 2 4" xfId="26776"/>
    <cellStyle name="Normal 149 2 3" xfId="10366"/>
    <cellStyle name="Normal 149 2 4" xfId="17516"/>
    <cellStyle name="Normal 149 2 5" xfId="23932"/>
    <cellStyle name="Normal 149 20" xfId="9784"/>
    <cellStyle name="Normal 149 21" xfId="9953"/>
    <cellStyle name="Normal 149 22" xfId="10593"/>
    <cellStyle name="Normal 149 3" xfId="2128"/>
    <cellStyle name="Normal 149 3 2" xfId="5701"/>
    <cellStyle name="Normal 149 3 2 2" xfId="14182"/>
    <cellStyle name="Normal 149 3 2 3" xfId="20696"/>
    <cellStyle name="Normal 149 3 2 4" xfId="27085"/>
    <cellStyle name="Normal 149 3 3" xfId="10687"/>
    <cellStyle name="Normal 149 3 4" xfId="9386"/>
    <cellStyle name="Normal 149 3 5" xfId="10277"/>
    <cellStyle name="Normal 149 4" xfId="2218"/>
    <cellStyle name="Normal 149 4 2" xfId="5788"/>
    <cellStyle name="Normal 149 4 2 2" xfId="14269"/>
    <cellStyle name="Normal 149 4 2 3" xfId="20783"/>
    <cellStyle name="Normal 149 4 2 4" xfId="27172"/>
    <cellStyle name="Normal 149 4 3" xfId="10774"/>
    <cellStyle name="Normal 149 4 4" xfId="17381"/>
    <cellStyle name="Normal 149 4 5" xfId="23821"/>
    <cellStyle name="Normal 149 5" xfId="2728"/>
    <cellStyle name="Normal 149 5 2" xfId="6229"/>
    <cellStyle name="Normal 149 5 2 2" xfId="14710"/>
    <cellStyle name="Normal 149 5 2 3" xfId="21224"/>
    <cellStyle name="Normal 149 5 2 4" xfId="27613"/>
    <cellStyle name="Normal 149 5 3" xfId="11238"/>
    <cellStyle name="Normal 149 5 4" xfId="17807"/>
    <cellStyle name="Normal 149 5 5" xfId="24209"/>
    <cellStyle name="Normal 149 6" xfId="2902"/>
    <cellStyle name="Normal 149 6 2" xfId="6396"/>
    <cellStyle name="Normal 149 6 2 2" xfId="14877"/>
    <cellStyle name="Normal 149 6 2 3" xfId="21391"/>
    <cellStyle name="Normal 149 6 2 4" xfId="27780"/>
    <cellStyle name="Normal 149 6 3" xfId="11408"/>
    <cellStyle name="Normal 149 6 4" xfId="17974"/>
    <cellStyle name="Normal 149 6 5" xfId="24376"/>
    <cellStyle name="Normal 149 7" xfId="3076"/>
    <cellStyle name="Normal 149 7 2" xfId="6563"/>
    <cellStyle name="Normal 149 7 2 2" xfId="15044"/>
    <cellStyle name="Normal 149 7 2 3" xfId="21558"/>
    <cellStyle name="Normal 149 7 2 4" xfId="27947"/>
    <cellStyle name="Normal 149 7 3" xfId="11578"/>
    <cellStyle name="Normal 149 7 4" xfId="18141"/>
    <cellStyle name="Normal 149 7 5" xfId="24543"/>
    <cellStyle name="Normal 149 8" xfId="3249"/>
    <cellStyle name="Normal 149 8 2" xfId="6730"/>
    <cellStyle name="Normal 149 8 2 2" xfId="15211"/>
    <cellStyle name="Normal 149 8 2 3" xfId="21725"/>
    <cellStyle name="Normal 149 8 2 4" xfId="28114"/>
    <cellStyle name="Normal 149 8 3" xfId="11749"/>
    <cellStyle name="Normal 149 8 4" xfId="18308"/>
    <cellStyle name="Normal 149 8 5" xfId="24710"/>
    <cellStyle name="Normal 149 9" xfId="3420"/>
    <cellStyle name="Normal 149 9 2" xfId="6895"/>
    <cellStyle name="Normal 149 9 2 2" xfId="15376"/>
    <cellStyle name="Normal 149 9 2 3" xfId="21890"/>
    <cellStyle name="Normal 149 9 2 4" xfId="28279"/>
    <cellStyle name="Normal 149 9 3" xfId="11917"/>
    <cellStyle name="Normal 149 9 4" xfId="18473"/>
    <cellStyle name="Normal 149 9 5" xfId="24875"/>
    <cellStyle name="Normal 15" xfId="718"/>
    <cellStyle name="Normal 15 10" xfId="719"/>
    <cellStyle name="Normal 15 11" xfId="720"/>
    <cellStyle name="Normal 15 12" xfId="721"/>
    <cellStyle name="Normal 15 13" xfId="722"/>
    <cellStyle name="Normal 15 14" xfId="723"/>
    <cellStyle name="Normal 15 15" xfId="724"/>
    <cellStyle name="Normal 15 16" xfId="725"/>
    <cellStyle name="Normal 15 17" xfId="726"/>
    <cellStyle name="Normal 15 18" xfId="727"/>
    <cellStyle name="Normal 15 19" xfId="728"/>
    <cellStyle name="Normal 15 2" xfId="729"/>
    <cellStyle name="Normal 15 20" xfId="730"/>
    <cellStyle name="Normal 15 21" xfId="1795"/>
    <cellStyle name="Normal 15 21 2" xfId="5393"/>
    <cellStyle name="Normal 15 21 2 2" xfId="13874"/>
    <cellStyle name="Normal 15 21 2 3" xfId="20388"/>
    <cellStyle name="Normal 15 21 2 4" xfId="26777"/>
    <cellStyle name="Normal 15 21 3" xfId="10367"/>
    <cellStyle name="Normal 15 21 4" xfId="17530"/>
    <cellStyle name="Normal 15 21 5" xfId="23942"/>
    <cellStyle name="Normal 15 22" xfId="2129"/>
    <cellStyle name="Normal 15 22 2" xfId="5702"/>
    <cellStyle name="Normal 15 22 2 2" xfId="14183"/>
    <cellStyle name="Normal 15 22 2 3" xfId="20697"/>
    <cellStyle name="Normal 15 22 2 4" xfId="27086"/>
    <cellStyle name="Normal 15 22 3" xfId="10688"/>
    <cellStyle name="Normal 15 22 4" xfId="9385"/>
    <cellStyle name="Normal 15 22 5" xfId="10278"/>
    <cellStyle name="Normal 15 23" xfId="2217"/>
    <cellStyle name="Normal 15 23 2" xfId="5787"/>
    <cellStyle name="Normal 15 23 2 2" xfId="14268"/>
    <cellStyle name="Normal 15 23 2 3" xfId="20782"/>
    <cellStyle name="Normal 15 23 2 4" xfId="27171"/>
    <cellStyle name="Normal 15 23 3" xfId="10773"/>
    <cellStyle name="Normal 15 23 4" xfId="17163"/>
    <cellStyle name="Normal 15 23 5" xfId="23639"/>
    <cellStyle name="Normal 15 24" xfId="2729"/>
    <cellStyle name="Normal 15 24 2" xfId="6230"/>
    <cellStyle name="Normal 15 24 2 2" xfId="14711"/>
    <cellStyle name="Normal 15 24 2 3" xfId="21225"/>
    <cellStyle name="Normal 15 24 2 4" xfId="27614"/>
    <cellStyle name="Normal 15 24 3" xfId="11239"/>
    <cellStyle name="Normal 15 24 4" xfId="17808"/>
    <cellStyle name="Normal 15 24 5" xfId="24210"/>
    <cellStyle name="Normal 15 25" xfId="2903"/>
    <cellStyle name="Normal 15 25 2" xfId="6397"/>
    <cellStyle name="Normal 15 25 2 2" xfId="14878"/>
    <cellStyle name="Normal 15 25 2 3" xfId="21392"/>
    <cellStyle name="Normal 15 25 2 4" xfId="27781"/>
    <cellStyle name="Normal 15 25 3" xfId="11409"/>
    <cellStyle name="Normal 15 25 4" xfId="17975"/>
    <cellStyle name="Normal 15 25 5" xfId="24377"/>
    <cellStyle name="Normal 15 26" xfId="3077"/>
    <cellStyle name="Normal 15 26 2" xfId="6564"/>
    <cellStyle name="Normal 15 26 2 2" xfId="15045"/>
    <cellStyle name="Normal 15 26 2 3" xfId="21559"/>
    <cellStyle name="Normal 15 26 2 4" xfId="27948"/>
    <cellStyle name="Normal 15 26 3" xfId="11579"/>
    <cellStyle name="Normal 15 26 4" xfId="18142"/>
    <cellStyle name="Normal 15 26 5" xfId="24544"/>
    <cellStyle name="Normal 15 27" xfId="3250"/>
    <cellStyle name="Normal 15 27 2" xfId="6731"/>
    <cellStyle name="Normal 15 27 2 2" xfId="15212"/>
    <cellStyle name="Normal 15 27 2 3" xfId="21726"/>
    <cellStyle name="Normal 15 27 2 4" xfId="28115"/>
    <cellStyle name="Normal 15 27 3" xfId="11750"/>
    <cellStyle name="Normal 15 27 4" xfId="18309"/>
    <cellStyle name="Normal 15 27 5" xfId="24711"/>
    <cellStyle name="Normal 15 28" xfId="3421"/>
    <cellStyle name="Normal 15 28 2" xfId="6896"/>
    <cellStyle name="Normal 15 28 2 2" xfId="15377"/>
    <cellStyle name="Normal 15 28 2 3" xfId="21891"/>
    <cellStyle name="Normal 15 28 2 4" xfId="28280"/>
    <cellStyle name="Normal 15 28 3" xfId="11918"/>
    <cellStyle name="Normal 15 28 4" xfId="18474"/>
    <cellStyle name="Normal 15 28 5" xfId="24876"/>
    <cellStyle name="Normal 15 29" xfId="3591"/>
    <cellStyle name="Normal 15 29 2" xfId="7060"/>
    <cellStyle name="Normal 15 29 2 2" xfId="15541"/>
    <cellStyle name="Normal 15 29 2 3" xfId="22055"/>
    <cellStyle name="Normal 15 29 2 4" xfId="28444"/>
    <cellStyle name="Normal 15 29 3" xfId="12086"/>
    <cellStyle name="Normal 15 29 4" xfId="18639"/>
    <cellStyle name="Normal 15 29 5" xfId="25040"/>
    <cellStyle name="Normal 15 3" xfId="731"/>
    <cellStyle name="Normal 15 30" xfId="3761"/>
    <cellStyle name="Normal 15 30 2" xfId="7224"/>
    <cellStyle name="Normal 15 30 2 2" xfId="15705"/>
    <cellStyle name="Normal 15 30 2 3" xfId="22219"/>
    <cellStyle name="Normal 15 30 2 4" xfId="28608"/>
    <cellStyle name="Normal 15 30 3" xfId="12256"/>
    <cellStyle name="Normal 15 30 4" xfId="18806"/>
    <cellStyle name="Normal 15 30 5" xfId="25204"/>
    <cellStyle name="Normal 15 31" xfId="3929"/>
    <cellStyle name="Normal 15 31 2" xfId="7387"/>
    <cellStyle name="Normal 15 31 2 2" xfId="15868"/>
    <cellStyle name="Normal 15 31 2 3" xfId="22382"/>
    <cellStyle name="Normal 15 31 2 4" xfId="28771"/>
    <cellStyle name="Normal 15 31 3" xfId="12423"/>
    <cellStyle name="Normal 15 31 4" xfId="18970"/>
    <cellStyle name="Normal 15 31 5" xfId="25367"/>
    <cellStyle name="Normal 15 32" xfId="4094"/>
    <cellStyle name="Normal 15 32 2" xfId="7547"/>
    <cellStyle name="Normal 15 32 2 2" xfId="16028"/>
    <cellStyle name="Normal 15 32 2 3" xfId="22542"/>
    <cellStyle name="Normal 15 32 2 4" xfId="28931"/>
    <cellStyle name="Normal 15 32 3" xfId="12587"/>
    <cellStyle name="Normal 15 32 4" xfId="19131"/>
    <cellStyle name="Normal 15 32 5" xfId="25527"/>
    <cellStyle name="Normal 15 33" xfId="4259"/>
    <cellStyle name="Normal 15 33 2" xfId="7707"/>
    <cellStyle name="Normal 15 33 2 2" xfId="16188"/>
    <cellStyle name="Normal 15 33 2 3" xfId="22702"/>
    <cellStyle name="Normal 15 33 2 4" xfId="29091"/>
    <cellStyle name="Normal 15 33 3" xfId="12751"/>
    <cellStyle name="Normal 15 33 4" xfId="19292"/>
    <cellStyle name="Normal 15 33 5" xfId="25687"/>
    <cellStyle name="Normal 15 34" xfId="4419"/>
    <cellStyle name="Normal 15 34 2" xfId="7862"/>
    <cellStyle name="Normal 15 34 2 2" xfId="16343"/>
    <cellStyle name="Normal 15 34 2 3" xfId="22857"/>
    <cellStyle name="Normal 15 34 2 4" xfId="29246"/>
    <cellStyle name="Normal 15 34 3" xfId="12910"/>
    <cellStyle name="Normal 15 34 4" xfId="19448"/>
    <cellStyle name="Normal 15 34 5" xfId="25842"/>
    <cellStyle name="Normal 15 35" xfId="4579"/>
    <cellStyle name="Normal 15 35 2" xfId="8017"/>
    <cellStyle name="Normal 15 35 2 2" xfId="16498"/>
    <cellStyle name="Normal 15 35 2 3" xfId="23012"/>
    <cellStyle name="Normal 15 35 2 4" xfId="29401"/>
    <cellStyle name="Normal 15 35 3" xfId="13070"/>
    <cellStyle name="Normal 15 35 4" xfId="19604"/>
    <cellStyle name="Normal 15 35 5" xfId="25997"/>
    <cellStyle name="Normal 15 36" xfId="4739"/>
    <cellStyle name="Normal 15 36 2" xfId="8172"/>
    <cellStyle name="Normal 15 36 2 2" xfId="16653"/>
    <cellStyle name="Normal 15 36 2 3" xfId="23167"/>
    <cellStyle name="Normal 15 36 2 4" xfId="29556"/>
    <cellStyle name="Normal 15 36 3" xfId="13229"/>
    <cellStyle name="Normal 15 36 4" xfId="19760"/>
    <cellStyle name="Normal 15 36 5" xfId="26152"/>
    <cellStyle name="Normal 15 37" xfId="4898"/>
    <cellStyle name="Normal 15 37 2" xfId="8326"/>
    <cellStyle name="Normal 15 37 2 2" xfId="16807"/>
    <cellStyle name="Normal 15 37 2 3" xfId="23321"/>
    <cellStyle name="Normal 15 37 2 4" xfId="29710"/>
    <cellStyle name="Normal 15 37 3" xfId="13387"/>
    <cellStyle name="Normal 15 37 4" xfId="19915"/>
    <cellStyle name="Normal 15 37 5" xfId="26306"/>
    <cellStyle name="Normal 15 38" xfId="5191"/>
    <cellStyle name="Normal 15 38 2" xfId="13673"/>
    <cellStyle name="Normal 15 38 3" xfId="20191"/>
    <cellStyle name="Normal 15 38 4" xfId="26580"/>
    <cellStyle name="Normal 15 39" xfId="9785"/>
    <cellStyle name="Normal 15 4" xfId="732"/>
    <cellStyle name="Normal 15 40" xfId="9952"/>
    <cellStyle name="Normal 15 41" xfId="10867"/>
    <cellStyle name="Normal 15 5" xfId="733"/>
    <cellStyle name="Normal 15 6" xfId="734"/>
    <cellStyle name="Normal 15 7" xfId="735"/>
    <cellStyle name="Normal 15 8" xfId="736"/>
    <cellStyle name="Normal 15 9" xfId="737"/>
    <cellStyle name="Normal 150" xfId="738"/>
    <cellStyle name="Normal 150 10" xfId="3592"/>
    <cellStyle name="Normal 150 10 2" xfId="7061"/>
    <cellStyle name="Normal 150 10 2 2" xfId="15542"/>
    <cellStyle name="Normal 150 10 2 3" xfId="22056"/>
    <cellStyle name="Normal 150 10 2 4" xfId="28445"/>
    <cellStyle name="Normal 150 10 3" xfId="12087"/>
    <cellStyle name="Normal 150 10 4" xfId="18640"/>
    <cellStyle name="Normal 150 10 5" xfId="25041"/>
    <cellStyle name="Normal 150 11" xfId="3762"/>
    <cellStyle name="Normal 150 11 2" xfId="7225"/>
    <cellStyle name="Normal 150 11 2 2" xfId="15706"/>
    <cellStyle name="Normal 150 11 2 3" xfId="22220"/>
    <cellStyle name="Normal 150 11 2 4" xfId="28609"/>
    <cellStyle name="Normal 150 11 3" xfId="12257"/>
    <cellStyle name="Normal 150 11 4" xfId="18807"/>
    <cellStyle name="Normal 150 11 5" xfId="25205"/>
    <cellStyle name="Normal 150 12" xfId="3930"/>
    <cellStyle name="Normal 150 12 2" xfId="7388"/>
    <cellStyle name="Normal 150 12 2 2" xfId="15869"/>
    <cellStyle name="Normal 150 12 2 3" xfId="22383"/>
    <cellStyle name="Normal 150 12 2 4" xfId="28772"/>
    <cellStyle name="Normal 150 12 3" xfId="12424"/>
    <cellStyle name="Normal 150 12 4" xfId="18971"/>
    <cellStyle name="Normal 150 12 5" xfId="25368"/>
    <cellStyle name="Normal 150 13" xfId="4095"/>
    <cellStyle name="Normal 150 13 2" xfId="7548"/>
    <cellStyle name="Normal 150 13 2 2" xfId="16029"/>
    <cellStyle name="Normal 150 13 2 3" xfId="22543"/>
    <cellStyle name="Normal 150 13 2 4" xfId="28932"/>
    <cellStyle name="Normal 150 13 3" xfId="12588"/>
    <cellStyle name="Normal 150 13 4" xfId="19132"/>
    <cellStyle name="Normal 150 13 5" xfId="25528"/>
    <cellStyle name="Normal 150 14" xfId="4260"/>
    <cellStyle name="Normal 150 14 2" xfId="7708"/>
    <cellStyle name="Normal 150 14 2 2" xfId="16189"/>
    <cellStyle name="Normal 150 14 2 3" xfId="22703"/>
    <cellStyle name="Normal 150 14 2 4" xfId="29092"/>
    <cellStyle name="Normal 150 14 3" xfId="12752"/>
    <cellStyle name="Normal 150 14 4" xfId="19293"/>
    <cellStyle name="Normal 150 14 5" xfId="25688"/>
    <cellStyle name="Normal 150 15" xfId="4420"/>
    <cellStyle name="Normal 150 15 2" xfId="7863"/>
    <cellStyle name="Normal 150 15 2 2" xfId="16344"/>
    <cellStyle name="Normal 150 15 2 3" xfId="22858"/>
    <cellStyle name="Normal 150 15 2 4" xfId="29247"/>
    <cellStyle name="Normal 150 15 3" xfId="12911"/>
    <cellStyle name="Normal 150 15 4" xfId="19449"/>
    <cellStyle name="Normal 150 15 5" xfId="25843"/>
    <cellStyle name="Normal 150 16" xfId="4580"/>
    <cellStyle name="Normal 150 16 2" xfId="8018"/>
    <cellStyle name="Normal 150 16 2 2" xfId="16499"/>
    <cellStyle name="Normal 150 16 2 3" xfId="23013"/>
    <cellStyle name="Normal 150 16 2 4" xfId="29402"/>
    <cellStyle name="Normal 150 16 3" xfId="13071"/>
    <cellStyle name="Normal 150 16 4" xfId="19605"/>
    <cellStyle name="Normal 150 16 5" xfId="25998"/>
    <cellStyle name="Normal 150 17" xfId="4740"/>
    <cellStyle name="Normal 150 17 2" xfId="8173"/>
    <cellStyle name="Normal 150 17 2 2" xfId="16654"/>
    <cellStyle name="Normal 150 17 2 3" xfId="23168"/>
    <cellStyle name="Normal 150 17 2 4" xfId="29557"/>
    <cellStyle name="Normal 150 17 3" xfId="13230"/>
    <cellStyle name="Normal 150 17 4" xfId="19761"/>
    <cellStyle name="Normal 150 17 5" xfId="26153"/>
    <cellStyle name="Normal 150 18" xfId="4899"/>
    <cellStyle name="Normal 150 18 2" xfId="8327"/>
    <cellStyle name="Normal 150 18 2 2" xfId="16808"/>
    <cellStyle name="Normal 150 18 2 3" xfId="23322"/>
    <cellStyle name="Normal 150 18 2 4" xfId="29711"/>
    <cellStyle name="Normal 150 18 3" xfId="13388"/>
    <cellStyle name="Normal 150 18 4" xfId="19916"/>
    <cellStyle name="Normal 150 18 5" xfId="26307"/>
    <cellStyle name="Normal 150 19" xfId="5192"/>
    <cellStyle name="Normal 150 19 2" xfId="13674"/>
    <cellStyle name="Normal 150 19 3" xfId="20192"/>
    <cellStyle name="Normal 150 19 4" xfId="26581"/>
    <cellStyle name="Normal 150 2" xfId="1796"/>
    <cellStyle name="Normal 150 2 2" xfId="5394"/>
    <cellStyle name="Normal 150 2 2 2" xfId="13875"/>
    <cellStyle name="Normal 150 2 2 3" xfId="20389"/>
    <cellStyle name="Normal 150 2 2 4" xfId="26778"/>
    <cellStyle name="Normal 150 2 3" xfId="10368"/>
    <cellStyle name="Normal 150 2 4" xfId="17542"/>
    <cellStyle name="Normal 150 2 5" xfId="23952"/>
    <cellStyle name="Normal 150 20" xfId="9804"/>
    <cellStyle name="Normal 150 21" xfId="17360"/>
    <cellStyle name="Normal 150 22" xfId="23807"/>
    <cellStyle name="Normal 150 3" xfId="2130"/>
    <cellStyle name="Normal 150 3 2" xfId="5703"/>
    <cellStyle name="Normal 150 3 2 2" xfId="14184"/>
    <cellStyle name="Normal 150 3 2 3" xfId="20698"/>
    <cellStyle name="Normal 150 3 2 4" xfId="27087"/>
    <cellStyle name="Normal 150 3 3" xfId="10689"/>
    <cellStyle name="Normal 150 3 4" xfId="9384"/>
    <cellStyle name="Normal 150 3 5" xfId="17028"/>
    <cellStyle name="Normal 150 4" xfId="2216"/>
    <cellStyle name="Normal 150 4 2" xfId="5786"/>
    <cellStyle name="Normal 150 4 2 2" xfId="14267"/>
    <cellStyle name="Normal 150 4 2 3" xfId="20781"/>
    <cellStyle name="Normal 150 4 2 4" xfId="27170"/>
    <cellStyle name="Normal 150 4 3" xfId="10772"/>
    <cellStyle name="Normal 150 4 4" xfId="17162"/>
    <cellStyle name="Normal 150 4 5" xfId="23638"/>
    <cellStyle name="Normal 150 5" xfId="2730"/>
    <cellStyle name="Normal 150 5 2" xfId="6231"/>
    <cellStyle name="Normal 150 5 2 2" xfId="14712"/>
    <cellStyle name="Normal 150 5 2 3" xfId="21226"/>
    <cellStyle name="Normal 150 5 2 4" xfId="27615"/>
    <cellStyle name="Normal 150 5 3" xfId="11240"/>
    <cellStyle name="Normal 150 5 4" xfId="17809"/>
    <cellStyle name="Normal 150 5 5" xfId="24211"/>
    <cellStyle name="Normal 150 6" xfId="2904"/>
    <cellStyle name="Normal 150 6 2" xfId="6398"/>
    <cellStyle name="Normal 150 6 2 2" xfId="14879"/>
    <cellStyle name="Normal 150 6 2 3" xfId="21393"/>
    <cellStyle name="Normal 150 6 2 4" xfId="27782"/>
    <cellStyle name="Normal 150 6 3" xfId="11410"/>
    <cellStyle name="Normal 150 6 4" xfId="17976"/>
    <cellStyle name="Normal 150 6 5" xfId="24378"/>
    <cellStyle name="Normal 150 7" xfId="3078"/>
    <cellStyle name="Normal 150 7 2" xfId="6565"/>
    <cellStyle name="Normal 150 7 2 2" xfId="15046"/>
    <cellStyle name="Normal 150 7 2 3" xfId="21560"/>
    <cellStyle name="Normal 150 7 2 4" xfId="27949"/>
    <cellStyle name="Normal 150 7 3" xfId="11580"/>
    <cellStyle name="Normal 150 7 4" xfId="18143"/>
    <cellStyle name="Normal 150 7 5" xfId="24545"/>
    <cellStyle name="Normal 150 8" xfId="3251"/>
    <cellStyle name="Normal 150 8 2" xfId="6732"/>
    <cellStyle name="Normal 150 8 2 2" xfId="15213"/>
    <cellStyle name="Normal 150 8 2 3" xfId="21727"/>
    <cellStyle name="Normal 150 8 2 4" xfId="28116"/>
    <cellStyle name="Normal 150 8 3" xfId="11751"/>
    <cellStyle name="Normal 150 8 4" xfId="18310"/>
    <cellStyle name="Normal 150 8 5" xfId="24712"/>
    <cellStyle name="Normal 150 9" xfId="3422"/>
    <cellStyle name="Normal 150 9 2" xfId="6897"/>
    <cellStyle name="Normal 150 9 2 2" xfId="15378"/>
    <cellStyle name="Normal 150 9 2 3" xfId="21892"/>
    <cellStyle name="Normal 150 9 2 4" xfId="28281"/>
    <cellStyle name="Normal 150 9 3" xfId="11919"/>
    <cellStyle name="Normal 150 9 4" xfId="18475"/>
    <cellStyle name="Normal 150 9 5" xfId="24877"/>
    <cellStyle name="Normal 151" xfId="739"/>
    <cellStyle name="Normal 151 10" xfId="3594"/>
    <cellStyle name="Normal 151 10 2" xfId="7063"/>
    <cellStyle name="Normal 151 10 2 2" xfId="15544"/>
    <cellStyle name="Normal 151 10 2 3" xfId="22058"/>
    <cellStyle name="Normal 151 10 2 4" xfId="28447"/>
    <cellStyle name="Normal 151 10 3" xfId="12089"/>
    <cellStyle name="Normal 151 10 4" xfId="18642"/>
    <cellStyle name="Normal 151 10 5" xfId="25043"/>
    <cellStyle name="Normal 151 11" xfId="3764"/>
    <cellStyle name="Normal 151 11 2" xfId="7227"/>
    <cellStyle name="Normal 151 11 2 2" xfId="15708"/>
    <cellStyle name="Normal 151 11 2 3" xfId="22222"/>
    <cellStyle name="Normal 151 11 2 4" xfId="28611"/>
    <cellStyle name="Normal 151 11 3" xfId="12259"/>
    <cellStyle name="Normal 151 11 4" xfId="18809"/>
    <cellStyle name="Normal 151 11 5" xfId="25207"/>
    <cellStyle name="Normal 151 12" xfId="3932"/>
    <cellStyle name="Normal 151 12 2" xfId="7390"/>
    <cellStyle name="Normal 151 12 2 2" xfId="15871"/>
    <cellStyle name="Normal 151 12 2 3" xfId="22385"/>
    <cellStyle name="Normal 151 12 2 4" xfId="28774"/>
    <cellStyle name="Normal 151 12 3" xfId="12426"/>
    <cellStyle name="Normal 151 12 4" xfId="18973"/>
    <cellStyle name="Normal 151 12 5" xfId="25370"/>
    <cellStyle name="Normal 151 13" xfId="4097"/>
    <cellStyle name="Normal 151 13 2" xfId="7550"/>
    <cellStyle name="Normal 151 13 2 2" xfId="16031"/>
    <cellStyle name="Normal 151 13 2 3" xfId="22545"/>
    <cellStyle name="Normal 151 13 2 4" xfId="28934"/>
    <cellStyle name="Normal 151 13 3" xfId="12590"/>
    <cellStyle name="Normal 151 13 4" xfId="19134"/>
    <cellStyle name="Normal 151 13 5" xfId="25530"/>
    <cellStyle name="Normal 151 14" xfId="4262"/>
    <cellStyle name="Normal 151 14 2" xfId="7710"/>
    <cellStyle name="Normal 151 14 2 2" xfId="16191"/>
    <cellStyle name="Normal 151 14 2 3" xfId="22705"/>
    <cellStyle name="Normal 151 14 2 4" xfId="29094"/>
    <cellStyle name="Normal 151 14 3" xfId="12754"/>
    <cellStyle name="Normal 151 14 4" xfId="19295"/>
    <cellStyle name="Normal 151 14 5" xfId="25690"/>
    <cellStyle name="Normal 151 15" xfId="4422"/>
    <cellStyle name="Normal 151 15 2" xfId="7865"/>
    <cellStyle name="Normal 151 15 2 2" xfId="16346"/>
    <cellStyle name="Normal 151 15 2 3" xfId="22860"/>
    <cellStyle name="Normal 151 15 2 4" xfId="29249"/>
    <cellStyle name="Normal 151 15 3" xfId="12913"/>
    <cellStyle name="Normal 151 15 4" xfId="19451"/>
    <cellStyle name="Normal 151 15 5" xfId="25845"/>
    <cellStyle name="Normal 151 16" xfId="4582"/>
    <cellStyle name="Normal 151 16 2" xfId="8020"/>
    <cellStyle name="Normal 151 16 2 2" xfId="16501"/>
    <cellStyle name="Normal 151 16 2 3" xfId="23015"/>
    <cellStyle name="Normal 151 16 2 4" xfId="29404"/>
    <cellStyle name="Normal 151 16 3" xfId="13073"/>
    <cellStyle name="Normal 151 16 4" xfId="19607"/>
    <cellStyle name="Normal 151 16 5" xfId="26000"/>
    <cellStyle name="Normal 151 17" xfId="4742"/>
    <cellStyle name="Normal 151 17 2" xfId="8175"/>
    <cellStyle name="Normal 151 17 2 2" xfId="16656"/>
    <cellStyle name="Normal 151 17 2 3" xfId="23170"/>
    <cellStyle name="Normal 151 17 2 4" xfId="29559"/>
    <cellStyle name="Normal 151 17 3" xfId="13232"/>
    <cellStyle name="Normal 151 17 4" xfId="19763"/>
    <cellStyle name="Normal 151 17 5" xfId="26155"/>
    <cellStyle name="Normal 151 18" xfId="4901"/>
    <cellStyle name="Normal 151 18 2" xfId="8329"/>
    <cellStyle name="Normal 151 18 2 2" xfId="16810"/>
    <cellStyle name="Normal 151 18 2 3" xfId="23324"/>
    <cellStyle name="Normal 151 18 2 4" xfId="29713"/>
    <cellStyle name="Normal 151 18 3" xfId="13390"/>
    <cellStyle name="Normal 151 18 4" xfId="19918"/>
    <cellStyle name="Normal 151 18 5" xfId="26309"/>
    <cellStyle name="Normal 151 19" xfId="5193"/>
    <cellStyle name="Normal 151 19 2" xfId="13675"/>
    <cellStyle name="Normal 151 19 3" xfId="20193"/>
    <cellStyle name="Normal 151 19 4" xfId="26582"/>
    <cellStyle name="Normal 151 2" xfId="1797"/>
    <cellStyle name="Normal 151 2 2" xfId="5395"/>
    <cellStyle name="Normal 151 2 2 2" xfId="13876"/>
    <cellStyle name="Normal 151 2 2 3" xfId="20390"/>
    <cellStyle name="Normal 151 2 2 4" xfId="26779"/>
    <cellStyle name="Normal 151 2 3" xfId="10369"/>
    <cellStyle name="Normal 151 2 4" xfId="17306"/>
    <cellStyle name="Normal 151 2 5" xfId="23778"/>
    <cellStyle name="Normal 151 20" xfId="9805"/>
    <cellStyle name="Normal 151 21" xfId="17349"/>
    <cellStyle name="Normal 151 22" xfId="23804"/>
    <cellStyle name="Normal 151 3" xfId="2131"/>
    <cellStyle name="Normal 151 3 2" xfId="5704"/>
    <cellStyle name="Normal 151 3 2 2" xfId="14185"/>
    <cellStyle name="Normal 151 3 2 3" xfId="20699"/>
    <cellStyle name="Normal 151 3 2 4" xfId="27088"/>
    <cellStyle name="Normal 151 3 3" xfId="10690"/>
    <cellStyle name="Normal 151 3 4" xfId="9383"/>
    <cellStyle name="Normal 151 3 5" xfId="10279"/>
    <cellStyle name="Normal 151 4" xfId="2214"/>
    <cellStyle name="Normal 151 4 2" xfId="5784"/>
    <cellStyle name="Normal 151 4 2 2" xfId="14265"/>
    <cellStyle name="Normal 151 4 2 3" xfId="20779"/>
    <cellStyle name="Normal 151 4 2 4" xfId="27168"/>
    <cellStyle name="Normal 151 4 3" xfId="10770"/>
    <cellStyle name="Normal 151 4 4" xfId="17161"/>
    <cellStyle name="Normal 151 4 5" xfId="23637"/>
    <cellStyle name="Normal 151 5" xfId="2732"/>
    <cellStyle name="Normal 151 5 2" xfId="6233"/>
    <cellStyle name="Normal 151 5 2 2" xfId="14714"/>
    <cellStyle name="Normal 151 5 2 3" xfId="21228"/>
    <cellStyle name="Normal 151 5 2 4" xfId="27617"/>
    <cellStyle name="Normal 151 5 3" xfId="11242"/>
    <cellStyle name="Normal 151 5 4" xfId="17811"/>
    <cellStyle name="Normal 151 5 5" xfId="24213"/>
    <cellStyle name="Normal 151 6" xfId="2906"/>
    <cellStyle name="Normal 151 6 2" xfId="6400"/>
    <cellStyle name="Normal 151 6 2 2" xfId="14881"/>
    <cellStyle name="Normal 151 6 2 3" xfId="21395"/>
    <cellStyle name="Normal 151 6 2 4" xfId="27784"/>
    <cellStyle name="Normal 151 6 3" xfId="11412"/>
    <cellStyle name="Normal 151 6 4" xfId="17978"/>
    <cellStyle name="Normal 151 6 5" xfId="24380"/>
    <cellStyle name="Normal 151 7" xfId="3080"/>
    <cellStyle name="Normal 151 7 2" xfId="6567"/>
    <cellStyle name="Normal 151 7 2 2" xfId="15048"/>
    <cellStyle name="Normal 151 7 2 3" xfId="21562"/>
    <cellStyle name="Normal 151 7 2 4" xfId="27951"/>
    <cellStyle name="Normal 151 7 3" xfId="11582"/>
    <cellStyle name="Normal 151 7 4" xfId="18145"/>
    <cellStyle name="Normal 151 7 5" xfId="24547"/>
    <cellStyle name="Normal 151 8" xfId="3253"/>
    <cellStyle name="Normal 151 8 2" xfId="6734"/>
    <cellStyle name="Normal 151 8 2 2" xfId="15215"/>
    <cellStyle name="Normal 151 8 2 3" xfId="21729"/>
    <cellStyle name="Normal 151 8 2 4" xfId="28118"/>
    <cellStyle name="Normal 151 8 3" xfId="11753"/>
    <cellStyle name="Normal 151 8 4" xfId="18312"/>
    <cellStyle name="Normal 151 8 5" xfId="24714"/>
    <cellStyle name="Normal 151 9" xfId="3424"/>
    <cellStyle name="Normal 151 9 2" xfId="6899"/>
    <cellStyle name="Normal 151 9 2 2" xfId="15380"/>
    <cellStyle name="Normal 151 9 2 3" xfId="21894"/>
    <cellStyle name="Normal 151 9 2 4" xfId="28283"/>
    <cellStyle name="Normal 151 9 3" xfId="11921"/>
    <cellStyle name="Normal 151 9 4" xfId="18477"/>
    <cellStyle name="Normal 151 9 5" xfId="24879"/>
    <cellStyle name="Normal 152" xfId="740"/>
    <cellStyle name="Normal 152 10" xfId="3828"/>
    <cellStyle name="Normal 152 10 2" xfId="7289"/>
    <cellStyle name="Normal 152 10 2 2" xfId="15770"/>
    <cellStyle name="Normal 152 10 2 3" xfId="22284"/>
    <cellStyle name="Normal 152 10 2 4" xfId="28673"/>
    <cellStyle name="Normal 152 10 3" xfId="12322"/>
    <cellStyle name="Normal 152 10 4" xfId="18872"/>
    <cellStyle name="Normal 152 10 5" xfId="25269"/>
    <cellStyle name="Normal 152 11" xfId="3995"/>
    <cellStyle name="Normal 152 11 2" xfId="7451"/>
    <cellStyle name="Normal 152 11 2 2" xfId="15932"/>
    <cellStyle name="Normal 152 11 2 3" xfId="22446"/>
    <cellStyle name="Normal 152 11 2 4" xfId="28835"/>
    <cellStyle name="Normal 152 11 3" xfId="12488"/>
    <cellStyle name="Normal 152 11 4" xfId="19035"/>
    <cellStyle name="Normal 152 11 5" xfId="25431"/>
    <cellStyle name="Normal 152 12" xfId="4160"/>
    <cellStyle name="Normal 152 12 2" xfId="7611"/>
    <cellStyle name="Normal 152 12 2 2" xfId="16092"/>
    <cellStyle name="Normal 152 12 2 3" xfId="22606"/>
    <cellStyle name="Normal 152 12 2 4" xfId="28995"/>
    <cellStyle name="Normal 152 12 3" xfId="12652"/>
    <cellStyle name="Normal 152 12 4" xfId="19196"/>
    <cellStyle name="Normal 152 12 5" xfId="25591"/>
    <cellStyle name="Normal 152 13" xfId="4322"/>
    <cellStyle name="Normal 152 13 2" xfId="7768"/>
    <cellStyle name="Normal 152 13 2 2" xfId="16249"/>
    <cellStyle name="Normal 152 13 2 3" xfId="22763"/>
    <cellStyle name="Normal 152 13 2 4" xfId="29152"/>
    <cellStyle name="Normal 152 13 3" xfId="12813"/>
    <cellStyle name="Normal 152 13 4" xfId="19354"/>
    <cellStyle name="Normal 152 13 5" xfId="25748"/>
    <cellStyle name="Normal 152 14" xfId="4482"/>
    <cellStyle name="Normal 152 14 2" xfId="7923"/>
    <cellStyle name="Normal 152 14 2 2" xfId="16404"/>
    <cellStyle name="Normal 152 14 2 3" xfId="22918"/>
    <cellStyle name="Normal 152 14 2 4" xfId="29307"/>
    <cellStyle name="Normal 152 14 3" xfId="12973"/>
    <cellStyle name="Normal 152 14 4" xfId="19510"/>
    <cellStyle name="Normal 152 14 5" xfId="25903"/>
    <cellStyle name="Normal 152 15" xfId="4642"/>
    <cellStyle name="Normal 152 15 2" xfId="8078"/>
    <cellStyle name="Normal 152 15 2 2" xfId="16559"/>
    <cellStyle name="Normal 152 15 2 3" xfId="23073"/>
    <cellStyle name="Normal 152 15 2 4" xfId="29462"/>
    <cellStyle name="Normal 152 15 3" xfId="13132"/>
    <cellStyle name="Normal 152 15 4" xfId="19666"/>
    <cellStyle name="Normal 152 15 5" xfId="26058"/>
    <cellStyle name="Normal 152 16" xfId="4801"/>
    <cellStyle name="Normal 152 16 2" xfId="8232"/>
    <cellStyle name="Normal 152 16 2 2" xfId="16713"/>
    <cellStyle name="Normal 152 16 2 3" xfId="23227"/>
    <cellStyle name="Normal 152 16 2 4" xfId="29616"/>
    <cellStyle name="Normal 152 16 3" xfId="13290"/>
    <cellStyle name="Normal 152 16 4" xfId="19821"/>
    <cellStyle name="Normal 152 16 5" xfId="26212"/>
    <cellStyle name="Normal 152 17" xfId="4959"/>
    <cellStyle name="Normal 152 17 2" xfId="8385"/>
    <cellStyle name="Normal 152 17 2 2" xfId="16866"/>
    <cellStyle name="Normal 152 17 2 3" xfId="23380"/>
    <cellStyle name="Normal 152 17 2 4" xfId="29769"/>
    <cellStyle name="Normal 152 17 3" xfId="13447"/>
    <cellStyle name="Normal 152 17 4" xfId="19975"/>
    <cellStyle name="Normal 152 17 5" xfId="26365"/>
    <cellStyle name="Normal 152 18" xfId="5088"/>
    <cellStyle name="Normal 152 18 2" xfId="8509"/>
    <cellStyle name="Normal 152 18 2 2" xfId="16990"/>
    <cellStyle name="Normal 152 18 2 3" xfId="23504"/>
    <cellStyle name="Normal 152 18 2 4" xfId="29893"/>
    <cellStyle name="Normal 152 18 3" xfId="13574"/>
    <cellStyle name="Normal 152 18 4" xfId="20099"/>
    <cellStyle name="Normal 152 18 5" xfId="26489"/>
    <cellStyle name="Normal 152 19" xfId="5194"/>
    <cellStyle name="Normal 152 19 2" xfId="13676"/>
    <cellStyle name="Normal 152 19 3" xfId="20194"/>
    <cellStyle name="Normal 152 19 4" xfId="26583"/>
    <cellStyle name="Normal 152 2" xfId="1798"/>
    <cellStyle name="Normal 152 2 2" xfId="5396"/>
    <cellStyle name="Normal 152 2 2 2" xfId="13877"/>
    <cellStyle name="Normal 152 2 2 3" xfId="20391"/>
    <cellStyle name="Normal 152 2 2 4" xfId="26780"/>
    <cellStyle name="Normal 152 2 3" xfId="10370"/>
    <cellStyle name="Normal 152 2 4" xfId="17373"/>
    <cellStyle name="Normal 152 2 5" xfId="23814"/>
    <cellStyle name="Normal 152 20" xfId="9806"/>
    <cellStyle name="Normal 152 21" xfId="9943"/>
    <cellStyle name="Normal 152 22" xfId="17316"/>
    <cellStyle name="Normal 152 3" xfId="2132"/>
    <cellStyle name="Normal 152 3 2" xfId="5705"/>
    <cellStyle name="Normal 152 3 2 2" xfId="14186"/>
    <cellStyle name="Normal 152 3 2 3" xfId="20700"/>
    <cellStyle name="Normal 152 3 2 4" xfId="27089"/>
    <cellStyle name="Normal 152 3 3" xfId="10691"/>
    <cellStyle name="Normal 152 3 4" xfId="9382"/>
    <cellStyle name="Normal 152 3 5" xfId="10280"/>
    <cellStyle name="Normal 152 4" xfId="2798"/>
    <cellStyle name="Normal 152 4 2" xfId="6296"/>
    <cellStyle name="Normal 152 4 2 2" xfId="14777"/>
    <cellStyle name="Normal 152 4 2 3" xfId="21291"/>
    <cellStyle name="Normal 152 4 2 4" xfId="27680"/>
    <cellStyle name="Normal 152 4 3" xfId="11305"/>
    <cellStyle name="Normal 152 4 4" xfId="17874"/>
    <cellStyle name="Normal 152 4 5" xfId="24276"/>
    <cellStyle name="Normal 152 5" xfId="2972"/>
    <cellStyle name="Normal 152 5 2" xfId="6463"/>
    <cellStyle name="Normal 152 5 2 2" xfId="14944"/>
    <cellStyle name="Normal 152 5 2 3" xfId="21458"/>
    <cellStyle name="Normal 152 5 2 4" xfId="27847"/>
    <cellStyle name="Normal 152 5 3" xfId="11475"/>
    <cellStyle name="Normal 152 5 4" xfId="18041"/>
    <cellStyle name="Normal 152 5 5" xfId="24443"/>
    <cellStyle name="Normal 152 6" xfId="3145"/>
    <cellStyle name="Normal 152 6 2" xfId="6630"/>
    <cellStyle name="Normal 152 6 2 2" xfId="15111"/>
    <cellStyle name="Normal 152 6 2 3" xfId="21625"/>
    <cellStyle name="Normal 152 6 2 4" xfId="28014"/>
    <cellStyle name="Normal 152 6 3" xfId="11646"/>
    <cellStyle name="Normal 152 6 4" xfId="18208"/>
    <cellStyle name="Normal 152 6 5" xfId="24610"/>
    <cellStyle name="Normal 152 7" xfId="3318"/>
    <cellStyle name="Normal 152 7 2" xfId="6797"/>
    <cellStyle name="Normal 152 7 2 2" xfId="15278"/>
    <cellStyle name="Normal 152 7 2 3" xfId="21792"/>
    <cellStyle name="Normal 152 7 2 4" xfId="28181"/>
    <cellStyle name="Normal 152 7 3" xfId="11816"/>
    <cellStyle name="Normal 152 7 4" xfId="18375"/>
    <cellStyle name="Normal 152 7 5" xfId="24777"/>
    <cellStyle name="Normal 152 8" xfId="3489"/>
    <cellStyle name="Normal 152 8 2" xfId="6962"/>
    <cellStyle name="Normal 152 8 2 2" xfId="15443"/>
    <cellStyle name="Normal 152 8 2 3" xfId="21957"/>
    <cellStyle name="Normal 152 8 2 4" xfId="28346"/>
    <cellStyle name="Normal 152 8 3" xfId="11985"/>
    <cellStyle name="Normal 152 8 4" xfId="18541"/>
    <cellStyle name="Normal 152 8 5" xfId="24942"/>
    <cellStyle name="Normal 152 9" xfId="3659"/>
    <cellStyle name="Normal 152 9 2" xfId="7126"/>
    <cellStyle name="Normal 152 9 2 2" xfId="15607"/>
    <cellStyle name="Normal 152 9 2 3" xfId="22121"/>
    <cellStyle name="Normal 152 9 2 4" xfId="28510"/>
    <cellStyle name="Normal 152 9 3" xfId="12154"/>
    <cellStyle name="Normal 152 9 4" xfId="18707"/>
    <cellStyle name="Normal 152 9 5" xfId="25106"/>
    <cellStyle name="Normal 153" xfId="741"/>
    <cellStyle name="Normal 153 10" xfId="3827"/>
    <cellStyle name="Normal 153 10 2" xfId="7288"/>
    <cellStyle name="Normal 153 10 2 2" xfId="15769"/>
    <cellStyle name="Normal 153 10 2 3" xfId="22283"/>
    <cellStyle name="Normal 153 10 2 4" xfId="28672"/>
    <cellStyle name="Normal 153 10 3" xfId="12321"/>
    <cellStyle name="Normal 153 10 4" xfId="18871"/>
    <cellStyle name="Normal 153 10 5" xfId="25268"/>
    <cellStyle name="Normal 153 11" xfId="3994"/>
    <cellStyle name="Normal 153 11 2" xfId="7450"/>
    <cellStyle name="Normal 153 11 2 2" xfId="15931"/>
    <cellStyle name="Normal 153 11 2 3" xfId="22445"/>
    <cellStyle name="Normal 153 11 2 4" xfId="28834"/>
    <cellStyle name="Normal 153 11 3" xfId="12487"/>
    <cellStyle name="Normal 153 11 4" xfId="19034"/>
    <cellStyle name="Normal 153 11 5" xfId="25430"/>
    <cellStyle name="Normal 153 12" xfId="4159"/>
    <cellStyle name="Normal 153 12 2" xfId="7610"/>
    <cellStyle name="Normal 153 12 2 2" xfId="16091"/>
    <cellStyle name="Normal 153 12 2 3" xfId="22605"/>
    <cellStyle name="Normal 153 12 2 4" xfId="28994"/>
    <cellStyle name="Normal 153 12 3" xfId="12651"/>
    <cellStyle name="Normal 153 12 4" xfId="19195"/>
    <cellStyle name="Normal 153 12 5" xfId="25590"/>
    <cellStyle name="Normal 153 13" xfId="4321"/>
    <cellStyle name="Normal 153 13 2" xfId="7767"/>
    <cellStyle name="Normal 153 13 2 2" xfId="16248"/>
    <cellStyle name="Normal 153 13 2 3" xfId="22762"/>
    <cellStyle name="Normal 153 13 2 4" xfId="29151"/>
    <cellStyle name="Normal 153 13 3" xfId="12812"/>
    <cellStyle name="Normal 153 13 4" xfId="19353"/>
    <cellStyle name="Normal 153 13 5" xfId="25747"/>
    <cellStyle name="Normal 153 14" xfId="4481"/>
    <cellStyle name="Normal 153 14 2" xfId="7922"/>
    <cellStyle name="Normal 153 14 2 2" xfId="16403"/>
    <cellStyle name="Normal 153 14 2 3" xfId="22917"/>
    <cellStyle name="Normal 153 14 2 4" xfId="29306"/>
    <cellStyle name="Normal 153 14 3" xfId="12972"/>
    <cellStyle name="Normal 153 14 4" xfId="19509"/>
    <cellStyle name="Normal 153 14 5" xfId="25902"/>
    <cellStyle name="Normal 153 15" xfId="4641"/>
    <cellStyle name="Normal 153 15 2" xfId="8077"/>
    <cellStyle name="Normal 153 15 2 2" xfId="16558"/>
    <cellStyle name="Normal 153 15 2 3" xfId="23072"/>
    <cellStyle name="Normal 153 15 2 4" xfId="29461"/>
    <cellStyle name="Normal 153 15 3" xfId="13131"/>
    <cellStyle name="Normal 153 15 4" xfId="19665"/>
    <cellStyle name="Normal 153 15 5" xfId="26057"/>
    <cellStyle name="Normal 153 16" xfId="4800"/>
    <cellStyle name="Normal 153 16 2" xfId="8231"/>
    <cellStyle name="Normal 153 16 2 2" xfId="16712"/>
    <cellStyle name="Normal 153 16 2 3" xfId="23226"/>
    <cellStyle name="Normal 153 16 2 4" xfId="29615"/>
    <cellStyle name="Normal 153 16 3" xfId="13289"/>
    <cellStyle name="Normal 153 16 4" xfId="19820"/>
    <cellStyle name="Normal 153 16 5" xfId="26211"/>
    <cellStyle name="Normal 153 17" xfId="4958"/>
    <cellStyle name="Normal 153 17 2" xfId="8384"/>
    <cellStyle name="Normal 153 17 2 2" xfId="16865"/>
    <cellStyle name="Normal 153 17 2 3" xfId="23379"/>
    <cellStyle name="Normal 153 17 2 4" xfId="29768"/>
    <cellStyle name="Normal 153 17 3" xfId="13446"/>
    <cellStyle name="Normal 153 17 4" xfId="19974"/>
    <cellStyle name="Normal 153 17 5" xfId="26364"/>
    <cellStyle name="Normal 153 18" xfId="5087"/>
    <cellStyle name="Normal 153 18 2" xfId="8508"/>
    <cellStyle name="Normal 153 18 2 2" xfId="16989"/>
    <cellStyle name="Normal 153 18 2 3" xfId="23503"/>
    <cellStyle name="Normal 153 18 2 4" xfId="29892"/>
    <cellStyle name="Normal 153 18 3" xfId="13573"/>
    <cellStyle name="Normal 153 18 4" xfId="20098"/>
    <cellStyle name="Normal 153 18 5" xfId="26488"/>
    <cellStyle name="Normal 153 19" xfId="5195"/>
    <cellStyle name="Normal 153 19 2" xfId="13677"/>
    <cellStyle name="Normal 153 19 3" xfId="20195"/>
    <cellStyle name="Normal 153 19 4" xfId="26584"/>
    <cellStyle name="Normal 153 2" xfId="1799"/>
    <cellStyle name="Normal 153 2 2" xfId="5397"/>
    <cellStyle name="Normal 153 2 2 2" xfId="13878"/>
    <cellStyle name="Normal 153 2 2 3" xfId="20392"/>
    <cellStyle name="Normal 153 2 2 4" xfId="26781"/>
    <cellStyle name="Normal 153 2 3" xfId="10371"/>
    <cellStyle name="Normal 153 2 4" xfId="9627"/>
    <cellStyle name="Normal 153 2 5" xfId="10120"/>
    <cellStyle name="Normal 153 20" xfId="9807"/>
    <cellStyle name="Normal 153 21" xfId="17379"/>
    <cellStyle name="Normal 153 22" xfId="23819"/>
    <cellStyle name="Normal 153 3" xfId="2133"/>
    <cellStyle name="Normal 153 3 2" xfId="5706"/>
    <cellStyle name="Normal 153 3 2 2" xfId="14187"/>
    <cellStyle name="Normal 153 3 2 3" xfId="20701"/>
    <cellStyle name="Normal 153 3 2 4" xfId="27090"/>
    <cellStyle name="Normal 153 3 3" xfId="10692"/>
    <cellStyle name="Normal 153 3 4" xfId="9381"/>
    <cellStyle name="Normal 153 3 5" xfId="10281"/>
    <cellStyle name="Normal 153 4" xfId="2797"/>
    <cellStyle name="Normal 153 4 2" xfId="6295"/>
    <cellStyle name="Normal 153 4 2 2" xfId="14776"/>
    <cellStyle name="Normal 153 4 2 3" xfId="21290"/>
    <cellStyle name="Normal 153 4 2 4" xfId="27679"/>
    <cellStyle name="Normal 153 4 3" xfId="11304"/>
    <cellStyle name="Normal 153 4 4" xfId="17873"/>
    <cellStyle name="Normal 153 4 5" xfId="24275"/>
    <cellStyle name="Normal 153 5" xfId="2971"/>
    <cellStyle name="Normal 153 5 2" xfId="6462"/>
    <cellStyle name="Normal 153 5 2 2" xfId="14943"/>
    <cellStyle name="Normal 153 5 2 3" xfId="21457"/>
    <cellStyle name="Normal 153 5 2 4" xfId="27846"/>
    <cellStyle name="Normal 153 5 3" xfId="11474"/>
    <cellStyle name="Normal 153 5 4" xfId="18040"/>
    <cellStyle name="Normal 153 5 5" xfId="24442"/>
    <cellStyle name="Normal 153 6" xfId="3144"/>
    <cellStyle name="Normal 153 6 2" xfId="6629"/>
    <cellStyle name="Normal 153 6 2 2" xfId="15110"/>
    <cellStyle name="Normal 153 6 2 3" xfId="21624"/>
    <cellStyle name="Normal 153 6 2 4" xfId="28013"/>
    <cellStyle name="Normal 153 6 3" xfId="11645"/>
    <cellStyle name="Normal 153 6 4" xfId="18207"/>
    <cellStyle name="Normal 153 6 5" xfId="24609"/>
    <cellStyle name="Normal 153 7" xfId="3317"/>
    <cellStyle name="Normal 153 7 2" xfId="6796"/>
    <cellStyle name="Normal 153 7 2 2" xfId="15277"/>
    <cellStyle name="Normal 153 7 2 3" xfId="21791"/>
    <cellStyle name="Normal 153 7 2 4" xfId="28180"/>
    <cellStyle name="Normal 153 7 3" xfId="11815"/>
    <cellStyle name="Normal 153 7 4" xfId="18374"/>
    <cellStyle name="Normal 153 7 5" xfId="24776"/>
    <cellStyle name="Normal 153 8" xfId="3488"/>
    <cellStyle name="Normal 153 8 2" xfId="6961"/>
    <cellStyle name="Normal 153 8 2 2" xfId="15442"/>
    <cellStyle name="Normal 153 8 2 3" xfId="21956"/>
    <cellStyle name="Normal 153 8 2 4" xfId="28345"/>
    <cellStyle name="Normal 153 8 3" xfId="11984"/>
    <cellStyle name="Normal 153 8 4" xfId="18540"/>
    <cellStyle name="Normal 153 8 5" xfId="24941"/>
    <cellStyle name="Normal 153 9" xfId="3658"/>
    <cellStyle name="Normal 153 9 2" xfId="7125"/>
    <cellStyle name="Normal 153 9 2 2" xfId="15606"/>
    <cellStyle name="Normal 153 9 2 3" xfId="22120"/>
    <cellStyle name="Normal 153 9 2 4" xfId="28509"/>
    <cellStyle name="Normal 153 9 3" xfId="12153"/>
    <cellStyle name="Normal 153 9 4" xfId="18706"/>
    <cellStyle name="Normal 153 9 5" xfId="25105"/>
    <cellStyle name="Normal 154" xfId="742"/>
    <cellStyle name="Normal 154 10" xfId="3826"/>
    <cellStyle name="Normal 154 10 2" xfId="7287"/>
    <cellStyle name="Normal 154 10 2 2" xfId="15768"/>
    <cellStyle name="Normal 154 10 2 3" xfId="22282"/>
    <cellStyle name="Normal 154 10 2 4" xfId="28671"/>
    <cellStyle name="Normal 154 10 3" xfId="12320"/>
    <cellStyle name="Normal 154 10 4" xfId="18870"/>
    <cellStyle name="Normal 154 10 5" xfId="25267"/>
    <cellStyle name="Normal 154 11" xfId="3993"/>
    <cellStyle name="Normal 154 11 2" xfId="7449"/>
    <cellStyle name="Normal 154 11 2 2" xfId="15930"/>
    <cellStyle name="Normal 154 11 2 3" xfId="22444"/>
    <cellStyle name="Normal 154 11 2 4" xfId="28833"/>
    <cellStyle name="Normal 154 11 3" xfId="12486"/>
    <cellStyle name="Normal 154 11 4" xfId="19033"/>
    <cellStyle name="Normal 154 11 5" xfId="25429"/>
    <cellStyle name="Normal 154 12" xfId="4158"/>
    <cellStyle name="Normal 154 12 2" xfId="7609"/>
    <cellStyle name="Normal 154 12 2 2" xfId="16090"/>
    <cellStyle name="Normal 154 12 2 3" xfId="22604"/>
    <cellStyle name="Normal 154 12 2 4" xfId="28993"/>
    <cellStyle name="Normal 154 12 3" xfId="12650"/>
    <cellStyle name="Normal 154 12 4" xfId="19194"/>
    <cellStyle name="Normal 154 12 5" xfId="25589"/>
    <cellStyle name="Normal 154 13" xfId="4320"/>
    <cellStyle name="Normal 154 13 2" xfId="7766"/>
    <cellStyle name="Normal 154 13 2 2" xfId="16247"/>
    <cellStyle name="Normal 154 13 2 3" xfId="22761"/>
    <cellStyle name="Normal 154 13 2 4" xfId="29150"/>
    <cellStyle name="Normal 154 13 3" xfId="12811"/>
    <cellStyle name="Normal 154 13 4" xfId="19352"/>
    <cellStyle name="Normal 154 13 5" xfId="25746"/>
    <cellStyle name="Normal 154 14" xfId="4480"/>
    <cellStyle name="Normal 154 14 2" xfId="7921"/>
    <cellStyle name="Normal 154 14 2 2" xfId="16402"/>
    <cellStyle name="Normal 154 14 2 3" xfId="22916"/>
    <cellStyle name="Normal 154 14 2 4" xfId="29305"/>
    <cellStyle name="Normal 154 14 3" xfId="12971"/>
    <cellStyle name="Normal 154 14 4" xfId="19508"/>
    <cellStyle name="Normal 154 14 5" xfId="25901"/>
    <cellStyle name="Normal 154 15" xfId="4640"/>
    <cellStyle name="Normal 154 15 2" xfId="8076"/>
    <cellStyle name="Normal 154 15 2 2" xfId="16557"/>
    <cellStyle name="Normal 154 15 2 3" xfId="23071"/>
    <cellStyle name="Normal 154 15 2 4" xfId="29460"/>
    <cellStyle name="Normal 154 15 3" xfId="13130"/>
    <cellStyle name="Normal 154 15 4" xfId="19664"/>
    <cellStyle name="Normal 154 15 5" xfId="26056"/>
    <cellStyle name="Normal 154 16" xfId="4799"/>
    <cellStyle name="Normal 154 16 2" xfId="8230"/>
    <cellStyle name="Normal 154 16 2 2" xfId="16711"/>
    <cellStyle name="Normal 154 16 2 3" xfId="23225"/>
    <cellStyle name="Normal 154 16 2 4" xfId="29614"/>
    <cellStyle name="Normal 154 16 3" xfId="13288"/>
    <cellStyle name="Normal 154 16 4" xfId="19819"/>
    <cellStyle name="Normal 154 16 5" xfId="26210"/>
    <cellStyle name="Normal 154 17" xfId="4957"/>
    <cellStyle name="Normal 154 17 2" xfId="8383"/>
    <cellStyle name="Normal 154 17 2 2" xfId="16864"/>
    <cellStyle name="Normal 154 17 2 3" xfId="23378"/>
    <cellStyle name="Normal 154 17 2 4" xfId="29767"/>
    <cellStyle name="Normal 154 17 3" xfId="13445"/>
    <cellStyle name="Normal 154 17 4" xfId="19973"/>
    <cellStyle name="Normal 154 17 5" xfId="26363"/>
    <cellStyle name="Normal 154 18" xfId="5086"/>
    <cellStyle name="Normal 154 18 2" xfId="8507"/>
    <cellStyle name="Normal 154 18 2 2" xfId="16988"/>
    <cellStyle name="Normal 154 18 2 3" xfId="23502"/>
    <cellStyle name="Normal 154 18 2 4" xfId="29891"/>
    <cellStyle name="Normal 154 18 3" xfId="13572"/>
    <cellStyle name="Normal 154 18 4" xfId="20097"/>
    <cellStyle name="Normal 154 18 5" xfId="26487"/>
    <cellStyle name="Normal 154 19" xfId="5196"/>
    <cellStyle name="Normal 154 19 2" xfId="13678"/>
    <cellStyle name="Normal 154 19 3" xfId="20196"/>
    <cellStyle name="Normal 154 19 4" xfId="26585"/>
    <cellStyle name="Normal 154 2" xfId="1800"/>
    <cellStyle name="Normal 154 2 2" xfId="5398"/>
    <cellStyle name="Normal 154 2 2 2" xfId="13879"/>
    <cellStyle name="Normal 154 2 2 3" xfId="20393"/>
    <cellStyle name="Normal 154 2 2 4" xfId="26782"/>
    <cellStyle name="Normal 154 2 3" xfId="10372"/>
    <cellStyle name="Normal 154 2 4" xfId="9626"/>
    <cellStyle name="Normal 154 2 5" xfId="10121"/>
    <cellStyle name="Normal 154 20" xfId="9808"/>
    <cellStyle name="Normal 154 21" xfId="17320"/>
    <cellStyle name="Normal 154 22" xfId="23788"/>
    <cellStyle name="Normal 154 3" xfId="2134"/>
    <cellStyle name="Normal 154 3 2" xfId="5707"/>
    <cellStyle name="Normal 154 3 2 2" xfId="14188"/>
    <cellStyle name="Normal 154 3 2 3" xfId="20702"/>
    <cellStyle name="Normal 154 3 2 4" xfId="27091"/>
    <cellStyle name="Normal 154 3 3" xfId="10693"/>
    <cellStyle name="Normal 154 3 4" xfId="9380"/>
    <cellStyle name="Normal 154 3 5" xfId="10282"/>
    <cellStyle name="Normal 154 4" xfId="2796"/>
    <cellStyle name="Normal 154 4 2" xfId="6294"/>
    <cellStyle name="Normal 154 4 2 2" xfId="14775"/>
    <cellStyle name="Normal 154 4 2 3" xfId="21289"/>
    <cellStyle name="Normal 154 4 2 4" xfId="27678"/>
    <cellStyle name="Normal 154 4 3" xfId="11303"/>
    <cellStyle name="Normal 154 4 4" xfId="17872"/>
    <cellStyle name="Normal 154 4 5" xfId="24274"/>
    <cellStyle name="Normal 154 5" xfId="2970"/>
    <cellStyle name="Normal 154 5 2" xfId="6461"/>
    <cellStyle name="Normal 154 5 2 2" xfId="14942"/>
    <cellStyle name="Normal 154 5 2 3" xfId="21456"/>
    <cellStyle name="Normal 154 5 2 4" xfId="27845"/>
    <cellStyle name="Normal 154 5 3" xfId="11473"/>
    <cellStyle name="Normal 154 5 4" xfId="18039"/>
    <cellStyle name="Normal 154 5 5" xfId="24441"/>
    <cellStyle name="Normal 154 6" xfId="3143"/>
    <cellStyle name="Normal 154 6 2" xfId="6628"/>
    <cellStyle name="Normal 154 6 2 2" xfId="15109"/>
    <cellStyle name="Normal 154 6 2 3" xfId="21623"/>
    <cellStyle name="Normal 154 6 2 4" xfId="28012"/>
    <cellStyle name="Normal 154 6 3" xfId="11644"/>
    <cellStyle name="Normal 154 6 4" xfId="18206"/>
    <cellStyle name="Normal 154 6 5" xfId="24608"/>
    <cellStyle name="Normal 154 7" xfId="3316"/>
    <cellStyle name="Normal 154 7 2" xfId="6795"/>
    <cellStyle name="Normal 154 7 2 2" xfId="15276"/>
    <cellStyle name="Normal 154 7 2 3" xfId="21790"/>
    <cellStyle name="Normal 154 7 2 4" xfId="28179"/>
    <cellStyle name="Normal 154 7 3" xfId="11814"/>
    <cellStyle name="Normal 154 7 4" xfId="18373"/>
    <cellStyle name="Normal 154 7 5" xfId="24775"/>
    <cellStyle name="Normal 154 8" xfId="3487"/>
    <cellStyle name="Normal 154 8 2" xfId="6960"/>
    <cellStyle name="Normal 154 8 2 2" xfId="15441"/>
    <cellStyle name="Normal 154 8 2 3" xfId="21955"/>
    <cellStyle name="Normal 154 8 2 4" xfId="28344"/>
    <cellStyle name="Normal 154 8 3" xfId="11983"/>
    <cellStyle name="Normal 154 8 4" xfId="18539"/>
    <cellStyle name="Normal 154 8 5" xfId="24940"/>
    <cellStyle name="Normal 154 9" xfId="3657"/>
    <cellStyle name="Normal 154 9 2" xfId="7124"/>
    <cellStyle name="Normal 154 9 2 2" xfId="15605"/>
    <cellStyle name="Normal 154 9 2 3" xfId="22119"/>
    <cellStyle name="Normal 154 9 2 4" xfId="28508"/>
    <cellStyle name="Normal 154 9 3" xfId="12152"/>
    <cellStyle name="Normal 154 9 4" xfId="18705"/>
    <cellStyle name="Normal 154 9 5" xfId="25104"/>
    <cellStyle name="Normal 155" xfId="743"/>
    <cellStyle name="Normal 155 10" xfId="3825"/>
    <cellStyle name="Normal 155 10 2" xfId="7286"/>
    <cellStyle name="Normal 155 10 2 2" xfId="15767"/>
    <cellStyle name="Normal 155 10 2 3" xfId="22281"/>
    <cellStyle name="Normal 155 10 2 4" xfId="28670"/>
    <cellStyle name="Normal 155 10 3" xfId="12319"/>
    <cellStyle name="Normal 155 10 4" xfId="18869"/>
    <cellStyle name="Normal 155 10 5" xfId="25266"/>
    <cellStyle name="Normal 155 11" xfId="3992"/>
    <cellStyle name="Normal 155 11 2" xfId="7448"/>
    <cellStyle name="Normal 155 11 2 2" xfId="15929"/>
    <cellStyle name="Normal 155 11 2 3" xfId="22443"/>
    <cellStyle name="Normal 155 11 2 4" xfId="28832"/>
    <cellStyle name="Normal 155 11 3" xfId="12485"/>
    <cellStyle name="Normal 155 11 4" xfId="19032"/>
    <cellStyle name="Normal 155 11 5" xfId="25428"/>
    <cellStyle name="Normal 155 12" xfId="4157"/>
    <cellStyle name="Normal 155 12 2" xfId="7608"/>
    <cellStyle name="Normal 155 12 2 2" xfId="16089"/>
    <cellStyle name="Normal 155 12 2 3" xfId="22603"/>
    <cellStyle name="Normal 155 12 2 4" xfId="28992"/>
    <cellStyle name="Normal 155 12 3" xfId="12649"/>
    <cellStyle name="Normal 155 12 4" xfId="19193"/>
    <cellStyle name="Normal 155 12 5" xfId="25588"/>
    <cellStyle name="Normal 155 13" xfId="4319"/>
    <cellStyle name="Normal 155 13 2" xfId="7765"/>
    <cellStyle name="Normal 155 13 2 2" xfId="16246"/>
    <cellStyle name="Normal 155 13 2 3" xfId="22760"/>
    <cellStyle name="Normal 155 13 2 4" xfId="29149"/>
    <cellStyle name="Normal 155 13 3" xfId="12810"/>
    <cellStyle name="Normal 155 13 4" xfId="19351"/>
    <cellStyle name="Normal 155 13 5" xfId="25745"/>
    <cellStyle name="Normal 155 14" xfId="4479"/>
    <cellStyle name="Normal 155 14 2" xfId="7920"/>
    <cellStyle name="Normal 155 14 2 2" xfId="16401"/>
    <cellStyle name="Normal 155 14 2 3" xfId="22915"/>
    <cellStyle name="Normal 155 14 2 4" xfId="29304"/>
    <cellStyle name="Normal 155 14 3" xfId="12970"/>
    <cellStyle name="Normal 155 14 4" xfId="19507"/>
    <cellStyle name="Normal 155 14 5" xfId="25900"/>
    <cellStyle name="Normal 155 15" xfId="4639"/>
    <cellStyle name="Normal 155 15 2" xfId="8075"/>
    <cellStyle name="Normal 155 15 2 2" xfId="16556"/>
    <cellStyle name="Normal 155 15 2 3" xfId="23070"/>
    <cellStyle name="Normal 155 15 2 4" xfId="29459"/>
    <cellStyle name="Normal 155 15 3" xfId="13129"/>
    <cellStyle name="Normal 155 15 4" xfId="19663"/>
    <cellStyle name="Normal 155 15 5" xfId="26055"/>
    <cellStyle name="Normal 155 16" xfId="4798"/>
    <cellStyle name="Normal 155 16 2" xfId="8229"/>
    <cellStyle name="Normal 155 16 2 2" xfId="16710"/>
    <cellStyle name="Normal 155 16 2 3" xfId="23224"/>
    <cellStyle name="Normal 155 16 2 4" xfId="29613"/>
    <cellStyle name="Normal 155 16 3" xfId="13287"/>
    <cellStyle name="Normal 155 16 4" xfId="19818"/>
    <cellStyle name="Normal 155 16 5" xfId="26209"/>
    <cellStyle name="Normal 155 17" xfId="4956"/>
    <cellStyle name="Normal 155 17 2" xfId="8382"/>
    <cellStyle name="Normal 155 17 2 2" xfId="16863"/>
    <cellStyle name="Normal 155 17 2 3" xfId="23377"/>
    <cellStyle name="Normal 155 17 2 4" xfId="29766"/>
    <cellStyle name="Normal 155 17 3" xfId="13444"/>
    <cellStyle name="Normal 155 17 4" xfId="19972"/>
    <cellStyle name="Normal 155 17 5" xfId="26362"/>
    <cellStyle name="Normal 155 18" xfId="5085"/>
    <cellStyle name="Normal 155 18 2" xfId="8506"/>
    <cellStyle name="Normal 155 18 2 2" xfId="16987"/>
    <cellStyle name="Normal 155 18 2 3" xfId="23501"/>
    <cellStyle name="Normal 155 18 2 4" xfId="29890"/>
    <cellStyle name="Normal 155 18 3" xfId="13571"/>
    <cellStyle name="Normal 155 18 4" xfId="20096"/>
    <cellStyle name="Normal 155 18 5" xfId="26486"/>
    <cellStyle name="Normal 155 19" xfId="5197"/>
    <cellStyle name="Normal 155 19 2" xfId="13679"/>
    <cellStyle name="Normal 155 19 3" xfId="20197"/>
    <cellStyle name="Normal 155 19 4" xfId="26586"/>
    <cellStyle name="Normal 155 2" xfId="1801"/>
    <cellStyle name="Normal 155 2 2" xfId="5399"/>
    <cellStyle name="Normal 155 2 2 2" xfId="13880"/>
    <cellStyle name="Normal 155 2 2 3" xfId="20394"/>
    <cellStyle name="Normal 155 2 2 4" xfId="26783"/>
    <cellStyle name="Normal 155 2 3" xfId="10373"/>
    <cellStyle name="Normal 155 2 4" xfId="9625"/>
    <cellStyle name="Normal 155 2 5" xfId="10122"/>
    <cellStyle name="Normal 155 20" xfId="9809"/>
    <cellStyle name="Normal 155 21" xfId="9941"/>
    <cellStyle name="Normal 155 22" xfId="9834"/>
    <cellStyle name="Normal 155 3" xfId="2135"/>
    <cellStyle name="Normal 155 3 2" xfId="5708"/>
    <cellStyle name="Normal 155 3 2 2" xfId="14189"/>
    <cellStyle name="Normal 155 3 2 3" xfId="20703"/>
    <cellStyle name="Normal 155 3 2 4" xfId="27092"/>
    <cellStyle name="Normal 155 3 3" xfId="10694"/>
    <cellStyle name="Normal 155 3 4" xfId="9379"/>
    <cellStyle name="Normal 155 3 5" xfId="10283"/>
    <cellStyle name="Normal 155 4" xfId="2795"/>
    <cellStyle name="Normal 155 4 2" xfId="6293"/>
    <cellStyle name="Normal 155 4 2 2" xfId="14774"/>
    <cellStyle name="Normal 155 4 2 3" xfId="21288"/>
    <cellStyle name="Normal 155 4 2 4" xfId="27677"/>
    <cellStyle name="Normal 155 4 3" xfId="11302"/>
    <cellStyle name="Normal 155 4 4" xfId="17871"/>
    <cellStyle name="Normal 155 4 5" xfId="24273"/>
    <cellStyle name="Normal 155 5" xfId="2969"/>
    <cellStyle name="Normal 155 5 2" xfId="6460"/>
    <cellStyle name="Normal 155 5 2 2" xfId="14941"/>
    <cellStyle name="Normal 155 5 2 3" xfId="21455"/>
    <cellStyle name="Normal 155 5 2 4" xfId="27844"/>
    <cellStyle name="Normal 155 5 3" xfId="11472"/>
    <cellStyle name="Normal 155 5 4" xfId="18038"/>
    <cellStyle name="Normal 155 5 5" xfId="24440"/>
    <cellStyle name="Normal 155 6" xfId="3142"/>
    <cellStyle name="Normal 155 6 2" xfId="6627"/>
    <cellStyle name="Normal 155 6 2 2" xfId="15108"/>
    <cellStyle name="Normal 155 6 2 3" xfId="21622"/>
    <cellStyle name="Normal 155 6 2 4" xfId="28011"/>
    <cellStyle name="Normal 155 6 3" xfId="11643"/>
    <cellStyle name="Normal 155 6 4" xfId="18205"/>
    <cellStyle name="Normal 155 6 5" xfId="24607"/>
    <cellStyle name="Normal 155 7" xfId="3315"/>
    <cellStyle name="Normal 155 7 2" xfId="6794"/>
    <cellStyle name="Normal 155 7 2 2" xfId="15275"/>
    <cellStyle name="Normal 155 7 2 3" xfId="21789"/>
    <cellStyle name="Normal 155 7 2 4" xfId="28178"/>
    <cellStyle name="Normal 155 7 3" xfId="11813"/>
    <cellStyle name="Normal 155 7 4" xfId="18372"/>
    <cellStyle name="Normal 155 7 5" xfId="24774"/>
    <cellStyle name="Normal 155 8" xfId="3486"/>
    <cellStyle name="Normal 155 8 2" xfId="6959"/>
    <cellStyle name="Normal 155 8 2 2" xfId="15440"/>
    <cellStyle name="Normal 155 8 2 3" xfId="21954"/>
    <cellStyle name="Normal 155 8 2 4" xfId="28343"/>
    <cellStyle name="Normal 155 8 3" xfId="11982"/>
    <cellStyle name="Normal 155 8 4" xfId="18538"/>
    <cellStyle name="Normal 155 8 5" xfId="24939"/>
    <cellStyle name="Normal 155 9" xfId="3656"/>
    <cellStyle name="Normal 155 9 2" xfId="7123"/>
    <cellStyle name="Normal 155 9 2 2" xfId="15604"/>
    <cellStyle name="Normal 155 9 2 3" xfId="22118"/>
    <cellStyle name="Normal 155 9 2 4" xfId="28507"/>
    <cellStyle name="Normal 155 9 3" xfId="12151"/>
    <cellStyle name="Normal 155 9 4" xfId="18704"/>
    <cellStyle name="Normal 155 9 5" xfId="25103"/>
    <cellStyle name="Normal 156" xfId="744"/>
    <cellStyle name="Normal 156 10" xfId="3824"/>
    <cellStyle name="Normal 156 10 2" xfId="7285"/>
    <cellStyle name="Normal 156 10 2 2" xfId="15766"/>
    <cellStyle name="Normal 156 10 2 3" xfId="22280"/>
    <cellStyle name="Normal 156 10 2 4" xfId="28669"/>
    <cellStyle name="Normal 156 10 3" xfId="12318"/>
    <cellStyle name="Normal 156 10 4" xfId="18868"/>
    <cellStyle name="Normal 156 10 5" xfId="25265"/>
    <cellStyle name="Normal 156 11" xfId="3991"/>
    <cellStyle name="Normal 156 11 2" xfId="7447"/>
    <cellStyle name="Normal 156 11 2 2" xfId="15928"/>
    <cellStyle name="Normal 156 11 2 3" xfId="22442"/>
    <cellStyle name="Normal 156 11 2 4" xfId="28831"/>
    <cellStyle name="Normal 156 11 3" xfId="12484"/>
    <cellStyle name="Normal 156 11 4" xfId="19031"/>
    <cellStyle name="Normal 156 11 5" xfId="25427"/>
    <cellStyle name="Normal 156 12" xfId="4156"/>
    <cellStyle name="Normal 156 12 2" xfId="7607"/>
    <cellStyle name="Normal 156 12 2 2" xfId="16088"/>
    <cellStyle name="Normal 156 12 2 3" xfId="22602"/>
    <cellStyle name="Normal 156 12 2 4" xfId="28991"/>
    <cellStyle name="Normal 156 12 3" xfId="12648"/>
    <cellStyle name="Normal 156 12 4" xfId="19192"/>
    <cellStyle name="Normal 156 12 5" xfId="25587"/>
    <cellStyle name="Normal 156 13" xfId="4318"/>
    <cellStyle name="Normal 156 13 2" xfId="7764"/>
    <cellStyle name="Normal 156 13 2 2" xfId="16245"/>
    <cellStyle name="Normal 156 13 2 3" xfId="22759"/>
    <cellStyle name="Normal 156 13 2 4" xfId="29148"/>
    <cellStyle name="Normal 156 13 3" xfId="12809"/>
    <cellStyle name="Normal 156 13 4" xfId="19350"/>
    <cellStyle name="Normal 156 13 5" xfId="25744"/>
    <cellStyle name="Normal 156 14" xfId="4478"/>
    <cellStyle name="Normal 156 14 2" xfId="7919"/>
    <cellStyle name="Normal 156 14 2 2" xfId="16400"/>
    <cellStyle name="Normal 156 14 2 3" xfId="22914"/>
    <cellStyle name="Normal 156 14 2 4" xfId="29303"/>
    <cellStyle name="Normal 156 14 3" xfId="12969"/>
    <cellStyle name="Normal 156 14 4" xfId="19506"/>
    <cellStyle name="Normal 156 14 5" xfId="25899"/>
    <cellStyle name="Normal 156 15" xfId="4638"/>
    <cellStyle name="Normal 156 15 2" xfId="8074"/>
    <cellStyle name="Normal 156 15 2 2" xfId="16555"/>
    <cellStyle name="Normal 156 15 2 3" xfId="23069"/>
    <cellStyle name="Normal 156 15 2 4" xfId="29458"/>
    <cellStyle name="Normal 156 15 3" xfId="13128"/>
    <cellStyle name="Normal 156 15 4" xfId="19662"/>
    <cellStyle name="Normal 156 15 5" xfId="26054"/>
    <cellStyle name="Normal 156 16" xfId="4797"/>
    <cellStyle name="Normal 156 16 2" xfId="8228"/>
    <cellStyle name="Normal 156 16 2 2" xfId="16709"/>
    <cellStyle name="Normal 156 16 2 3" xfId="23223"/>
    <cellStyle name="Normal 156 16 2 4" xfId="29612"/>
    <cellStyle name="Normal 156 16 3" xfId="13286"/>
    <cellStyle name="Normal 156 16 4" xfId="19817"/>
    <cellStyle name="Normal 156 16 5" xfId="26208"/>
    <cellStyle name="Normal 156 17" xfId="4955"/>
    <cellStyle name="Normal 156 17 2" xfId="8381"/>
    <cellStyle name="Normal 156 17 2 2" xfId="16862"/>
    <cellStyle name="Normal 156 17 2 3" xfId="23376"/>
    <cellStyle name="Normal 156 17 2 4" xfId="29765"/>
    <cellStyle name="Normal 156 17 3" xfId="13443"/>
    <cellStyle name="Normal 156 17 4" xfId="19971"/>
    <cellStyle name="Normal 156 17 5" xfId="26361"/>
    <cellStyle name="Normal 156 18" xfId="5084"/>
    <cellStyle name="Normal 156 18 2" xfId="8505"/>
    <cellStyle name="Normal 156 18 2 2" xfId="16986"/>
    <cellStyle name="Normal 156 18 2 3" xfId="23500"/>
    <cellStyle name="Normal 156 18 2 4" xfId="29889"/>
    <cellStyle name="Normal 156 18 3" xfId="13570"/>
    <cellStyle name="Normal 156 18 4" xfId="20095"/>
    <cellStyle name="Normal 156 18 5" xfId="26485"/>
    <cellStyle name="Normal 156 19" xfId="5198"/>
    <cellStyle name="Normal 156 19 2" xfId="13680"/>
    <cellStyle name="Normal 156 19 3" xfId="20198"/>
    <cellStyle name="Normal 156 19 4" xfId="26587"/>
    <cellStyle name="Normal 156 2" xfId="1802"/>
    <cellStyle name="Normal 156 2 2" xfId="5400"/>
    <cellStyle name="Normal 156 2 2 2" xfId="13881"/>
    <cellStyle name="Normal 156 2 2 3" xfId="20395"/>
    <cellStyle name="Normal 156 2 2 4" xfId="26784"/>
    <cellStyle name="Normal 156 2 3" xfId="10374"/>
    <cellStyle name="Normal 156 2 4" xfId="9624"/>
    <cellStyle name="Normal 156 2 5" xfId="10123"/>
    <cellStyle name="Normal 156 20" xfId="9810"/>
    <cellStyle name="Normal 156 21" xfId="9940"/>
    <cellStyle name="Normal 156 22" xfId="17519"/>
    <cellStyle name="Normal 156 3" xfId="2136"/>
    <cellStyle name="Normal 156 3 2" xfId="5709"/>
    <cellStyle name="Normal 156 3 2 2" xfId="14190"/>
    <cellStyle name="Normal 156 3 2 3" xfId="20704"/>
    <cellStyle name="Normal 156 3 2 4" xfId="27093"/>
    <cellStyle name="Normal 156 3 3" xfId="10695"/>
    <cellStyle name="Normal 156 3 4" xfId="9378"/>
    <cellStyle name="Normal 156 3 5" xfId="10284"/>
    <cellStyle name="Normal 156 4" xfId="2794"/>
    <cellStyle name="Normal 156 4 2" xfId="6292"/>
    <cellStyle name="Normal 156 4 2 2" xfId="14773"/>
    <cellStyle name="Normal 156 4 2 3" xfId="21287"/>
    <cellStyle name="Normal 156 4 2 4" xfId="27676"/>
    <cellStyle name="Normal 156 4 3" xfId="11301"/>
    <cellStyle name="Normal 156 4 4" xfId="17870"/>
    <cellStyle name="Normal 156 4 5" xfId="24272"/>
    <cellStyle name="Normal 156 5" xfId="2968"/>
    <cellStyle name="Normal 156 5 2" xfId="6459"/>
    <cellStyle name="Normal 156 5 2 2" xfId="14940"/>
    <cellStyle name="Normal 156 5 2 3" xfId="21454"/>
    <cellStyle name="Normal 156 5 2 4" xfId="27843"/>
    <cellStyle name="Normal 156 5 3" xfId="11471"/>
    <cellStyle name="Normal 156 5 4" xfId="18037"/>
    <cellStyle name="Normal 156 5 5" xfId="24439"/>
    <cellStyle name="Normal 156 6" xfId="3141"/>
    <cellStyle name="Normal 156 6 2" xfId="6626"/>
    <cellStyle name="Normal 156 6 2 2" xfId="15107"/>
    <cellStyle name="Normal 156 6 2 3" xfId="21621"/>
    <cellStyle name="Normal 156 6 2 4" xfId="28010"/>
    <cellStyle name="Normal 156 6 3" xfId="11642"/>
    <cellStyle name="Normal 156 6 4" xfId="18204"/>
    <cellStyle name="Normal 156 6 5" xfId="24606"/>
    <cellStyle name="Normal 156 7" xfId="3314"/>
    <cellStyle name="Normal 156 7 2" xfId="6793"/>
    <cellStyle name="Normal 156 7 2 2" xfId="15274"/>
    <cellStyle name="Normal 156 7 2 3" xfId="21788"/>
    <cellStyle name="Normal 156 7 2 4" xfId="28177"/>
    <cellStyle name="Normal 156 7 3" xfId="11812"/>
    <cellStyle name="Normal 156 7 4" xfId="18371"/>
    <cellStyle name="Normal 156 7 5" xfId="24773"/>
    <cellStyle name="Normal 156 8" xfId="3485"/>
    <cellStyle name="Normal 156 8 2" xfId="6958"/>
    <cellStyle name="Normal 156 8 2 2" xfId="15439"/>
    <cellStyle name="Normal 156 8 2 3" xfId="21953"/>
    <cellStyle name="Normal 156 8 2 4" xfId="28342"/>
    <cellStyle name="Normal 156 8 3" xfId="11981"/>
    <cellStyle name="Normal 156 8 4" xfId="18537"/>
    <cellStyle name="Normal 156 8 5" xfId="24938"/>
    <cellStyle name="Normal 156 9" xfId="3655"/>
    <cellStyle name="Normal 156 9 2" xfId="7122"/>
    <cellStyle name="Normal 156 9 2 2" xfId="15603"/>
    <cellStyle name="Normal 156 9 2 3" xfId="22117"/>
    <cellStyle name="Normal 156 9 2 4" xfId="28506"/>
    <cellStyle name="Normal 156 9 3" xfId="12150"/>
    <cellStyle name="Normal 156 9 4" xfId="18703"/>
    <cellStyle name="Normal 156 9 5" xfId="25102"/>
    <cellStyle name="Normal 157" xfId="745"/>
    <cellStyle name="Normal 158" xfId="746"/>
    <cellStyle name="Normal 159" xfId="747"/>
    <cellStyle name="Normal 16" xfId="748"/>
    <cellStyle name="Normal 16 10" xfId="749"/>
    <cellStyle name="Normal 16 11" xfId="750"/>
    <cellStyle name="Normal 16 12" xfId="751"/>
    <cellStyle name="Normal 16 13" xfId="752"/>
    <cellStyle name="Normal 16 14" xfId="753"/>
    <cellStyle name="Normal 16 15" xfId="754"/>
    <cellStyle name="Normal 16 16" xfId="755"/>
    <cellStyle name="Normal 16 17" xfId="756"/>
    <cellStyle name="Normal 16 18" xfId="757"/>
    <cellStyle name="Normal 16 19" xfId="758"/>
    <cellStyle name="Normal 16 2" xfId="759"/>
    <cellStyle name="Normal 16 2 10" xfId="3653"/>
    <cellStyle name="Normal 16 2 10 2" xfId="7120"/>
    <cellStyle name="Normal 16 2 10 2 2" xfId="15601"/>
    <cellStyle name="Normal 16 2 10 2 3" xfId="22115"/>
    <cellStyle name="Normal 16 2 10 2 4" xfId="28504"/>
    <cellStyle name="Normal 16 2 10 3" xfId="12148"/>
    <cellStyle name="Normal 16 2 10 4" xfId="18701"/>
    <cellStyle name="Normal 16 2 10 5" xfId="25100"/>
    <cellStyle name="Normal 16 2 11" xfId="3822"/>
    <cellStyle name="Normal 16 2 11 2" xfId="7283"/>
    <cellStyle name="Normal 16 2 11 2 2" xfId="15764"/>
    <cellStyle name="Normal 16 2 11 2 3" xfId="22278"/>
    <cellStyle name="Normal 16 2 11 2 4" xfId="28667"/>
    <cellStyle name="Normal 16 2 11 3" xfId="12316"/>
    <cellStyle name="Normal 16 2 11 4" xfId="18866"/>
    <cellStyle name="Normal 16 2 11 5" xfId="25263"/>
    <cellStyle name="Normal 16 2 12" xfId="3989"/>
    <cellStyle name="Normal 16 2 12 2" xfId="7445"/>
    <cellStyle name="Normal 16 2 12 2 2" xfId="15926"/>
    <cellStyle name="Normal 16 2 12 2 3" xfId="22440"/>
    <cellStyle name="Normal 16 2 12 2 4" xfId="28829"/>
    <cellStyle name="Normal 16 2 12 3" xfId="12482"/>
    <cellStyle name="Normal 16 2 12 4" xfId="19029"/>
    <cellStyle name="Normal 16 2 12 5" xfId="25425"/>
    <cellStyle name="Normal 16 2 13" xfId="4154"/>
    <cellStyle name="Normal 16 2 13 2" xfId="7605"/>
    <cellStyle name="Normal 16 2 13 2 2" xfId="16086"/>
    <cellStyle name="Normal 16 2 13 2 3" xfId="22600"/>
    <cellStyle name="Normal 16 2 13 2 4" xfId="28989"/>
    <cellStyle name="Normal 16 2 13 3" xfId="12646"/>
    <cellStyle name="Normal 16 2 13 4" xfId="19190"/>
    <cellStyle name="Normal 16 2 13 5" xfId="25585"/>
    <cellStyle name="Normal 16 2 14" xfId="4316"/>
    <cellStyle name="Normal 16 2 14 2" xfId="7762"/>
    <cellStyle name="Normal 16 2 14 2 2" xfId="16243"/>
    <cellStyle name="Normal 16 2 14 2 3" xfId="22757"/>
    <cellStyle name="Normal 16 2 14 2 4" xfId="29146"/>
    <cellStyle name="Normal 16 2 14 3" xfId="12807"/>
    <cellStyle name="Normal 16 2 14 4" xfId="19348"/>
    <cellStyle name="Normal 16 2 14 5" xfId="25742"/>
    <cellStyle name="Normal 16 2 15" xfId="4476"/>
    <cellStyle name="Normal 16 2 15 2" xfId="7917"/>
    <cellStyle name="Normal 16 2 15 2 2" xfId="16398"/>
    <cellStyle name="Normal 16 2 15 2 3" xfId="22912"/>
    <cellStyle name="Normal 16 2 15 2 4" xfId="29301"/>
    <cellStyle name="Normal 16 2 15 3" xfId="12967"/>
    <cellStyle name="Normal 16 2 15 4" xfId="19504"/>
    <cellStyle name="Normal 16 2 15 5" xfId="25897"/>
    <cellStyle name="Normal 16 2 16" xfId="4636"/>
    <cellStyle name="Normal 16 2 16 2" xfId="8072"/>
    <cellStyle name="Normal 16 2 16 2 2" xfId="16553"/>
    <cellStyle name="Normal 16 2 16 2 3" xfId="23067"/>
    <cellStyle name="Normal 16 2 16 2 4" xfId="29456"/>
    <cellStyle name="Normal 16 2 16 3" xfId="13126"/>
    <cellStyle name="Normal 16 2 16 4" xfId="19660"/>
    <cellStyle name="Normal 16 2 16 5" xfId="26052"/>
    <cellStyle name="Normal 16 2 17" xfId="4795"/>
    <cellStyle name="Normal 16 2 17 2" xfId="8226"/>
    <cellStyle name="Normal 16 2 17 2 2" xfId="16707"/>
    <cellStyle name="Normal 16 2 17 2 3" xfId="23221"/>
    <cellStyle name="Normal 16 2 17 2 4" xfId="29610"/>
    <cellStyle name="Normal 16 2 17 3" xfId="13284"/>
    <cellStyle name="Normal 16 2 17 4" xfId="19815"/>
    <cellStyle name="Normal 16 2 17 5" xfId="26206"/>
    <cellStyle name="Normal 16 2 18" xfId="4953"/>
    <cellStyle name="Normal 16 2 18 2" xfId="8379"/>
    <cellStyle name="Normal 16 2 18 2 2" xfId="16860"/>
    <cellStyle name="Normal 16 2 18 2 3" xfId="23374"/>
    <cellStyle name="Normal 16 2 18 2 4" xfId="29763"/>
    <cellStyle name="Normal 16 2 18 3" xfId="13441"/>
    <cellStyle name="Normal 16 2 18 4" xfId="19969"/>
    <cellStyle name="Normal 16 2 18 5" xfId="26359"/>
    <cellStyle name="Normal 16 2 19" xfId="5082"/>
    <cellStyle name="Normal 16 2 19 2" xfId="8503"/>
    <cellStyle name="Normal 16 2 19 2 2" xfId="16984"/>
    <cellStyle name="Normal 16 2 19 2 3" xfId="23498"/>
    <cellStyle name="Normal 16 2 19 2 4" xfId="29887"/>
    <cellStyle name="Normal 16 2 19 3" xfId="13568"/>
    <cellStyle name="Normal 16 2 19 4" xfId="20093"/>
    <cellStyle name="Normal 16 2 19 5" xfId="26483"/>
    <cellStyle name="Normal 16 2 2" xfId="1804"/>
    <cellStyle name="Normal 16 2 2 2" xfId="5402"/>
    <cellStyle name="Normal 16 2 2 2 2" xfId="13883"/>
    <cellStyle name="Normal 16 2 2 2 3" xfId="20397"/>
    <cellStyle name="Normal 16 2 2 2 4" xfId="26786"/>
    <cellStyle name="Normal 16 2 2 3" xfId="10376"/>
    <cellStyle name="Normal 16 2 2 4" xfId="9622"/>
    <cellStyle name="Normal 16 2 2 5" xfId="17072"/>
    <cellStyle name="Normal 16 2 20" xfId="5200"/>
    <cellStyle name="Normal 16 2 20 2" xfId="13682"/>
    <cellStyle name="Normal 16 2 20 3" xfId="20200"/>
    <cellStyle name="Normal 16 2 20 4" xfId="26589"/>
    <cellStyle name="Normal 16 2 21" xfId="9813"/>
    <cellStyle name="Normal 16 2 22" xfId="9937"/>
    <cellStyle name="Normal 16 2 23" xfId="9837"/>
    <cellStyle name="Normal 16 2 3" xfId="2138"/>
    <cellStyle name="Normal 16 2 3 2" xfId="5711"/>
    <cellStyle name="Normal 16 2 3 2 2" xfId="14192"/>
    <cellStyle name="Normal 16 2 3 2 3" xfId="20706"/>
    <cellStyle name="Normal 16 2 3 2 4" xfId="27095"/>
    <cellStyle name="Normal 16 2 3 3" xfId="10697"/>
    <cellStyle name="Normal 16 2 3 4" xfId="9376"/>
    <cellStyle name="Normal 16 2 3 5" xfId="10286"/>
    <cellStyle name="Normal 16 2 4" xfId="2792"/>
    <cellStyle name="Normal 16 2 4 2" xfId="6290"/>
    <cellStyle name="Normal 16 2 4 2 2" xfId="14771"/>
    <cellStyle name="Normal 16 2 4 2 3" xfId="21285"/>
    <cellStyle name="Normal 16 2 4 2 4" xfId="27674"/>
    <cellStyle name="Normal 16 2 4 3" xfId="11299"/>
    <cellStyle name="Normal 16 2 4 4" xfId="17868"/>
    <cellStyle name="Normal 16 2 4 5" xfId="24270"/>
    <cellStyle name="Normal 16 2 5" xfId="2966"/>
    <cellStyle name="Normal 16 2 5 2" xfId="6457"/>
    <cellStyle name="Normal 16 2 5 2 2" xfId="14938"/>
    <cellStyle name="Normal 16 2 5 2 3" xfId="21452"/>
    <cellStyle name="Normal 16 2 5 2 4" xfId="27841"/>
    <cellStyle name="Normal 16 2 5 3" xfId="11469"/>
    <cellStyle name="Normal 16 2 5 4" xfId="18035"/>
    <cellStyle name="Normal 16 2 5 5" xfId="24437"/>
    <cellStyle name="Normal 16 2 6" xfId="3139"/>
    <cellStyle name="Normal 16 2 6 2" xfId="6624"/>
    <cellStyle name="Normal 16 2 6 2 2" xfId="15105"/>
    <cellStyle name="Normal 16 2 6 2 3" xfId="21619"/>
    <cellStyle name="Normal 16 2 6 2 4" xfId="28008"/>
    <cellStyle name="Normal 16 2 6 3" xfId="11640"/>
    <cellStyle name="Normal 16 2 6 4" xfId="18202"/>
    <cellStyle name="Normal 16 2 6 5" xfId="24604"/>
    <cellStyle name="Normal 16 2 7" xfId="1726"/>
    <cellStyle name="Normal 16 2 7 10" xfId="2424"/>
    <cellStyle name="Normal 16 2 7 10 2" xfId="5969"/>
    <cellStyle name="Normal 16 2 7 10 2 2" xfId="14450"/>
    <cellStyle name="Normal 16 2 7 10 2 3" xfId="20964"/>
    <cellStyle name="Normal 16 2 7 10 2 4" xfId="27353"/>
    <cellStyle name="Normal 16 2 7 10 3" xfId="10966"/>
    <cellStyle name="Normal 16 2 7 10 4" xfId="17286"/>
    <cellStyle name="Normal 16 2 7 10 5" xfId="23760"/>
    <cellStyle name="Normal 16 2 7 11" xfId="2520"/>
    <cellStyle name="Normal 16 2 7 11 2" xfId="6042"/>
    <cellStyle name="Normal 16 2 7 11 2 2" xfId="14523"/>
    <cellStyle name="Normal 16 2 7 11 2 3" xfId="21037"/>
    <cellStyle name="Normal 16 2 7 11 2 4" xfId="27426"/>
    <cellStyle name="Normal 16 2 7 11 3" xfId="11043"/>
    <cellStyle name="Normal 16 2 7 11 4" xfId="17615"/>
    <cellStyle name="Normal 16 2 7 11 5" xfId="24022"/>
    <cellStyle name="Normal 16 2 7 12" xfId="2009"/>
    <cellStyle name="Normal 16 2 7 12 2" xfId="5594"/>
    <cellStyle name="Normal 16 2 7 12 2 2" xfId="14075"/>
    <cellStyle name="Normal 16 2 7 12 2 3" xfId="20589"/>
    <cellStyle name="Normal 16 2 7 12 2 4" xfId="26978"/>
    <cellStyle name="Normal 16 2 7 12 3" xfId="10576"/>
    <cellStyle name="Normal 16 2 7 12 4" xfId="9487"/>
    <cellStyle name="Normal 16 2 7 12 5" xfId="10224"/>
    <cellStyle name="Normal 16 2 7 13" xfId="2337"/>
    <cellStyle name="Normal 16 2 7 13 2" xfId="5895"/>
    <cellStyle name="Normal 16 2 7 13 2 2" xfId="14376"/>
    <cellStyle name="Normal 16 2 7 13 2 3" xfId="20890"/>
    <cellStyle name="Normal 16 2 7 13 2 4" xfId="27279"/>
    <cellStyle name="Normal 16 2 7 13 3" xfId="10884"/>
    <cellStyle name="Normal 16 2 7 13 4" xfId="17245"/>
    <cellStyle name="Normal 16 2 7 13 5" xfId="23720"/>
    <cellStyle name="Normal 16 2 7 14" xfId="2618"/>
    <cellStyle name="Normal 16 2 7 14 2" xfId="6130"/>
    <cellStyle name="Normal 16 2 7 14 2 2" xfId="14611"/>
    <cellStyle name="Normal 16 2 7 14 2 3" xfId="21125"/>
    <cellStyle name="Normal 16 2 7 14 2 4" xfId="27514"/>
    <cellStyle name="Normal 16 2 7 14 3" xfId="11137"/>
    <cellStyle name="Normal 16 2 7 14 4" xfId="17706"/>
    <cellStyle name="Normal 16 2 7 14 5" xfId="24110"/>
    <cellStyle name="Normal 16 2 7 15" xfId="2428"/>
    <cellStyle name="Normal 16 2 7 15 2" xfId="5970"/>
    <cellStyle name="Normal 16 2 7 15 2 2" xfId="14451"/>
    <cellStyle name="Normal 16 2 7 15 2 3" xfId="20965"/>
    <cellStyle name="Normal 16 2 7 15 2 4" xfId="27354"/>
    <cellStyle name="Normal 16 2 7 15 3" xfId="10967"/>
    <cellStyle name="Normal 16 2 7 15 4" xfId="17287"/>
    <cellStyle name="Normal 16 2 7 15 5" xfId="23761"/>
    <cellStyle name="Normal 16 2 7 16" xfId="2065"/>
    <cellStyle name="Normal 16 2 7 16 2" xfId="5640"/>
    <cellStyle name="Normal 16 2 7 16 2 2" xfId="14121"/>
    <cellStyle name="Normal 16 2 7 16 2 3" xfId="20635"/>
    <cellStyle name="Normal 16 2 7 16 2 4" xfId="27024"/>
    <cellStyle name="Normal 16 2 7 16 3" xfId="10626"/>
    <cellStyle name="Normal 16 2 7 16 4" xfId="9442"/>
    <cellStyle name="Normal 16 2 7 16 5" xfId="10255"/>
    <cellStyle name="Normal 16 2 7 17" xfId="2283"/>
    <cellStyle name="Normal 16 2 7 17 2" xfId="5851"/>
    <cellStyle name="Normal 16 2 7 17 2 2" xfId="14332"/>
    <cellStyle name="Normal 16 2 7 17 2 3" xfId="20846"/>
    <cellStyle name="Normal 16 2 7 17 2 4" xfId="27235"/>
    <cellStyle name="Normal 16 2 7 17 3" xfId="10837"/>
    <cellStyle name="Normal 16 2 7 17 4" xfId="9349"/>
    <cellStyle name="Normal 16 2 7 17 5" xfId="10295"/>
    <cellStyle name="Normal 16 2 7 18" xfId="2665"/>
    <cellStyle name="Normal 16 2 7 18 2" xfId="6168"/>
    <cellStyle name="Normal 16 2 7 18 2 2" xfId="14649"/>
    <cellStyle name="Normal 16 2 7 18 2 3" xfId="21163"/>
    <cellStyle name="Normal 16 2 7 18 2 4" xfId="27552"/>
    <cellStyle name="Normal 16 2 7 18 3" xfId="11177"/>
    <cellStyle name="Normal 16 2 7 18 4" xfId="17746"/>
    <cellStyle name="Normal 16 2 7 18 5" xfId="24148"/>
    <cellStyle name="Normal 16 2 7 19" xfId="5328"/>
    <cellStyle name="Normal 16 2 7 19 2" xfId="13809"/>
    <cellStyle name="Normal 16 2 7 19 3" xfId="20323"/>
    <cellStyle name="Normal 16 2 7 19 4" xfId="26712"/>
    <cellStyle name="Normal 16 2 7 2" xfId="1933"/>
    <cellStyle name="Normal 16 2 7 2 2" xfId="5526"/>
    <cellStyle name="Normal 16 2 7 2 2 2" xfId="14007"/>
    <cellStyle name="Normal 16 2 7 2 2 3" xfId="20521"/>
    <cellStyle name="Normal 16 2 7 2 2 4" xfId="26910"/>
    <cellStyle name="Normal 16 2 7 2 3" xfId="10503"/>
    <cellStyle name="Normal 16 2 7 2 4" xfId="17527"/>
    <cellStyle name="Normal 16 2 7 2 5" xfId="23939"/>
    <cellStyle name="Normal 16 2 7 20" xfId="10301"/>
    <cellStyle name="Normal 16 2 7 21" xfId="17325"/>
    <cellStyle name="Normal 16 2 7 22" xfId="23792"/>
    <cellStyle name="Normal 16 2 7 3" xfId="2540"/>
    <cellStyle name="Normal 16 2 7 3 2" xfId="6058"/>
    <cellStyle name="Normal 16 2 7 3 2 2" xfId="14539"/>
    <cellStyle name="Normal 16 2 7 3 2 3" xfId="21053"/>
    <cellStyle name="Normal 16 2 7 3 2 4" xfId="27442"/>
    <cellStyle name="Normal 16 2 7 3 3" xfId="11062"/>
    <cellStyle name="Normal 16 2 7 3 4" xfId="17632"/>
    <cellStyle name="Normal 16 2 7 3 5" xfId="24038"/>
    <cellStyle name="Normal 16 2 7 4" xfId="2472"/>
    <cellStyle name="Normal 16 2 7 4 2" xfId="6009"/>
    <cellStyle name="Normal 16 2 7 4 2 2" xfId="14490"/>
    <cellStyle name="Normal 16 2 7 4 2 2 3 2" xfId="760"/>
    <cellStyle name="Normal 16 2 7 4 2 2 3 2 10" xfId="2019"/>
    <cellStyle name="Normal 16 2 7 4 2 2 3 2 10 2" xfId="5603"/>
    <cellStyle name="Normal 16 2 7 4 2 2 3 2 10 2 2" xfId="14084"/>
    <cellStyle name="Normal 16 2 7 4 2 2 3 2 10 2 3" xfId="20598"/>
    <cellStyle name="Normal 16 2 7 4 2 2 3 2 10 2 4" xfId="26987"/>
    <cellStyle name="Normal 16 2 7 4 2 2 3 2 10 3" xfId="10585"/>
    <cellStyle name="Normal 16 2 7 4 2 2 3 2 10 4" xfId="9478"/>
    <cellStyle name="Normal 16 2 7 4 2 2 3 2 10 5" xfId="10232"/>
    <cellStyle name="Normal 16 2 7 4 2 2 3 2 11" xfId="2327"/>
    <cellStyle name="Normal 16 2 7 4 2 2 3 2 11 2" xfId="5886"/>
    <cellStyle name="Normal 16 2 7 4 2 2 3 2 11 2 2" xfId="14367"/>
    <cellStyle name="Normal 16 2 7 4 2 2 3 2 11 2 3" xfId="20881"/>
    <cellStyle name="Normal 16 2 7 4 2 2 3 2 11 2 4" xfId="27270"/>
    <cellStyle name="Normal 16 2 7 4 2 2 3 2 11 3" xfId="10875"/>
    <cellStyle name="Normal 16 2 7 4 2 2 3 2 11 4" xfId="17238"/>
    <cellStyle name="Normal 16 2 7 4 2 2 3 2 11 5" xfId="23713"/>
    <cellStyle name="Normal 16 2 7 4 2 2 3 2 12" xfId="2623"/>
    <cellStyle name="Normal 16 2 7 4 2 2 3 2 12 2" xfId="6134"/>
    <cellStyle name="Normal 16 2 7 4 2 2 3 2 12 2 2" xfId="14615"/>
    <cellStyle name="Normal 16 2 7 4 2 2 3 2 12 2 3" xfId="21129"/>
    <cellStyle name="Normal 16 2 7 4 2 2 3 2 12 2 4" xfId="27518"/>
    <cellStyle name="Normal 16 2 7 4 2 2 3 2 12 3" xfId="11141"/>
    <cellStyle name="Normal 16 2 7 4 2 2 3 2 12 4" xfId="17710"/>
    <cellStyle name="Normal 16 2 7 4 2 2 3 2 12 5" xfId="24114"/>
    <cellStyle name="Normal 16 2 7 4 2 2 3 2 13" xfId="1961"/>
    <cellStyle name="Normal 16 2 7 4 2 2 3 2 13 2" xfId="5553"/>
    <cellStyle name="Normal 16 2 7 4 2 2 3 2 13 2 2" xfId="14034"/>
    <cellStyle name="Normal 16 2 7 4 2 2 3 2 13 2 3" xfId="20548"/>
    <cellStyle name="Normal 16 2 7 4 2 2 3 2 13 2 4" xfId="26937"/>
    <cellStyle name="Normal 16 2 7 4 2 2 3 2 13 3" xfId="10531"/>
    <cellStyle name="Normal 16 2 7 4 2 2 3 2 13 4" xfId="10575"/>
    <cellStyle name="Normal 16 2 7 4 2 2 3 2 13 5" xfId="9488"/>
    <cellStyle name="Normal 16 2 7 4 2 2 3 2 14" xfId="2384"/>
    <cellStyle name="Normal 16 2 7 4 2 2 3 2 14 2" xfId="5935"/>
    <cellStyle name="Normal 16 2 7 4 2 2 3 2 14 2 2" xfId="14416"/>
    <cellStyle name="Normal 16 2 7 4 2 2 3 2 14 2 3" xfId="20930"/>
    <cellStyle name="Normal 16 2 7 4 2 2 3 2 14 2 4" xfId="27319"/>
    <cellStyle name="Normal 16 2 7 4 2 2 3 2 14 3" xfId="10929"/>
    <cellStyle name="Normal 16 2 7 4 2 2 3 2 14 4" xfId="17537"/>
    <cellStyle name="Normal 16 2 7 4 2 2 3 2 14 5" xfId="23947"/>
    <cellStyle name="Normal 16 2 7 4 2 2 3 2 15" xfId="2557"/>
    <cellStyle name="Normal 16 2 7 4 2 2 3 2 15 2" xfId="6075"/>
    <cellStyle name="Normal 16 2 7 4 2 2 3 2 15 2 2" xfId="14556"/>
    <cellStyle name="Normal 16 2 7 4 2 2 3 2 15 2 3" xfId="21070"/>
    <cellStyle name="Normal 16 2 7 4 2 2 3 2 15 2 4" xfId="27459"/>
    <cellStyle name="Normal 16 2 7 4 2 2 3 2 15 3" xfId="11079"/>
    <cellStyle name="Normal 16 2 7 4 2 2 3 2 15 4" xfId="17649"/>
    <cellStyle name="Normal 16 2 7 4 2 2 3 2 15 5" xfId="24055"/>
    <cellStyle name="Normal 16 2 7 4 2 2 3 2 16" xfId="2464"/>
    <cellStyle name="Normal 16 2 7 4 2 2 3 2 16 2" xfId="6001"/>
    <cellStyle name="Normal 16 2 7 4 2 2 3 2 16 2 2" xfId="14482"/>
    <cellStyle name="Normal 16 2 7 4 2 2 3 2 16 2 3" xfId="20996"/>
    <cellStyle name="Normal 16 2 7 4 2 2 3 2 16 2 4" xfId="27385"/>
    <cellStyle name="Normal 16 2 7 4 2 2 3 2 16 3" xfId="11001"/>
    <cellStyle name="Normal 16 2 7 4 2 2 3 2 16 4" xfId="17574"/>
    <cellStyle name="Normal 16 2 7 4 2 2 3 2 16 5" xfId="23981"/>
    <cellStyle name="Normal 16 2 7 4 2 2 3 2 17" xfId="2512"/>
    <cellStyle name="Normal 16 2 7 4 2 2 3 2 17 2" xfId="6036"/>
    <cellStyle name="Normal 16 2 7 4 2 2 3 2 17 2 2" xfId="14517"/>
    <cellStyle name="Normal 16 2 7 4 2 2 3 2 17 2 3" xfId="21031"/>
    <cellStyle name="Normal 16 2 7 4 2 2 3 2 17 2 4" xfId="27420"/>
    <cellStyle name="Normal 16 2 7 4 2 2 3 2 17 3" xfId="11037"/>
    <cellStyle name="Normal 16 2 7 4 2 2 3 2 17 4" xfId="17609"/>
    <cellStyle name="Normal 16 2 7 4 2 2 3 2 17 5" xfId="24016"/>
    <cellStyle name="Normal 16 2 7 4 2 2 3 2 18" xfId="2015"/>
    <cellStyle name="Normal 16 2 7 4 2 2 3 2 18 2" xfId="5599"/>
    <cellStyle name="Normal 16 2 7 4 2 2 3 2 18 2 2" xfId="14080"/>
    <cellStyle name="Normal 16 2 7 4 2 2 3 2 18 2 3" xfId="20594"/>
    <cellStyle name="Normal 16 2 7 4 2 2 3 2 18 2 4" xfId="26983"/>
    <cellStyle name="Normal 16 2 7 4 2 2 3 2 18 3" xfId="10581"/>
    <cellStyle name="Normal 16 2 7 4 2 2 3 2 18 4" xfId="9482"/>
    <cellStyle name="Normal 16 2 7 4 2 2 3 2 18 5" xfId="10228"/>
    <cellStyle name="Normal 16 2 7 4 2 2 3 2 19" xfId="2331"/>
    <cellStyle name="Normal 16 2 7 4 2 2 3 2 19 2" xfId="5890"/>
    <cellStyle name="Normal 16 2 7 4 2 2 3 2 19 2 2" xfId="14371"/>
    <cellStyle name="Normal 16 2 7 4 2 2 3 2 19 2 3" xfId="20885"/>
    <cellStyle name="Normal 16 2 7 4 2 2 3 2 19 2 4" xfId="27274"/>
    <cellStyle name="Normal 16 2 7 4 2 2 3 2 19 3" xfId="10879"/>
    <cellStyle name="Normal 16 2 7 4 2 2 3 2 19 4" xfId="17242"/>
    <cellStyle name="Normal 16 2 7 4 2 2 3 2 19 5" xfId="23717"/>
    <cellStyle name="Normal 16 2 7 4 2 2 3 2 2" xfId="1725"/>
    <cellStyle name="Normal 16 2 7 4 2 2 3 2 2 10" xfId="2286"/>
    <cellStyle name="Normal 16 2 7 4 2 2 3 2 2 10 2" xfId="5853"/>
    <cellStyle name="Normal 16 2 7 4 2 2 3 2 2 10 2 2" xfId="14334"/>
    <cellStyle name="Normal 16 2 7 4 2 2 3 2 2 10 2 3" xfId="20848"/>
    <cellStyle name="Normal 16 2 7 4 2 2 3 2 2 10 2 4" xfId="27237"/>
    <cellStyle name="Normal 16 2 7 4 2 2 3 2 2 10 3" xfId="10840"/>
    <cellStyle name="Normal 16 2 7 4 2 2 3 2 2 10 4" xfId="17210"/>
    <cellStyle name="Normal 16 2 7 4 2 2 3 2 2 10 5" xfId="23685"/>
    <cellStyle name="Normal 16 2 7 4 2 2 3 2 2 11" xfId="2663"/>
    <cellStyle name="Normal 16 2 7 4 2 2 3 2 2 11 2" xfId="6167"/>
    <cellStyle name="Normal 16 2 7 4 2 2 3 2 2 11 2 2" xfId="14648"/>
    <cellStyle name="Normal 16 2 7 4 2 2 3 2 2 11 2 3" xfId="21162"/>
    <cellStyle name="Normal 16 2 7 4 2 2 3 2 2 11 2 4" xfId="27551"/>
    <cellStyle name="Normal 16 2 7 4 2 2 3 2 2 11 3" xfId="11175"/>
    <cellStyle name="Normal 16 2 7 4 2 2 3 2 2 11 4" xfId="17744"/>
    <cellStyle name="Normal 16 2 7 4 2 2 3 2 2 11 5" xfId="24147"/>
    <cellStyle name="Normal 16 2 7 4 2 2 3 2 2 12" xfId="1945"/>
    <cellStyle name="Normal 16 2 7 4 2 2 3 2 2 12 2" xfId="5537"/>
    <cellStyle name="Normal 16 2 7 4 2 2 3 2 2 12 2 2" xfId="14018"/>
    <cellStyle name="Normal 16 2 7 4 2 2 3 2 2 12 2 3" xfId="20532"/>
    <cellStyle name="Normal 16 2 7 4 2 2 3 2 2 12 2 4" xfId="26921"/>
    <cellStyle name="Normal 16 2 7 4 2 2 3 2 2 12 3" xfId="10515"/>
    <cellStyle name="Normal 16 2 7 4 2 2 3 2 2 12 4" xfId="9531"/>
    <cellStyle name="Normal 16 2 7 4 2 2 3 2 2 12 5" xfId="17498"/>
    <cellStyle name="Normal 16 2 7 4 2 2 3 2 2 13" xfId="2399"/>
    <cellStyle name="Normal 16 2 7 4 2 2 3 2 2 13 2" xfId="5950"/>
    <cellStyle name="Normal 16 2 7 4 2 2 3 2 2 13 2 2" xfId="14431"/>
    <cellStyle name="Normal 16 2 7 4 2 2 3 2 2 13 2 3" xfId="20945"/>
    <cellStyle name="Normal 16 2 7 4 2 2 3 2 2 13 2 4" xfId="27334"/>
    <cellStyle name="Normal 16 2 7 4 2 2 3 2 2 13 3" xfId="10944"/>
    <cellStyle name="Normal 16 2 7 4 2 2 3 2 2 13 4" xfId="17503"/>
    <cellStyle name="Normal 16 2 7 4 2 2 3 2 2 13 5" xfId="23921"/>
    <cellStyle name="Normal 16 2 7 4 2 2 3 2 2 14" xfId="2536"/>
    <cellStyle name="Normal 16 2 7 4 2 2 3 2 2 14 2" xfId="6054"/>
    <cellStyle name="Normal 16 2 7 4 2 2 3 2 2 14 2 2" xfId="14535"/>
    <cellStyle name="Normal 16 2 7 4 2 2 3 2 2 14 2 3" xfId="21049"/>
    <cellStyle name="Normal 16 2 7 4 2 2 3 2 2 14 2 4" xfId="27438"/>
    <cellStyle name="Normal 16 2 7 4 2 2 3 2 2 14 3" xfId="11058"/>
    <cellStyle name="Normal 16 2 7 4 2 2 3 2 2 14 4" xfId="17628"/>
    <cellStyle name="Normal 16 2 7 4 2 2 3 2 2 14 5" xfId="24034"/>
    <cellStyle name="Normal 16 2 7 4 2 2 3 2 2 15" xfId="2474"/>
    <cellStyle name="Normal 16 2 7 4 2 2 3 2 2 15 2" xfId="6011"/>
    <cellStyle name="Normal 16 2 7 4 2 2 3 2 2 15 2 2" xfId="14492"/>
    <cellStyle name="Normal 16 2 7 4 2 2 3 2 2 15 2 3" xfId="21006"/>
    <cellStyle name="Normal 16 2 7 4 2 2 3 2 2 15 2 4" xfId="27395"/>
    <cellStyle name="Normal 16 2 7 4 2 2 3 2 2 15 3" xfId="11011"/>
    <cellStyle name="Normal 16 2 7 4 2 2 3 2 2 15 4" xfId="17584"/>
    <cellStyle name="Normal 16 2 7 4 2 2 3 2 2 15 5" xfId="23991"/>
    <cellStyle name="Normal 16 2 7 4 2 2 3 2 2 16" xfId="2032"/>
    <cellStyle name="Normal 16 2 7 4 2 2 3 2 2 16 2" xfId="5611"/>
    <cellStyle name="Normal 16 2 7 4 2 2 3 2 2 16 2 2" xfId="14092"/>
    <cellStyle name="Normal 16 2 7 4 2 2 3 2 2 16 2 3" xfId="20606"/>
    <cellStyle name="Normal 16 2 7 4 2 2 3 2 2 16 2 4" xfId="26995"/>
    <cellStyle name="Normal 16 2 7 4 2 2 3 2 2 16 3" xfId="10594"/>
    <cellStyle name="Normal 16 2 7 4 2 2 3 2 2 16 4" xfId="9470"/>
    <cellStyle name="Normal 16 2 7 4 2 2 3 2 2 16 5" xfId="17314"/>
    <cellStyle name="Normal 16 2 7 4 2 2 3 2 2 17" xfId="2314"/>
    <cellStyle name="Normal 16 2 7 4 2 2 3 2 2 17 2" xfId="5878"/>
    <cellStyle name="Normal 16 2 7 4 2 2 3 2 2 17 2 2" xfId="14359"/>
    <cellStyle name="Normal 16 2 7 4 2 2 3 2 2 17 2 3" xfId="20873"/>
    <cellStyle name="Normal 16 2 7 4 2 2 3 2 2 17 2 4" xfId="27262"/>
    <cellStyle name="Normal 16 2 7 4 2 2 3 2 2 17 3" xfId="10866"/>
    <cellStyle name="Normal 16 2 7 4 2 2 3 2 2 17 4" xfId="17234"/>
    <cellStyle name="Normal 16 2 7 4 2 2 3 2 2 17 5" xfId="23709"/>
    <cellStyle name="Normal 16 2 7 4 2 2 3 2 2 18" xfId="2636"/>
    <cellStyle name="Normal 16 2 7 4 2 2 3 2 2 18 2" xfId="6142"/>
    <cellStyle name="Normal 16 2 7 4 2 2 3 2 2 18 2 2" xfId="14623"/>
    <cellStyle name="Normal 16 2 7 4 2 2 3 2 2 18 2 3" xfId="21137"/>
    <cellStyle name="Normal 16 2 7 4 2 2 3 2 2 18 2 4" xfId="27526"/>
    <cellStyle name="Normal 16 2 7 4 2 2 3 2 2 18 3" xfId="11150"/>
    <cellStyle name="Normal 16 2 7 4 2 2 3 2 2 18 4" xfId="17719"/>
    <cellStyle name="Normal 16 2 7 4 2 2 3 2 2 18 5" xfId="24122"/>
    <cellStyle name="Normal 16 2 7 4 2 2 3 2 2 19" xfId="5327"/>
    <cellStyle name="Normal 16 2 7 4 2 2 3 2 2 19 2" xfId="13808"/>
    <cellStyle name="Normal 16 2 7 4 2 2 3 2 2 19 3" xfId="20322"/>
    <cellStyle name="Normal 16 2 7 4 2 2 3 2 2 19 4" xfId="26711"/>
    <cellStyle name="Normal 16 2 7 4 2 2 3 2 2 2" xfId="1932"/>
    <cellStyle name="Normal 16 2 7 4 2 2 3 2 2 2 10" xfId="2459"/>
    <cellStyle name="Normal 16 2 7 4 2 2 3 2 2 2 10 2" xfId="5998"/>
    <cellStyle name="Normal 16 2 7 4 2 2 3 2 2 2 10 2 2" xfId="14479"/>
    <cellStyle name="Normal 16 2 7 4 2 2 3 2 2 2 10 2 3" xfId="20993"/>
    <cellStyle name="Normal 16 2 7 4 2 2 3 2 2 2 10 2 4" xfId="27382"/>
    <cellStyle name="Normal 16 2 7 4 2 2 3 2 2 2 10 3" xfId="10997"/>
    <cellStyle name="Normal 16 2 7 4 2 2 3 2 2 2 10 4" xfId="17571"/>
    <cellStyle name="Normal 16 2 7 4 2 2 3 2 2 2 10 5" xfId="23978"/>
    <cellStyle name="Normal 16 2 7 4 2 2 3 2 2 2 11" xfId="2514"/>
    <cellStyle name="Normal 16 2 7 4 2 2 3 2 2 2 11 2" xfId="6038"/>
    <cellStyle name="Normal 16 2 7 4 2 2 3 2 2 2 11 2 2" xfId="14519"/>
    <cellStyle name="Normal 16 2 7 4 2 2 3 2 2 2 11 2 3" xfId="21033"/>
    <cellStyle name="Normal 16 2 7 4 2 2 3 2 2 2 11 2 4" xfId="27422"/>
    <cellStyle name="Normal 16 2 7 4 2 2 3 2 2 2 11 3" xfId="11039"/>
    <cellStyle name="Normal 16 2 7 4 2 2 3 2 2 2 11 4" xfId="17611"/>
    <cellStyle name="Normal 16 2 7 4 2 2 3 2 2 2 11 5" xfId="24018"/>
    <cellStyle name="Normal 16 2 7 4 2 2 3 2 2 2 12" xfId="2484"/>
    <cellStyle name="Normal 16 2 7 4 2 2 3 2 2 2 12 2" xfId="6019"/>
    <cellStyle name="Normal 16 2 7 4 2 2 3 2 2 2 12 2 2" xfId="14500"/>
    <cellStyle name="Normal 16 2 7 4 2 2 3 2 2 2 12 2 3" xfId="21014"/>
    <cellStyle name="Normal 16 2 7 4 2 2 3 2 2 2 12 2 4" xfId="27403"/>
    <cellStyle name="Normal 16 2 7 4 2 2 3 2 2 2 12 3" xfId="11020"/>
    <cellStyle name="Normal 16 2 7 4 2 2 3 2 2 2 12 4" xfId="17592"/>
    <cellStyle name="Normal 16 2 7 4 2 2 3 2 2 2 12 5" xfId="23999"/>
    <cellStyle name="Normal 16 2 7 4 2 2 3 2 2 2 13" xfId="2025"/>
    <cellStyle name="Normal 16 2 7 4 2 2 3 2 2 2 13 2" xfId="5606"/>
    <cellStyle name="Normal 16 2 7 4 2 2 3 2 2 2 13 2 2" xfId="14087"/>
    <cellStyle name="Normal 16 2 7 4 2 2 3 2 2 2 13 2 3" xfId="20601"/>
    <cellStyle name="Normal 16 2 7 4 2 2 3 2 2 2 13 2 4" xfId="26990"/>
    <cellStyle name="Normal 16 2 7 4 2 2 3 2 2 2 13 3" xfId="10588"/>
    <cellStyle name="Normal 16 2 7 4 2 2 3 2 2 2 13 4" xfId="9475"/>
    <cellStyle name="Normal 16 2 7 4 2 2 3 2 2 2 13 5" xfId="10235"/>
    <cellStyle name="Normal 16 2 7 4 2 2 3 2 2 2 14" xfId="2321"/>
    <cellStyle name="Normal 16 2 7 4 2 2 3 2 2 2 14 2" xfId="5883"/>
    <cellStyle name="Normal 16 2 7 4 2 2 3 2 2 2 14 2 2" xfId="14364"/>
    <cellStyle name="Normal 16 2 7 4 2 2 3 2 2 2 14 2 3" xfId="20878"/>
    <cellStyle name="Normal 16 2 7 4 2 2 3 2 2 2 14 2 4" xfId="27267"/>
    <cellStyle name="Normal 16 2 7 4 2 2 3 2 2 2 14 3" xfId="10872"/>
    <cellStyle name="Normal 16 2 7 4 2 2 3 2 2 2 14 4" xfId="17236"/>
    <cellStyle name="Normal 16 2 7 4 2 2 3 2 2 2 14 5" xfId="23711"/>
    <cellStyle name="Normal 16 2 7 4 2 2 3 2 2 2 15" xfId="2629"/>
    <cellStyle name="Normal 16 2 7 4 2 2 3 2 2 2 15 2" xfId="6137"/>
    <cellStyle name="Normal 16 2 7 4 2 2 3 2 2 2 15 2 2" xfId="14618"/>
    <cellStyle name="Normal 16 2 7 4 2 2 3 2 2 2 15 2 3" xfId="21132"/>
    <cellStyle name="Normal 16 2 7 4 2 2 3 2 2 2 15 2 4" xfId="27521"/>
    <cellStyle name="Normal 16 2 7 4 2 2 3 2 2 2 15 3" xfId="11144"/>
    <cellStyle name="Normal 16 2 7 4 2 2 3 2 2 2 15 4" xfId="17713"/>
    <cellStyle name="Normal 16 2 7 4 2 2 3 2 2 2 15 5" xfId="24117"/>
    <cellStyle name="Normal 16 2 7 4 2 2 3 2 2 2 16" xfId="1960"/>
    <cellStyle name="Normal 16 2 7 4 2 2 3 2 2 2 16 2" xfId="5552"/>
    <cellStyle name="Normal 16 2 7 4 2 2 3 2 2 2 16 2 2" xfId="14033"/>
    <cellStyle name="Normal 16 2 7 4 2 2 3 2 2 2 16 2 3" xfId="20547"/>
    <cellStyle name="Normal 16 2 7 4 2 2 3 2 2 2 16 2 4" xfId="26936"/>
    <cellStyle name="Normal 16 2 7 4 2 2 3 2 2 2 16 3" xfId="10530"/>
    <cellStyle name="Normal 16 2 7 4 2 2 3 2 2 2 16 4" xfId="10885"/>
    <cellStyle name="Normal 16 2 7 4 2 2 3 2 2 2 16 5" xfId="9341"/>
    <cellStyle name="Normal 16 2 7 4 2 2 3 2 2 2 17" xfId="2385"/>
    <cellStyle name="Normal 16 2 7 4 2 2 3 2 2 2 17 2" xfId="5936"/>
    <cellStyle name="Normal 16 2 7 4 2 2 3 2 2 2 17 2 2" xfId="14417"/>
    <cellStyle name="Normal 16 2 7 4 2 2 3 2 2 2 17 2 3" xfId="20931"/>
    <cellStyle name="Normal 16 2 7 4 2 2 3 2 2 2 17 2 4" xfId="27320"/>
    <cellStyle name="Normal 16 2 7 4 2 2 3 2 2 2 17 3" xfId="10930"/>
    <cellStyle name="Normal 16 2 7 4 2 2 3 2 2 2 17 4" xfId="17551"/>
    <cellStyle name="Normal 16 2 7 4 2 2 3 2 2 2 17 5" xfId="23959"/>
    <cellStyle name="Normal 16 2 7 4 2 2 3 2 2 2 18" xfId="5525"/>
    <cellStyle name="Normal 16 2 7 4 2 2 3 2 2 2 18 2" xfId="14006"/>
    <cellStyle name="Normal 16 2 7 4 2 2 3 2 2 2 18 3" xfId="20520"/>
    <cellStyle name="Normal 16 2 7 4 2 2 3 2 2 2 18 4" xfId="26909"/>
    <cellStyle name="Normal 16 2 7 4 2 2 3 2 2 2 19" xfId="10502"/>
    <cellStyle name="Normal 16 2 7 4 2 2 3 2 2 2 2" xfId="2404"/>
    <cellStyle name="Normal 16 2 7 4 2 2 3 2 2 2 2 2" xfId="5953"/>
    <cellStyle name="Normal 16 2 7 4 2 2 3 2 2 2 2 2 2" xfId="14434"/>
    <cellStyle name="Normal 16 2 7 4 2 2 3 2 2 2 2 2 3" xfId="20948"/>
    <cellStyle name="Normal 16 2 7 4 2 2 3 2 2 2 2 2 4" xfId="27337"/>
    <cellStyle name="Normal 16 2 7 4 2 2 3 2 2 2 2 3" xfId="10948"/>
    <cellStyle name="Normal 16 2 7 4 2 2 3 2 2 2 2 4" xfId="17554"/>
    <cellStyle name="Normal 16 2 7 4 2 2 3 2 2 2 2 5" xfId="23962"/>
    <cellStyle name="Normal 16 2 7 4 2 2 3 2 2 2 20" xfId="17513"/>
    <cellStyle name="Normal 16 2 7 4 2 2 3 2 2 2 21" xfId="23929"/>
    <cellStyle name="Normal 16 2 7 4 2 2 3 2 2 2 3" xfId="2532"/>
    <cellStyle name="Normal 16 2 7 4 2 2 3 2 2 2 3 2" xfId="6051"/>
    <cellStyle name="Normal 16 2 7 4 2 2 3 2 2 2 3 2 2" xfId="14532"/>
    <cellStyle name="Normal 16 2 7 4 2 2 3 2 2 2 3 2 3" xfId="21046"/>
    <cellStyle name="Normal 16 2 7 4 2 2 3 2 2 2 3 2 4" xfId="27435"/>
    <cellStyle name="Normal 16 2 7 4 2 2 3 2 2 2 3 3" xfId="11054"/>
    <cellStyle name="Normal 16 2 7 4 2 2 3 2 2 2 3 4" xfId="17625"/>
    <cellStyle name="Normal 16 2 7 4 2 2 3 2 2 2 3 5" xfId="24031"/>
    <cellStyle name="Normal 16 2 7 4 2 2 3 2 2 2 4" xfId="2004"/>
    <cellStyle name="Normal 16 2 7 4 2 2 3 2 2 2 4 2" xfId="5592"/>
    <cellStyle name="Normal 16 2 7 4 2 2 3 2 2 2 4 2 2" xfId="14073"/>
    <cellStyle name="Normal 16 2 7 4 2 2 3 2 2 2 4 2 3" xfId="20587"/>
    <cellStyle name="Normal 16 2 7 4 2 2 3 2 2 2 4 2 4" xfId="26976"/>
    <cellStyle name="Normal 16 2 7 4 2 2 3 2 2 2 4 3" xfId="10572"/>
    <cellStyle name="Normal 16 2 7 4 2 2 3 2 2 2 4 4" xfId="9490"/>
    <cellStyle name="Normal 16 2 7 4 2 2 3 2 2 2 4 5" xfId="10222"/>
    <cellStyle name="Normal 16 2 7 4 2 2 3 2 2 2 5" xfId="2342"/>
    <cellStyle name="Normal 16 2 7 4 2 2 3 2 2 2 5 2" xfId="5897"/>
    <cellStyle name="Normal 16 2 7 4 2 2 3 2 2 2 5 2 2" xfId="14378"/>
    <cellStyle name="Normal 16 2 7 4 2 2 3 2 2 2 5 2 3" xfId="20892"/>
    <cellStyle name="Normal 16 2 7 4 2 2 3 2 2 2 5 2 4" xfId="27281"/>
    <cellStyle name="Normal 16 2 7 4 2 2 3 2 2 2 5 3" xfId="10888"/>
    <cellStyle name="Normal 16 2 7 4 2 2 3 2 2 2 5 4" xfId="9339"/>
    <cellStyle name="Normal 16 2 7 4 2 2 3 2 2 2 5 5" xfId="17034"/>
    <cellStyle name="Normal 16 2 7 4 2 2 3 2 2 2 6" xfId="2612"/>
    <cellStyle name="Normal 16 2 7 4 2 2 3 2 2 2 6 2" xfId="6126"/>
    <cellStyle name="Normal 16 2 7 4 2 2 3 2 2 2 6 2 2" xfId="14607"/>
    <cellStyle name="Normal 16 2 7 4 2 2 3 2 2 2 6 2 3" xfId="21121"/>
    <cellStyle name="Normal 16 2 7 4 2 2 3 2 2 2 6 2 4" xfId="27510"/>
    <cellStyle name="Normal 16 2 7 4 2 2 3 2 2 2 6 3" xfId="11131"/>
    <cellStyle name="Normal 16 2 7 4 2 2 3 2 2 2 6 4" xfId="17701"/>
    <cellStyle name="Normal 16 2 7 4 2 2 3 2 2 2 6 5" xfId="24106"/>
    <cellStyle name="Normal 16 2 7 4 2 2 3 2 2 2 7" xfId="1968"/>
    <cellStyle name="Normal 16 2 7 4 2 2 3 2 2 2 7 2" xfId="5558"/>
    <cellStyle name="Normal 16 2 7 4 2 2 3 2 2 2 7 2 2" xfId="14039"/>
    <cellStyle name="Normal 16 2 7 4 2 2 3 2 2 2 7 2 3" xfId="20553"/>
    <cellStyle name="Normal 16 2 7 4 2 2 3 2 2 2 7 2 4" xfId="26942"/>
    <cellStyle name="Normal 16 2 7 4 2 2 3 2 2 2 7 3" xfId="10537"/>
    <cellStyle name="Normal 16 2 7 4 2 2 3 2 2 2 7 4" xfId="10610"/>
    <cellStyle name="Normal 16 2 7 4 2 2 3 2 2 2 7 5" xfId="9455"/>
    <cellStyle name="Normal 16 2 7 4 2 2 3 2 2 2 8" xfId="2378"/>
    <cellStyle name="Normal 16 2 7 4 2 2 3 2 2 2 8 2" xfId="5931"/>
    <cellStyle name="Normal 16 2 7 4 2 2 3 2 2 2 8 2 2" xfId="14412"/>
    <cellStyle name="Normal 16 2 7 4 2 2 3 2 2 2 8 2 3" xfId="20926"/>
    <cellStyle name="Normal 16 2 7 4 2 2 3 2 2 2 8 2 4" xfId="27315"/>
    <cellStyle name="Normal 16 2 7 4 2 2 3 2 2 2 8 3" xfId="10924"/>
    <cellStyle name="Normal 16 2 7 4 2 2 3 2 2 2 8 4" xfId="17464"/>
    <cellStyle name="Normal 16 2 7 4 2 2 3 2 2 2 8 5" xfId="23891"/>
    <cellStyle name="Normal 16 2 7 4 2 2 3 2 2 2 9" xfId="2562"/>
    <cellStyle name="Normal 16 2 7 4 2 2 3 2 2 2 9 2" xfId="6078"/>
    <cellStyle name="Normal 16 2 7 4 2 2 3 2 2 2 9 2 2" xfId="14559"/>
    <cellStyle name="Normal 16 2 7 4 2 2 3 2 2 2 9 2 3" xfId="21073"/>
    <cellStyle name="Normal 16 2 7 4 2 2 3 2 2 2 9 2 4" xfId="27462"/>
    <cellStyle name="Normal 16 2 7 4 2 2 3 2 2 2 9 3" xfId="11082"/>
    <cellStyle name="Normal 16 2 7 4 2 2 3 2 2 2 9 4" xfId="17652"/>
    <cellStyle name="Normal 16 2 7 4 2 2 3 2 2 2 9 5" xfId="24058"/>
    <cellStyle name="Normal 16 2 7 4 2 2 3 2 2 20" xfId="10300"/>
    <cellStyle name="Normal 16 2 7 4 2 2 3 2 2 21" xfId="9672"/>
    <cellStyle name="Normal 16 2 7 4 2 2 3 2 2 22" xfId="10095"/>
    <cellStyle name="Normal 16 2 7 4 2 2 3 2 2 3" xfId="2402"/>
    <cellStyle name="Normal 16 2 7 4 2 2 3 2 2 3 2" xfId="5952"/>
    <cellStyle name="Normal 16 2 7 4 2 2 3 2 2 3 2 2" xfId="14433"/>
    <cellStyle name="Normal 16 2 7 4 2 2 3 2 2 3 2 3" xfId="20947"/>
    <cellStyle name="Normal 16 2 7 4 2 2 3 2 2 3 2 4" xfId="27336"/>
    <cellStyle name="Normal 16 2 7 4 2 2 3 2 2 3 3" xfId="10946"/>
    <cellStyle name="Normal 16 2 7 4 2 2 3 2 2 3 4" xfId="17538"/>
    <cellStyle name="Normal 16 2 7 4 2 2 3 2 2 3 5" xfId="23948"/>
    <cellStyle name="Normal 16 2 7 4 2 2 3 2 2 4" xfId="2534"/>
    <cellStyle name="Normal 16 2 7 4 2 2 3 2 2 4 2" xfId="6052"/>
    <cellStyle name="Normal 16 2 7 4 2 2 3 2 2 4 2 2" xfId="14533"/>
    <cellStyle name="Normal 16 2 7 4 2 2 3 2 2 4 2 3" xfId="21047"/>
    <cellStyle name="Normal 16 2 7 4 2 2 3 2 2 4 2 4" xfId="27436"/>
    <cellStyle name="Normal 16 2 7 4 2 2 3 2 2 4 3" xfId="11056"/>
    <cellStyle name="Normal 16 2 7 4 2 2 3 2 2 4 4" xfId="17626"/>
    <cellStyle name="Normal 16 2 7 4 2 2 3 2 2 4 5" xfId="24032"/>
    <cellStyle name="Normal 16 2 7 4 2 2 3 2 2 5" xfId="2003"/>
    <cellStyle name="Normal 16 2 7 4 2 2 3 2 2 5 2" xfId="5591"/>
    <cellStyle name="Normal 16 2 7 4 2 2 3 2 2 5 2 2" xfId="14072"/>
    <cellStyle name="Normal 16 2 7 4 2 2 3 2 2 5 2 3" xfId="20586"/>
    <cellStyle name="Normal 16 2 7 4 2 2 3 2 2 5 2 4" xfId="26975"/>
    <cellStyle name="Normal 16 2 7 4 2 2 3 2 2 5 3" xfId="10571"/>
    <cellStyle name="Normal 16 2 7 4 2 2 3 2 2 5 4" xfId="9491"/>
    <cellStyle name="Normal 16 2 7 4 2 2 3 2 2 5 5" xfId="10221"/>
    <cellStyle name="Normal 16 2 7 4 2 2 3 2 2 6" xfId="2343"/>
    <cellStyle name="Normal 16 2 7 4 2 2 3 2 2 6 2" xfId="5898"/>
    <cellStyle name="Normal 16 2 7 4 2 2 3 2 2 6 2 2" xfId="14379"/>
    <cellStyle name="Normal 16 2 7 4 2 2 3 2 2 6 2 3" xfId="20893"/>
    <cellStyle name="Normal 16 2 7 4 2 2 3 2 2 6 2 4" xfId="27282"/>
    <cellStyle name="Normal 16 2 7 4 2 2 3 2 2 6 3" xfId="10889"/>
    <cellStyle name="Normal 16 2 7 4 2 2 3 2 2 6 4" xfId="9338"/>
    <cellStyle name="Normal 16 2 7 4 2 2 3 2 2 6 5" xfId="17033"/>
    <cellStyle name="Normal 16 2 7 4 2 2 3 2 2 7" xfId="2611"/>
    <cellStyle name="Normal 16 2 7 4 2 2 3 2 2 7 2" xfId="6125"/>
    <cellStyle name="Normal 16 2 7 4 2 2 3 2 2 7 2 2" xfId="14606"/>
    <cellStyle name="Normal 16 2 7 4 2 2 3 2 2 7 2 3" xfId="21120"/>
    <cellStyle name="Normal 16 2 7 4 2 2 3 2 2 7 2 4" xfId="27509"/>
    <cellStyle name="Normal 16 2 7 4 2 2 3 2 2 7 3" xfId="11130"/>
    <cellStyle name="Normal 16 2 7 4 2 2 3 2 2 7 4" xfId="17700"/>
    <cellStyle name="Normal 16 2 7 4 2 2 3 2 2 7 5" xfId="24105"/>
    <cellStyle name="Normal 16 2 7 4 2 2 3 2 2 8" xfId="2431"/>
    <cellStyle name="Normal 16 2 7 4 2 2 3 2 2 8 2" xfId="5972"/>
    <cellStyle name="Normal 16 2 7 4 2 2 3 2 2 8 2 2" xfId="14453"/>
    <cellStyle name="Normal 16 2 7 4 2 2 3 2 2 8 2 3" xfId="20967"/>
    <cellStyle name="Normal 16 2 7 4 2 2 3 2 2 8 2 4" xfId="27356"/>
    <cellStyle name="Normal 16 2 7 4 2 2 3 2 2 8 3" xfId="10970"/>
    <cellStyle name="Normal 16 2 7 4 2 2 3 2 2 8 4" xfId="17290"/>
    <cellStyle name="Normal 16 2 7 4 2 2 3 2 2 8 5" xfId="23763"/>
    <cellStyle name="Normal 16 2 7 4 2 2 3 2 2 9" xfId="2062"/>
    <cellStyle name="Normal 16 2 7 4 2 2 3 2 2 9 2" xfId="5638"/>
    <cellStyle name="Normal 16 2 7 4 2 2 3 2 2 9 2 2" xfId="14119"/>
    <cellStyle name="Normal 16 2 7 4 2 2 3 2 2 9 2 3" xfId="20633"/>
    <cellStyle name="Normal 16 2 7 4 2 2 3 2 2 9 2 4" xfId="27022"/>
    <cellStyle name="Normal 16 2 7 4 2 2 3 2 2 9 3" xfId="10623"/>
    <cellStyle name="Normal 16 2 7 4 2 2 3 2 2 9 4" xfId="17380"/>
    <cellStyle name="Normal 16 2 7 4 2 2 3 2 2 9 5" xfId="23820"/>
    <cellStyle name="Normal 16 2 7 4 2 2 3 2 20" xfId="5201"/>
    <cellStyle name="Normal 16 2 7 4 2 2 3 2 20 2" xfId="13683"/>
    <cellStyle name="Normal 16 2 7 4 2 2 3 2 20 3" xfId="20201"/>
    <cellStyle name="Normal 16 2 7 4 2 2 3 2 20 4" xfId="26590"/>
    <cellStyle name="Normal 16 2 7 4 2 2 3 2 21" xfId="9814"/>
    <cellStyle name="Normal 16 2 7 4 2 2 3 2 22" xfId="9936"/>
    <cellStyle name="Normal 16 2 7 4 2 2 3 2 23" xfId="9838"/>
    <cellStyle name="Normal 16 2 7 4 2 2 3 2 3" xfId="1805"/>
    <cellStyle name="Normal 16 2 7 4 2 2 3 2 3 2" xfId="5403"/>
    <cellStyle name="Normal 16 2 7 4 2 2 3 2 3 2 2" xfId="13884"/>
    <cellStyle name="Normal 16 2 7 4 2 2 3 2 3 2 3" xfId="20398"/>
    <cellStyle name="Normal 16 2 7 4 2 2 3 2 3 2 4" xfId="26787"/>
    <cellStyle name="Normal 16 2 7 4 2 2 3 2 3 3" xfId="10377"/>
    <cellStyle name="Normal 16 2 7 4 2 2 3 2 3 4" xfId="9621"/>
    <cellStyle name="Normal 16 2 7 4 2 2 3 2 3 5" xfId="17071"/>
    <cellStyle name="Normal 16 2 7 4 2 2 3 2 4" xfId="2401"/>
    <cellStyle name="Normal 16 2 7 4 2 2 3 2 4 2" xfId="5951"/>
    <cellStyle name="Normal 16 2 7 4 2 2 3 2 4 2 2" xfId="14432"/>
    <cellStyle name="Normal 16 2 7 4 2 2 3 2 4 2 3" xfId="20946"/>
    <cellStyle name="Normal 16 2 7 4 2 2 3 2 4 2 4" xfId="27335"/>
    <cellStyle name="Normal 16 2 7 4 2 2 3 2 4 3" xfId="10945"/>
    <cellStyle name="Normal 16 2 7 4 2 2 3 2 4 4" xfId="17526"/>
    <cellStyle name="Normal 16 2 7 4 2 2 3 2 4 5" xfId="23938"/>
    <cellStyle name="Normal 16 2 7 4 2 2 3 2 5" xfId="2535"/>
    <cellStyle name="Normal 16 2 7 4 2 2 3 2 5 2" xfId="6053"/>
    <cellStyle name="Normal 16 2 7 4 2 2 3 2 5 2 2" xfId="14534"/>
    <cellStyle name="Normal 16 2 7 4 2 2 3 2 5 2 3" xfId="21048"/>
    <cellStyle name="Normal 16 2 7 4 2 2 3 2 5 2 4" xfId="27437"/>
    <cellStyle name="Normal 16 2 7 4 2 2 3 2 5 3" xfId="11057"/>
    <cellStyle name="Normal 16 2 7 4 2 2 3 2 5 4" xfId="17627"/>
    <cellStyle name="Normal 16 2 7 4 2 2 3 2 5 5" xfId="24033"/>
    <cellStyle name="Normal 16 2 7 4 2 2 3 2 6" xfId="2475"/>
    <cellStyle name="Normal 16 2 7 4 2 2 3 2 6 2" xfId="6012"/>
    <cellStyle name="Normal 16 2 7 4 2 2 3 2 6 2 2" xfId="14493"/>
    <cellStyle name="Normal 16 2 7 4 2 2 3 2 6 2 3" xfId="21007"/>
    <cellStyle name="Normal 16 2 7 4 2 2 3 2 6 2 4" xfId="27396"/>
    <cellStyle name="Normal 16 2 7 4 2 2 3 2 6 3" xfId="11012"/>
    <cellStyle name="Normal 16 2 7 4 2 2 3 2 6 4" xfId="17585"/>
    <cellStyle name="Normal 16 2 7 4 2 2 3 2 6 5" xfId="23992"/>
    <cellStyle name="Normal 16 2 7 4 2 2 3 2 7" xfId="2505"/>
    <cellStyle name="Normal 16 2 7 4 2 2 3 2 7 2" xfId="6029"/>
    <cellStyle name="Normal 16 2 7 4 2 2 3 2 7 2 2" xfId="14510"/>
    <cellStyle name="Normal 16 2 7 4 2 2 3 2 7 2 3" xfId="21024"/>
    <cellStyle name="Normal 16 2 7 4 2 2 3 2 7 2 4" xfId="27413"/>
    <cellStyle name="Normal 16 2 7 4 2 2 3 2 7 3" xfId="11030"/>
    <cellStyle name="Normal 16 2 7 4 2 2 3 2 7 4" xfId="17602"/>
    <cellStyle name="Normal 16 2 7 4 2 2 3 2 7 5" xfId="24009"/>
    <cellStyle name="Normal 16 2 7 4 2 2 3 2 8" xfId="2488"/>
    <cellStyle name="Normal 16 2 7 4 2 2 3 2 8 2" xfId="6023"/>
    <cellStyle name="Normal 16 2 7 4 2 2 3 2 8 2 2" xfId="14504"/>
    <cellStyle name="Normal 16 2 7 4 2 2 3 2 8 2 3" xfId="21018"/>
    <cellStyle name="Normal 16 2 7 4 2 2 3 2 8 2 4" xfId="27407"/>
    <cellStyle name="Normal 16 2 7 4 2 2 3 2 8 3" xfId="11024"/>
    <cellStyle name="Normal 16 2 7 4 2 2 3 2 8 4" xfId="17596"/>
    <cellStyle name="Normal 16 2 7 4 2 2 3 2 8 5" xfId="24003"/>
    <cellStyle name="Normal 16 2 7 4 2 2 3 2 9" xfId="2501"/>
    <cellStyle name="Normal 16 2 7 4 2 2 3 2 9 2" xfId="6025"/>
    <cellStyle name="Normal 16 2 7 4 2 2 3 2 9 2 2" xfId="14506"/>
    <cellStyle name="Normal 16 2 7 4 2 2 3 2 9 2 3" xfId="21020"/>
    <cellStyle name="Normal 16 2 7 4 2 2 3 2 9 2 4" xfId="27409"/>
    <cellStyle name="Normal 16 2 7 4 2 2 3 2 9 3" xfId="11026"/>
    <cellStyle name="Normal 16 2 7 4 2 2 3 2 9 4" xfId="17598"/>
    <cellStyle name="Normal 16 2 7 4 2 2 3 2 9 5" xfId="24005"/>
    <cellStyle name="Normal 16 2 7 4 2 3" xfId="21004"/>
    <cellStyle name="Normal 16 2 7 4 2 4" xfId="27393"/>
    <cellStyle name="Normal 16 2 7 4 3" xfId="11009"/>
    <cellStyle name="Normal 16 2 7 4 4" xfId="17582"/>
    <cellStyle name="Normal 16 2 7 4 5" xfId="23989"/>
    <cellStyle name="Normal 16 2 7 5" xfId="2507"/>
    <cellStyle name="Normal 16 2 7 5 2" xfId="6031"/>
    <cellStyle name="Normal 16 2 7 5 2 2" xfId="14512"/>
    <cellStyle name="Normal 16 2 7 5 2 3" xfId="21026"/>
    <cellStyle name="Normal 16 2 7 5 2 4" xfId="27415"/>
    <cellStyle name="Normal 16 2 7 5 3" xfId="11032"/>
    <cellStyle name="Normal 16 2 7 5 4" xfId="17604"/>
    <cellStyle name="Normal 16 2 7 5 5" xfId="24011"/>
    <cellStyle name="Normal 16 2 7 6" xfId="2487"/>
    <cellStyle name="Normal 16 2 7 6 2" xfId="6022"/>
    <cellStyle name="Normal 16 2 7 6 2 2" xfId="14503"/>
    <cellStyle name="Normal 16 2 7 6 2 3" xfId="21017"/>
    <cellStyle name="Normal 16 2 7 6 2 4" xfId="27406"/>
    <cellStyle name="Normal 16 2 7 6 3" xfId="11023"/>
    <cellStyle name="Normal 16 2 7 6 4" xfId="17595"/>
    <cellStyle name="Normal 16 2 7 6 5" xfId="24002"/>
    <cellStyle name="Normal 16 2 7 7" xfId="2023"/>
    <cellStyle name="Normal 16 2 7 7 2" xfId="5604"/>
    <cellStyle name="Normal 16 2 7 7 2 2" xfId="14085"/>
    <cellStyle name="Normal 16 2 7 7 2 3" xfId="20599"/>
    <cellStyle name="Normal 16 2 7 7 2 4" xfId="26988"/>
    <cellStyle name="Normal 16 2 7 7 3" xfId="10586"/>
    <cellStyle name="Normal 16 2 7 7 4" xfId="9477"/>
    <cellStyle name="Normal 16 2 7 7 5" xfId="10233"/>
    <cellStyle name="Normal 16 2 7 8" xfId="2323"/>
    <cellStyle name="Normal 16 2 7 8 2" xfId="5885"/>
    <cellStyle name="Normal 16 2 7 8 2 2" xfId="14366"/>
    <cellStyle name="Normal 16 2 7 8 2 3" xfId="20880"/>
    <cellStyle name="Normal 16 2 7 8 2 4" xfId="27269"/>
    <cellStyle name="Normal 16 2 7 8 3" xfId="10874"/>
    <cellStyle name="Normal 16 2 7 8 4" xfId="17237"/>
    <cellStyle name="Normal 16 2 7 8 5" xfId="23712"/>
    <cellStyle name="Normal 16 2 7 9" xfId="2627"/>
    <cellStyle name="Normal 16 2 7 9 2" xfId="6135"/>
    <cellStyle name="Normal 16 2 7 9 2 2" xfId="14616"/>
    <cellStyle name="Normal 16 2 7 9 2 3" xfId="21130"/>
    <cellStyle name="Normal 16 2 7 9 2 4" xfId="27519"/>
    <cellStyle name="Normal 16 2 7 9 3" xfId="11142"/>
    <cellStyle name="Normal 16 2 7 9 4" xfId="17711"/>
    <cellStyle name="Normal 16 2 7 9 5" xfId="24115"/>
    <cellStyle name="Normal 16 2 8" xfId="3312"/>
    <cellStyle name="Normal 16 2 8 2" xfId="6791"/>
    <cellStyle name="Normal 16 2 8 2 2" xfId="15272"/>
    <cellStyle name="Normal 16 2 8 2 3" xfId="21786"/>
    <cellStyle name="Normal 16 2 8 2 4" xfId="28175"/>
    <cellStyle name="Normal 16 2 8 3" xfId="11810"/>
    <cellStyle name="Normal 16 2 8 4" xfId="18369"/>
    <cellStyle name="Normal 16 2 8 5" xfId="24771"/>
    <cellStyle name="Normal 16 2 9" xfId="3483"/>
    <cellStyle name="Normal 16 2 9 2" xfId="6956"/>
    <cellStyle name="Normal 16 2 9 2 2" xfId="15437"/>
    <cellStyle name="Normal 16 2 9 2 3" xfId="21951"/>
    <cellStyle name="Normal 16 2 9 2 4" xfId="28340"/>
    <cellStyle name="Normal 16 2 9 3" xfId="11979"/>
    <cellStyle name="Normal 16 2 9 4" xfId="18535"/>
    <cellStyle name="Normal 16 2 9 5" xfId="24936"/>
    <cellStyle name="Normal 16 20" xfId="761"/>
    <cellStyle name="Normal 16 21" xfId="1803"/>
    <cellStyle name="Normal 16 21 2" xfId="5401"/>
    <cellStyle name="Normal 16 21 2 2" xfId="13882"/>
    <cellStyle name="Normal 16 21 2 3" xfId="20396"/>
    <cellStyle name="Normal 16 21 2 4" xfId="26785"/>
    <cellStyle name="Normal 16 21 3" xfId="10375"/>
    <cellStyle name="Normal 16 21 4" xfId="9623"/>
    <cellStyle name="Normal 16 21 5" xfId="10124"/>
    <cellStyle name="Normal 16 22" xfId="2137"/>
    <cellStyle name="Normal 16 22 2" xfId="5710"/>
    <cellStyle name="Normal 16 22 2 2" xfId="14191"/>
    <cellStyle name="Normal 16 22 2 3" xfId="20705"/>
    <cellStyle name="Normal 16 22 2 4" xfId="27094"/>
    <cellStyle name="Normal 16 22 3" xfId="10696"/>
    <cellStyle name="Normal 16 22 4" xfId="9377"/>
    <cellStyle name="Normal 16 22 5" xfId="10285"/>
    <cellStyle name="Normal 16 23" xfId="2793"/>
    <cellStyle name="Normal 16 23 2" xfId="6291"/>
    <cellStyle name="Normal 16 23 2 2" xfId="14772"/>
    <cellStyle name="Normal 16 23 2 3" xfId="21286"/>
    <cellStyle name="Normal 16 23 2 4" xfId="27675"/>
    <cellStyle name="Normal 16 23 3" xfId="11300"/>
    <cellStyle name="Normal 16 23 4" xfId="17869"/>
    <cellStyle name="Normal 16 23 5" xfId="24271"/>
    <cellStyle name="Normal 16 24" xfId="2967"/>
    <cellStyle name="Normal 16 24 2" xfId="6458"/>
    <cellStyle name="Normal 16 24 2 2" xfId="14939"/>
    <cellStyle name="Normal 16 24 2 3" xfId="21453"/>
    <cellStyle name="Normal 16 24 2 4" xfId="27842"/>
    <cellStyle name="Normal 16 24 3" xfId="11470"/>
    <cellStyle name="Normal 16 24 4" xfId="18036"/>
    <cellStyle name="Normal 16 24 5" xfId="24438"/>
    <cellStyle name="Normal 16 25" xfId="3140"/>
    <cellStyle name="Normal 16 25 2" xfId="6625"/>
    <cellStyle name="Normal 16 25 2 2" xfId="15106"/>
    <cellStyle name="Normal 16 25 2 3" xfId="21620"/>
    <cellStyle name="Normal 16 25 2 4" xfId="28009"/>
    <cellStyle name="Normal 16 25 3" xfId="11641"/>
    <cellStyle name="Normal 16 25 4" xfId="18203"/>
    <cellStyle name="Normal 16 25 5" xfId="24605"/>
    <cellStyle name="Normal 16 26" xfId="3313"/>
    <cellStyle name="Normal 16 26 2" xfId="6792"/>
    <cellStyle name="Normal 16 26 2 2" xfId="15273"/>
    <cellStyle name="Normal 16 26 2 3" xfId="21787"/>
    <cellStyle name="Normal 16 26 2 4" xfId="28176"/>
    <cellStyle name="Normal 16 26 3" xfId="11811"/>
    <cellStyle name="Normal 16 26 4" xfId="18370"/>
    <cellStyle name="Normal 16 26 5" xfId="24772"/>
    <cellStyle name="Normal 16 27" xfId="3484"/>
    <cellStyle name="Normal 16 27 2" xfId="6957"/>
    <cellStyle name="Normal 16 27 2 2" xfId="15438"/>
    <cellStyle name="Normal 16 27 2 3" xfId="21952"/>
    <cellStyle name="Normal 16 27 2 4" xfId="28341"/>
    <cellStyle name="Normal 16 27 3" xfId="11980"/>
    <cellStyle name="Normal 16 27 4" xfId="18536"/>
    <cellStyle name="Normal 16 27 5" xfId="24937"/>
    <cellStyle name="Normal 16 28" xfId="3654"/>
    <cellStyle name="Normal 16 28 2" xfId="7121"/>
    <cellStyle name="Normal 16 28 2 2" xfId="15602"/>
    <cellStyle name="Normal 16 28 2 3" xfId="22116"/>
    <cellStyle name="Normal 16 28 2 4" xfId="28505"/>
    <cellStyle name="Normal 16 28 3" xfId="12149"/>
    <cellStyle name="Normal 16 28 4" xfId="18702"/>
    <cellStyle name="Normal 16 28 5" xfId="25101"/>
    <cellStyle name="Normal 16 29" xfId="3823"/>
    <cellStyle name="Normal 16 29 2" xfId="7284"/>
    <cellStyle name="Normal 16 29 2 2" xfId="15765"/>
    <cellStyle name="Normal 16 29 2 3" xfId="22279"/>
    <cellStyle name="Normal 16 29 2 4" xfId="28668"/>
    <cellStyle name="Normal 16 29 3" xfId="12317"/>
    <cellStyle name="Normal 16 29 4" xfId="18867"/>
    <cellStyle name="Normal 16 29 5" xfId="25264"/>
    <cellStyle name="Normal 16 3" xfId="762"/>
    <cellStyle name="Normal 16 30" xfId="3990"/>
    <cellStyle name="Normal 16 30 2" xfId="7446"/>
    <cellStyle name="Normal 16 30 2 2" xfId="15927"/>
    <cellStyle name="Normal 16 30 2 3" xfId="22441"/>
    <cellStyle name="Normal 16 30 2 4" xfId="28830"/>
    <cellStyle name="Normal 16 30 3" xfId="12483"/>
    <cellStyle name="Normal 16 30 4" xfId="19030"/>
    <cellStyle name="Normal 16 30 5" xfId="25426"/>
    <cellStyle name="Normal 16 31" xfId="4155"/>
    <cellStyle name="Normal 16 31 2" xfId="7606"/>
    <cellStyle name="Normal 16 31 2 2" xfId="16087"/>
    <cellStyle name="Normal 16 31 2 3" xfId="22601"/>
    <cellStyle name="Normal 16 31 2 4" xfId="28990"/>
    <cellStyle name="Normal 16 31 3" xfId="12647"/>
    <cellStyle name="Normal 16 31 4" xfId="19191"/>
    <cellStyle name="Normal 16 31 5" xfId="25586"/>
    <cellStyle name="Normal 16 32" xfId="4317"/>
    <cellStyle name="Normal 16 32 2" xfId="7763"/>
    <cellStyle name="Normal 16 32 2 2" xfId="16244"/>
    <cellStyle name="Normal 16 32 2 3" xfId="22758"/>
    <cellStyle name="Normal 16 32 2 4" xfId="29147"/>
    <cellStyle name="Normal 16 32 3" xfId="12808"/>
    <cellStyle name="Normal 16 32 4" xfId="19349"/>
    <cellStyle name="Normal 16 32 5" xfId="25743"/>
    <cellStyle name="Normal 16 33" xfId="4477"/>
    <cellStyle name="Normal 16 33 2" xfId="7918"/>
    <cellStyle name="Normal 16 33 2 2" xfId="16399"/>
    <cellStyle name="Normal 16 33 2 3" xfId="22913"/>
    <cellStyle name="Normal 16 33 2 4" xfId="29302"/>
    <cellStyle name="Normal 16 33 3" xfId="12968"/>
    <cellStyle name="Normal 16 33 4" xfId="19505"/>
    <cellStyle name="Normal 16 33 5" xfId="25898"/>
    <cellStyle name="Normal 16 34" xfId="4637"/>
    <cellStyle name="Normal 16 34 2" xfId="8073"/>
    <cellStyle name="Normal 16 34 2 2" xfId="16554"/>
    <cellStyle name="Normal 16 34 2 3" xfId="23068"/>
    <cellStyle name="Normal 16 34 2 4" xfId="29457"/>
    <cellStyle name="Normal 16 34 3" xfId="13127"/>
    <cellStyle name="Normal 16 34 4" xfId="19661"/>
    <cellStyle name="Normal 16 34 5" xfId="26053"/>
    <cellStyle name="Normal 16 35" xfId="4796"/>
    <cellStyle name="Normal 16 35 2" xfId="8227"/>
    <cellStyle name="Normal 16 35 2 2" xfId="16708"/>
    <cellStyle name="Normal 16 35 2 3" xfId="23222"/>
    <cellStyle name="Normal 16 35 2 4" xfId="29611"/>
    <cellStyle name="Normal 16 35 3" xfId="13285"/>
    <cellStyle name="Normal 16 35 4" xfId="19816"/>
    <cellStyle name="Normal 16 35 5" xfId="26207"/>
    <cellStyle name="Normal 16 36" xfId="4954"/>
    <cellStyle name="Normal 16 36 2" xfId="8380"/>
    <cellStyle name="Normal 16 36 2 2" xfId="16861"/>
    <cellStyle name="Normal 16 36 2 3" xfId="23375"/>
    <cellStyle name="Normal 16 36 2 4" xfId="29764"/>
    <cellStyle name="Normal 16 36 3" xfId="13442"/>
    <cellStyle name="Normal 16 36 4" xfId="19970"/>
    <cellStyle name="Normal 16 36 5" xfId="26360"/>
    <cellStyle name="Normal 16 37" xfId="5083"/>
    <cellStyle name="Normal 16 37 2" xfId="8504"/>
    <cellStyle name="Normal 16 37 2 2" xfId="16985"/>
    <cellStyle name="Normal 16 37 2 3" xfId="23499"/>
    <cellStyle name="Normal 16 37 2 4" xfId="29888"/>
    <cellStyle name="Normal 16 37 3" xfId="13569"/>
    <cellStyle name="Normal 16 37 4" xfId="20094"/>
    <cellStyle name="Normal 16 37 5" xfId="26484"/>
    <cellStyle name="Normal 16 38" xfId="5199"/>
    <cellStyle name="Normal 16 38 2" xfId="13681"/>
    <cellStyle name="Normal 16 38 3" xfId="20199"/>
    <cellStyle name="Normal 16 38 4" xfId="26588"/>
    <cellStyle name="Normal 16 39" xfId="9811"/>
    <cellStyle name="Normal 16 4" xfId="763"/>
    <cellStyle name="Normal 16 40" xfId="9939"/>
    <cellStyle name="Normal 16 41" xfId="9835"/>
    <cellStyle name="Normal 16 5" xfId="764"/>
    <cellStyle name="Normal 16 6" xfId="765"/>
    <cellStyle name="Normal 16 7" xfId="766"/>
    <cellStyle name="Normal 16 8" xfId="767"/>
    <cellStyle name="Normal 16 9" xfId="768"/>
    <cellStyle name="Normal 160" xfId="769"/>
    <cellStyle name="Normal 161" xfId="770"/>
    <cellStyle name="Normal 162" xfId="771"/>
    <cellStyle name="Normal 163" xfId="772"/>
    <cellStyle name="Normal 164" xfId="773"/>
    <cellStyle name="Normal 165" xfId="774"/>
    <cellStyle name="Normal 166" xfId="5131"/>
    <cellStyle name="Normal 166 10" xfId="775"/>
    <cellStyle name="Normal 166 10 10" xfId="2661"/>
    <cellStyle name="Normal 166 10 10 2" xfId="6165"/>
    <cellStyle name="Normal 166 10 10 2 2" xfId="14646"/>
    <cellStyle name="Normal 166 10 10 2 3" xfId="21160"/>
    <cellStyle name="Normal 166 10 10 2 4" xfId="27549"/>
    <cellStyle name="Normal 166 10 10 3" xfId="11173"/>
    <cellStyle name="Normal 166 10 10 4" xfId="17742"/>
    <cellStyle name="Normal 166 10 10 5" xfId="24145"/>
    <cellStyle name="Normal 166 10 11" xfId="2405"/>
    <cellStyle name="Normal 166 10 11 2" xfId="5954"/>
    <cellStyle name="Normal 166 10 11 2 2" xfId="14435"/>
    <cellStyle name="Normal 166 10 11 2 3" xfId="20949"/>
    <cellStyle name="Normal 166 10 11 2 4" xfId="27338"/>
    <cellStyle name="Normal 166 10 11 3" xfId="10949"/>
    <cellStyle name="Normal 166 10 11 4" xfId="17312"/>
    <cellStyle name="Normal 166 10 11 5" xfId="23784"/>
    <cellStyle name="Normal 166 10 12" xfId="2531"/>
    <cellStyle name="Normal 166 10 12 2" xfId="6050"/>
    <cellStyle name="Normal 166 10 12 2 2" xfId="14531"/>
    <cellStyle name="Normal 166 10 12 2 3" xfId="21045"/>
    <cellStyle name="Normal 166 10 12 2 4" xfId="27434"/>
    <cellStyle name="Normal 166 10 12 3" xfId="11053"/>
    <cellStyle name="Normal 166 10 12 4" xfId="17624"/>
    <cellStyle name="Normal 166 10 12 5" xfId="24030"/>
    <cellStyle name="Normal 166 10 13" xfId="2477"/>
    <cellStyle name="Normal 166 10 13 2" xfId="6013"/>
    <cellStyle name="Normal 166 10 13 2 2" xfId="14494"/>
    <cellStyle name="Normal 166 10 13 2 3" xfId="21008"/>
    <cellStyle name="Normal 166 10 13 2 4" xfId="27397"/>
    <cellStyle name="Normal 166 10 13 3" xfId="11014"/>
    <cellStyle name="Normal 166 10 13 4" xfId="17586"/>
    <cellStyle name="Normal 166 10 13 5" xfId="23993"/>
    <cellStyle name="Normal 166 10 14" xfId="2030"/>
    <cellStyle name="Normal 166 10 14 2" xfId="5610"/>
    <cellStyle name="Normal 166 10 14 2 2" xfId="14091"/>
    <cellStyle name="Normal 166 10 14 2 3" xfId="20605"/>
    <cellStyle name="Normal 166 10 14 2 4" xfId="26994"/>
    <cellStyle name="Normal 166 10 14 3" xfId="10592"/>
    <cellStyle name="Normal 166 10 14 4" xfId="9471"/>
    <cellStyle name="Normal 166 10 14 5" xfId="17356"/>
    <cellStyle name="Normal 166 10 15" xfId="2316"/>
    <cellStyle name="Normal 166 10 15 2" xfId="5879"/>
    <cellStyle name="Normal 166 10 15 2 2" xfId="14360"/>
    <cellStyle name="Normal 166 10 15 2 3" xfId="20874"/>
    <cellStyle name="Normal 166 10 15 2 4" xfId="27263"/>
    <cellStyle name="Normal 166 10 15 3" xfId="10868"/>
    <cellStyle name="Normal 166 10 15 4" xfId="17500"/>
    <cellStyle name="Normal 166 10 15 5" xfId="23918"/>
    <cellStyle name="Normal 166 10 16" xfId="2634"/>
    <cellStyle name="Normal 166 10 16 2" xfId="6141"/>
    <cellStyle name="Normal 166 10 16 2 2" xfId="14622"/>
    <cellStyle name="Normal 166 10 16 2 3" xfId="21136"/>
    <cellStyle name="Normal 166 10 16 2 4" xfId="27525"/>
    <cellStyle name="Normal 166 10 16 3" xfId="11148"/>
    <cellStyle name="Normal 166 10 16 4" xfId="17717"/>
    <cellStyle name="Normal 166 10 16 5" xfId="24121"/>
    <cellStyle name="Normal 166 10 17" xfId="2420"/>
    <cellStyle name="Normal 166 10 17 2" xfId="5966"/>
    <cellStyle name="Normal 166 10 17 2 2" xfId="14447"/>
    <cellStyle name="Normal 166 10 17 2 3" xfId="20961"/>
    <cellStyle name="Normal 166 10 17 2 4" xfId="27350"/>
    <cellStyle name="Normal 166 10 17 3" xfId="10963"/>
    <cellStyle name="Normal 166 10 17 4" xfId="17283"/>
    <cellStyle name="Normal 166 10 17 5" xfId="23757"/>
    <cellStyle name="Normal 166 10 18" xfId="2067"/>
    <cellStyle name="Normal 166 10 18 2" xfId="5641"/>
    <cellStyle name="Normal 166 10 18 2 2" xfId="14122"/>
    <cellStyle name="Normal 166 10 18 2 3" xfId="20636"/>
    <cellStyle name="Normal 166 10 18 2 4" xfId="27025"/>
    <cellStyle name="Normal 166 10 18 3" xfId="10627"/>
    <cellStyle name="Normal 166 10 18 4" xfId="9441"/>
    <cellStyle name="Normal 166 10 18 5" xfId="10256"/>
    <cellStyle name="Normal 166 10 19" xfId="5202"/>
    <cellStyle name="Normal 166 10 19 2" xfId="13684"/>
    <cellStyle name="Normal 166 10 19 3" xfId="20202"/>
    <cellStyle name="Normal 166 10 19 4" xfId="26591"/>
    <cellStyle name="Normal 166 10 2" xfId="1806"/>
    <cellStyle name="Normal 166 10 2 2" xfId="5404"/>
    <cellStyle name="Normal 166 10 2 2 2" xfId="13885"/>
    <cellStyle name="Normal 166 10 2 2 3" xfId="20399"/>
    <cellStyle name="Normal 166 10 2 2 4" xfId="26788"/>
    <cellStyle name="Normal 166 10 2 3" xfId="10378"/>
    <cellStyle name="Normal 166 10 2 4" xfId="9620"/>
    <cellStyle name="Normal 166 10 2 5" xfId="17070"/>
    <cellStyle name="Normal 166 10 20" xfId="9823"/>
    <cellStyle name="Normal 166 10 21" xfId="9932"/>
    <cellStyle name="Normal 166 10 22" xfId="9840"/>
    <cellStyle name="Normal 166 10 3" xfId="2546"/>
    <cellStyle name="Normal 166 10 3 2" xfId="6064"/>
    <cellStyle name="Normal 166 10 3 2 2" xfId="14545"/>
    <cellStyle name="Normal 166 10 3 2 3" xfId="21059"/>
    <cellStyle name="Normal 166 10 3 2 4" xfId="27448"/>
    <cellStyle name="Normal 166 10 3 3" xfId="11068"/>
    <cellStyle name="Normal 166 10 3 4" xfId="17638"/>
    <cellStyle name="Normal 166 10 3 5" xfId="24044"/>
    <cellStyle name="Normal 166 10 4" xfId="1996"/>
    <cellStyle name="Normal 166 10 4 2" xfId="5585"/>
    <cellStyle name="Normal 166 10 4 2 2" xfId="14066"/>
    <cellStyle name="Normal 166 10 4 2 3" xfId="20580"/>
    <cellStyle name="Normal 166 10 4 2 4" xfId="26969"/>
    <cellStyle name="Normal 166 10 4 3" xfId="10565"/>
    <cellStyle name="Normal 166 10 4 4" xfId="9497"/>
    <cellStyle name="Normal 166 10 4 5" xfId="10215"/>
    <cellStyle name="Normal 166 10 5" xfId="2349"/>
    <cellStyle name="Normal 166 10 5 2" xfId="5904"/>
    <cellStyle name="Normal 166 10 5 2 2" xfId="14385"/>
    <cellStyle name="Normal 166 10 5 2 3" xfId="20899"/>
    <cellStyle name="Normal 166 10 5 2 4" xfId="27288"/>
    <cellStyle name="Normal 166 10 5 3" xfId="10895"/>
    <cellStyle name="Normal 166 10 5 4" xfId="17249"/>
    <cellStyle name="Normal 166 10 5 5" xfId="23724"/>
    <cellStyle name="Normal 166 10 6" xfId="2606"/>
    <cellStyle name="Normal 166 10 6 2" xfId="6120"/>
    <cellStyle name="Normal 166 10 6 2 2" xfId="14601"/>
    <cellStyle name="Normal 166 10 6 2 3" xfId="21115"/>
    <cellStyle name="Normal 166 10 6 2 4" xfId="27504"/>
    <cellStyle name="Normal 166 10 6 3" xfId="11125"/>
    <cellStyle name="Normal 166 10 6 4" xfId="17695"/>
    <cellStyle name="Normal 166 10 6 5" xfId="24100"/>
    <cellStyle name="Normal 166 10 7" xfId="2434"/>
    <cellStyle name="Normal 166 10 7 2" xfId="5975"/>
    <cellStyle name="Normal 166 10 7 2 2" xfId="14456"/>
    <cellStyle name="Normal 166 10 7 2 3" xfId="20970"/>
    <cellStyle name="Normal 166 10 7 2 4" xfId="27359"/>
    <cellStyle name="Normal 166 10 7 3" xfId="10973"/>
    <cellStyle name="Normal 166 10 7 4" xfId="17293"/>
    <cellStyle name="Normal 166 10 7 5" xfId="23766"/>
    <cellStyle name="Normal 166 10 8" xfId="2059"/>
    <cellStyle name="Normal 166 10 8 2" xfId="5635"/>
    <cellStyle name="Normal 166 10 8 2 2" xfId="14116"/>
    <cellStyle name="Normal 166 10 8 2 3" xfId="20630"/>
    <cellStyle name="Normal 166 10 8 2 4" xfId="27019"/>
    <cellStyle name="Normal 166 10 8 3" xfId="10620"/>
    <cellStyle name="Normal 166 10 8 4" xfId="9446"/>
    <cellStyle name="Normal 166 10 8 5" xfId="10253"/>
    <cellStyle name="Normal 166 10 9" xfId="2288"/>
    <cellStyle name="Normal 166 10 9 2" xfId="5855"/>
    <cellStyle name="Normal 166 10 9 2 2" xfId="14336"/>
    <cellStyle name="Normal 166 10 9 2 3" xfId="20850"/>
    <cellStyle name="Normal 166 10 9 2 4" xfId="27239"/>
    <cellStyle name="Normal 166 10 9 3" xfId="10842"/>
    <cellStyle name="Normal 166 10 9 4" xfId="17212"/>
    <cellStyle name="Normal 166 10 9 5" xfId="23687"/>
    <cellStyle name="Normal 166 11" xfId="776"/>
    <cellStyle name="Normal 166 11 10" xfId="2449"/>
    <cellStyle name="Normal 166 11 10 2" xfId="5988"/>
    <cellStyle name="Normal 166 11 10 2 2" xfId="14469"/>
    <cellStyle name="Normal 166 11 10 2 3" xfId="20983"/>
    <cellStyle name="Normal 166 11 10 2 4" xfId="27372"/>
    <cellStyle name="Normal 166 11 10 3" xfId="10987"/>
    <cellStyle name="Normal 166 11 10 4" xfId="17561"/>
    <cellStyle name="Normal 166 11 10 5" xfId="23968"/>
    <cellStyle name="Normal 166 11 11" xfId="2044"/>
    <cellStyle name="Normal 166 11 11 2" xfId="5622"/>
    <cellStyle name="Normal 166 11 11 2 2" xfId="14103"/>
    <cellStyle name="Normal 166 11 11 2 3" xfId="20617"/>
    <cellStyle name="Normal 166 11 11 2 4" xfId="27006"/>
    <cellStyle name="Normal 166 11 11 3" xfId="10605"/>
    <cellStyle name="Normal 166 11 11 4" xfId="9460"/>
    <cellStyle name="Normal 166 11 11 5" xfId="10242"/>
    <cellStyle name="Normal 166 11 12" xfId="2303"/>
    <cellStyle name="Normal 166 11 12 2" xfId="5868"/>
    <cellStyle name="Normal 166 11 12 2 2" xfId="14349"/>
    <cellStyle name="Normal 166 11 12 2 3" xfId="20863"/>
    <cellStyle name="Normal 166 11 12 2 4" xfId="27252"/>
    <cellStyle name="Normal 166 11 12 3" xfId="10855"/>
    <cellStyle name="Normal 166 11 12 4" xfId="17224"/>
    <cellStyle name="Normal 166 11 12 5" xfId="23699"/>
    <cellStyle name="Normal 166 11 13" xfId="2646"/>
    <cellStyle name="Normal 166 11 13 2" xfId="6152"/>
    <cellStyle name="Normal 166 11 13 2 2" xfId="14633"/>
    <cellStyle name="Normal 166 11 13 2 3" xfId="21147"/>
    <cellStyle name="Normal 166 11 13 2 4" xfId="27536"/>
    <cellStyle name="Normal 166 11 13 3" xfId="11160"/>
    <cellStyle name="Normal 166 11 13 4" xfId="17729"/>
    <cellStyle name="Normal 166 11 13 5" xfId="24132"/>
    <cellStyle name="Normal 166 11 14" xfId="1953"/>
    <cellStyle name="Normal 166 11 14 2" xfId="5545"/>
    <cellStyle name="Normal 166 11 14 2 2" xfId="14026"/>
    <cellStyle name="Normal 166 11 14 2 3" xfId="20540"/>
    <cellStyle name="Normal 166 11 14 2 4" xfId="26929"/>
    <cellStyle name="Normal 166 11 14 3" xfId="10523"/>
    <cellStyle name="Normal 166 11 14 4" xfId="9524"/>
    <cellStyle name="Normal 166 11 14 5" xfId="10189"/>
    <cellStyle name="Normal 166 11 15" xfId="2392"/>
    <cellStyle name="Normal 166 11 15 2" xfId="5943"/>
    <cellStyle name="Normal 166 11 15 2 2" xfId="14424"/>
    <cellStyle name="Normal 166 11 15 2 3" xfId="20938"/>
    <cellStyle name="Normal 166 11 15 2 4" xfId="27327"/>
    <cellStyle name="Normal 166 11 15 3" xfId="10937"/>
    <cellStyle name="Normal 166 11 15 4" xfId="17427"/>
    <cellStyle name="Normal 166 11 15 5" xfId="23863"/>
    <cellStyle name="Normal 166 11 16" xfId="2542"/>
    <cellStyle name="Normal 166 11 16 2" xfId="6060"/>
    <cellStyle name="Normal 166 11 16 2 2" xfId="14541"/>
    <cellStyle name="Normal 166 11 16 2 3" xfId="21055"/>
    <cellStyle name="Normal 166 11 16 2 4" xfId="27444"/>
    <cellStyle name="Normal 166 11 16 3" xfId="11064"/>
    <cellStyle name="Normal 166 11 16 4" xfId="17634"/>
    <cellStyle name="Normal 166 11 16 5" xfId="24040"/>
    <cellStyle name="Normal 166 11 17" xfId="2471"/>
    <cellStyle name="Normal 166 11 17 2" xfId="6008"/>
    <cellStyle name="Normal 166 11 17 2 2" xfId="14489"/>
    <cellStyle name="Normal 166 11 17 2 3" xfId="21003"/>
    <cellStyle name="Normal 166 11 17 2 4" xfId="27392"/>
    <cellStyle name="Normal 166 11 17 3" xfId="11008"/>
    <cellStyle name="Normal 166 11 17 4" xfId="17581"/>
    <cellStyle name="Normal 166 11 17 5" xfId="23988"/>
    <cellStyle name="Normal 166 11 18" xfId="2508"/>
    <cellStyle name="Normal 166 11 18 2" xfId="6032"/>
    <cellStyle name="Normal 166 11 18 2 2" xfId="14513"/>
    <cellStyle name="Normal 166 11 18 2 3" xfId="21027"/>
    <cellStyle name="Normal 166 11 18 2 4" xfId="27416"/>
    <cellStyle name="Normal 166 11 18 3" xfId="11033"/>
    <cellStyle name="Normal 166 11 18 4" xfId="17605"/>
    <cellStyle name="Normal 166 11 18 5" xfId="24012"/>
    <cellStyle name="Normal 166 11 19" xfId="5203"/>
    <cellStyle name="Normal 166 11 19 2" xfId="13685"/>
    <cellStyle name="Normal 166 11 19 3" xfId="20203"/>
    <cellStyle name="Normal 166 11 19 4" xfId="26592"/>
    <cellStyle name="Normal 166 11 2" xfId="1807"/>
    <cellStyle name="Normal 166 11 2 2" xfId="5405"/>
    <cellStyle name="Normal 166 11 2 2 2" xfId="13886"/>
    <cellStyle name="Normal 166 11 2 2 3" xfId="20400"/>
    <cellStyle name="Normal 166 11 2 2 4" xfId="26789"/>
    <cellStyle name="Normal 166 11 2 3" xfId="10379"/>
    <cellStyle name="Normal 166 11 2 4" xfId="9619"/>
    <cellStyle name="Normal 166 11 2 5" xfId="17069"/>
    <cellStyle name="Normal 166 11 20" xfId="9824"/>
    <cellStyle name="Normal 166 11 21" xfId="9931"/>
    <cellStyle name="Normal 166 11 22" xfId="9841"/>
    <cellStyle name="Normal 166 11 3" xfId="2547"/>
    <cellStyle name="Normal 166 11 3 2" xfId="6065"/>
    <cellStyle name="Normal 166 11 3 2 2" xfId="14546"/>
    <cellStyle name="Normal 166 11 3 2 3" xfId="21060"/>
    <cellStyle name="Normal 166 11 3 2 4" xfId="27449"/>
    <cellStyle name="Normal 166 11 3 3" xfId="11069"/>
    <cellStyle name="Normal 166 11 3 4" xfId="17639"/>
    <cellStyle name="Normal 166 11 3 5" xfId="24045"/>
    <cellStyle name="Normal 166 11 4" xfId="1995"/>
    <cellStyle name="Normal 166 11 4 2" xfId="5584"/>
    <cellStyle name="Normal 166 11 4 2 2" xfId="14065"/>
    <cellStyle name="Normal 166 11 4 2 3" xfId="20579"/>
    <cellStyle name="Normal 166 11 4 2 4" xfId="26968"/>
    <cellStyle name="Normal 166 11 4 3" xfId="10564"/>
    <cellStyle name="Normal 166 11 4 4" xfId="9498"/>
    <cellStyle name="Normal 166 11 4 5" xfId="10214"/>
    <cellStyle name="Normal 166 11 5" xfId="2350"/>
    <cellStyle name="Normal 166 11 5 2" xfId="5905"/>
    <cellStyle name="Normal 166 11 5 2 2" xfId="14386"/>
    <cellStyle name="Normal 166 11 5 2 3" xfId="20900"/>
    <cellStyle name="Normal 166 11 5 2 4" xfId="27289"/>
    <cellStyle name="Normal 166 11 5 3" xfId="10896"/>
    <cellStyle name="Normal 166 11 5 4" xfId="17250"/>
    <cellStyle name="Normal 166 11 5 5" xfId="23725"/>
    <cellStyle name="Normal 166 11 6" xfId="2605"/>
    <cellStyle name="Normal 166 11 6 2" xfId="6119"/>
    <cellStyle name="Normal 166 11 6 2 2" xfId="14600"/>
    <cellStyle name="Normal 166 11 6 2 3" xfId="21114"/>
    <cellStyle name="Normal 166 11 6 2 4" xfId="27503"/>
    <cellStyle name="Normal 166 11 6 3" xfId="11124"/>
    <cellStyle name="Normal 166 11 6 4" xfId="17694"/>
    <cellStyle name="Normal 166 11 6 5" xfId="24099"/>
    <cellStyle name="Normal 166 11 7" xfId="1971"/>
    <cellStyle name="Normal 166 11 7 2" xfId="5561"/>
    <cellStyle name="Normal 166 11 7 2 2" xfId="14042"/>
    <cellStyle name="Normal 166 11 7 2 3" xfId="20556"/>
    <cellStyle name="Normal 166 11 7 2 4" xfId="26945"/>
    <cellStyle name="Normal 166 11 7 3" xfId="10540"/>
    <cellStyle name="Normal 166 11 7 4" xfId="10913"/>
    <cellStyle name="Normal 166 11 7 5" xfId="17266"/>
    <cellStyle name="Normal 166 11 8" xfId="2375"/>
    <cellStyle name="Normal 166 11 8 2" xfId="5928"/>
    <cellStyle name="Normal 166 11 8 2 2" xfId="14409"/>
    <cellStyle name="Normal 166 11 8 2 3" xfId="20923"/>
    <cellStyle name="Normal 166 11 8 2 4" xfId="27312"/>
    <cellStyle name="Normal 166 11 8 3" xfId="10921"/>
    <cellStyle name="Normal 166 11 8 4" xfId="17273"/>
    <cellStyle name="Normal 166 11 8 5" xfId="23747"/>
    <cellStyle name="Normal 166 11 9" xfId="2580"/>
    <cellStyle name="Normal 166 11 9 2" xfId="6096"/>
    <cellStyle name="Normal 166 11 9 2 2" xfId="14577"/>
    <cellStyle name="Normal 166 11 9 2 3" xfId="21091"/>
    <cellStyle name="Normal 166 11 9 2 4" xfId="27480"/>
    <cellStyle name="Normal 166 11 9 3" xfId="11100"/>
    <cellStyle name="Normal 166 11 9 4" xfId="17670"/>
    <cellStyle name="Normal 166 11 9 5" xfId="24076"/>
    <cellStyle name="Normal 166 12" xfId="2403"/>
    <cellStyle name="Normal 166 12 2" xfId="8944"/>
    <cellStyle name="Normal 166 12 2 2" xfId="17328"/>
    <cellStyle name="Normal 166 12 2 3" xfId="23794"/>
    <cellStyle name="Normal 166 12 2 4" xfId="29964"/>
    <cellStyle name="Normal 166 13" xfId="2533"/>
    <cellStyle name="Normal 166 13 2" xfId="8903"/>
    <cellStyle name="Normal 166 13 2 2" xfId="17304"/>
    <cellStyle name="Normal 166 13 2 3" xfId="23776"/>
    <cellStyle name="Normal 166 13 2 4" xfId="29958"/>
    <cellStyle name="Normal 166 14" xfId="2476"/>
    <cellStyle name="Normal 166 14 2" xfId="9321"/>
    <cellStyle name="Normal 166 14 2 2" xfId="17545"/>
    <cellStyle name="Normal 166 14 2 3" xfId="23955"/>
    <cellStyle name="Normal 166 14 2 4" xfId="29999"/>
    <cellStyle name="Normal 166 15" xfId="2031"/>
    <cellStyle name="Normal 166 15 2" xfId="9299"/>
    <cellStyle name="Normal 166 15 2 2" xfId="17532"/>
    <cellStyle name="Normal 166 15 2 3" xfId="23944"/>
    <cellStyle name="Normal 166 15 2 4" xfId="29996"/>
    <cellStyle name="Normal 166 16" xfId="2315"/>
    <cellStyle name="Normal 166 16 2" xfId="9275"/>
    <cellStyle name="Normal 166 16 2 2" xfId="17518"/>
    <cellStyle name="Normal 166 16 2 3" xfId="23934"/>
    <cellStyle name="Normal 166 16 2 4" xfId="29994"/>
    <cellStyle name="Normal 166 17" xfId="2635"/>
    <cellStyle name="Normal 166 17 2" xfId="9253"/>
    <cellStyle name="Normal 166 17 2 2" xfId="17509"/>
    <cellStyle name="Normal 166 17 2 3" xfId="23927"/>
    <cellStyle name="Normal 166 17 2 4" xfId="29993"/>
    <cellStyle name="Normal 166 18" xfId="2419"/>
    <cellStyle name="Normal 166 18 2" xfId="9231"/>
    <cellStyle name="Normal 166 18 2 2" xfId="17496"/>
    <cellStyle name="Normal 166 18 2 3" xfId="23917"/>
    <cellStyle name="Normal 166 18 2 4" xfId="29992"/>
    <cellStyle name="Normal 166 19" xfId="2068"/>
    <cellStyle name="Normal 166 19 2" xfId="9210"/>
    <cellStyle name="Normal 166 19 2 2" xfId="17483"/>
    <cellStyle name="Normal 166 19 2 3" xfId="23908"/>
    <cellStyle name="Normal 166 19 2 4" xfId="29990"/>
    <cellStyle name="Normal 166 2" xfId="777"/>
    <cellStyle name="Normal 166 2 2" xfId="778"/>
    <cellStyle name="Normal 166 2 2 10" xfId="1982"/>
    <cellStyle name="Normal 166 2 2 10 2" xfId="5571"/>
    <cellStyle name="Normal 166 2 2 10 2 2" xfId="14052"/>
    <cellStyle name="Normal 166 2 2 10 2 3" xfId="20566"/>
    <cellStyle name="Normal 166 2 2 10 2 4" xfId="26955"/>
    <cellStyle name="Normal 166 2 2 10 3" xfId="10551"/>
    <cellStyle name="Normal 166 2 2 10 4" xfId="9512"/>
    <cellStyle name="Normal 166 2 2 10 5" xfId="10200"/>
    <cellStyle name="Normal 166 2 2 11" xfId="2364"/>
    <cellStyle name="Normal 166 2 2 11 2" xfId="5918"/>
    <cellStyle name="Normal 166 2 2 11 2 2" xfId="14399"/>
    <cellStyle name="Normal 166 2 2 11 2 3" xfId="20913"/>
    <cellStyle name="Normal 166 2 2 11 2 4" xfId="27302"/>
    <cellStyle name="Normal 166 2 2 11 3" xfId="10910"/>
    <cellStyle name="Normal 166 2 2 11 4" xfId="17263"/>
    <cellStyle name="Normal 166 2 2 11 5" xfId="23738"/>
    <cellStyle name="Normal 166 2 2 12" xfId="2591"/>
    <cellStyle name="Normal 166 2 2 12 2" xfId="6106"/>
    <cellStyle name="Normal 166 2 2 12 2 2" xfId="14587"/>
    <cellStyle name="Normal 166 2 2 12 2 3" xfId="21101"/>
    <cellStyle name="Normal 166 2 2 12 2 4" xfId="27490"/>
    <cellStyle name="Normal 166 2 2 12 3" xfId="11111"/>
    <cellStyle name="Normal 166 2 2 12 4" xfId="17681"/>
    <cellStyle name="Normal 166 2 2 12 5" xfId="24086"/>
    <cellStyle name="Normal 166 2 2 13" xfId="2441"/>
    <cellStyle name="Normal 166 2 2 13 2" xfId="5981"/>
    <cellStyle name="Normal 166 2 2 13 2 2" xfId="14462"/>
    <cellStyle name="Normal 166 2 2 13 2 3" xfId="20976"/>
    <cellStyle name="Normal 166 2 2 13 2 4" xfId="27365"/>
    <cellStyle name="Normal 166 2 2 13 3" xfId="10979"/>
    <cellStyle name="Normal 166 2 2 13 4" xfId="17299"/>
    <cellStyle name="Normal 166 2 2 13 5" xfId="23772"/>
    <cellStyle name="Normal 166 2 2 14" xfId="2052"/>
    <cellStyle name="Normal 166 2 2 14 2" xfId="5629"/>
    <cellStyle name="Normal 166 2 2 14 2 2" xfId="14110"/>
    <cellStyle name="Normal 166 2 2 14 2 3" xfId="20624"/>
    <cellStyle name="Normal 166 2 2 14 2 4" xfId="27013"/>
    <cellStyle name="Normal 166 2 2 14 3" xfId="10613"/>
    <cellStyle name="Normal 166 2 2 14 4" xfId="9452"/>
    <cellStyle name="Normal 166 2 2 14 5" xfId="17331"/>
    <cellStyle name="Normal 166 2 2 15" xfId="2295"/>
    <cellStyle name="Normal 166 2 2 15 2" xfId="5861"/>
    <cellStyle name="Normal 166 2 2 15 2 2" xfId="14342"/>
    <cellStyle name="Normal 166 2 2 15 2 3" xfId="20856"/>
    <cellStyle name="Normal 166 2 2 15 2 4" xfId="27245"/>
    <cellStyle name="Normal 166 2 2 15 3" xfId="10848"/>
    <cellStyle name="Normal 166 2 2 15 4" xfId="17218"/>
    <cellStyle name="Normal 166 2 2 15 5" xfId="23693"/>
    <cellStyle name="Normal 166 2 2 16" xfId="2654"/>
    <cellStyle name="Normal 166 2 2 16 2" xfId="6159"/>
    <cellStyle name="Normal 166 2 2 16 2 2" xfId="14640"/>
    <cellStyle name="Normal 166 2 2 16 2 3" xfId="21154"/>
    <cellStyle name="Normal 166 2 2 16 2 4" xfId="27543"/>
    <cellStyle name="Normal 166 2 2 16 3" xfId="11167"/>
    <cellStyle name="Normal 166 2 2 16 4" xfId="17736"/>
    <cellStyle name="Normal 166 2 2 16 5" xfId="24139"/>
    <cellStyle name="Normal 166 2 2 17" xfId="2409"/>
    <cellStyle name="Normal 166 2 2 17 2" xfId="5957"/>
    <cellStyle name="Normal 166 2 2 17 2 2" xfId="14438"/>
    <cellStyle name="Normal 166 2 2 17 2 3" xfId="20952"/>
    <cellStyle name="Normal 166 2 2 17 2 4" xfId="27341"/>
    <cellStyle name="Normal 166 2 2 17 3" xfId="10953"/>
    <cellStyle name="Normal 166 2 2 17 4" xfId="17415"/>
    <cellStyle name="Normal 166 2 2 17 5" xfId="23852"/>
    <cellStyle name="Normal 166 2 2 18" xfId="2527"/>
    <cellStyle name="Normal 166 2 2 18 2" xfId="6047"/>
    <cellStyle name="Normal 166 2 2 18 2 2" xfId="14528"/>
    <cellStyle name="Normal 166 2 2 18 2 3" xfId="21042"/>
    <cellStyle name="Normal 166 2 2 18 2 4" xfId="27431"/>
    <cellStyle name="Normal 166 2 2 18 3" xfId="11049"/>
    <cellStyle name="Normal 166 2 2 18 4" xfId="17621"/>
    <cellStyle name="Normal 166 2 2 18 5" xfId="24027"/>
    <cellStyle name="Normal 166 2 2 19" xfId="5204"/>
    <cellStyle name="Normal 166 2 2 19 2" xfId="13686"/>
    <cellStyle name="Normal 166 2 2 19 3" xfId="20204"/>
    <cellStyle name="Normal 166 2 2 19 4" xfId="26593"/>
    <cellStyle name="Normal 166 2 2 2" xfId="1808"/>
    <cellStyle name="Normal 166 2 2 2 2" xfId="5406"/>
    <cellStyle name="Normal 166 2 2 2 2 2" xfId="13887"/>
    <cellStyle name="Normal 166 2 2 2 2 3" xfId="20401"/>
    <cellStyle name="Normal 166 2 2 2 2 4" xfId="26790"/>
    <cellStyle name="Normal 166 2 2 2 3" xfId="10380"/>
    <cellStyle name="Normal 166 2 2 2 4" xfId="9618"/>
    <cellStyle name="Normal 166 2 2 2 5" xfId="17068"/>
    <cellStyle name="Normal 166 2 2 20" xfId="9825"/>
    <cellStyle name="Normal 166 2 2 21" xfId="9930"/>
    <cellStyle name="Normal 166 2 2 22" xfId="17359"/>
    <cellStyle name="Normal 166 2 2 3" xfId="2548"/>
    <cellStyle name="Normal 166 2 2 3 2" xfId="6066"/>
    <cellStyle name="Normal 166 2 2 3 2 2" xfId="14547"/>
    <cellStyle name="Normal 166 2 2 3 2 3" xfId="21061"/>
    <cellStyle name="Normal 166 2 2 3 2 4" xfId="27450"/>
    <cellStyle name="Normal 166 2 2 3 3" xfId="11070"/>
    <cellStyle name="Normal 166 2 2 3 4" xfId="17640"/>
    <cellStyle name="Normal 166 2 2 3 5" xfId="24046"/>
    <cellStyle name="Normal 166 2 2 4" xfId="1994"/>
    <cellStyle name="Normal 166 2 2 4 2" xfId="5583"/>
    <cellStyle name="Normal 166 2 2 4 2 2" xfId="14064"/>
    <cellStyle name="Normal 166 2 2 4 2 3" xfId="20578"/>
    <cellStyle name="Normal 166 2 2 4 2 4" xfId="26967"/>
    <cellStyle name="Normal 166 2 2 4 3" xfId="10563"/>
    <cellStyle name="Normal 166 2 2 4 4" xfId="9499"/>
    <cellStyle name="Normal 166 2 2 4 5" xfId="10213"/>
    <cellStyle name="Normal 166 2 2 5" xfId="2351"/>
    <cellStyle name="Normal 166 2 2 5 2" xfId="5906"/>
    <cellStyle name="Normal 166 2 2 5 2 2" xfId="14387"/>
    <cellStyle name="Normal 166 2 2 5 2 3" xfId="20901"/>
    <cellStyle name="Normal 166 2 2 5 2 4" xfId="27290"/>
    <cellStyle name="Normal 166 2 2 5 3" xfId="10897"/>
    <cellStyle name="Normal 166 2 2 5 4" xfId="17251"/>
    <cellStyle name="Normal 166 2 2 5 5" xfId="23726"/>
    <cellStyle name="Normal 166 2 2 6" xfId="2604"/>
    <cellStyle name="Normal 166 2 2 6 2" xfId="6118"/>
    <cellStyle name="Normal 166 2 2 6 2 2" xfId="14599"/>
    <cellStyle name="Normal 166 2 2 6 2 3" xfId="21113"/>
    <cellStyle name="Normal 166 2 2 6 2 4" xfId="27502"/>
    <cellStyle name="Normal 166 2 2 6 3" xfId="11123"/>
    <cellStyle name="Normal 166 2 2 6 4" xfId="17693"/>
    <cellStyle name="Normal 166 2 2 6 5" xfId="24098"/>
    <cellStyle name="Normal 166 2 2 7" xfId="1972"/>
    <cellStyle name="Normal 166 2 2 7 2" xfId="5562"/>
    <cellStyle name="Normal 166 2 2 7 2 2" xfId="14043"/>
    <cellStyle name="Normal 166 2 2 7 2 3" xfId="20557"/>
    <cellStyle name="Normal 166 2 2 7 2 4" xfId="26946"/>
    <cellStyle name="Normal 166 2 2 7 3" xfId="10541"/>
    <cellStyle name="Normal 166 2 2 7 4" xfId="10548"/>
    <cellStyle name="Normal 166 2 2 7 5" xfId="9515"/>
    <cellStyle name="Normal 166 2 2 8" xfId="2374"/>
    <cellStyle name="Normal 166 2 2 8 2" xfId="5927"/>
    <cellStyle name="Normal 166 2 2 8 2 2" xfId="14408"/>
    <cellStyle name="Normal 166 2 2 8 2 3" xfId="20922"/>
    <cellStyle name="Normal 166 2 2 8 2 4" xfId="27311"/>
    <cellStyle name="Normal 166 2 2 8 3" xfId="10920"/>
    <cellStyle name="Normal 166 2 2 8 4" xfId="17272"/>
    <cellStyle name="Normal 166 2 2 8 5" xfId="23746"/>
    <cellStyle name="Normal 166 2 2 9" xfId="2581"/>
    <cellStyle name="Normal 166 2 2 9 2" xfId="6097"/>
    <cellStyle name="Normal 166 2 2 9 2 2" xfId="14578"/>
    <cellStyle name="Normal 166 2 2 9 2 3" xfId="21092"/>
    <cellStyle name="Normal 166 2 2 9 2 4" xfId="27481"/>
    <cellStyle name="Normal 166 2 2 9 3" xfId="11101"/>
    <cellStyle name="Normal 166 2 2 9 4" xfId="17671"/>
    <cellStyle name="Normal 166 2 2 9 5" xfId="24077"/>
    <cellStyle name="Normal 166 2 3" xfId="779"/>
    <cellStyle name="Normal 166 2 3 10" xfId="2280"/>
    <cellStyle name="Normal 166 2 3 10 2" xfId="5850"/>
    <cellStyle name="Normal 166 2 3 10 2 2" xfId="14331"/>
    <cellStyle name="Normal 166 2 3 10 2 3" xfId="20845"/>
    <cellStyle name="Normal 166 2 3 10 2 4" xfId="27234"/>
    <cellStyle name="Normal 166 2 3 10 3" xfId="10836"/>
    <cellStyle name="Normal 166 2 3 10 4" xfId="17207"/>
    <cellStyle name="Normal 166 2 3 10 5" xfId="23683"/>
    <cellStyle name="Normal 166 2 3 11" xfId="2668"/>
    <cellStyle name="Normal 166 2 3 11 2" xfId="6169"/>
    <cellStyle name="Normal 166 2 3 11 2 2" xfId="14650"/>
    <cellStyle name="Normal 166 2 3 11 2 3" xfId="21164"/>
    <cellStyle name="Normal 166 2 3 11 2 4" xfId="27553"/>
    <cellStyle name="Normal 166 2 3 11 3" xfId="11178"/>
    <cellStyle name="Normal 166 2 3 11 4" xfId="17747"/>
    <cellStyle name="Normal 166 2 3 11 5" xfId="24149"/>
    <cellStyle name="Normal 166 2 3 12" xfId="2842"/>
    <cellStyle name="Normal 166 2 3 12 2" xfId="6336"/>
    <cellStyle name="Normal 166 2 3 12 2 2" xfId="14817"/>
    <cellStyle name="Normal 166 2 3 12 2 3" xfId="21331"/>
    <cellStyle name="Normal 166 2 3 12 2 4" xfId="27720"/>
    <cellStyle name="Normal 166 2 3 12 3" xfId="11348"/>
    <cellStyle name="Normal 166 2 3 12 4" xfId="17914"/>
    <cellStyle name="Normal 166 2 3 12 5" xfId="24316"/>
    <cellStyle name="Normal 166 2 3 13" xfId="3016"/>
    <cellStyle name="Normal 166 2 3 13 2" xfId="6503"/>
    <cellStyle name="Normal 166 2 3 13 2 2" xfId="14984"/>
    <cellStyle name="Normal 166 2 3 13 2 3" xfId="21498"/>
    <cellStyle name="Normal 166 2 3 13 2 4" xfId="27887"/>
    <cellStyle name="Normal 166 2 3 13 3" xfId="11518"/>
    <cellStyle name="Normal 166 2 3 13 4" xfId="18081"/>
    <cellStyle name="Normal 166 2 3 13 5" xfId="24483"/>
    <cellStyle name="Normal 166 2 3 14" xfId="3189"/>
    <cellStyle name="Normal 166 2 3 14 2" xfId="6670"/>
    <cellStyle name="Normal 166 2 3 14 2 2" xfId="15151"/>
    <cellStyle name="Normal 166 2 3 14 2 3" xfId="21665"/>
    <cellStyle name="Normal 166 2 3 14 2 4" xfId="28054"/>
    <cellStyle name="Normal 166 2 3 14 3" xfId="11689"/>
    <cellStyle name="Normal 166 2 3 14 4" xfId="18248"/>
    <cellStyle name="Normal 166 2 3 14 5" xfId="24650"/>
    <cellStyle name="Normal 166 2 3 15" xfId="3360"/>
    <cellStyle name="Normal 166 2 3 15 2" xfId="6835"/>
    <cellStyle name="Normal 166 2 3 15 2 2" xfId="15316"/>
    <cellStyle name="Normal 166 2 3 15 2 3" xfId="21830"/>
    <cellStyle name="Normal 166 2 3 15 2 4" xfId="28219"/>
    <cellStyle name="Normal 166 2 3 15 3" xfId="11857"/>
    <cellStyle name="Normal 166 2 3 15 4" xfId="18413"/>
    <cellStyle name="Normal 166 2 3 15 5" xfId="24815"/>
    <cellStyle name="Normal 166 2 3 16" xfId="3531"/>
    <cellStyle name="Normal 166 2 3 16 2" xfId="7000"/>
    <cellStyle name="Normal 166 2 3 16 2 2" xfId="15481"/>
    <cellStyle name="Normal 166 2 3 16 2 3" xfId="21995"/>
    <cellStyle name="Normal 166 2 3 16 2 4" xfId="28384"/>
    <cellStyle name="Normal 166 2 3 16 3" xfId="12026"/>
    <cellStyle name="Normal 166 2 3 16 4" xfId="18579"/>
    <cellStyle name="Normal 166 2 3 16 5" xfId="24980"/>
    <cellStyle name="Normal 166 2 3 17" xfId="3701"/>
    <cellStyle name="Normal 166 2 3 17 2" xfId="7164"/>
    <cellStyle name="Normal 166 2 3 17 2 2" xfId="15645"/>
    <cellStyle name="Normal 166 2 3 17 2 3" xfId="22159"/>
    <cellStyle name="Normal 166 2 3 17 2 4" xfId="28548"/>
    <cellStyle name="Normal 166 2 3 17 3" xfId="12196"/>
    <cellStyle name="Normal 166 2 3 17 4" xfId="18746"/>
    <cellStyle name="Normal 166 2 3 17 5" xfId="25144"/>
    <cellStyle name="Normal 166 2 3 18" xfId="3869"/>
    <cellStyle name="Normal 166 2 3 18 2" xfId="7327"/>
    <cellStyle name="Normal 166 2 3 18 2 2" xfId="15808"/>
    <cellStyle name="Normal 166 2 3 18 2 3" xfId="22322"/>
    <cellStyle name="Normal 166 2 3 18 2 4" xfId="28711"/>
    <cellStyle name="Normal 166 2 3 18 3" xfId="12363"/>
    <cellStyle name="Normal 166 2 3 18 4" xfId="18910"/>
    <cellStyle name="Normal 166 2 3 18 5" xfId="25307"/>
    <cellStyle name="Normal 166 2 3 19" xfId="5205"/>
    <cellStyle name="Normal 166 2 3 19 2" xfId="13687"/>
    <cellStyle name="Normal 166 2 3 19 3" xfId="20205"/>
    <cellStyle name="Normal 166 2 3 19 4" xfId="26594"/>
    <cellStyle name="Normal 166 2 3 2" xfId="1809"/>
    <cellStyle name="Normal 166 2 3 2 2" xfId="5407"/>
    <cellStyle name="Normal 166 2 3 2 2 2" xfId="13888"/>
    <cellStyle name="Normal 166 2 3 2 2 3" xfId="20402"/>
    <cellStyle name="Normal 166 2 3 2 2 4" xfId="26791"/>
    <cellStyle name="Normal 166 2 3 2 3" xfId="10381"/>
    <cellStyle name="Normal 166 2 3 2 4" xfId="9617"/>
    <cellStyle name="Normal 166 2 3 2 5" xfId="17067"/>
    <cellStyle name="Normal 166 2 3 20" xfId="9826"/>
    <cellStyle name="Normal 166 2 3 21" xfId="9929"/>
    <cellStyle name="Normal 166 2 3 22" xfId="17343"/>
    <cellStyle name="Normal 166 2 3 3" xfId="2549"/>
    <cellStyle name="Normal 166 2 3 3 2" xfId="6067"/>
    <cellStyle name="Normal 166 2 3 3 2 2" xfId="14548"/>
    <cellStyle name="Normal 166 2 3 3 2 3" xfId="21062"/>
    <cellStyle name="Normal 166 2 3 3 2 4" xfId="27451"/>
    <cellStyle name="Normal 166 2 3 3 3" xfId="11071"/>
    <cellStyle name="Normal 166 2 3 3 4" xfId="17641"/>
    <cellStyle name="Normal 166 2 3 3 5" xfId="24047"/>
    <cellStyle name="Normal 166 2 3 4" xfId="2469"/>
    <cellStyle name="Normal 166 2 3 4 2" xfId="6006"/>
    <cellStyle name="Normal 166 2 3 4 2 2" xfId="14487"/>
    <cellStyle name="Normal 166 2 3 4 2 3" xfId="21001"/>
    <cellStyle name="Normal 166 2 3 4 2 4" xfId="27390"/>
    <cellStyle name="Normal 166 2 3 4 3" xfId="11006"/>
    <cellStyle name="Normal 166 2 3 4 4" xfId="17579"/>
    <cellStyle name="Normal 166 2 3 4 5" xfId="23986"/>
    <cellStyle name="Normal 166 2 3 5" xfId="2033"/>
    <cellStyle name="Normal 166 2 3 5 2" xfId="5612"/>
    <cellStyle name="Normal 166 2 3 5 2 2" xfId="14093"/>
    <cellStyle name="Normal 166 2 3 5 2 3" xfId="20607"/>
    <cellStyle name="Normal 166 2 3 5 2 4" xfId="26996"/>
    <cellStyle name="Normal 166 2 3 5 3" xfId="10595"/>
    <cellStyle name="Normal 166 2 3 5 4" xfId="9469"/>
    <cellStyle name="Normal 166 2 3 5 5" xfId="17364"/>
    <cellStyle name="Normal 166 2 3 6" xfId="2313"/>
    <cellStyle name="Normal 166 2 3 6 2" xfId="5877"/>
    <cellStyle name="Normal 166 2 3 6 2 2" xfId="14358"/>
    <cellStyle name="Normal 166 2 3 6 2 3" xfId="20872"/>
    <cellStyle name="Normal 166 2 3 6 2 4" xfId="27261"/>
    <cellStyle name="Normal 166 2 3 6 3" xfId="10865"/>
    <cellStyle name="Normal 166 2 3 6 4" xfId="17233"/>
    <cellStyle name="Normal 166 2 3 6 5" xfId="23708"/>
    <cellStyle name="Normal 166 2 3 7" xfId="2637"/>
    <cellStyle name="Normal 166 2 3 7 2" xfId="6143"/>
    <cellStyle name="Normal 166 2 3 7 2 2" xfId="14624"/>
    <cellStyle name="Normal 166 2 3 7 2 3" xfId="21138"/>
    <cellStyle name="Normal 166 2 3 7 2 4" xfId="27527"/>
    <cellStyle name="Normal 166 2 3 7 3" xfId="11151"/>
    <cellStyle name="Normal 166 2 3 7 4" xfId="17720"/>
    <cellStyle name="Normal 166 2 3 7 5" xfId="24123"/>
    <cellStyle name="Normal 166 2 3 8" xfId="2418"/>
    <cellStyle name="Normal 166 2 3 8 2" xfId="5965"/>
    <cellStyle name="Normal 166 2 3 8 2 2" xfId="14446"/>
    <cellStyle name="Normal 166 2 3 8 2 3" xfId="20960"/>
    <cellStyle name="Normal 166 2 3 8 2 4" xfId="27349"/>
    <cellStyle name="Normal 166 2 3 8 3" xfId="10962"/>
    <cellStyle name="Normal 166 2 3 8 4" xfId="17282"/>
    <cellStyle name="Normal 166 2 3 8 5" xfId="23756"/>
    <cellStyle name="Normal 166 2 3 9" xfId="2069"/>
    <cellStyle name="Normal 166 2 3 9 2" xfId="5642"/>
    <cellStyle name="Normal 166 2 3 9 2 2" xfId="14123"/>
    <cellStyle name="Normal 166 2 3 9 2 3" xfId="20637"/>
    <cellStyle name="Normal 166 2 3 9 2 4" xfId="27026"/>
    <cellStyle name="Normal 166 2 3 9 3" xfId="10628"/>
    <cellStyle name="Normal 166 2 3 9 4" xfId="9440"/>
    <cellStyle name="Normal 166 2 3 9 5" xfId="12527"/>
    <cellStyle name="Normal 166 20" xfId="2281"/>
    <cellStyle name="Normal 166 20 2" xfId="8651"/>
    <cellStyle name="Normal 166 20 2 2" xfId="17085"/>
    <cellStyle name="Normal 166 20 2 3" xfId="23563"/>
    <cellStyle name="Normal 166 20 2 4" xfId="29948"/>
    <cellStyle name="Normal 166 21" xfId="2667"/>
    <cellStyle name="Normal 166 22" xfId="2841"/>
    <cellStyle name="Normal 166 23" xfId="3015"/>
    <cellStyle name="Normal 166 24" xfId="3188"/>
    <cellStyle name="Normal 166 25" xfId="3359"/>
    <cellStyle name="Normal 166 26" xfId="3530"/>
    <cellStyle name="Normal 166 27" xfId="3700"/>
    <cellStyle name="Normal 166 28" xfId="8545"/>
    <cellStyle name="Normal 166 28 2" xfId="9064"/>
    <cellStyle name="Normal 166 28 3" xfId="17026"/>
    <cellStyle name="Normal 166 28 4" xfId="23540"/>
    <cellStyle name="Normal 166 28 5" xfId="29929"/>
    <cellStyle name="Normal 166 29" xfId="13616"/>
    <cellStyle name="Normal 166 3" xfId="780"/>
    <cellStyle name="Normal 166 30" xfId="20135"/>
    <cellStyle name="Normal 166 31" xfId="26525"/>
    <cellStyle name="Normal 166 4" xfId="781"/>
    <cellStyle name="Normal 166 4 10" xfId="2139"/>
    <cellStyle name="Normal 166 4 10 2" xfId="5712"/>
    <cellStyle name="Normal 166 4 10 2 2" xfId="14193"/>
    <cellStyle name="Normal 166 4 10 2 3" xfId="20707"/>
    <cellStyle name="Normal 166 4 10 2 4" xfId="27096"/>
    <cellStyle name="Normal 166 4 10 3" xfId="10698"/>
    <cellStyle name="Normal 166 4 10 4" xfId="9375"/>
    <cellStyle name="Normal 166 4 10 5" xfId="10287"/>
    <cellStyle name="Normal 166 4 11" xfId="2202"/>
    <cellStyle name="Normal 166 4 11 2" xfId="5772"/>
    <cellStyle name="Normal 166 4 11 2 2" xfId="14253"/>
    <cellStyle name="Normal 166 4 11 2 3" xfId="20767"/>
    <cellStyle name="Normal 166 4 11 2 4" xfId="27156"/>
    <cellStyle name="Normal 166 4 11 3" xfId="10758"/>
    <cellStyle name="Normal 166 4 11 4" xfId="17149"/>
    <cellStyle name="Normal 166 4 11 5" xfId="23625"/>
    <cellStyle name="Normal 166 4 12" xfId="2744"/>
    <cellStyle name="Normal 166 4 12 2" xfId="6245"/>
    <cellStyle name="Normal 166 4 12 2 2" xfId="14726"/>
    <cellStyle name="Normal 166 4 12 2 3" xfId="21240"/>
    <cellStyle name="Normal 166 4 12 2 4" xfId="27629"/>
    <cellStyle name="Normal 166 4 12 3" xfId="11254"/>
    <cellStyle name="Normal 166 4 12 4" xfId="17823"/>
    <cellStyle name="Normal 166 4 12 5" xfId="24225"/>
    <cellStyle name="Normal 166 4 13" xfId="2918"/>
    <cellStyle name="Normal 166 4 13 2" xfId="6412"/>
    <cellStyle name="Normal 166 4 13 2 2" xfId="14893"/>
    <cellStyle name="Normal 166 4 13 2 3" xfId="21407"/>
    <cellStyle name="Normal 166 4 13 2 4" xfId="27796"/>
    <cellStyle name="Normal 166 4 13 3" xfId="11424"/>
    <cellStyle name="Normal 166 4 13 4" xfId="17990"/>
    <cellStyle name="Normal 166 4 13 5" xfId="24392"/>
    <cellStyle name="Normal 166 4 14" xfId="3092"/>
    <cellStyle name="Normal 166 4 14 2" xfId="6579"/>
    <cellStyle name="Normal 166 4 14 2 2" xfId="15060"/>
    <cellStyle name="Normal 166 4 14 2 3" xfId="21574"/>
    <cellStyle name="Normal 166 4 14 2 4" xfId="27963"/>
    <cellStyle name="Normal 166 4 14 3" xfId="11594"/>
    <cellStyle name="Normal 166 4 14 4" xfId="18157"/>
    <cellStyle name="Normal 166 4 14 5" xfId="24559"/>
    <cellStyle name="Normal 166 4 15" xfId="3265"/>
    <cellStyle name="Normal 166 4 15 2" xfId="6746"/>
    <cellStyle name="Normal 166 4 15 2 2" xfId="15227"/>
    <cellStyle name="Normal 166 4 15 2 3" xfId="21741"/>
    <cellStyle name="Normal 166 4 15 2 4" xfId="28130"/>
    <cellStyle name="Normal 166 4 15 3" xfId="11765"/>
    <cellStyle name="Normal 166 4 15 4" xfId="18324"/>
    <cellStyle name="Normal 166 4 15 5" xfId="24726"/>
    <cellStyle name="Normal 166 4 16" xfId="3436"/>
    <cellStyle name="Normal 166 4 16 2" xfId="6911"/>
    <cellStyle name="Normal 166 4 16 2 2" xfId="15392"/>
    <cellStyle name="Normal 166 4 16 2 3" xfId="21906"/>
    <cellStyle name="Normal 166 4 16 2 4" xfId="28295"/>
    <cellStyle name="Normal 166 4 16 3" xfId="11933"/>
    <cellStyle name="Normal 166 4 16 4" xfId="18489"/>
    <cellStyle name="Normal 166 4 16 5" xfId="24891"/>
    <cellStyle name="Normal 166 4 17" xfId="3606"/>
    <cellStyle name="Normal 166 4 17 2" xfId="7075"/>
    <cellStyle name="Normal 166 4 17 2 2" xfId="15556"/>
    <cellStyle name="Normal 166 4 17 2 3" xfId="22070"/>
    <cellStyle name="Normal 166 4 17 2 4" xfId="28459"/>
    <cellStyle name="Normal 166 4 17 3" xfId="12101"/>
    <cellStyle name="Normal 166 4 17 4" xfId="18654"/>
    <cellStyle name="Normal 166 4 17 5" xfId="25055"/>
    <cellStyle name="Normal 166 4 18" xfId="3776"/>
    <cellStyle name="Normal 166 4 18 2" xfId="7239"/>
    <cellStyle name="Normal 166 4 18 2 2" xfId="15720"/>
    <cellStyle name="Normal 166 4 18 2 3" xfId="22234"/>
    <cellStyle name="Normal 166 4 18 2 4" xfId="28623"/>
    <cellStyle name="Normal 166 4 18 3" xfId="12271"/>
    <cellStyle name="Normal 166 4 18 4" xfId="18821"/>
    <cellStyle name="Normal 166 4 18 5" xfId="25219"/>
    <cellStyle name="Normal 166 4 19" xfId="5206"/>
    <cellStyle name="Normal 166 4 19 2" xfId="13688"/>
    <cellStyle name="Normal 166 4 19 3" xfId="20206"/>
    <cellStyle name="Normal 166 4 19 4" xfId="26595"/>
    <cellStyle name="Normal 166 4 2" xfId="1810"/>
    <cellStyle name="Normal 166 4 2 2" xfId="5408"/>
    <cellStyle name="Normal 166 4 2 2 2" xfId="13889"/>
    <cellStyle name="Normal 166 4 2 2 3" xfId="20403"/>
    <cellStyle name="Normal 166 4 2 2 4" xfId="26792"/>
    <cellStyle name="Normal 166 4 2 3" xfId="10382"/>
    <cellStyle name="Normal 166 4 2 4" xfId="9616"/>
    <cellStyle name="Normal 166 4 2 5" xfId="17066"/>
    <cellStyle name="Normal 166 4 20" xfId="9827"/>
    <cellStyle name="Normal 166 4 21" xfId="9928"/>
    <cellStyle name="Normal 166 4 22" xfId="17497"/>
    <cellStyle name="Normal 166 4 3" xfId="2550"/>
    <cellStyle name="Normal 166 4 3 2" xfId="6068"/>
    <cellStyle name="Normal 166 4 3 2 2" xfId="14549"/>
    <cellStyle name="Normal 166 4 3 2 3" xfId="21063"/>
    <cellStyle name="Normal 166 4 3 2 4" xfId="27452"/>
    <cellStyle name="Normal 166 4 3 3" xfId="11072"/>
    <cellStyle name="Normal 166 4 3 4" xfId="17642"/>
    <cellStyle name="Normal 166 4 3 5" xfId="24048"/>
    <cellStyle name="Normal 166 4 4" xfId="2468"/>
    <cellStyle name="Normal 166 4 4 2" xfId="6005"/>
    <cellStyle name="Normal 166 4 4 2 2" xfId="14486"/>
    <cellStyle name="Normal 166 4 4 2 3" xfId="21000"/>
    <cellStyle name="Normal 166 4 4 2 4" xfId="27389"/>
    <cellStyle name="Normal 166 4 4 3" xfId="11005"/>
    <cellStyle name="Normal 166 4 4 4" xfId="17578"/>
    <cellStyle name="Normal 166 4 4 5" xfId="23985"/>
    <cellStyle name="Normal 166 4 5" xfId="2034"/>
    <cellStyle name="Normal 166 4 5 2" xfId="5613"/>
    <cellStyle name="Normal 166 4 5 2 2" xfId="14094"/>
    <cellStyle name="Normal 166 4 5 2 3" xfId="20608"/>
    <cellStyle name="Normal 166 4 5 2 4" xfId="26997"/>
    <cellStyle name="Normal 166 4 5 3" xfId="10596"/>
    <cellStyle name="Normal 166 4 5 4" xfId="9468"/>
    <cellStyle name="Normal 166 4 5 5" xfId="17303"/>
    <cellStyle name="Normal 166 4 6" xfId="2312"/>
    <cellStyle name="Normal 166 4 6 2" xfId="5876"/>
    <cellStyle name="Normal 166 4 6 2 2" xfId="14357"/>
    <cellStyle name="Normal 166 4 6 2 3" xfId="20871"/>
    <cellStyle name="Normal 166 4 6 2 4" xfId="27260"/>
    <cellStyle name="Normal 166 4 6 3" xfId="10864"/>
    <cellStyle name="Normal 166 4 6 4" xfId="17232"/>
    <cellStyle name="Normal 166 4 6 5" xfId="23707"/>
    <cellStyle name="Normal 166 4 7" xfId="2638"/>
    <cellStyle name="Normal 166 4 7 2" xfId="6144"/>
    <cellStyle name="Normal 166 4 7 2 2" xfId="14625"/>
    <cellStyle name="Normal 166 4 7 2 3" xfId="21139"/>
    <cellStyle name="Normal 166 4 7 2 4" xfId="27528"/>
    <cellStyle name="Normal 166 4 7 3" xfId="11152"/>
    <cellStyle name="Normal 166 4 7 4" xfId="17721"/>
    <cellStyle name="Normal 166 4 7 5" xfId="24124"/>
    <cellStyle name="Normal 166 4 8" xfId="1957"/>
    <cellStyle name="Normal 166 4 8 2" xfId="5549"/>
    <cellStyle name="Normal 166 4 8 2 2" xfId="14030"/>
    <cellStyle name="Normal 166 4 8 2 3" xfId="20544"/>
    <cellStyle name="Normal 166 4 8 2 4" xfId="26933"/>
    <cellStyle name="Normal 166 4 8 3" xfId="10527"/>
    <cellStyle name="Normal 166 4 8 4" xfId="10625"/>
    <cellStyle name="Normal 166 4 8 5" xfId="9443"/>
    <cellStyle name="Normal 166 4 9" xfId="2388"/>
    <cellStyle name="Normal 166 4 9 2" xfId="5939"/>
    <cellStyle name="Normal 166 4 9 2 2" xfId="14420"/>
    <cellStyle name="Normal 166 4 9 2 3" xfId="20934"/>
    <cellStyle name="Normal 166 4 9 2 4" xfId="27323"/>
    <cellStyle name="Normal 166 4 9 3" xfId="10933"/>
    <cellStyle name="Normal 166 4 9 4" xfId="17382"/>
    <cellStyle name="Normal 166 4 9 5" xfId="23822"/>
    <cellStyle name="Normal 166 5" xfId="782"/>
    <cellStyle name="Normal 166 5 10" xfId="2448"/>
    <cellStyle name="Normal 166 5 10 2" xfId="5987"/>
    <cellStyle name="Normal 166 5 10 2 2" xfId="14468"/>
    <cellStyle name="Normal 166 5 10 2 3" xfId="20982"/>
    <cellStyle name="Normal 166 5 10 2 4" xfId="27371"/>
    <cellStyle name="Normal 166 5 10 3" xfId="10986"/>
    <cellStyle name="Normal 166 5 10 4" xfId="17560"/>
    <cellStyle name="Normal 166 5 10 5" xfId="23967"/>
    <cellStyle name="Normal 166 5 11" xfId="2045"/>
    <cellStyle name="Normal 166 5 11 2" xfId="5623"/>
    <cellStyle name="Normal 166 5 11 2 2" xfId="14104"/>
    <cellStyle name="Normal 166 5 11 2 3" xfId="20618"/>
    <cellStyle name="Normal 166 5 11 2 4" xfId="27007"/>
    <cellStyle name="Normal 166 5 11 3" xfId="10606"/>
    <cellStyle name="Normal 166 5 11 4" xfId="9459"/>
    <cellStyle name="Normal 166 5 11 5" xfId="10243"/>
    <cellStyle name="Normal 166 5 12" xfId="2302"/>
    <cellStyle name="Normal 166 5 12 2" xfId="5867"/>
    <cellStyle name="Normal 166 5 12 2 2" xfId="14348"/>
    <cellStyle name="Normal 166 5 12 2 3" xfId="20862"/>
    <cellStyle name="Normal 166 5 12 2 4" xfId="27251"/>
    <cellStyle name="Normal 166 5 12 3" xfId="10854"/>
    <cellStyle name="Normal 166 5 12 4" xfId="17223"/>
    <cellStyle name="Normal 166 5 12 5" xfId="23698"/>
    <cellStyle name="Normal 166 5 13" xfId="2647"/>
    <cellStyle name="Normal 166 5 13 2" xfId="6153"/>
    <cellStyle name="Normal 166 5 13 2 2" xfId="14634"/>
    <cellStyle name="Normal 166 5 13 2 3" xfId="21148"/>
    <cellStyle name="Normal 166 5 13 2 4" xfId="27537"/>
    <cellStyle name="Normal 166 5 13 3" xfId="11161"/>
    <cellStyle name="Normal 166 5 13 4" xfId="17730"/>
    <cellStyle name="Normal 166 5 13 5" xfId="24133"/>
    <cellStyle name="Normal 166 5 14" xfId="2413"/>
    <cellStyle name="Normal 166 5 14 2" xfId="5960"/>
    <cellStyle name="Normal 166 5 14 2 2" xfId="14441"/>
    <cellStyle name="Normal 166 5 14 2 3" xfId="20955"/>
    <cellStyle name="Normal 166 5 14 2 4" xfId="27344"/>
    <cellStyle name="Normal 166 5 14 3" xfId="10957"/>
    <cellStyle name="Normal 166 5 14 4" xfId="17277"/>
    <cellStyle name="Normal 166 5 14 5" xfId="23751"/>
    <cellStyle name="Normal 166 5 15" xfId="2084"/>
    <cellStyle name="Normal 166 5 15 2" xfId="5657"/>
    <cellStyle name="Normal 166 5 15 2 2" xfId="14138"/>
    <cellStyle name="Normal 166 5 15 2 3" xfId="20652"/>
    <cellStyle name="Normal 166 5 15 2 4" xfId="27041"/>
    <cellStyle name="Normal 166 5 15 3" xfId="10643"/>
    <cellStyle name="Normal 166 5 15 4" xfId="9427"/>
    <cellStyle name="Normal 166 5 15 5" xfId="11687"/>
    <cellStyle name="Normal 166 5 16" xfId="2835"/>
    <cellStyle name="Normal 166 5 16 2" xfId="6333"/>
    <cellStyle name="Normal 166 5 16 2 2" xfId="14814"/>
    <cellStyle name="Normal 166 5 16 2 3" xfId="21328"/>
    <cellStyle name="Normal 166 5 16 2 4" xfId="27717"/>
    <cellStyle name="Normal 166 5 16 3" xfId="11342"/>
    <cellStyle name="Normal 166 5 16 4" xfId="17911"/>
    <cellStyle name="Normal 166 5 16 5" xfId="24313"/>
    <cellStyle name="Normal 166 5 17" xfId="3009"/>
    <cellStyle name="Normal 166 5 17 2" xfId="6500"/>
    <cellStyle name="Normal 166 5 17 2 2" xfId="14981"/>
    <cellStyle name="Normal 166 5 17 2 3" xfId="21495"/>
    <cellStyle name="Normal 166 5 17 2 4" xfId="27884"/>
    <cellStyle name="Normal 166 5 17 3" xfId="11512"/>
    <cellStyle name="Normal 166 5 17 4" xfId="18078"/>
    <cellStyle name="Normal 166 5 17 5" xfId="24480"/>
    <cellStyle name="Normal 166 5 18" xfId="3182"/>
    <cellStyle name="Normal 166 5 18 2" xfId="6667"/>
    <cellStyle name="Normal 166 5 18 2 2" xfId="15148"/>
    <cellStyle name="Normal 166 5 18 2 3" xfId="21662"/>
    <cellStyle name="Normal 166 5 18 2 4" xfId="28051"/>
    <cellStyle name="Normal 166 5 18 3" xfId="11683"/>
    <cellStyle name="Normal 166 5 18 4" xfId="18245"/>
    <cellStyle name="Normal 166 5 18 5" xfId="24647"/>
    <cellStyle name="Normal 166 5 19" xfId="5207"/>
    <cellStyle name="Normal 166 5 19 2" xfId="13689"/>
    <cellStyle name="Normal 166 5 19 3" xfId="20207"/>
    <cellStyle name="Normal 166 5 19 4" xfId="26596"/>
    <cellStyle name="Normal 166 5 2" xfId="1811"/>
    <cellStyle name="Normal 166 5 2 2" xfId="5409"/>
    <cellStyle name="Normal 166 5 2 2 2" xfId="13890"/>
    <cellStyle name="Normal 166 5 2 2 3" xfId="20404"/>
    <cellStyle name="Normal 166 5 2 2 4" xfId="26793"/>
    <cellStyle name="Normal 166 5 2 3" xfId="10383"/>
    <cellStyle name="Normal 166 5 2 4" xfId="9615"/>
    <cellStyle name="Normal 166 5 2 5" xfId="17065"/>
    <cellStyle name="Normal 166 5 20" xfId="9828"/>
    <cellStyle name="Normal 166 5 21" xfId="9927"/>
    <cellStyle name="Normal 166 5 22" xfId="17484"/>
    <cellStyle name="Normal 166 5 3" xfId="2551"/>
    <cellStyle name="Normal 166 5 3 2" xfId="6069"/>
    <cellStyle name="Normal 166 5 3 2 2" xfId="14550"/>
    <cellStyle name="Normal 166 5 3 2 3" xfId="21064"/>
    <cellStyle name="Normal 166 5 3 2 4" xfId="27453"/>
    <cellStyle name="Normal 166 5 3 3" xfId="11073"/>
    <cellStyle name="Normal 166 5 3 4" xfId="17643"/>
    <cellStyle name="Normal 166 5 3 5" xfId="24049"/>
    <cellStyle name="Normal 166 5 4" xfId="1993"/>
    <cellStyle name="Normal 166 5 4 2" xfId="5582"/>
    <cellStyle name="Normal 166 5 4 2 2" xfId="14063"/>
    <cellStyle name="Normal 166 5 4 2 3" xfId="20577"/>
    <cellStyle name="Normal 166 5 4 2 4" xfId="26966"/>
    <cellStyle name="Normal 166 5 4 3" xfId="10562"/>
    <cellStyle name="Normal 166 5 4 4" xfId="9500"/>
    <cellStyle name="Normal 166 5 4 5" xfId="10212"/>
    <cellStyle name="Normal 166 5 5" xfId="2352"/>
    <cellStyle name="Normal 166 5 5 2" xfId="5907"/>
    <cellStyle name="Normal 166 5 5 2 2" xfId="14388"/>
    <cellStyle name="Normal 166 5 5 2 3" xfId="20902"/>
    <cellStyle name="Normal 166 5 5 2 4" xfId="27291"/>
    <cellStyle name="Normal 166 5 5 3" xfId="10898"/>
    <cellStyle name="Normal 166 5 5 4" xfId="17252"/>
    <cellStyle name="Normal 166 5 5 5" xfId="23727"/>
    <cellStyle name="Normal 166 5 6" xfId="2603"/>
    <cellStyle name="Normal 166 5 6 2" xfId="6117"/>
    <cellStyle name="Normal 166 5 6 2 2" xfId="14598"/>
    <cellStyle name="Normal 166 5 6 2 3" xfId="21112"/>
    <cellStyle name="Normal 166 5 6 2 4" xfId="27501"/>
    <cellStyle name="Normal 166 5 6 3" xfId="11122"/>
    <cellStyle name="Normal 166 5 6 4" xfId="17692"/>
    <cellStyle name="Normal 166 5 6 5" xfId="24097"/>
    <cellStyle name="Normal 166 5 7" xfId="1973"/>
    <cellStyle name="Normal 166 5 7 2" xfId="5563"/>
    <cellStyle name="Normal 166 5 7 2 2" xfId="14044"/>
    <cellStyle name="Normal 166 5 7 2 3" xfId="20558"/>
    <cellStyle name="Normal 166 5 7 2 4" xfId="26947"/>
    <cellStyle name="Normal 166 5 7 3" xfId="10542"/>
    <cellStyle name="Normal 166 5 7 4" xfId="10312"/>
    <cellStyle name="Normal 166 5 7 5" xfId="17493"/>
    <cellStyle name="Normal 166 5 8" xfId="2373"/>
    <cellStyle name="Normal 166 5 8 2" xfId="5926"/>
    <cellStyle name="Normal 166 5 8 2 2" xfId="14407"/>
    <cellStyle name="Normal 166 5 8 2 3" xfId="20921"/>
    <cellStyle name="Normal 166 5 8 2 4" xfId="27310"/>
    <cellStyle name="Normal 166 5 8 3" xfId="10919"/>
    <cellStyle name="Normal 166 5 8 4" xfId="17271"/>
    <cellStyle name="Normal 166 5 8 5" xfId="23745"/>
    <cellStyle name="Normal 166 5 9" xfId="2582"/>
    <cellStyle name="Normal 166 5 9 2" xfId="6098"/>
    <cellStyle name="Normal 166 5 9 2 2" xfId="14579"/>
    <cellStyle name="Normal 166 5 9 2 3" xfId="21093"/>
    <cellStyle name="Normal 166 5 9 2 4" xfId="27482"/>
    <cellStyle name="Normal 166 5 9 3" xfId="11102"/>
    <cellStyle name="Normal 166 5 9 4" xfId="17672"/>
    <cellStyle name="Normal 166 5 9 5" xfId="24078"/>
    <cellStyle name="Normal 166 6" xfId="783"/>
    <cellStyle name="Normal 166 6 10" xfId="2269"/>
    <cellStyle name="Normal 166 6 10 2" xfId="5839"/>
    <cellStyle name="Normal 166 6 10 2 2" xfId="14320"/>
    <cellStyle name="Normal 166 6 10 2 3" xfId="20834"/>
    <cellStyle name="Normal 166 6 10 2 4" xfId="27223"/>
    <cellStyle name="Normal 166 6 10 3" xfId="10825"/>
    <cellStyle name="Normal 166 6 10 4" xfId="17196"/>
    <cellStyle name="Normal 166 6 10 5" xfId="23672"/>
    <cellStyle name="Normal 166 6 11" xfId="2679"/>
    <cellStyle name="Normal 166 6 11 2" xfId="6180"/>
    <cellStyle name="Normal 166 6 11 2 2" xfId="14661"/>
    <cellStyle name="Normal 166 6 11 2 3" xfId="21175"/>
    <cellStyle name="Normal 166 6 11 2 4" xfId="27564"/>
    <cellStyle name="Normal 166 6 11 3" xfId="11189"/>
    <cellStyle name="Normal 166 6 11 4" xfId="17758"/>
    <cellStyle name="Normal 166 6 11 5" xfId="24160"/>
    <cellStyle name="Normal 166 6 12" xfId="2853"/>
    <cellStyle name="Normal 166 6 12 2" xfId="6347"/>
    <cellStyle name="Normal 166 6 12 2 2" xfId="14828"/>
    <cellStyle name="Normal 166 6 12 2 3" xfId="21342"/>
    <cellStyle name="Normal 166 6 12 2 4" xfId="27731"/>
    <cellStyle name="Normal 166 6 12 3" xfId="11359"/>
    <cellStyle name="Normal 166 6 12 4" xfId="17925"/>
    <cellStyle name="Normal 166 6 12 5" xfId="24327"/>
    <cellStyle name="Normal 166 6 13" xfId="3027"/>
    <cellStyle name="Normal 166 6 13 2" xfId="6514"/>
    <cellStyle name="Normal 166 6 13 2 2" xfId="14995"/>
    <cellStyle name="Normal 166 6 13 2 3" xfId="21509"/>
    <cellStyle name="Normal 166 6 13 2 4" xfId="27898"/>
    <cellStyle name="Normal 166 6 13 3" xfId="11529"/>
    <cellStyle name="Normal 166 6 13 4" xfId="18092"/>
    <cellStyle name="Normal 166 6 13 5" xfId="24494"/>
    <cellStyle name="Normal 166 6 14" xfId="3200"/>
    <cellStyle name="Normal 166 6 14 2" xfId="6681"/>
    <cellStyle name="Normal 166 6 14 2 2" xfId="15162"/>
    <cellStyle name="Normal 166 6 14 2 3" xfId="21676"/>
    <cellStyle name="Normal 166 6 14 2 4" xfId="28065"/>
    <cellStyle name="Normal 166 6 14 3" xfId="11700"/>
    <cellStyle name="Normal 166 6 14 4" xfId="18259"/>
    <cellStyle name="Normal 166 6 14 5" xfId="24661"/>
    <cellStyle name="Normal 166 6 15" xfId="3371"/>
    <cellStyle name="Normal 166 6 15 2" xfId="6846"/>
    <cellStyle name="Normal 166 6 15 2 2" xfId="15327"/>
    <cellStyle name="Normal 166 6 15 2 3" xfId="21841"/>
    <cellStyle name="Normal 166 6 15 2 4" xfId="28230"/>
    <cellStyle name="Normal 166 6 15 3" xfId="11868"/>
    <cellStyle name="Normal 166 6 15 4" xfId="18424"/>
    <cellStyle name="Normal 166 6 15 5" xfId="24826"/>
    <cellStyle name="Normal 166 6 16" xfId="3542"/>
    <cellStyle name="Normal 166 6 16 2" xfId="7011"/>
    <cellStyle name="Normal 166 6 16 2 2" xfId="15492"/>
    <cellStyle name="Normal 166 6 16 2 3" xfId="22006"/>
    <cellStyle name="Normal 166 6 16 2 4" xfId="28395"/>
    <cellStyle name="Normal 166 6 16 3" xfId="12037"/>
    <cellStyle name="Normal 166 6 16 4" xfId="18590"/>
    <cellStyle name="Normal 166 6 16 5" xfId="24991"/>
    <cellStyle name="Normal 166 6 17" xfId="3712"/>
    <cellStyle name="Normal 166 6 17 2" xfId="7175"/>
    <cellStyle name="Normal 166 6 17 2 2" xfId="15656"/>
    <cellStyle name="Normal 166 6 17 2 3" xfId="22170"/>
    <cellStyle name="Normal 166 6 17 2 4" xfId="28559"/>
    <cellStyle name="Normal 166 6 17 3" xfId="12207"/>
    <cellStyle name="Normal 166 6 17 4" xfId="18757"/>
    <cellStyle name="Normal 166 6 17 5" xfId="25155"/>
    <cellStyle name="Normal 166 6 18" xfId="3880"/>
    <cellStyle name="Normal 166 6 18 2" xfId="7338"/>
    <cellStyle name="Normal 166 6 18 2 2" xfId="15819"/>
    <cellStyle name="Normal 166 6 18 2 3" xfId="22333"/>
    <cellStyle name="Normal 166 6 18 2 4" xfId="28722"/>
    <cellStyle name="Normal 166 6 18 3" xfId="12374"/>
    <cellStyle name="Normal 166 6 18 4" xfId="18921"/>
    <cellStyle name="Normal 166 6 18 5" xfId="25318"/>
    <cellStyle name="Normal 166 6 19" xfId="5208"/>
    <cellStyle name="Normal 166 6 19 2" xfId="13690"/>
    <cellStyle name="Normal 166 6 19 3" xfId="20208"/>
    <cellStyle name="Normal 166 6 19 4" xfId="26597"/>
    <cellStyle name="Normal 166 6 2" xfId="1812"/>
    <cellStyle name="Normal 166 6 2 2" xfId="5410"/>
    <cellStyle name="Normal 166 6 2 2 2" xfId="13891"/>
    <cellStyle name="Normal 166 6 2 2 3" xfId="20405"/>
    <cellStyle name="Normal 166 6 2 2 4" xfId="26794"/>
    <cellStyle name="Normal 166 6 2 3" xfId="10384"/>
    <cellStyle name="Normal 166 6 2 4" xfId="9614"/>
    <cellStyle name="Normal 166 6 2 5" xfId="10125"/>
    <cellStyle name="Normal 166 6 20" xfId="9829"/>
    <cellStyle name="Normal 166 6 21" xfId="9926"/>
    <cellStyle name="Normal 166 6 22" xfId="17471"/>
    <cellStyle name="Normal 166 6 3" xfId="2552"/>
    <cellStyle name="Normal 166 6 3 2" xfId="6070"/>
    <cellStyle name="Normal 166 6 3 2 2" xfId="14551"/>
    <cellStyle name="Normal 166 6 3 2 3" xfId="21065"/>
    <cellStyle name="Normal 166 6 3 2 4" xfId="27454"/>
    <cellStyle name="Normal 166 6 3 3" xfId="11074"/>
    <cellStyle name="Normal 166 6 3 4" xfId="17644"/>
    <cellStyle name="Normal 166 6 3 5" xfId="24050"/>
    <cellStyle name="Normal 166 6 4" xfId="2467"/>
    <cellStyle name="Normal 166 6 4 2" xfId="6004"/>
    <cellStyle name="Normal 166 6 4 2 2" xfId="14485"/>
    <cellStyle name="Normal 166 6 4 2 3" xfId="20999"/>
    <cellStyle name="Normal 166 6 4 2 4" xfId="27388"/>
    <cellStyle name="Normal 166 6 4 3" xfId="11004"/>
    <cellStyle name="Normal 166 6 4 4" xfId="17577"/>
    <cellStyle name="Normal 166 6 4 5" xfId="23984"/>
    <cellStyle name="Normal 166 6 5" xfId="2035"/>
    <cellStyle name="Normal 166 6 5 2" xfId="5614"/>
    <cellStyle name="Normal 166 6 5 2 2" xfId="14095"/>
    <cellStyle name="Normal 166 6 5 2 3" xfId="20609"/>
    <cellStyle name="Normal 166 6 5 2 4" xfId="26998"/>
    <cellStyle name="Normal 166 6 5 3" xfId="10597"/>
    <cellStyle name="Normal 166 6 5 4" xfId="9467"/>
    <cellStyle name="Normal 166 6 5 5" xfId="17437"/>
    <cellStyle name="Normal 166 6 6" xfId="2311"/>
    <cellStyle name="Normal 166 6 6 2" xfId="5875"/>
    <cellStyle name="Normal 166 6 6 2 2" xfId="14356"/>
    <cellStyle name="Normal 166 6 6 2 3" xfId="20870"/>
    <cellStyle name="Normal 166 6 6 2 4" xfId="27259"/>
    <cellStyle name="Normal 166 6 6 3" xfId="10863"/>
    <cellStyle name="Normal 166 6 6 4" xfId="17231"/>
    <cellStyle name="Normal 166 6 6 5" xfId="23706"/>
    <cellStyle name="Normal 166 6 7" xfId="2639"/>
    <cellStyle name="Normal 166 6 7 2" xfId="6145"/>
    <cellStyle name="Normal 166 6 7 2 2" xfId="14626"/>
    <cellStyle name="Normal 166 6 7 2 3" xfId="21140"/>
    <cellStyle name="Normal 166 6 7 2 4" xfId="27529"/>
    <cellStyle name="Normal 166 6 7 3" xfId="11153"/>
    <cellStyle name="Normal 166 6 7 4" xfId="17722"/>
    <cellStyle name="Normal 166 6 7 5" xfId="24125"/>
    <cellStyle name="Normal 166 6 8" xfId="2417"/>
    <cellStyle name="Normal 166 6 8 2" xfId="5964"/>
    <cellStyle name="Normal 166 6 8 2 2" xfId="14445"/>
    <cellStyle name="Normal 166 6 8 2 3" xfId="20959"/>
    <cellStyle name="Normal 166 6 8 2 4" xfId="27348"/>
    <cellStyle name="Normal 166 6 8 3" xfId="10961"/>
    <cellStyle name="Normal 166 6 8 4" xfId="17281"/>
    <cellStyle name="Normal 166 6 8 5" xfId="23755"/>
    <cellStyle name="Normal 166 6 9" xfId="2070"/>
    <cellStyle name="Normal 166 6 9 2" xfId="5643"/>
    <cellStyle name="Normal 166 6 9 2 2" xfId="14124"/>
    <cellStyle name="Normal 166 6 9 2 3" xfId="20638"/>
    <cellStyle name="Normal 166 6 9 2 4" xfId="27027"/>
    <cellStyle name="Normal 166 6 9 3" xfId="10629"/>
    <cellStyle name="Normal 166 6 9 4" xfId="9439"/>
    <cellStyle name="Normal 166 6 9 5" xfId="12691"/>
    <cellStyle name="Normal 166 7" xfId="784"/>
    <cellStyle name="Normal 166 7 10" xfId="1981"/>
    <cellStyle name="Normal 166 7 10 2" xfId="5570"/>
    <cellStyle name="Normal 166 7 10 2 2" xfId="14051"/>
    <cellStyle name="Normal 166 7 10 2 3" xfId="20565"/>
    <cellStyle name="Normal 166 7 10 2 4" xfId="26954"/>
    <cellStyle name="Normal 166 7 10 3" xfId="10550"/>
    <cellStyle name="Normal 166 7 10 4" xfId="9513"/>
    <cellStyle name="Normal 166 7 10 5" xfId="10199"/>
    <cellStyle name="Normal 166 7 11" xfId="2365"/>
    <cellStyle name="Normal 166 7 11 2" xfId="5919"/>
    <cellStyle name="Normal 166 7 11 2 2" xfId="14400"/>
    <cellStyle name="Normal 166 7 11 2 3" xfId="20914"/>
    <cellStyle name="Normal 166 7 11 2 4" xfId="27303"/>
    <cellStyle name="Normal 166 7 11 3" xfId="10911"/>
    <cellStyle name="Normal 166 7 11 4" xfId="17264"/>
    <cellStyle name="Normal 166 7 11 5" xfId="23739"/>
    <cellStyle name="Normal 166 7 12" xfId="2590"/>
    <cellStyle name="Normal 166 7 12 2" xfId="6105"/>
    <cellStyle name="Normal 166 7 12 2 2" xfId="14586"/>
    <cellStyle name="Normal 166 7 12 2 3" xfId="21100"/>
    <cellStyle name="Normal 166 7 12 2 4" xfId="27489"/>
    <cellStyle name="Normal 166 7 12 3" xfId="11110"/>
    <cellStyle name="Normal 166 7 12 4" xfId="17680"/>
    <cellStyle name="Normal 166 7 12 5" xfId="24085"/>
    <cellStyle name="Normal 166 7 13" xfId="2442"/>
    <cellStyle name="Normal 166 7 13 2" xfId="5982"/>
    <cellStyle name="Normal 166 7 13 2 2" xfId="14463"/>
    <cellStyle name="Normal 166 7 13 2 3" xfId="20977"/>
    <cellStyle name="Normal 166 7 13 2 4" xfId="27366"/>
    <cellStyle name="Normal 166 7 13 3" xfId="10980"/>
    <cellStyle name="Normal 166 7 13 4" xfId="17300"/>
    <cellStyle name="Normal 166 7 13 5" xfId="23773"/>
    <cellStyle name="Normal 166 7 14" xfId="2051"/>
    <cellStyle name="Normal 166 7 14 2" xfId="5628"/>
    <cellStyle name="Normal 166 7 14 2 2" xfId="14109"/>
    <cellStyle name="Normal 166 7 14 2 3" xfId="20623"/>
    <cellStyle name="Normal 166 7 14 2 4" xfId="27012"/>
    <cellStyle name="Normal 166 7 14 3" xfId="10612"/>
    <cellStyle name="Normal 166 7 14 4" xfId="9453"/>
    <cellStyle name="Normal 166 7 14 5" xfId="17375"/>
    <cellStyle name="Normal 166 7 15" xfId="2296"/>
    <cellStyle name="Normal 166 7 15 2" xfId="5862"/>
    <cellStyle name="Normal 166 7 15 2 2" xfId="14343"/>
    <cellStyle name="Normal 166 7 15 2 3" xfId="20857"/>
    <cellStyle name="Normal 166 7 15 2 4" xfId="27246"/>
    <cellStyle name="Normal 166 7 15 3" xfId="10849"/>
    <cellStyle name="Normal 166 7 15 4" xfId="17219"/>
    <cellStyle name="Normal 166 7 15 5" xfId="23694"/>
    <cellStyle name="Normal 166 7 16" xfId="2653"/>
    <cellStyle name="Normal 166 7 16 2" xfId="6158"/>
    <cellStyle name="Normal 166 7 16 2 2" xfId="14639"/>
    <cellStyle name="Normal 166 7 16 2 3" xfId="21153"/>
    <cellStyle name="Normal 166 7 16 2 4" xfId="27542"/>
    <cellStyle name="Normal 166 7 16 3" xfId="11166"/>
    <cellStyle name="Normal 166 7 16 4" xfId="17735"/>
    <cellStyle name="Normal 166 7 16 5" xfId="24138"/>
    <cellStyle name="Normal 166 7 17" xfId="1950"/>
    <cellStyle name="Normal 166 7 17 2" xfId="5542"/>
    <cellStyle name="Normal 166 7 17 2 2" xfId="14023"/>
    <cellStyle name="Normal 166 7 17 2 3" xfId="20537"/>
    <cellStyle name="Normal 166 7 17 2 4" xfId="26926"/>
    <cellStyle name="Normal 166 7 17 3" xfId="10520"/>
    <cellStyle name="Normal 166 7 17 4" xfId="9526"/>
    <cellStyle name="Normal 166 7 17 5" xfId="17062"/>
    <cellStyle name="Normal 166 7 18" xfId="2395"/>
    <cellStyle name="Normal 166 7 18 2" xfId="5946"/>
    <cellStyle name="Normal 166 7 18 2 2" xfId="14427"/>
    <cellStyle name="Normal 166 7 18 2 3" xfId="20941"/>
    <cellStyle name="Normal 166 7 18 2 4" xfId="27330"/>
    <cellStyle name="Normal 166 7 18 3" xfId="10940"/>
    <cellStyle name="Normal 166 7 18 4" xfId="17276"/>
    <cellStyle name="Normal 166 7 18 5" xfId="23750"/>
    <cellStyle name="Normal 166 7 19" xfId="5209"/>
    <cellStyle name="Normal 166 7 19 2" xfId="13691"/>
    <cellStyle name="Normal 166 7 19 3" xfId="20209"/>
    <cellStyle name="Normal 166 7 19 4" xfId="26598"/>
    <cellStyle name="Normal 166 7 2" xfId="1813"/>
    <cellStyle name="Normal 166 7 2 2" xfId="5411"/>
    <cellStyle name="Normal 166 7 2 2 2" xfId="13892"/>
    <cellStyle name="Normal 166 7 2 2 3" xfId="20406"/>
    <cellStyle name="Normal 166 7 2 2 4" xfId="26795"/>
    <cellStyle name="Normal 166 7 2 3" xfId="10385"/>
    <cellStyle name="Normal 166 7 2 4" xfId="9613"/>
    <cellStyle name="Normal 166 7 2 5" xfId="10126"/>
    <cellStyle name="Normal 166 7 20" xfId="9830"/>
    <cellStyle name="Normal 166 7 21" xfId="9925"/>
    <cellStyle name="Normal 166 7 22" xfId="17458"/>
    <cellStyle name="Normal 166 7 3" xfId="2553"/>
    <cellStyle name="Normal 166 7 3 2" xfId="6071"/>
    <cellStyle name="Normal 166 7 3 2 2" xfId="14552"/>
    <cellStyle name="Normal 166 7 3 2 3" xfId="21066"/>
    <cellStyle name="Normal 166 7 3 2 4" xfId="27455"/>
    <cellStyle name="Normal 166 7 3 3" xfId="11075"/>
    <cellStyle name="Normal 166 7 3 4" xfId="17645"/>
    <cellStyle name="Normal 166 7 3 5" xfId="24051"/>
    <cellStyle name="Normal 166 7 4" xfId="1992"/>
    <cellStyle name="Normal 166 7 4 2" xfId="5581"/>
    <cellStyle name="Normal 166 7 4 2 2" xfId="14062"/>
    <cellStyle name="Normal 166 7 4 2 3" xfId="20576"/>
    <cellStyle name="Normal 166 7 4 2 4" xfId="26965"/>
    <cellStyle name="Normal 166 7 4 3" xfId="10561"/>
    <cellStyle name="Normal 166 7 4 4" xfId="9501"/>
    <cellStyle name="Normal 166 7 4 5" xfId="10211"/>
    <cellStyle name="Normal 166 7 5" xfId="2353"/>
    <cellStyle name="Normal 166 7 5 2" xfId="5908"/>
    <cellStyle name="Normal 166 7 5 2 2" xfId="14389"/>
    <cellStyle name="Normal 166 7 5 2 3" xfId="20903"/>
    <cellStyle name="Normal 166 7 5 2 4" xfId="27292"/>
    <cellStyle name="Normal 166 7 5 3" xfId="10899"/>
    <cellStyle name="Normal 166 7 5 4" xfId="17253"/>
    <cellStyle name="Normal 166 7 5 5" xfId="23728"/>
    <cellStyle name="Normal 166 7 6" xfId="2602"/>
    <cellStyle name="Normal 166 7 6 2" xfId="6116"/>
    <cellStyle name="Normal 166 7 6 2 2" xfId="14597"/>
    <cellStyle name="Normal 166 7 6 2 3" xfId="21111"/>
    <cellStyle name="Normal 166 7 6 2 4" xfId="27500"/>
    <cellStyle name="Normal 166 7 6 3" xfId="11121"/>
    <cellStyle name="Normal 166 7 6 4" xfId="17691"/>
    <cellStyle name="Normal 166 7 6 5" xfId="24096"/>
    <cellStyle name="Normal 166 7 7" xfId="1974"/>
    <cellStyle name="Normal 166 7 7 2" xfId="5564"/>
    <cellStyle name="Normal 166 7 7 2 2" xfId="14045"/>
    <cellStyle name="Normal 166 7 7 2 3" xfId="20559"/>
    <cellStyle name="Normal 166 7 7 2 4" xfId="26948"/>
    <cellStyle name="Normal 166 7 7 3" xfId="10543"/>
    <cellStyle name="Normal 166 7 7 4" xfId="9520"/>
    <cellStyle name="Normal 166 7 7 5" xfId="10193"/>
    <cellStyle name="Normal 166 7 8" xfId="2372"/>
    <cellStyle name="Normal 166 7 8 2" xfId="5925"/>
    <cellStyle name="Normal 166 7 8 2 2" xfId="14406"/>
    <cellStyle name="Normal 166 7 8 2 3" xfId="20920"/>
    <cellStyle name="Normal 166 7 8 2 4" xfId="27309"/>
    <cellStyle name="Normal 166 7 8 3" xfId="10918"/>
    <cellStyle name="Normal 166 7 8 4" xfId="17270"/>
    <cellStyle name="Normal 166 7 8 5" xfId="23744"/>
    <cellStyle name="Normal 166 7 9" xfId="2583"/>
    <cellStyle name="Normal 166 7 9 2" xfId="6099"/>
    <cellStyle name="Normal 166 7 9 2 2" xfId="14580"/>
    <cellStyle name="Normal 166 7 9 2 3" xfId="21094"/>
    <cellStyle name="Normal 166 7 9 2 4" xfId="27483"/>
    <cellStyle name="Normal 166 7 9 3" xfId="11103"/>
    <cellStyle name="Normal 166 7 9 4" xfId="17673"/>
    <cellStyle name="Normal 166 7 9 5" xfId="24079"/>
    <cellStyle name="Normal 166 8" xfId="785"/>
    <cellStyle name="Normal 166 8 10" xfId="2423"/>
    <cellStyle name="Normal 166 8 10 2" xfId="5968"/>
    <cellStyle name="Normal 166 8 10 2 2" xfId="14449"/>
    <cellStyle name="Normal 166 8 10 2 3" xfId="20963"/>
    <cellStyle name="Normal 166 8 10 2 4" xfId="27352"/>
    <cellStyle name="Normal 166 8 10 3" xfId="10965"/>
    <cellStyle name="Normal 166 8 10 4" xfId="17285"/>
    <cellStyle name="Normal 166 8 10 5" xfId="23759"/>
    <cellStyle name="Normal 166 8 11" xfId="2521"/>
    <cellStyle name="Normal 166 8 11 2" xfId="6043"/>
    <cellStyle name="Normal 166 8 11 2 2" xfId="14524"/>
    <cellStyle name="Normal 166 8 11 2 3" xfId="21038"/>
    <cellStyle name="Normal 166 8 11 2 4" xfId="27427"/>
    <cellStyle name="Normal 166 8 11 3" xfId="11044"/>
    <cellStyle name="Normal 166 8 11 4" xfId="17616"/>
    <cellStyle name="Normal 166 8 11 5" xfId="24023"/>
    <cellStyle name="Normal 166 8 12" xfId="2482"/>
    <cellStyle name="Normal 166 8 12 2" xfId="6018"/>
    <cellStyle name="Normal 166 8 12 2 2" xfId="14499"/>
    <cellStyle name="Normal 166 8 12 2 3" xfId="21013"/>
    <cellStyle name="Normal 166 8 12 2 4" xfId="27402"/>
    <cellStyle name="Normal 166 8 12 3" xfId="11019"/>
    <cellStyle name="Normal 166 8 12 4" xfId="17591"/>
    <cellStyle name="Normal 166 8 12 5" xfId="23998"/>
    <cellStyle name="Normal 166 8 13" xfId="2503"/>
    <cellStyle name="Normal 166 8 13 2" xfId="6027"/>
    <cellStyle name="Normal 166 8 13 2 2" xfId="14508"/>
    <cellStyle name="Normal 166 8 13 2 3" xfId="21022"/>
    <cellStyle name="Normal 166 8 13 2 4" xfId="27411"/>
    <cellStyle name="Normal 166 8 13 3" xfId="11028"/>
    <cellStyle name="Normal 166 8 13 4" xfId="17600"/>
    <cellStyle name="Normal 166 8 13 5" xfId="24007"/>
    <cellStyle name="Normal 166 8 14" xfId="2017"/>
    <cellStyle name="Normal 166 8 14 2" xfId="5601"/>
    <cellStyle name="Normal 166 8 14 2 2" xfId="14082"/>
    <cellStyle name="Normal 166 8 14 2 3" xfId="20596"/>
    <cellStyle name="Normal 166 8 14 2 4" xfId="26985"/>
    <cellStyle name="Normal 166 8 14 3" xfId="10583"/>
    <cellStyle name="Normal 166 8 14 4" xfId="9480"/>
    <cellStyle name="Normal 166 8 14 5" xfId="10230"/>
    <cellStyle name="Normal 166 8 15" xfId="2329"/>
    <cellStyle name="Normal 166 8 15 2" xfId="5888"/>
    <cellStyle name="Normal 166 8 15 2 2" xfId="14369"/>
    <cellStyle name="Normal 166 8 15 2 3" xfId="20883"/>
    <cellStyle name="Normal 166 8 15 2 4" xfId="27272"/>
    <cellStyle name="Normal 166 8 15 3" xfId="10877"/>
    <cellStyle name="Normal 166 8 15 4" xfId="17240"/>
    <cellStyle name="Normal 166 8 15 5" xfId="23715"/>
    <cellStyle name="Normal 166 8 16" xfId="2621"/>
    <cellStyle name="Normal 166 8 16 2" xfId="6132"/>
    <cellStyle name="Normal 166 8 16 2 2" xfId="14613"/>
    <cellStyle name="Normal 166 8 16 2 3" xfId="21127"/>
    <cellStyle name="Normal 166 8 16 2 4" xfId="27516"/>
    <cellStyle name="Normal 166 8 16 3" xfId="11139"/>
    <cellStyle name="Normal 166 8 16 4" xfId="17708"/>
    <cellStyle name="Normal 166 8 16 5" xfId="24112"/>
    <cellStyle name="Normal 166 8 17" xfId="1963"/>
    <cellStyle name="Normal 166 8 17 2" xfId="5555"/>
    <cellStyle name="Normal 166 8 17 2 2" xfId="14036"/>
    <cellStyle name="Normal 166 8 17 2 3" xfId="20550"/>
    <cellStyle name="Normal 166 8 17 2 4" xfId="26939"/>
    <cellStyle name="Normal 166 8 17 3" xfId="10533"/>
    <cellStyle name="Normal 166 8 17 4" xfId="10954"/>
    <cellStyle name="Normal 166 8 17 5" xfId="17428"/>
    <cellStyle name="Normal 166 8 18" xfId="2383"/>
    <cellStyle name="Normal 166 8 18 2" xfId="5934"/>
    <cellStyle name="Normal 166 8 18 2 2" xfId="14415"/>
    <cellStyle name="Normal 166 8 18 2 3" xfId="20929"/>
    <cellStyle name="Normal 166 8 18 2 4" xfId="27318"/>
    <cellStyle name="Normal 166 8 18 3" xfId="10928"/>
    <cellStyle name="Normal 166 8 18 4" xfId="17525"/>
    <cellStyle name="Normal 166 8 18 5" xfId="23937"/>
    <cellStyle name="Normal 166 8 19" xfId="5210"/>
    <cellStyle name="Normal 166 8 19 2" xfId="13692"/>
    <cellStyle name="Normal 166 8 19 3" xfId="20210"/>
    <cellStyle name="Normal 166 8 19 4" xfId="26599"/>
    <cellStyle name="Normal 166 8 2" xfId="1814"/>
    <cellStyle name="Normal 166 8 2 2" xfId="5412"/>
    <cellStyle name="Normal 166 8 2 2 2" xfId="13893"/>
    <cellStyle name="Normal 166 8 2 2 3" xfId="20407"/>
    <cellStyle name="Normal 166 8 2 2 4" xfId="26796"/>
    <cellStyle name="Normal 166 8 2 3" xfId="10386"/>
    <cellStyle name="Normal 166 8 2 4" xfId="9612"/>
    <cellStyle name="Normal 166 8 2 5" xfId="10127"/>
    <cellStyle name="Normal 166 8 20" xfId="9831"/>
    <cellStyle name="Normal 166 8 21" xfId="9924"/>
    <cellStyle name="Normal 166 8 22" xfId="9844"/>
    <cellStyle name="Normal 166 8 3" xfId="2554"/>
    <cellStyle name="Normal 166 8 3 2" xfId="6072"/>
    <cellStyle name="Normal 166 8 3 2 2" xfId="14553"/>
    <cellStyle name="Normal 166 8 3 2 3" xfId="21067"/>
    <cellStyle name="Normal 166 8 3 2 4" xfId="27456"/>
    <cellStyle name="Normal 166 8 3 3" xfId="11076"/>
    <cellStyle name="Normal 166 8 3 4" xfId="17646"/>
    <cellStyle name="Normal 166 8 3 5" xfId="24052"/>
    <cellStyle name="Normal 166 8 4" xfId="2466"/>
    <cellStyle name="Normal 166 8 4 2" xfId="6003"/>
    <cellStyle name="Normal 166 8 4 2 2" xfId="14484"/>
    <cellStyle name="Normal 166 8 4 2 3" xfId="20998"/>
    <cellStyle name="Normal 166 8 4 2 4" xfId="27387"/>
    <cellStyle name="Normal 166 8 4 3" xfId="11003"/>
    <cellStyle name="Normal 166 8 4 4" xfId="17576"/>
    <cellStyle name="Normal 166 8 4 5" xfId="23983"/>
    <cellStyle name="Normal 166 8 5" xfId="2510"/>
    <cellStyle name="Normal 166 8 5 2" xfId="6034"/>
    <cellStyle name="Normal 166 8 5 2 2" xfId="14515"/>
    <cellStyle name="Normal 166 8 5 2 3" xfId="21029"/>
    <cellStyle name="Normal 166 8 5 2 4" xfId="27418"/>
    <cellStyle name="Normal 166 8 5 3" xfId="11035"/>
    <cellStyle name="Normal 166 8 5 4" xfId="17607"/>
    <cellStyle name="Normal 166 8 5 5" xfId="24014"/>
    <cellStyle name="Normal 166 8 6" xfId="2485"/>
    <cellStyle name="Normal 166 8 6 2" xfId="6020"/>
    <cellStyle name="Normal 166 8 6 2 2" xfId="14501"/>
    <cellStyle name="Normal 166 8 6 2 3" xfId="21015"/>
    <cellStyle name="Normal 166 8 6 2 4" xfId="27404"/>
    <cellStyle name="Normal 166 8 6 3" xfId="11021"/>
    <cellStyle name="Normal 166 8 6 4" xfId="17593"/>
    <cellStyle name="Normal 166 8 6 5" xfId="24000"/>
    <cellStyle name="Normal 166 8 7" xfId="2024"/>
    <cellStyle name="Normal 166 8 7 2" xfId="5605"/>
    <cellStyle name="Normal 166 8 7 2 2" xfId="14086"/>
    <cellStyle name="Normal 166 8 7 2 3" xfId="20600"/>
    <cellStyle name="Normal 166 8 7 2 4" xfId="26989"/>
    <cellStyle name="Normal 166 8 7 3" xfId="10587"/>
    <cellStyle name="Normal 166 8 7 4" xfId="9476"/>
    <cellStyle name="Normal 166 8 7 5" xfId="10234"/>
    <cellStyle name="Normal 166 8 8" xfId="2322"/>
    <cellStyle name="Normal 166 8 8 2" xfId="5884"/>
    <cellStyle name="Normal 166 8 8 2 2" xfId="14365"/>
    <cellStyle name="Normal 166 8 8 2 3" xfId="20879"/>
    <cellStyle name="Normal 166 8 8 2 4" xfId="27268"/>
    <cellStyle name="Normal 166 8 8 3" xfId="10873"/>
    <cellStyle name="Normal 166 8 8 4" xfId="9344"/>
    <cellStyle name="Normal 166 8 8 5" xfId="17038"/>
    <cellStyle name="Normal 166 8 9" xfId="2628"/>
    <cellStyle name="Normal 166 8 9 2" xfId="6136"/>
    <cellStyle name="Normal 166 8 9 2 2" xfId="14617"/>
    <cellStyle name="Normal 166 8 9 2 3" xfId="21131"/>
    <cellStyle name="Normal 166 8 9 2 4" xfId="27520"/>
    <cellStyle name="Normal 166 8 9 3" xfId="11143"/>
    <cellStyle name="Normal 166 8 9 4" xfId="17712"/>
    <cellStyle name="Normal 166 8 9 5" xfId="24116"/>
    <cellStyle name="Normal 166 9" xfId="786"/>
    <cellStyle name="Normal 166 9 10" xfId="2447"/>
    <cellStyle name="Normal 166 9 10 2" xfId="5986"/>
    <cellStyle name="Normal 166 9 10 2 2" xfId="14467"/>
    <cellStyle name="Normal 166 9 10 2 3" xfId="20981"/>
    <cellStyle name="Normal 166 9 10 2 4" xfId="27370"/>
    <cellStyle name="Normal 166 9 10 3" xfId="10985"/>
    <cellStyle name="Normal 166 9 10 4" xfId="17559"/>
    <cellStyle name="Normal 166 9 10 5" xfId="23966"/>
    <cellStyle name="Normal 166 9 11" xfId="2046"/>
    <cellStyle name="Normal 166 9 11 2" xfId="5624"/>
    <cellStyle name="Normal 166 9 11 2 2" xfId="14105"/>
    <cellStyle name="Normal 166 9 11 2 3" xfId="20619"/>
    <cellStyle name="Normal 166 9 11 2 4" xfId="27008"/>
    <cellStyle name="Normal 166 9 11 3" xfId="10607"/>
    <cellStyle name="Normal 166 9 11 4" xfId="9458"/>
    <cellStyle name="Normal 166 9 11 5" xfId="10244"/>
    <cellStyle name="Normal 166 9 12" xfId="2301"/>
    <cellStyle name="Normal 166 9 12 2" xfId="5866"/>
    <cellStyle name="Normal 166 9 12 2 2" xfId="14347"/>
    <cellStyle name="Normal 166 9 12 2 3" xfId="20861"/>
    <cellStyle name="Normal 166 9 12 2 4" xfId="27250"/>
    <cellStyle name="Normal 166 9 12 3" xfId="10853"/>
    <cellStyle name="Normal 166 9 12 4" xfId="17222"/>
    <cellStyle name="Normal 166 9 12 5" xfId="23697"/>
    <cellStyle name="Normal 166 9 13" xfId="2648"/>
    <cellStyle name="Normal 166 9 13 2" xfId="6154"/>
    <cellStyle name="Normal 166 9 13 2 2" xfId="14635"/>
    <cellStyle name="Normal 166 9 13 2 3" xfId="21149"/>
    <cellStyle name="Normal 166 9 13 2 4" xfId="27538"/>
    <cellStyle name="Normal 166 9 13 3" xfId="11162"/>
    <cellStyle name="Normal 166 9 13 4" xfId="17731"/>
    <cellStyle name="Normal 166 9 13 5" xfId="24134"/>
    <cellStyle name="Normal 166 9 14" xfId="1952"/>
    <cellStyle name="Normal 166 9 14 2" xfId="5544"/>
    <cellStyle name="Normal 166 9 14 2 2" xfId="14025"/>
    <cellStyle name="Normal 166 9 14 2 3" xfId="20539"/>
    <cellStyle name="Normal 166 9 14 2 4" xfId="26928"/>
    <cellStyle name="Normal 166 9 14 3" xfId="10522"/>
    <cellStyle name="Normal 166 9 14 4" xfId="13618"/>
    <cellStyle name="Normal 166 9 14 5" xfId="20136"/>
    <cellStyle name="Normal 166 9 15" xfId="2393"/>
    <cellStyle name="Normal 166 9 15 2" xfId="5944"/>
    <cellStyle name="Normal 166 9 15 2 2" xfId="14425"/>
    <cellStyle name="Normal 166 9 15 2 3" xfId="20939"/>
    <cellStyle name="Normal 166 9 15 2 4" xfId="27328"/>
    <cellStyle name="Normal 166 9 15 3" xfId="10938"/>
    <cellStyle name="Normal 166 9 15 4" xfId="17442"/>
    <cellStyle name="Normal 166 9 15 5" xfId="23875"/>
    <cellStyle name="Normal 166 9 16" xfId="2541"/>
    <cellStyle name="Normal 166 9 16 2" xfId="6059"/>
    <cellStyle name="Normal 166 9 16 2 2" xfId="14540"/>
    <cellStyle name="Normal 166 9 16 2 3" xfId="21054"/>
    <cellStyle name="Normal 166 9 16 2 4" xfId="27443"/>
    <cellStyle name="Normal 166 9 16 3" xfId="11063"/>
    <cellStyle name="Normal 166 9 16 4" xfId="17633"/>
    <cellStyle name="Normal 166 9 16 5" xfId="24039"/>
    <cellStyle name="Normal 166 9 17" xfId="1999"/>
    <cellStyle name="Normal 166 9 17 2" xfId="5588"/>
    <cellStyle name="Normal 166 9 17 2 2" xfId="14069"/>
    <cellStyle name="Normal 166 9 17 2 3" xfId="20583"/>
    <cellStyle name="Normal 166 9 17 2 4" xfId="26972"/>
    <cellStyle name="Normal 166 9 17 3" xfId="10568"/>
    <cellStyle name="Normal 166 9 17 4" xfId="9494"/>
    <cellStyle name="Normal 166 9 17 5" xfId="10218"/>
    <cellStyle name="Normal 166 9 18" xfId="2346"/>
    <cellStyle name="Normal 166 9 18 2" xfId="5901"/>
    <cellStyle name="Normal 166 9 18 2 2" xfId="14382"/>
    <cellStyle name="Normal 166 9 18 2 3" xfId="20896"/>
    <cellStyle name="Normal 166 9 18 2 4" xfId="27285"/>
    <cellStyle name="Normal 166 9 18 3" xfId="10892"/>
    <cellStyle name="Normal 166 9 18 4" xfId="17246"/>
    <cellStyle name="Normal 166 9 18 5" xfId="23721"/>
    <cellStyle name="Normal 166 9 19" xfId="5211"/>
    <cellStyle name="Normal 166 9 19 2" xfId="13693"/>
    <cellStyle name="Normal 166 9 19 3" xfId="20211"/>
    <cellStyle name="Normal 166 9 19 4" xfId="26600"/>
    <cellStyle name="Normal 166 9 2" xfId="1815"/>
    <cellStyle name="Normal 166 9 2 2" xfId="5413"/>
    <cellStyle name="Normal 166 9 2 2 2" xfId="13894"/>
    <cellStyle name="Normal 166 9 2 2 3" xfId="20408"/>
    <cellStyle name="Normal 166 9 2 2 4" xfId="26797"/>
    <cellStyle name="Normal 166 9 2 3" xfId="10387"/>
    <cellStyle name="Normal 166 9 2 4" xfId="9611"/>
    <cellStyle name="Normal 166 9 2 5" xfId="10128"/>
    <cellStyle name="Normal 166 9 20" xfId="9832"/>
    <cellStyle name="Normal 166 9 21" xfId="9922"/>
    <cellStyle name="Normal 166 9 22" xfId="9852"/>
    <cellStyle name="Normal 166 9 3" xfId="2555"/>
    <cellStyle name="Normal 166 9 3 2" xfId="6073"/>
    <cellStyle name="Normal 166 9 3 2 2" xfId="14554"/>
    <cellStyle name="Normal 166 9 3 2 3" xfId="21068"/>
    <cellStyle name="Normal 166 9 3 2 4" xfId="27457"/>
    <cellStyle name="Normal 166 9 3 3" xfId="11077"/>
    <cellStyle name="Normal 166 9 3 4" xfId="17647"/>
    <cellStyle name="Normal 166 9 3 5" xfId="24053"/>
    <cellStyle name="Normal 166 9 4" xfId="1991"/>
    <cellStyle name="Normal 166 9 4 2" xfId="5580"/>
    <cellStyle name="Normal 166 9 4 2 2" xfId="14061"/>
    <cellStyle name="Normal 166 9 4 2 3" xfId="20575"/>
    <cellStyle name="Normal 166 9 4 2 4" xfId="26964"/>
    <cellStyle name="Normal 166 9 4 3" xfId="10560"/>
    <cellStyle name="Normal 166 9 4 4" xfId="9502"/>
    <cellStyle name="Normal 166 9 4 5" xfId="10210"/>
    <cellStyle name="Normal 166 9 5" xfId="2354"/>
    <cellStyle name="Normal 166 9 5 2" xfId="5909"/>
    <cellStyle name="Normal 166 9 5 2 2" xfId="14390"/>
    <cellStyle name="Normal 166 9 5 2 3" xfId="20904"/>
    <cellStyle name="Normal 166 9 5 2 4" xfId="27293"/>
    <cellStyle name="Normal 166 9 5 3" xfId="10900"/>
    <cellStyle name="Normal 166 9 5 4" xfId="17254"/>
    <cellStyle name="Normal 166 9 5 5" xfId="23729"/>
    <cellStyle name="Normal 166 9 6" xfId="2601"/>
    <cellStyle name="Normal 166 9 6 2" xfId="6115"/>
    <cellStyle name="Normal 166 9 6 2 2" xfId="14596"/>
    <cellStyle name="Normal 166 9 6 2 3" xfId="21110"/>
    <cellStyle name="Normal 166 9 6 2 4" xfId="27499"/>
    <cellStyle name="Normal 166 9 6 3" xfId="11120"/>
    <cellStyle name="Normal 166 9 6 4" xfId="17690"/>
    <cellStyle name="Normal 166 9 6 5" xfId="24095"/>
    <cellStyle name="Normal 166 9 7" xfId="1975"/>
    <cellStyle name="Normal 166 9 7 2" xfId="5565"/>
    <cellStyle name="Normal 166 9 7 2 2" xfId="14046"/>
    <cellStyle name="Normal 166 9 7 2 3" xfId="20560"/>
    <cellStyle name="Normal 166 9 7 2 4" xfId="26949"/>
    <cellStyle name="Normal 166 9 7 3" xfId="10544"/>
    <cellStyle name="Normal 166 9 7 4" xfId="9519"/>
    <cellStyle name="Normal 166 9 7 5" xfId="10194"/>
    <cellStyle name="Normal 166 9 8" xfId="2371"/>
    <cellStyle name="Normal 166 9 8 2" xfId="5924"/>
    <cellStyle name="Normal 166 9 8 2 2" xfId="14405"/>
    <cellStyle name="Normal 166 9 8 2 3" xfId="20919"/>
    <cellStyle name="Normal 166 9 8 2 4" xfId="27308"/>
    <cellStyle name="Normal 166 9 8 3" xfId="10917"/>
    <cellStyle name="Normal 166 9 8 4" xfId="17269"/>
    <cellStyle name="Normal 166 9 8 5" xfId="23743"/>
    <cellStyle name="Normal 166 9 9" xfId="2584"/>
    <cellStyle name="Normal 166 9 9 2" xfId="6100"/>
    <cellStyle name="Normal 166 9 9 2 2" xfId="14581"/>
    <cellStyle name="Normal 166 9 9 2 3" xfId="21095"/>
    <cellStyle name="Normal 166 9 9 2 4" xfId="27484"/>
    <cellStyle name="Normal 166 9 9 3" xfId="11104"/>
    <cellStyle name="Normal 166 9 9 4" xfId="17674"/>
    <cellStyle name="Normal 166 9 9 5" xfId="24080"/>
    <cellStyle name="Normal 167" xfId="787"/>
    <cellStyle name="Normal 167 2" xfId="788"/>
    <cellStyle name="Normal 167 3" xfId="789"/>
    <cellStyle name="Normal 167 4" xfId="8928"/>
    <cellStyle name="Normal 168 10" xfId="790"/>
    <cellStyle name="Normal 168 11" xfId="791"/>
    <cellStyle name="Normal 168 12" xfId="9276"/>
    <cellStyle name="Normal 168 2" xfId="792"/>
    <cellStyle name="Normal 168 3" xfId="793"/>
    <cellStyle name="Normal 168 4" xfId="794"/>
    <cellStyle name="Normal 168 5" xfId="795"/>
    <cellStyle name="Normal 168 6" xfId="796"/>
    <cellStyle name="Normal 168 7" xfId="797"/>
    <cellStyle name="Normal 168 8" xfId="798"/>
    <cellStyle name="Normal 168 9" xfId="799"/>
    <cellStyle name="Normal 169" xfId="800"/>
    <cellStyle name="Normal 169 2" xfId="801"/>
    <cellStyle name="Normal 169 3" xfId="8966"/>
    <cellStyle name="Normal 17" xfId="802"/>
    <cellStyle name="Normal 17 10" xfId="803"/>
    <cellStyle name="Normal 17 11" xfId="804"/>
    <cellStyle name="Normal 17 12" xfId="805"/>
    <cellStyle name="Normal 17 13" xfId="806"/>
    <cellStyle name="Normal 17 14" xfId="807"/>
    <cellStyle name="Normal 17 15" xfId="808"/>
    <cellStyle name="Normal 17 16" xfId="809"/>
    <cellStyle name="Normal 17 17" xfId="810"/>
    <cellStyle name="Normal 17 18" xfId="811"/>
    <cellStyle name="Normal 17 19" xfId="812"/>
    <cellStyle name="Normal 17 2" xfId="813"/>
    <cellStyle name="Normal 17 20" xfId="814"/>
    <cellStyle name="Normal 17 21" xfId="1816"/>
    <cellStyle name="Normal 17 21 2" xfId="5414"/>
    <cellStyle name="Normal 17 21 2 2" xfId="8933"/>
    <cellStyle name="Normal 17 21 2 3" xfId="13895"/>
    <cellStyle name="Normal 17 21 2 4" xfId="20409"/>
    <cellStyle name="Normal 17 21 2 5" xfId="26798"/>
    <cellStyle name="Normal 17 21 3" xfId="10388"/>
    <cellStyle name="Normal 17 21 4" xfId="9610"/>
    <cellStyle name="Normal 17 21 5" xfId="10129"/>
    <cellStyle name="Normal 17 22" xfId="2140"/>
    <cellStyle name="Normal 17 22 2" xfId="5713"/>
    <cellStyle name="Normal 17 22 2 2" xfId="14194"/>
    <cellStyle name="Normal 17 22 2 3" xfId="20708"/>
    <cellStyle name="Normal 17 22 2 4" xfId="27097"/>
    <cellStyle name="Normal 17 22 3" xfId="10699"/>
    <cellStyle name="Normal 17 22 4" xfId="9374"/>
    <cellStyle name="Normal 17 22 5" xfId="17345"/>
    <cellStyle name="Normal 17 23" xfId="2201"/>
    <cellStyle name="Normal 17 23 2" xfId="5771"/>
    <cellStyle name="Normal 17 23 2 2" xfId="14252"/>
    <cellStyle name="Normal 17 23 2 3" xfId="20766"/>
    <cellStyle name="Normal 17 23 2 4" xfId="27155"/>
    <cellStyle name="Normal 17 23 3" xfId="10757"/>
    <cellStyle name="Normal 17 23 4" xfId="17148"/>
    <cellStyle name="Normal 17 23 5" xfId="23624"/>
    <cellStyle name="Normal 17 24" xfId="2745"/>
    <cellStyle name="Normal 17 24 2" xfId="6246"/>
    <cellStyle name="Normal 17 24 2 2" xfId="14727"/>
    <cellStyle name="Normal 17 24 2 3" xfId="21241"/>
    <cellStyle name="Normal 17 24 2 4" xfId="27630"/>
    <cellStyle name="Normal 17 24 3" xfId="11255"/>
    <cellStyle name="Normal 17 24 4" xfId="17824"/>
    <cellStyle name="Normal 17 24 5" xfId="24226"/>
    <cellStyle name="Normal 17 25" xfId="2919"/>
    <cellStyle name="Normal 17 25 2" xfId="6413"/>
    <cellStyle name="Normal 17 25 2 2" xfId="14894"/>
    <cellStyle name="Normal 17 25 2 3" xfId="21408"/>
    <cellStyle name="Normal 17 25 2 4" xfId="27797"/>
    <cellStyle name="Normal 17 25 3" xfId="11425"/>
    <cellStyle name="Normal 17 25 4" xfId="17991"/>
    <cellStyle name="Normal 17 25 5" xfId="24393"/>
    <cellStyle name="Normal 17 26" xfId="3093"/>
    <cellStyle name="Normal 17 26 2" xfId="6580"/>
    <cellStyle name="Normal 17 26 2 2" xfId="15061"/>
    <cellStyle name="Normal 17 26 2 3" xfId="21575"/>
    <cellStyle name="Normal 17 26 2 4" xfId="27964"/>
    <cellStyle name="Normal 17 26 3" xfId="11595"/>
    <cellStyle name="Normal 17 26 4" xfId="18158"/>
    <cellStyle name="Normal 17 26 5" xfId="24560"/>
    <cellStyle name="Normal 17 27" xfId="3266"/>
    <cellStyle name="Normal 17 27 2" xfId="6747"/>
    <cellStyle name="Normal 17 27 2 2" xfId="15228"/>
    <cellStyle name="Normal 17 27 2 3" xfId="21742"/>
    <cellStyle name="Normal 17 27 2 4" xfId="28131"/>
    <cellStyle name="Normal 17 27 3" xfId="11766"/>
    <cellStyle name="Normal 17 27 4" xfId="18325"/>
    <cellStyle name="Normal 17 27 5" xfId="24727"/>
    <cellStyle name="Normal 17 28" xfId="3437"/>
    <cellStyle name="Normal 17 28 2" xfId="6912"/>
    <cellStyle name="Normal 17 28 2 2" xfId="15393"/>
    <cellStyle name="Normal 17 28 2 3" xfId="21907"/>
    <cellStyle name="Normal 17 28 2 4" xfId="28296"/>
    <cellStyle name="Normal 17 28 3" xfId="11934"/>
    <cellStyle name="Normal 17 28 4" xfId="18490"/>
    <cellStyle name="Normal 17 28 5" xfId="24892"/>
    <cellStyle name="Normal 17 29" xfId="3607"/>
    <cellStyle name="Normal 17 29 2" xfId="7076"/>
    <cellStyle name="Normal 17 29 2 2" xfId="15557"/>
    <cellStyle name="Normal 17 29 2 3" xfId="22071"/>
    <cellStyle name="Normal 17 29 2 4" xfId="28460"/>
    <cellStyle name="Normal 17 29 3" xfId="12102"/>
    <cellStyle name="Normal 17 29 4" xfId="18655"/>
    <cellStyle name="Normal 17 29 5" xfId="25056"/>
    <cellStyle name="Normal 17 3" xfId="815"/>
    <cellStyle name="Normal 17 30" xfId="3777"/>
    <cellStyle name="Normal 17 30 2" xfId="7240"/>
    <cellStyle name="Normal 17 30 2 2" xfId="15721"/>
    <cellStyle name="Normal 17 30 2 3" xfId="22235"/>
    <cellStyle name="Normal 17 30 2 4" xfId="28624"/>
    <cellStyle name="Normal 17 30 3" xfId="12272"/>
    <cellStyle name="Normal 17 30 4" xfId="18822"/>
    <cellStyle name="Normal 17 30 5" xfId="25220"/>
    <cellStyle name="Normal 17 31" xfId="3944"/>
    <cellStyle name="Normal 17 31 2" xfId="7402"/>
    <cellStyle name="Normal 17 31 2 2" xfId="15883"/>
    <cellStyle name="Normal 17 31 2 3" xfId="22397"/>
    <cellStyle name="Normal 17 31 2 4" xfId="28786"/>
    <cellStyle name="Normal 17 31 3" xfId="12438"/>
    <cellStyle name="Normal 17 31 4" xfId="18985"/>
    <cellStyle name="Normal 17 31 5" xfId="25382"/>
    <cellStyle name="Normal 17 32" xfId="4109"/>
    <cellStyle name="Normal 17 32 2" xfId="7562"/>
    <cellStyle name="Normal 17 32 2 2" xfId="16043"/>
    <cellStyle name="Normal 17 32 2 3" xfId="22557"/>
    <cellStyle name="Normal 17 32 2 4" xfId="28946"/>
    <cellStyle name="Normal 17 32 3" xfId="12602"/>
    <cellStyle name="Normal 17 32 4" xfId="19146"/>
    <cellStyle name="Normal 17 32 5" xfId="25542"/>
    <cellStyle name="Normal 17 33" xfId="4274"/>
    <cellStyle name="Normal 17 33 2" xfId="7722"/>
    <cellStyle name="Normal 17 33 2 2" xfId="16203"/>
    <cellStyle name="Normal 17 33 2 3" xfId="22717"/>
    <cellStyle name="Normal 17 33 2 4" xfId="29106"/>
    <cellStyle name="Normal 17 33 3" xfId="12766"/>
    <cellStyle name="Normal 17 33 4" xfId="19307"/>
    <cellStyle name="Normal 17 33 5" xfId="25702"/>
    <cellStyle name="Normal 17 34" xfId="4434"/>
    <cellStyle name="Normal 17 34 2" xfId="7877"/>
    <cellStyle name="Normal 17 34 2 2" xfId="16358"/>
    <cellStyle name="Normal 17 34 2 3" xfId="22872"/>
    <cellStyle name="Normal 17 34 2 4" xfId="29261"/>
    <cellStyle name="Normal 17 34 3" xfId="12925"/>
    <cellStyle name="Normal 17 34 4" xfId="19463"/>
    <cellStyle name="Normal 17 34 5" xfId="25857"/>
    <cellStyle name="Normal 17 35" xfId="4594"/>
    <cellStyle name="Normal 17 35 2" xfId="8032"/>
    <cellStyle name="Normal 17 35 2 2" xfId="16513"/>
    <cellStyle name="Normal 17 35 2 3" xfId="23027"/>
    <cellStyle name="Normal 17 35 2 4" xfId="29416"/>
    <cellStyle name="Normal 17 35 3" xfId="13085"/>
    <cellStyle name="Normal 17 35 4" xfId="19619"/>
    <cellStyle name="Normal 17 35 5" xfId="26012"/>
    <cellStyle name="Normal 17 36" xfId="4754"/>
    <cellStyle name="Normal 17 36 2" xfId="8187"/>
    <cellStyle name="Normal 17 36 2 2" xfId="16668"/>
    <cellStyle name="Normal 17 36 2 3" xfId="23182"/>
    <cellStyle name="Normal 17 36 2 4" xfId="29571"/>
    <cellStyle name="Normal 17 36 3" xfId="13244"/>
    <cellStyle name="Normal 17 36 4" xfId="19775"/>
    <cellStyle name="Normal 17 36 5" xfId="26167"/>
    <cellStyle name="Normal 17 37" xfId="4913"/>
    <cellStyle name="Normal 17 37 2" xfId="8341"/>
    <cellStyle name="Normal 17 37 2 2" xfId="16822"/>
    <cellStyle name="Normal 17 37 2 3" xfId="23336"/>
    <cellStyle name="Normal 17 37 2 4" xfId="29725"/>
    <cellStyle name="Normal 17 37 3" xfId="13402"/>
    <cellStyle name="Normal 17 37 4" xfId="19930"/>
    <cellStyle name="Normal 17 37 5" xfId="26321"/>
    <cellStyle name="Normal 17 38" xfId="5212"/>
    <cellStyle name="Normal 17 38 2" xfId="13694"/>
    <cellStyle name="Normal 17 38 3" xfId="20212"/>
    <cellStyle name="Normal 17 38 4" xfId="26601"/>
    <cellStyle name="Normal 17 39" xfId="9836"/>
    <cellStyle name="Normal 17 4" xfId="816"/>
    <cellStyle name="Normal 17 40" xfId="9920"/>
    <cellStyle name="Normal 17 41" xfId="9864"/>
    <cellStyle name="Normal 17 5" xfId="817"/>
    <cellStyle name="Normal 17 6" xfId="818"/>
    <cellStyle name="Normal 17 7" xfId="819"/>
    <cellStyle name="Normal 17 8" xfId="820"/>
    <cellStyle name="Normal 17 9" xfId="821"/>
    <cellStyle name="Normal 170" xfId="822"/>
    <cellStyle name="Normal 170 2" xfId="823"/>
    <cellStyle name="Normal 170 3" xfId="8994"/>
    <cellStyle name="Normal 170 4" xfId="8972"/>
    <cellStyle name="Normal 171" xfId="824"/>
    <cellStyle name="Normal 171 10" xfId="825"/>
    <cellStyle name="Normal 171 10 10" xfId="2446"/>
    <cellStyle name="Normal 171 10 10 2" xfId="5985"/>
    <cellStyle name="Normal 171 10 10 2 2" xfId="14466"/>
    <cellStyle name="Normal 171 10 10 2 3" xfId="20980"/>
    <cellStyle name="Normal 171 10 10 2 4" xfId="27369"/>
    <cellStyle name="Normal 171 10 10 3" xfId="10984"/>
    <cellStyle name="Normal 171 10 10 4" xfId="17558"/>
    <cellStyle name="Normal 171 10 10 5" xfId="23965"/>
    <cellStyle name="Normal 171 10 11" xfId="2047"/>
    <cellStyle name="Normal 171 10 11 2" xfId="5625"/>
    <cellStyle name="Normal 171 10 11 2 2" xfId="14106"/>
    <cellStyle name="Normal 171 10 11 2 3" xfId="20620"/>
    <cellStyle name="Normal 171 10 11 2 4" xfId="27009"/>
    <cellStyle name="Normal 171 10 11 3" xfId="10608"/>
    <cellStyle name="Normal 171 10 11 4" xfId="9457"/>
    <cellStyle name="Normal 171 10 11 5" xfId="10245"/>
    <cellStyle name="Normal 171 10 12" xfId="2300"/>
    <cellStyle name="Normal 171 10 12 2" xfId="5865"/>
    <cellStyle name="Normal 171 10 12 2 2" xfId="14346"/>
    <cellStyle name="Normal 171 10 12 2 3" xfId="20860"/>
    <cellStyle name="Normal 171 10 12 2 4" xfId="27249"/>
    <cellStyle name="Normal 171 10 12 3" xfId="10852"/>
    <cellStyle name="Normal 171 10 12 4" xfId="9348"/>
    <cellStyle name="Normal 171 10 12 5" xfId="10296"/>
    <cellStyle name="Normal 171 10 13" xfId="2649"/>
    <cellStyle name="Normal 171 10 13 2" xfId="6155"/>
    <cellStyle name="Normal 171 10 13 2 2" xfId="14636"/>
    <cellStyle name="Normal 171 10 13 2 3" xfId="21150"/>
    <cellStyle name="Normal 171 10 13 2 4" xfId="27539"/>
    <cellStyle name="Normal 171 10 13 3" xfId="11163"/>
    <cellStyle name="Normal 171 10 13 4" xfId="17732"/>
    <cellStyle name="Normal 171 10 13 5" xfId="24135"/>
    <cellStyle name="Normal 171 10 14" xfId="2412"/>
    <cellStyle name="Normal 171 10 14 2" xfId="5959"/>
    <cellStyle name="Normal 171 10 14 2 2" xfId="14440"/>
    <cellStyle name="Normal 171 10 14 2 3" xfId="20954"/>
    <cellStyle name="Normal 171 10 14 2 4" xfId="27343"/>
    <cellStyle name="Normal 171 10 14 3" xfId="10956"/>
    <cellStyle name="Normal 171 10 14 4" xfId="17454"/>
    <cellStyle name="Normal 171 10 14 5" xfId="23884"/>
    <cellStyle name="Normal 171 10 15" xfId="2091"/>
    <cellStyle name="Normal 171 10 15 2" xfId="5664"/>
    <cellStyle name="Normal 171 10 15 2 2" xfId="14145"/>
    <cellStyle name="Normal 171 10 15 2 3" xfId="20659"/>
    <cellStyle name="Normal 171 10 15 2 4" xfId="27048"/>
    <cellStyle name="Normal 171 10 15 3" xfId="10650"/>
    <cellStyle name="Normal 171 10 15 4" xfId="9420"/>
    <cellStyle name="Normal 171 10 15 5" xfId="12851"/>
    <cellStyle name="Normal 171 10 16" xfId="2828"/>
    <cellStyle name="Normal 171 10 16 2" xfId="6326"/>
    <cellStyle name="Normal 171 10 16 2 2" xfId="14807"/>
    <cellStyle name="Normal 171 10 16 2 3" xfId="21321"/>
    <cellStyle name="Normal 171 10 16 2 4" xfId="27710"/>
    <cellStyle name="Normal 171 10 16 3" xfId="11335"/>
    <cellStyle name="Normal 171 10 16 4" xfId="17904"/>
    <cellStyle name="Normal 171 10 16 5" xfId="24306"/>
    <cellStyle name="Normal 171 10 17" xfId="3002"/>
    <cellStyle name="Normal 171 10 17 2" xfId="6493"/>
    <cellStyle name="Normal 171 10 17 2 2" xfId="14974"/>
    <cellStyle name="Normal 171 10 17 2 3" xfId="21488"/>
    <cellStyle name="Normal 171 10 17 2 4" xfId="27877"/>
    <cellStyle name="Normal 171 10 17 3" xfId="11505"/>
    <cellStyle name="Normal 171 10 17 4" xfId="18071"/>
    <cellStyle name="Normal 171 10 17 5" xfId="24473"/>
    <cellStyle name="Normal 171 10 18" xfId="3175"/>
    <cellStyle name="Normal 171 10 18 2" xfId="6660"/>
    <cellStyle name="Normal 171 10 18 2 2" xfId="15141"/>
    <cellStyle name="Normal 171 10 18 2 3" xfId="21655"/>
    <cellStyle name="Normal 171 10 18 2 4" xfId="28044"/>
    <cellStyle name="Normal 171 10 18 3" xfId="11676"/>
    <cellStyle name="Normal 171 10 18 4" xfId="18238"/>
    <cellStyle name="Normal 171 10 18 5" xfId="24640"/>
    <cellStyle name="Normal 171 10 19" xfId="5213"/>
    <cellStyle name="Normal 171 10 19 2" xfId="13695"/>
    <cellStyle name="Normal 171 10 19 3" xfId="20213"/>
    <cellStyle name="Normal 171 10 19 4" xfId="26602"/>
    <cellStyle name="Normal 171 10 2" xfId="1817"/>
    <cellStyle name="Normal 171 10 2 2" xfId="5415"/>
    <cellStyle name="Normal 171 10 2 2 2" xfId="13896"/>
    <cellStyle name="Normal 171 10 2 2 3" xfId="20410"/>
    <cellStyle name="Normal 171 10 2 2 4" xfId="26799"/>
    <cellStyle name="Normal 171 10 2 3" xfId="10389"/>
    <cellStyle name="Normal 171 10 2 4" xfId="9609"/>
    <cellStyle name="Normal 171 10 2 5" xfId="10130"/>
    <cellStyle name="Normal 171 10 20" xfId="9842"/>
    <cellStyle name="Normal 171 10 21" xfId="9917"/>
    <cellStyle name="Normal 171 10 22" xfId="10618"/>
    <cellStyle name="Normal 171 10 3" xfId="2563"/>
    <cellStyle name="Normal 171 10 3 2" xfId="6079"/>
    <cellStyle name="Normal 171 10 3 2 2" xfId="14560"/>
    <cellStyle name="Normal 171 10 3 2 3" xfId="21074"/>
    <cellStyle name="Normal 171 10 3 2 4" xfId="27463"/>
    <cellStyle name="Normal 171 10 3 3" xfId="11083"/>
    <cellStyle name="Normal 171 10 3 4" xfId="17653"/>
    <cellStyle name="Normal 171 10 3 5" xfId="24059"/>
    <cellStyle name="Normal 171 10 4" xfId="1990"/>
    <cellStyle name="Normal 171 10 4 2" xfId="5579"/>
    <cellStyle name="Normal 171 10 4 2 2" xfId="14060"/>
    <cellStyle name="Normal 171 10 4 2 3" xfId="20574"/>
    <cellStyle name="Normal 171 10 4 2 4" xfId="26963"/>
    <cellStyle name="Normal 171 10 4 3" xfId="10559"/>
    <cellStyle name="Normal 171 10 4 4" xfId="9503"/>
    <cellStyle name="Normal 171 10 4 5" xfId="10209"/>
    <cellStyle name="Normal 171 10 5" xfId="2356"/>
    <cellStyle name="Normal 171 10 5 2" xfId="5910"/>
    <cellStyle name="Normal 171 10 5 2 2" xfId="14391"/>
    <cellStyle name="Normal 171 10 5 2 3" xfId="20905"/>
    <cellStyle name="Normal 171 10 5 2 4" xfId="27294"/>
    <cellStyle name="Normal 171 10 5 3" xfId="10902"/>
    <cellStyle name="Normal 171 10 5 4" xfId="17255"/>
    <cellStyle name="Normal 171 10 5 5" xfId="23730"/>
    <cellStyle name="Normal 171 10 6" xfId="2600"/>
    <cellStyle name="Normal 171 10 6 2" xfId="6114"/>
    <cellStyle name="Normal 171 10 6 2 2" xfId="14595"/>
    <cellStyle name="Normal 171 10 6 2 3" xfId="21109"/>
    <cellStyle name="Normal 171 10 6 2 4" xfId="27498"/>
    <cellStyle name="Normal 171 10 6 3" xfId="11119"/>
    <cellStyle name="Normal 171 10 6 4" xfId="17689"/>
    <cellStyle name="Normal 171 10 6 5" xfId="24094"/>
    <cellStyle name="Normal 171 10 7" xfId="1976"/>
    <cellStyle name="Normal 171 10 7 2" xfId="5566"/>
    <cellStyle name="Normal 171 10 7 2 2" xfId="14047"/>
    <cellStyle name="Normal 171 10 7 2 3" xfId="20561"/>
    <cellStyle name="Normal 171 10 7 2 4" xfId="26950"/>
    <cellStyle name="Normal 171 10 7 3" xfId="10545"/>
    <cellStyle name="Normal 171 10 7 4" xfId="9518"/>
    <cellStyle name="Normal 171 10 7 5" xfId="10195"/>
    <cellStyle name="Normal 171 10 8" xfId="2370"/>
    <cellStyle name="Normal 171 10 8 2" xfId="5923"/>
    <cellStyle name="Normal 171 10 8 2 2" xfId="14404"/>
    <cellStyle name="Normal 171 10 8 2 3" xfId="20918"/>
    <cellStyle name="Normal 171 10 8 2 4" xfId="27307"/>
    <cellStyle name="Normal 171 10 8 3" xfId="10916"/>
    <cellStyle name="Normal 171 10 8 4" xfId="9335"/>
    <cellStyle name="Normal 171 10 8 5" xfId="17031"/>
    <cellStyle name="Normal 171 10 9" xfId="2585"/>
    <cellStyle name="Normal 171 10 9 2" xfId="6101"/>
    <cellStyle name="Normal 171 10 9 2 2" xfId="14582"/>
    <cellStyle name="Normal 171 10 9 2 3" xfId="21096"/>
    <cellStyle name="Normal 171 10 9 2 4" xfId="27485"/>
    <cellStyle name="Normal 171 10 9 3" xfId="11105"/>
    <cellStyle name="Normal 171 10 9 4" xfId="17675"/>
    <cellStyle name="Normal 171 10 9 5" xfId="24081"/>
    <cellStyle name="Normal 171 11" xfId="826"/>
    <cellStyle name="Normal 171 11 10" xfId="2749"/>
    <cellStyle name="Normal 171 11 10 2" xfId="6250"/>
    <cellStyle name="Normal 171 11 10 2 2" xfId="14731"/>
    <cellStyle name="Normal 171 11 10 2 3" xfId="21245"/>
    <cellStyle name="Normal 171 11 10 2 4" xfId="27634"/>
    <cellStyle name="Normal 171 11 10 3" xfId="11259"/>
    <cellStyle name="Normal 171 11 10 4" xfId="17828"/>
    <cellStyle name="Normal 171 11 10 5" xfId="24230"/>
    <cellStyle name="Normal 171 11 11" xfId="2923"/>
    <cellStyle name="Normal 171 11 11 2" xfId="6417"/>
    <cellStyle name="Normal 171 11 11 2 2" xfId="14898"/>
    <cellStyle name="Normal 171 11 11 2 3" xfId="21412"/>
    <cellStyle name="Normal 171 11 11 2 4" xfId="27801"/>
    <cellStyle name="Normal 171 11 11 3" xfId="11429"/>
    <cellStyle name="Normal 171 11 11 4" xfId="17995"/>
    <cellStyle name="Normal 171 11 11 5" xfId="24397"/>
    <cellStyle name="Normal 171 11 12" xfId="3097"/>
    <cellStyle name="Normal 171 11 12 2" xfId="6584"/>
    <cellStyle name="Normal 171 11 12 2 2" xfId="15065"/>
    <cellStyle name="Normal 171 11 12 2 3" xfId="21579"/>
    <cellStyle name="Normal 171 11 12 2 4" xfId="27968"/>
    <cellStyle name="Normal 171 11 12 3" xfId="11599"/>
    <cellStyle name="Normal 171 11 12 4" xfId="18162"/>
    <cellStyle name="Normal 171 11 12 5" xfId="24564"/>
    <cellStyle name="Normal 171 11 13" xfId="3270"/>
    <cellStyle name="Normal 171 11 13 2" xfId="6751"/>
    <cellStyle name="Normal 171 11 13 2 2" xfId="15232"/>
    <cellStyle name="Normal 171 11 13 2 3" xfId="21746"/>
    <cellStyle name="Normal 171 11 13 2 4" xfId="28135"/>
    <cellStyle name="Normal 171 11 13 3" xfId="11770"/>
    <cellStyle name="Normal 171 11 13 4" xfId="18329"/>
    <cellStyle name="Normal 171 11 13 5" xfId="24731"/>
    <cellStyle name="Normal 171 11 14" xfId="3441"/>
    <cellStyle name="Normal 171 11 14 2" xfId="6916"/>
    <cellStyle name="Normal 171 11 14 2 2" xfId="15397"/>
    <cellStyle name="Normal 171 11 14 2 3" xfId="21911"/>
    <cellStyle name="Normal 171 11 14 2 4" xfId="28300"/>
    <cellStyle name="Normal 171 11 14 3" xfId="11938"/>
    <cellStyle name="Normal 171 11 14 4" xfId="18494"/>
    <cellStyle name="Normal 171 11 14 5" xfId="24896"/>
    <cellStyle name="Normal 171 11 15" xfId="3611"/>
    <cellStyle name="Normal 171 11 15 2" xfId="7080"/>
    <cellStyle name="Normal 171 11 15 2 2" xfId="15561"/>
    <cellStyle name="Normal 171 11 15 2 3" xfId="22075"/>
    <cellStyle name="Normal 171 11 15 2 4" xfId="28464"/>
    <cellStyle name="Normal 171 11 15 3" xfId="12106"/>
    <cellStyle name="Normal 171 11 15 4" xfId="18659"/>
    <cellStyle name="Normal 171 11 15 5" xfId="25060"/>
    <cellStyle name="Normal 171 11 16" xfId="3781"/>
    <cellStyle name="Normal 171 11 16 2" xfId="7244"/>
    <cellStyle name="Normal 171 11 16 2 2" xfId="15725"/>
    <cellStyle name="Normal 171 11 16 2 3" xfId="22239"/>
    <cellStyle name="Normal 171 11 16 2 4" xfId="28628"/>
    <cellStyle name="Normal 171 11 16 3" xfId="12276"/>
    <cellStyle name="Normal 171 11 16 4" xfId="18826"/>
    <cellStyle name="Normal 171 11 16 5" xfId="25224"/>
    <cellStyle name="Normal 171 11 17" xfId="3948"/>
    <cellStyle name="Normal 171 11 17 2" xfId="7406"/>
    <cellStyle name="Normal 171 11 17 2 2" xfId="15887"/>
    <cellStyle name="Normal 171 11 17 2 3" xfId="22401"/>
    <cellStyle name="Normal 171 11 17 2 4" xfId="28790"/>
    <cellStyle name="Normal 171 11 17 3" xfId="12442"/>
    <cellStyle name="Normal 171 11 17 4" xfId="18989"/>
    <cellStyle name="Normal 171 11 17 5" xfId="25386"/>
    <cellStyle name="Normal 171 11 18" xfId="4113"/>
    <cellStyle name="Normal 171 11 18 2" xfId="7566"/>
    <cellStyle name="Normal 171 11 18 2 2" xfId="16047"/>
    <cellStyle name="Normal 171 11 18 2 3" xfId="22561"/>
    <cellStyle name="Normal 171 11 18 2 4" xfId="28950"/>
    <cellStyle name="Normal 171 11 18 3" xfId="12606"/>
    <cellStyle name="Normal 171 11 18 4" xfId="19150"/>
    <cellStyle name="Normal 171 11 18 5" xfId="25546"/>
    <cellStyle name="Normal 171 11 19" xfId="5214"/>
    <cellStyle name="Normal 171 11 19 2" xfId="13696"/>
    <cellStyle name="Normal 171 11 19 3" xfId="20214"/>
    <cellStyle name="Normal 171 11 19 4" xfId="26603"/>
    <cellStyle name="Normal 171 11 2" xfId="1818"/>
    <cellStyle name="Normal 171 11 2 2" xfId="5416"/>
    <cellStyle name="Normal 171 11 2 2 2" xfId="13897"/>
    <cellStyle name="Normal 171 11 2 2 3" xfId="20411"/>
    <cellStyle name="Normal 171 11 2 2 4" xfId="26800"/>
    <cellStyle name="Normal 171 11 2 3" xfId="10390"/>
    <cellStyle name="Normal 171 11 2 4" xfId="9608"/>
    <cellStyle name="Normal 171 11 2 5" xfId="10131"/>
    <cellStyle name="Normal 171 11 20" xfId="9843"/>
    <cellStyle name="Normal 171 11 21" xfId="9916"/>
    <cellStyle name="Normal 171 11 22" xfId="9867"/>
    <cellStyle name="Normal 171 11 3" xfId="2564"/>
    <cellStyle name="Normal 171 11 3 2" xfId="6080"/>
    <cellStyle name="Normal 171 11 3 2 2" xfId="14561"/>
    <cellStyle name="Normal 171 11 3 2 3" xfId="21075"/>
    <cellStyle name="Normal 171 11 3 2 4" xfId="27464"/>
    <cellStyle name="Normal 171 11 3 3" xfId="11084"/>
    <cellStyle name="Normal 171 11 3 4" xfId="17654"/>
    <cellStyle name="Normal 171 11 3 5" xfId="24060"/>
    <cellStyle name="Normal 171 11 4" xfId="2458"/>
    <cellStyle name="Normal 171 11 4 2" xfId="5997"/>
    <cellStyle name="Normal 171 11 4 2 2" xfId="14478"/>
    <cellStyle name="Normal 171 11 4 2 3" xfId="20992"/>
    <cellStyle name="Normal 171 11 4 2 4" xfId="27381"/>
    <cellStyle name="Normal 171 11 4 3" xfId="10996"/>
    <cellStyle name="Normal 171 11 4 4" xfId="17570"/>
    <cellStyle name="Normal 171 11 4 5" xfId="23977"/>
    <cellStyle name="Normal 171 11 5" xfId="2515"/>
    <cellStyle name="Normal 171 11 5 2" xfId="6039"/>
    <cellStyle name="Normal 171 11 5 2 2" xfId="14520"/>
    <cellStyle name="Normal 171 11 5 2 3" xfId="21034"/>
    <cellStyle name="Normal 171 11 5 2 4" xfId="27423"/>
    <cellStyle name="Normal 171 11 5 3" xfId="11040"/>
    <cellStyle name="Normal 171 11 5 4" xfId="17612"/>
    <cellStyle name="Normal 171 11 5 5" xfId="24019"/>
    <cellStyle name="Normal 171 11 6" xfId="2013"/>
    <cellStyle name="Normal 171 11 6 2" xfId="5597"/>
    <cellStyle name="Normal 171 11 6 2 2" xfId="14078"/>
    <cellStyle name="Normal 171 11 6 2 3" xfId="20592"/>
    <cellStyle name="Normal 171 11 6 2 4" xfId="26981"/>
    <cellStyle name="Normal 171 11 6 3" xfId="10579"/>
    <cellStyle name="Normal 171 11 6 4" xfId="9484"/>
    <cellStyle name="Normal 171 11 6 5" xfId="10227"/>
    <cellStyle name="Normal 171 11 7" xfId="2333"/>
    <cellStyle name="Normal 171 11 7 2" xfId="5892"/>
    <cellStyle name="Normal 171 11 7 2 2" xfId="14373"/>
    <cellStyle name="Normal 171 11 7 2 3" xfId="20887"/>
    <cellStyle name="Normal 171 11 7 2 4" xfId="27276"/>
    <cellStyle name="Normal 171 11 7 3" xfId="10881"/>
    <cellStyle name="Normal 171 11 7 4" xfId="9343"/>
    <cellStyle name="Normal 171 11 7 5" xfId="17037"/>
    <cellStyle name="Normal 171 11 8" xfId="2149"/>
    <cellStyle name="Normal 171 11 8 2" xfId="5720"/>
    <cellStyle name="Normal 171 11 8 2 2" xfId="14201"/>
    <cellStyle name="Normal 171 11 8 2 3" xfId="20715"/>
    <cellStyle name="Normal 171 11 8 2 4" xfId="27104"/>
    <cellStyle name="Normal 171 11 8 3" xfId="10706"/>
    <cellStyle name="Normal 171 11 8 4" xfId="9369"/>
    <cellStyle name="Normal 171 11 8 5" xfId="17042"/>
    <cellStyle name="Normal 171 11 9" xfId="2197"/>
    <cellStyle name="Normal 171 11 9 2" xfId="5767"/>
    <cellStyle name="Normal 171 11 9 2 2" xfId="14248"/>
    <cellStyle name="Normal 171 11 9 2 3" xfId="20762"/>
    <cellStyle name="Normal 171 11 9 2 4" xfId="27151"/>
    <cellStyle name="Normal 171 11 9 3" xfId="10753"/>
    <cellStyle name="Normal 171 11 9 4" xfId="17145"/>
    <cellStyle name="Normal 171 11 9 5" xfId="23621"/>
    <cellStyle name="Normal 171 12" xfId="9300"/>
    <cellStyle name="Normal 171 12 2" xfId="9232"/>
    <cellStyle name="Normal 171 12 3" xfId="17533"/>
    <cellStyle name="Normal 171 12 4" xfId="23945"/>
    <cellStyle name="Normal 171 12 5" xfId="29997"/>
    <cellStyle name="Normal 171 13" xfId="9211"/>
    <cellStyle name="Normal 171 14" xfId="9188"/>
    <cellStyle name="Normal 171 15" xfId="9168"/>
    <cellStyle name="Normal 171 2" xfId="827"/>
    <cellStyle name="Normal 171 3" xfId="828"/>
    <cellStyle name="Normal 171 4" xfId="829"/>
    <cellStyle name="Normal 171 4 10" xfId="2748"/>
    <cellStyle name="Normal 171 4 10 2" xfId="6249"/>
    <cellStyle name="Normal 171 4 10 2 2" xfId="14730"/>
    <cellStyle name="Normal 171 4 10 2 3" xfId="21244"/>
    <cellStyle name="Normal 171 4 10 2 4" xfId="27633"/>
    <cellStyle name="Normal 171 4 10 3" xfId="11258"/>
    <cellStyle name="Normal 171 4 10 4" xfId="17827"/>
    <cellStyle name="Normal 171 4 10 5" xfId="24229"/>
    <cellStyle name="Normal 171 4 11" xfId="2922"/>
    <cellStyle name="Normal 171 4 11 2" xfId="6416"/>
    <cellStyle name="Normal 171 4 11 2 2" xfId="14897"/>
    <cellStyle name="Normal 171 4 11 2 3" xfId="21411"/>
    <cellStyle name="Normal 171 4 11 2 4" xfId="27800"/>
    <cellStyle name="Normal 171 4 11 3" xfId="11428"/>
    <cellStyle name="Normal 171 4 11 4" xfId="17994"/>
    <cellStyle name="Normal 171 4 11 5" xfId="24396"/>
    <cellStyle name="Normal 171 4 12" xfId="3096"/>
    <cellStyle name="Normal 171 4 12 2" xfId="6583"/>
    <cellStyle name="Normal 171 4 12 2 2" xfId="15064"/>
    <cellStyle name="Normal 171 4 12 2 3" xfId="21578"/>
    <cellStyle name="Normal 171 4 12 2 4" xfId="27967"/>
    <cellStyle name="Normal 171 4 12 3" xfId="11598"/>
    <cellStyle name="Normal 171 4 12 4" xfId="18161"/>
    <cellStyle name="Normal 171 4 12 5" xfId="24563"/>
    <cellStyle name="Normal 171 4 13" xfId="3269"/>
    <cellStyle name="Normal 171 4 13 2" xfId="6750"/>
    <cellStyle name="Normal 171 4 13 2 2" xfId="15231"/>
    <cellStyle name="Normal 171 4 13 2 3" xfId="21745"/>
    <cellStyle name="Normal 171 4 13 2 4" xfId="28134"/>
    <cellStyle name="Normal 171 4 13 3" xfId="11769"/>
    <cellStyle name="Normal 171 4 13 4" xfId="18328"/>
    <cellStyle name="Normal 171 4 13 5" xfId="24730"/>
    <cellStyle name="Normal 171 4 14" xfId="3440"/>
    <cellStyle name="Normal 171 4 14 2" xfId="6915"/>
    <cellStyle name="Normal 171 4 14 2 2" xfId="15396"/>
    <cellStyle name="Normal 171 4 14 2 3" xfId="21910"/>
    <cellStyle name="Normal 171 4 14 2 4" xfId="28299"/>
    <cellStyle name="Normal 171 4 14 3" xfId="11937"/>
    <cellStyle name="Normal 171 4 14 4" xfId="18493"/>
    <cellStyle name="Normal 171 4 14 5" xfId="24895"/>
    <cellStyle name="Normal 171 4 15" xfId="3610"/>
    <cellStyle name="Normal 171 4 15 2" xfId="7079"/>
    <cellStyle name="Normal 171 4 15 2 2" xfId="15560"/>
    <cellStyle name="Normal 171 4 15 2 3" xfId="22074"/>
    <cellStyle name="Normal 171 4 15 2 4" xfId="28463"/>
    <cellStyle name="Normal 171 4 15 3" xfId="12105"/>
    <cellStyle name="Normal 171 4 15 4" xfId="18658"/>
    <cellStyle name="Normal 171 4 15 5" xfId="25059"/>
    <cellStyle name="Normal 171 4 16" xfId="3780"/>
    <cellStyle name="Normal 171 4 16 2" xfId="7243"/>
    <cellStyle name="Normal 171 4 16 2 2" xfId="15724"/>
    <cellStyle name="Normal 171 4 16 2 3" xfId="22238"/>
    <cellStyle name="Normal 171 4 16 2 4" xfId="28627"/>
    <cellStyle name="Normal 171 4 16 3" xfId="12275"/>
    <cellStyle name="Normal 171 4 16 4" xfId="18825"/>
    <cellStyle name="Normal 171 4 16 5" xfId="25223"/>
    <cellStyle name="Normal 171 4 17" xfId="3947"/>
    <cellStyle name="Normal 171 4 17 2" xfId="7405"/>
    <cellStyle name="Normal 171 4 17 2 2" xfId="15886"/>
    <cellStyle name="Normal 171 4 17 2 3" xfId="22400"/>
    <cellStyle name="Normal 171 4 17 2 4" xfId="28789"/>
    <cellStyle name="Normal 171 4 17 3" xfId="12441"/>
    <cellStyle name="Normal 171 4 17 4" xfId="18988"/>
    <cellStyle name="Normal 171 4 17 5" xfId="25385"/>
    <cellStyle name="Normal 171 4 18" xfId="4112"/>
    <cellStyle name="Normal 171 4 18 2" xfId="7565"/>
    <cellStyle name="Normal 171 4 18 2 2" xfId="16046"/>
    <cellStyle name="Normal 171 4 18 2 3" xfId="22560"/>
    <cellStyle name="Normal 171 4 18 2 4" xfId="28949"/>
    <cellStyle name="Normal 171 4 18 3" xfId="12605"/>
    <cellStyle name="Normal 171 4 18 4" xfId="19149"/>
    <cellStyle name="Normal 171 4 18 5" xfId="25545"/>
    <cellStyle name="Normal 171 4 19" xfId="5215"/>
    <cellStyle name="Normal 171 4 19 2" xfId="13697"/>
    <cellStyle name="Normal 171 4 19 3" xfId="20215"/>
    <cellStyle name="Normal 171 4 19 4" xfId="26604"/>
    <cellStyle name="Normal 171 4 2" xfId="1819"/>
    <cellStyle name="Normal 171 4 2 2" xfId="5417"/>
    <cellStyle name="Normal 171 4 2 2 2" xfId="13898"/>
    <cellStyle name="Normal 171 4 2 2 3" xfId="20412"/>
    <cellStyle name="Normal 171 4 2 2 4" xfId="26801"/>
    <cellStyle name="Normal 171 4 2 3" xfId="10391"/>
    <cellStyle name="Normal 171 4 2 4" xfId="9607"/>
    <cellStyle name="Normal 171 4 2 5" xfId="17499"/>
    <cellStyle name="Normal 171 4 20" xfId="9846"/>
    <cellStyle name="Normal 171 4 21" xfId="9913"/>
    <cellStyle name="Normal 171 4 22" xfId="11052"/>
    <cellStyle name="Normal 171 4 3" xfId="2565"/>
    <cellStyle name="Normal 171 4 3 2" xfId="6081"/>
    <cellStyle name="Normal 171 4 3 2 2" xfId="14562"/>
    <cellStyle name="Normal 171 4 3 2 3" xfId="21076"/>
    <cellStyle name="Normal 171 4 3 2 4" xfId="27465"/>
    <cellStyle name="Normal 171 4 3 3" xfId="11085"/>
    <cellStyle name="Normal 171 4 3 4" xfId="17655"/>
    <cellStyle name="Normal 171 4 3 5" xfId="24061"/>
    <cellStyle name="Normal 171 4 4" xfId="2457"/>
    <cellStyle name="Normal 171 4 4 2" xfId="5996"/>
    <cellStyle name="Normal 171 4 4 2 2" xfId="14477"/>
    <cellStyle name="Normal 171 4 4 2 3" xfId="20991"/>
    <cellStyle name="Normal 171 4 4 2 4" xfId="27380"/>
    <cellStyle name="Normal 171 4 4 3" xfId="10995"/>
    <cellStyle name="Normal 171 4 4 4" xfId="17569"/>
    <cellStyle name="Normal 171 4 4 5" xfId="23976"/>
    <cellStyle name="Normal 171 4 5" xfId="2516"/>
    <cellStyle name="Normal 171 4 5 2" xfId="6040"/>
    <cellStyle name="Normal 171 4 5 2 2" xfId="14521"/>
    <cellStyle name="Normal 171 4 5 2 3" xfId="21035"/>
    <cellStyle name="Normal 171 4 5 2 4" xfId="27424"/>
    <cellStyle name="Normal 171 4 5 3" xfId="11041"/>
    <cellStyle name="Normal 171 4 5 4" xfId="17613"/>
    <cellStyle name="Normal 171 4 5 5" xfId="24020"/>
    <cellStyle name="Normal 171 4 6" xfId="2012"/>
    <cellStyle name="Normal 171 4 6 2" xfId="5596"/>
    <cellStyle name="Normal 171 4 6 2 2" xfId="14077"/>
    <cellStyle name="Normal 171 4 6 2 3" xfId="20591"/>
    <cellStyle name="Normal 171 4 6 2 4" xfId="26980"/>
    <cellStyle name="Normal 171 4 6 3" xfId="10578"/>
    <cellStyle name="Normal 171 4 6 4" xfId="9485"/>
    <cellStyle name="Normal 171 4 6 5" xfId="10226"/>
    <cellStyle name="Normal 171 4 7" xfId="2334"/>
    <cellStyle name="Normal 171 4 7 2" xfId="5893"/>
    <cellStyle name="Normal 171 4 7 2 2" xfId="14374"/>
    <cellStyle name="Normal 171 4 7 2 3" xfId="20888"/>
    <cellStyle name="Normal 171 4 7 2 4" xfId="27277"/>
    <cellStyle name="Normal 171 4 7 3" xfId="10882"/>
    <cellStyle name="Normal 171 4 7 4" xfId="9342"/>
    <cellStyle name="Normal 171 4 7 5" xfId="17036"/>
    <cellStyle name="Normal 171 4 8" xfId="2148"/>
    <cellStyle name="Normal 171 4 8 2" xfId="5719"/>
    <cellStyle name="Normal 171 4 8 2 2" xfId="14200"/>
    <cellStyle name="Normal 171 4 8 2 3" xfId="20714"/>
    <cellStyle name="Normal 171 4 8 2 4" xfId="27103"/>
    <cellStyle name="Normal 171 4 8 3" xfId="10705"/>
    <cellStyle name="Normal 171 4 8 4" xfId="9370"/>
    <cellStyle name="Normal 171 4 8 5" xfId="17043"/>
    <cellStyle name="Normal 171 4 9" xfId="2198"/>
    <cellStyle name="Normal 171 4 9 2" xfId="5768"/>
    <cellStyle name="Normal 171 4 9 2 2" xfId="14249"/>
    <cellStyle name="Normal 171 4 9 2 3" xfId="20763"/>
    <cellStyle name="Normal 171 4 9 2 4" xfId="27152"/>
    <cellStyle name="Normal 171 4 9 3" xfId="10754"/>
    <cellStyle name="Normal 171 4 9 4" xfId="9354"/>
    <cellStyle name="Normal 171 4 9 5" xfId="17338"/>
    <cellStyle name="Normal 171 5" xfId="830"/>
    <cellStyle name="Normal 171 5 10" xfId="2545"/>
    <cellStyle name="Normal 171 5 10 2" xfId="6063"/>
    <cellStyle name="Normal 171 5 10 2 2" xfId="14544"/>
    <cellStyle name="Normal 171 5 10 2 3" xfId="21058"/>
    <cellStyle name="Normal 171 5 10 2 4" xfId="27447"/>
    <cellStyle name="Normal 171 5 10 3" xfId="11067"/>
    <cellStyle name="Normal 171 5 10 4" xfId="17637"/>
    <cellStyle name="Normal 171 5 10 5" xfId="24043"/>
    <cellStyle name="Normal 171 5 11" xfId="1997"/>
    <cellStyle name="Normal 171 5 11 2" xfId="5586"/>
    <cellStyle name="Normal 171 5 11 2 2" xfId="14067"/>
    <cellStyle name="Normal 171 5 11 2 3" xfId="20581"/>
    <cellStyle name="Normal 171 5 11 2 4" xfId="26970"/>
    <cellStyle name="Normal 171 5 11 3" xfId="10566"/>
    <cellStyle name="Normal 171 5 11 4" xfId="9496"/>
    <cellStyle name="Normal 171 5 11 5" xfId="10216"/>
    <cellStyle name="Normal 171 5 12" xfId="2348"/>
    <cellStyle name="Normal 171 5 12 2" xfId="5903"/>
    <cellStyle name="Normal 171 5 12 2 2" xfId="14384"/>
    <cellStyle name="Normal 171 5 12 2 3" xfId="20898"/>
    <cellStyle name="Normal 171 5 12 2 4" xfId="27287"/>
    <cellStyle name="Normal 171 5 12 3" xfId="10894"/>
    <cellStyle name="Normal 171 5 12 4" xfId="17248"/>
    <cellStyle name="Normal 171 5 12 5" xfId="23723"/>
    <cellStyle name="Normal 171 5 13" xfId="2607"/>
    <cellStyle name="Normal 171 5 13 2" xfId="6121"/>
    <cellStyle name="Normal 171 5 13 2 2" xfId="14602"/>
    <cellStyle name="Normal 171 5 13 2 3" xfId="21116"/>
    <cellStyle name="Normal 171 5 13 2 4" xfId="27505"/>
    <cellStyle name="Normal 171 5 13 3" xfId="11126"/>
    <cellStyle name="Normal 171 5 13 4" xfId="17696"/>
    <cellStyle name="Normal 171 5 13 5" xfId="24101"/>
    <cellStyle name="Normal 171 5 14" xfId="1970"/>
    <cellStyle name="Normal 171 5 14 2" xfId="5560"/>
    <cellStyle name="Normal 171 5 14 2 2" xfId="14041"/>
    <cellStyle name="Normal 171 5 14 2 3" xfId="20555"/>
    <cellStyle name="Normal 171 5 14 2 4" xfId="26944"/>
    <cellStyle name="Normal 171 5 14 3" xfId="10539"/>
    <cellStyle name="Normal 171 5 14 4" xfId="11108"/>
    <cellStyle name="Normal 171 5 14 5" xfId="17678"/>
    <cellStyle name="Normal 171 5 15" xfId="2376"/>
    <cellStyle name="Normal 171 5 15 2" xfId="5929"/>
    <cellStyle name="Normal 171 5 15 2 2" xfId="14410"/>
    <cellStyle name="Normal 171 5 15 2 3" xfId="20924"/>
    <cellStyle name="Normal 171 5 15 2 4" xfId="27313"/>
    <cellStyle name="Normal 171 5 15 3" xfId="10922"/>
    <cellStyle name="Normal 171 5 15 4" xfId="17274"/>
    <cellStyle name="Normal 171 5 15 5" xfId="23748"/>
    <cellStyle name="Normal 171 5 16" xfId="2571"/>
    <cellStyle name="Normal 171 5 16 2" xfId="6087"/>
    <cellStyle name="Normal 171 5 16 2 2" xfId="14568"/>
    <cellStyle name="Normal 171 5 16 2 3" xfId="21082"/>
    <cellStyle name="Normal 171 5 16 2 4" xfId="27471"/>
    <cellStyle name="Normal 171 5 16 3" xfId="11091"/>
    <cellStyle name="Normal 171 5 16 4" xfId="17661"/>
    <cellStyle name="Normal 171 5 16 5" xfId="24067"/>
    <cellStyle name="Normal 171 5 17" xfId="2454"/>
    <cellStyle name="Normal 171 5 17 2" xfId="5993"/>
    <cellStyle name="Normal 171 5 17 2 2" xfId="14474"/>
    <cellStyle name="Normal 171 5 17 2 3" xfId="20988"/>
    <cellStyle name="Normal 171 5 17 2 4" xfId="27377"/>
    <cellStyle name="Normal 171 5 17 3" xfId="10992"/>
    <cellStyle name="Normal 171 5 17 4" xfId="17566"/>
    <cellStyle name="Normal 171 5 17 5" xfId="23973"/>
    <cellStyle name="Normal 171 5 18" xfId="2039"/>
    <cellStyle name="Normal 171 5 18 2" xfId="5617"/>
    <cellStyle name="Normal 171 5 18 2 2" xfId="14098"/>
    <cellStyle name="Normal 171 5 18 2 3" xfId="20612"/>
    <cellStyle name="Normal 171 5 18 2 4" xfId="27001"/>
    <cellStyle name="Normal 171 5 18 3" xfId="10600"/>
    <cellStyle name="Normal 171 5 18 4" xfId="9464"/>
    <cellStyle name="Normal 171 5 18 5" xfId="10238"/>
    <cellStyle name="Normal 171 5 19" xfId="5216"/>
    <cellStyle name="Normal 171 5 19 2" xfId="13698"/>
    <cellStyle name="Normal 171 5 19 3" xfId="20216"/>
    <cellStyle name="Normal 171 5 19 4" xfId="26605"/>
    <cellStyle name="Normal 171 5 2" xfId="1820"/>
    <cellStyle name="Normal 171 5 2 2" xfId="5418"/>
    <cellStyle name="Normal 171 5 2 2 2" xfId="13899"/>
    <cellStyle name="Normal 171 5 2 2 3" xfId="20413"/>
    <cellStyle name="Normal 171 5 2 2 4" xfId="26802"/>
    <cellStyle name="Normal 171 5 2 3" xfId="10392"/>
    <cellStyle name="Normal 171 5 2 4" xfId="9606"/>
    <cellStyle name="Normal 171 5 2 5" xfId="11345"/>
    <cellStyle name="Normal 171 5 20" xfId="9847"/>
    <cellStyle name="Normal 171 5 21" xfId="9912"/>
    <cellStyle name="Normal 171 5 22" xfId="10573"/>
    <cellStyle name="Normal 171 5 3" xfId="2566"/>
    <cellStyle name="Normal 171 5 3 2" xfId="6082"/>
    <cellStyle name="Normal 171 5 3 2 2" xfId="14563"/>
    <cellStyle name="Normal 171 5 3 2 3" xfId="21077"/>
    <cellStyle name="Normal 171 5 3 2 4" xfId="27466"/>
    <cellStyle name="Normal 171 5 3 3" xfId="11086"/>
    <cellStyle name="Normal 171 5 3 4" xfId="17656"/>
    <cellStyle name="Normal 171 5 3 5" xfId="24062"/>
    <cellStyle name="Normal 171 5 4" xfId="2456"/>
    <cellStyle name="Normal 171 5 4 2" xfId="5995"/>
    <cellStyle name="Normal 171 5 4 2 2" xfId="14476"/>
    <cellStyle name="Normal 171 5 4 2 3" xfId="20990"/>
    <cellStyle name="Normal 171 5 4 2 4" xfId="27379"/>
    <cellStyle name="Normal 171 5 4 3" xfId="10994"/>
    <cellStyle name="Normal 171 5 4 4" xfId="17568"/>
    <cellStyle name="Normal 171 5 4 5" xfId="23975"/>
    <cellStyle name="Normal 171 5 5" xfId="2038"/>
    <cellStyle name="Normal 171 5 5 2" xfId="5616"/>
    <cellStyle name="Normal 171 5 5 2 2" xfId="14097"/>
    <cellStyle name="Normal 171 5 5 2 3" xfId="20611"/>
    <cellStyle name="Normal 171 5 5 2 4" xfId="27000"/>
    <cellStyle name="Normal 171 5 5 3" xfId="10599"/>
    <cellStyle name="Normal 171 5 5 4" xfId="9465"/>
    <cellStyle name="Normal 171 5 5 5" xfId="10237"/>
    <cellStyle name="Normal 171 5 6" xfId="2308"/>
    <cellStyle name="Normal 171 5 6 2" xfId="5873"/>
    <cellStyle name="Normal 171 5 6 2 2" xfId="14354"/>
    <cellStyle name="Normal 171 5 6 2 3" xfId="20868"/>
    <cellStyle name="Normal 171 5 6 2 4" xfId="27257"/>
    <cellStyle name="Normal 171 5 6 3" xfId="10860"/>
    <cellStyle name="Normal 171 5 6 4" xfId="17229"/>
    <cellStyle name="Normal 171 5 6 5" xfId="23704"/>
    <cellStyle name="Normal 171 5 7" xfId="2641"/>
    <cellStyle name="Normal 171 5 7 2" xfId="6147"/>
    <cellStyle name="Normal 171 5 7 2 2" xfId="14628"/>
    <cellStyle name="Normal 171 5 7 2 3" xfId="21142"/>
    <cellStyle name="Normal 171 5 7 2 4" xfId="27531"/>
    <cellStyle name="Normal 171 5 7 3" xfId="11155"/>
    <cellStyle name="Normal 171 5 7 4" xfId="17724"/>
    <cellStyle name="Normal 171 5 7 5" xfId="24127"/>
    <cellStyle name="Normal 171 5 8" xfId="1956"/>
    <cellStyle name="Normal 171 5 8 2" xfId="5548"/>
    <cellStyle name="Normal 171 5 8 2 2" xfId="14029"/>
    <cellStyle name="Normal 171 5 8 2 3" xfId="20543"/>
    <cellStyle name="Normal 171 5 8 2 4" xfId="26932"/>
    <cellStyle name="Normal 171 5 8 3" xfId="10526"/>
    <cellStyle name="Normal 171 5 8 4" xfId="10838"/>
    <cellStyle name="Normal 171 5 8 5" xfId="17208"/>
    <cellStyle name="Normal 171 5 9" xfId="2389"/>
    <cellStyle name="Normal 171 5 9 2" xfId="5940"/>
    <cellStyle name="Normal 171 5 9 2 2" xfId="14421"/>
    <cellStyle name="Normal 171 5 9 2 3" xfId="20935"/>
    <cellStyle name="Normal 171 5 9 2 4" xfId="27324"/>
    <cellStyle name="Normal 171 5 9 3" xfId="10934"/>
    <cellStyle name="Normal 171 5 9 4" xfId="17393"/>
    <cellStyle name="Normal 171 5 9 5" xfId="23832"/>
    <cellStyle name="Normal 171 6" xfId="831"/>
    <cellStyle name="Normal 171 6 10" xfId="2445"/>
    <cellStyle name="Normal 171 6 10 2" xfId="5984"/>
    <cellStyle name="Normal 171 6 10 2 2" xfId="14465"/>
    <cellStyle name="Normal 171 6 10 2 3" xfId="20979"/>
    <cellStyle name="Normal 171 6 10 2 4" xfId="27368"/>
    <cellStyle name="Normal 171 6 10 3" xfId="10983"/>
    <cellStyle name="Normal 171 6 10 4" xfId="17557"/>
    <cellStyle name="Normal 171 6 10 5" xfId="23964"/>
    <cellStyle name="Normal 171 6 11" xfId="2048"/>
    <cellStyle name="Normal 171 6 11 2" xfId="5626"/>
    <cellStyle name="Normal 171 6 11 2 2" xfId="14107"/>
    <cellStyle name="Normal 171 6 11 2 3" xfId="20621"/>
    <cellStyle name="Normal 171 6 11 2 4" xfId="27010"/>
    <cellStyle name="Normal 171 6 11 3" xfId="10609"/>
    <cellStyle name="Normal 171 6 11 4" xfId="9456"/>
    <cellStyle name="Normal 171 6 11 5" xfId="10246"/>
    <cellStyle name="Normal 171 6 12" xfId="2299"/>
    <cellStyle name="Normal 171 6 12 2" xfId="5864"/>
    <cellStyle name="Normal 171 6 12 2 2" xfId="14345"/>
    <cellStyle name="Normal 171 6 12 2 3" xfId="20859"/>
    <cellStyle name="Normal 171 6 12 2 4" xfId="27248"/>
    <cellStyle name="Normal 171 6 12 3" xfId="10851"/>
    <cellStyle name="Normal 171 6 12 4" xfId="17221"/>
    <cellStyle name="Normal 171 6 12 5" xfId="23696"/>
    <cellStyle name="Normal 171 6 13" xfId="2650"/>
    <cellStyle name="Normal 171 6 13 2" xfId="6156"/>
    <cellStyle name="Normal 171 6 13 2 2" xfId="14637"/>
    <cellStyle name="Normal 171 6 13 2 3" xfId="21151"/>
    <cellStyle name="Normal 171 6 13 2 4" xfId="27540"/>
    <cellStyle name="Normal 171 6 13 3" xfId="11164"/>
    <cellStyle name="Normal 171 6 13 4" xfId="17733"/>
    <cellStyle name="Normal 171 6 13 5" xfId="24136"/>
    <cellStyle name="Normal 171 6 14" xfId="2411"/>
    <cellStyle name="Normal 171 6 14 2" xfId="5958"/>
    <cellStyle name="Normal 171 6 14 2 2" xfId="14439"/>
    <cellStyle name="Normal 171 6 14 2 3" xfId="20953"/>
    <cellStyle name="Normal 171 6 14 2 4" xfId="27342"/>
    <cellStyle name="Normal 171 6 14 3" xfId="10955"/>
    <cellStyle name="Normal 171 6 14 4" xfId="17443"/>
    <cellStyle name="Normal 171 6 14 5" xfId="23876"/>
    <cellStyle name="Normal 171 6 15" xfId="2525"/>
    <cellStyle name="Normal 171 6 15 2" xfId="6046"/>
    <cellStyle name="Normal 171 6 15 2 2" xfId="14527"/>
    <cellStyle name="Normal 171 6 15 2 3" xfId="21041"/>
    <cellStyle name="Normal 171 6 15 2 4" xfId="27430"/>
    <cellStyle name="Normal 171 6 15 3" xfId="11047"/>
    <cellStyle name="Normal 171 6 15 4" xfId="17619"/>
    <cellStyle name="Normal 171 6 15 5" xfId="24026"/>
    <cellStyle name="Normal 171 6 16" xfId="2479"/>
    <cellStyle name="Normal 171 6 16 2" xfId="6015"/>
    <cellStyle name="Normal 171 6 16 2 2" xfId="14496"/>
    <cellStyle name="Normal 171 6 16 2 3" xfId="21010"/>
    <cellStyle name="Normal 171 6 16 2 4" xfId="27399"/>
    <cellStyle name="Normal 171 6 16 3" xfId="11016"/>
    <cellStyle name="Normal 171 6 16 4" xfId="17588"/>
    <cellStyle name="Normal 171 6 16 5" xfId="23995"/>
    <cellStyle name="Normal 171 6 17" xfId="2504"/>
    <cellStyle name="Normal 171 6 17 2" xfId="6028"/>
    <cellStyle name="Normal 171 6 17 2 2" xfId="14509"/>
    <cellStyle name="Normal 171 6 17 2 3" xfId="21023"/>
    <cellStyle name="Normal 171 6 17 2 4" xfId="27412"/>
    <cellStyle name="Normal 171 6 17 3" xfId="11029"/>
    <cellStyle name="Normal 171 6 17 4" xfId="17601"/>
    <cellStyle name="Normal 171 6 17 5" xfId="24008"/>
    <cellStyle name="Normal 171 6 18" xfId="2489"/>
    <cellStyle name="Normal 171 6 18 2" xfId="6024"/>
    <cellStyle name="Normal 171 6 18 2 2" xfId="14505"/>
    <cellStyle name="Normal 171 6 18 2 3" xfId="21019"/>
    <cellStyle name="Normal 171 6 18 2 4" xfId="27408"/>
    <cellStyle name="Normal 171 6 18 3" xfId="11025"/>
    <cellStyle name="Normal 171 6 18 4" xfId="17597"/>
    <cellStyle name="Normal 171 6 18 5" xfId="24004"/>
    <cellStyle name="Normal 171 6 19" xfId="5217"/>
    <cellStyle name="Normal 171 6 19 2" xfId="13699"/>
    <cellStyle name="Normal 171 6 19 3" xfId="20217"/>
    <cellStyle name="Normal 171 6 19 4" xfId="26606"/>
    <cellStyle name="Normal 171 6 2" xfId="1821"/>
    <cellStyle name="Normal 171 6 2 2" xfId="5419"/>
    <cellStyle name="Normal 171 6 2 2 2" xfId="13900"/>
    <cellStyle name="Normal 171 6 2 2 3" xfId="20414"/>
    <cellStyle name="Normal 171 6 2 2 4" xfId="26803"/>
    <cellStyle name="Normal 171 6 2 3" xfId="10393"/>
    <cellStyle name="Normal 171 6 2 4" xfId="9605"/>
    <cellStyle name="Normal 171 6 2 5" xfId="11515"/>
    <cellStyle name="Normal 171 6 20" xfId="9848"/>
    <cellStyle name="Normal 171 6 21" xfId="9911"/>
    <cellStyle name="Normal 171 6 22" xfId="10887"/>
    <cellStyle name="Normal 171 6 3" xfId="2567"/>
    <cellStyle name="Normal 171 6 3 2" xfId="6083"/>
    <cellStyle name="Normal 171 6 3 2 2" xfId="14564"/>
    <cellStyle name="Normal 171 6 3 2 3" xfId="21078"/>
    <cellStyle name="Normal 171 6 3 2 4" xfId="27467"/>
    <cellStyle name="Normal 171 6 3 3" xfId="11087"/>
    <cellStyle name="Normal 171 6 3 4" xfId="17657"/>
    <cellStyle name="Normal 171 6 3 5" xfId="24063"/>
    <cellStyle name="Normal 171 6 4" xfId="1989"/>
    <cellStyle name="Normal 171 6 4 2" xfId="5578"/>
    <cellStyle name="Normal 171 6 4 2 2" xfId="14059"/>
    <cellStyle name="Normal 171 6 4 2 3" xfId="20573"/>
    <cellStyle name="Normal 171 6 4 2 4" xfId="26962"/>
    <cellStyle name="Normal 171 6 4 3" xfId="10558"/>
    <cellStyle name="Normal 171 6 4 4" xfId="9504"/>
    <cellStyle name="Normal 171 6 4 5" xfId="10208"/>
    <cellStyle name="Normal 171 6 5" xfId="2357"/>
    <cellStyle name="Normal 171 6 5 2" xfId="5911"/>
    <cellStyle name="Normal 171 6 5 2 2" xfId="14392"/>
    <cellStyle name="Normal 171 6 5 2 3" xfId="20906"/>
    <cellStyle name="Normal 171 6 5 2 4" xfId="27295"/>
    <cellStyle name="Normal 171 6 5 3" xfId="10903"/>
    <cellStyle name="Normal 171 6 5 4" xfId="17256"/>
    <cellStyle name="Normal 171 6 5 5" xfId="23731"/>
    <cellStyle name="Normal 171 6 6" xfId="2599"/>
    <cellStyle name="Normal 171 6 6 2" xfId="6113"/>
    <cellStyle name="Normal 171 6 6 2 2" xfId="14594"/>
    <cellStyle name="Normal 171 6 6 2 3" xfId="21108"/>
    <cellStyle name="Normal 171 6 6 2 4" xfId="27497"/>
    <cellStyle name="Normal 171 6 6 3" xfId="11118"/>
    <cellStyle name="Normal 171 6 6 4" xfId="17688"/>
    <cellStyle name="Normal 171 6 6 5" xfId="24093"/>
    <cellStyle name="Normal 171 6 7" xfId="1977"/>
    <cellStyle name="Normal 171 6 7 2" xfId="5567"/>
    <cellStyle name="Normal 171 6 7 2 2" xfId="14048"/>
    <cellStyle name="Normal 171 6 7 2 3" xfId="20562"/>
    <cellStyle name="Normal 171 6 7 2 4" xfId="26951"/>
    <cellStyle name="Normal 171 6 7 3" xfId="10546"/>
    <cellStyle name="Normal 171 6 7 4" xfId="9517"/>
    <cellStyle name="Normal 171 6 7 5" xfId="10196"/>
    <cellStyle name="Normal 171 6 8" xfId="2369"/>
    <cellStyle name="Normal 171 6 8 2" xfId="5922"/>
    <cellStyle name="Normal 171 6 8 2 2" xfId="14403"/>
    <cellStyle name="Normal 171 6 8 2 3" xfId="20917"/>
    <cellStyle name="Normal 171 6 8 2 4" xfId="27306"/>
    <cellStyle name="Normal 171 6 8 3" xfId="10915"/>
    <cellStyle name="Normal 171 6 8 4" xfId="17268"/>
    <cellStyle name="Normal 171 6 8 5" xfId="23742"/>
    <cellStyle name="Normal 171 6 9" xfId="2586"/>
    <cellStyle name="Normal 171 6 9 2" xfId="6102"/>
    <cellStyle name="Normal 171 6 9 2 2" xfId="14583"/>
    <cellStyle name="Normal 171 6 9 2 3" xfId="21097"/>
    <cellStyle name="Normal 171 6 9 2 4" xfId="27486"/>
    <cellStyle name="Normal 171 6 9 3" xfId="11106"/>
    <cellStyle name="Normal 171 6 9 4" xfId="17676"/>
    <cellStyle name="Normal 171 6 9 5" xfId="24082"/>
    <cellStyle name="Normal 171 7" xfId="832"/>
    <cellStyle name="Normal 171 7 10" xfId="2660"/>
    <cellStyle name="Normal 171 7 10 2" xfId="6164"/>
    <cellStyle name="Normal 171 7 10 2 2" xfId="14645"/>
    <cellStyle name="Normal 171 7 10 2 3" xfId="21159"/>
    <cellStyle name="Normal 171 7 10 2 4" xfId="27548"/>
    <cellStyle name="Normal 171 7 10 3" xfId="11172"/>
    <cellStyle name="Normal 171 7 10 4" xfId="17741"/>
    <cellStyle name="Normal 171 7 10 5" xfId="24144"/>
    <cellStyle name="Normal 171 7 11" xfId="1947"/>
    <cellStyle name="Normal 171 7 11 2" xfId="5539"/>
    <cellStyle name="Normal 171 7 11 2 2" xfId="14020"/>
    <cellStyle name="Normal 171 7 11 2 3" xfId="20534"/>
    <cellStyle name="Normal 171 7 11 2 4" xfId="26923"/>
    <cellStyle name="Normal 171 7 11 3" xfId="10517"/>
    <cellStyle name="Normal 171 7 11 4" xfId="9529"/>
    <cellStyle name="Normal 171 7 11 5" xfId="17472"/>
    <cellStyle name="Normal 171 7 12" xfId="2398"/>
    <cellStyle name="Normal 171 7 12 2" xfId="5949"/>
    <cellStyle name="Normal 171 7 12 2 2" xfId="14430"/>
    <cellStyle name="Normal 171 7 12 2 3" xfId="20944"/>
    <cellStyle name="Normal 171 7 12 2 4" xfId="27333"/>
    <cellStyle name="Normal 171 7 12 3" xfId="10943"/>
    <cellStyle name="Normal 171 7 12 4" xfId="17490"/>
    <cellStyle name="Normal 171 7 12 5" xfId="23912"/>
    <cellStyle name="Normal 171 7 13" xfId="2537"/>
    <cellStyle name="Normal 171 7 13 2" xfId="6055"/>
    <cellStyle name="Normal 171 7 13 2 2" xfId="14536"/>
    <cellStyle name="Normal 171 7 13 2 3" xfId="21050"/>
    <cellStyle name="Normal 171 7 13 2 4" xfId="27439"/>
    <cellStyle name="Normal 171 7 13 3" xfId="11059"/>
    <cellStyle name="Normal 171 7 13 4" xfId="17629"/>
    <cellStyle name="Normal 171 7 13 5" xfId="24035"/>
    <cellStyle name="Normal 171 7 14" xfId="2001"/>
    <cellStyle name="Normal 171 7 14 2" xfId="5590"/>
    <cellStyle name="Normal 171 7 14 2 2" xfId="14071"/>
    <cellStyle name="Normal 171 7 14 2 3" xfId="20585"/>
    <cellStyle name="Normal 171 7 14 2 4" xfId="26974"/>
    <cellStyle name="Normal 171 7 14 3" xfId="10570"/>
    <cellStyle name="Normal 171 7 14 4" xfId="9492"/>
    <cellStyle name="Normal 171 7 14 5" xfId="10220"/>
    <cellStyle name="Normal 171 7 15" xfId="2344"/>
    <cellStyle name="Normal 171 7 15 2" xfId="5899"/>
    <cellStyle name="Normal 171 7 15 2 2" xfId="14380"/>
    <cellStyle name="Normal 171 7 15 2 3" xfId="20894"/>
    <cellStyle name="Normal 171 7 15 2 4" xfId="27283"/>
    <cellStyle name="Normal 171 7 15 3" xfId="10890"/>
    <cellStyle name="Normal 171 7 15 4" xfId="9337"/>
    <cellStyle name="Normal 171 7 15 5" xfId="10299"/>
    <cellStyle name="Normal 171 7 16" xfId="2610"/>
    <cellStyle name="Normal 171 7 16 2" xfId="6124"/>
    <cellStyle name="Normal 171 7 16 2 2" xfId="14605"/>
    <cellStyle name="Normal 171 7 16 2 3" xfId="21119"/>
    <cellStyle name="Normal 171 7 16 2 4" xfId="27508"/>
    <cellStyle name="Normal 171 7 16 3" xfId="11129"/>
    <cellStyle name="Normal 171 7 16 4" xfId="17699"/>
    <cellStyle name="Normal 171 7 16 5" xfId="24104"/>
    <cellStyle name="Normal 171 7 17" xfId="1969"/>
    <cellStyle name="Normal 171 7 17 2" xfId="5559"/>
    <cellStyle name="Normal 171 7 17 2 2" xfId="14040"/>
    <cellStyle name="Normal 171 7 17 2 3" xfId="20554"/>
    <cellStyle name="Normal 171 7 17 2 4" xfId="26943"/>
    <cellStyle name="Normal 171 7 17 3" xfId="10538"/>
    <cellStyle name="Normal 171 7 17 4" xfId="10982"/>
    <cellStyle name="Normal 171 7 17 5" xfId="17556"/>
    <cellStyle name="Normal 171 7 18" xfId="2377"/>
    <cellStyle name="Normal 171 7 18 2" xfId="5930"/>
    <cellStyle name="Normal 171 7 18 2 2" xfId="14411"/>
    <cellStyle name="Normal 171 7 18 2 3" xfId="20925"/>
    <cellStyle name="Normal 171 7 18 2 4" xfId="27314"/>
    <cellStyle name="Normal 171 7 18 3" xfId="10923"/>
    <cellStyle name="Normal 171 7 18 4" xfId="17275"/>
    <cellStyle name="Normal 171 7 18 5" xfId="23749"/>
    <cellStyle name="Normal 171 7 19" xfId="5218"/>
    <cellStyle name="Normal 171 7 19 2" xfId="13700"/>
    <cellStyle name="Normal 171 7 19 3" xfId="20218"/>
    <cellStyle name="Normal 171 7 19 4" xfId="26607"/>
    <cellStyle name="Normal 171 7 2" xfId="1822"/>
    <cellStyle name="Normal 171 7 2 2" xfId="5420"/>
    <cellStyle name="Normal 171 7 2 2 2" xfId="13901"/>
    <cellStyle name="Normal 171 7 2 2 3" xfId="20415"/>
    <cellStyle name="Normal 171 7 2 2 4" xfId="26804"/>
    <cellStyle name="Normal 171 7 2 3" xfId="10394"/>
    <cellStyle name="Normal 171 7 2 4" xfId="9604"/>
    <cellStyle name="Normal 171 7 2 5" xfId="11686"/>
    <cellStyle name="Normal 171 7 20" xfId="9849"/>
    <cellStyle name="Normal 171 7 21" xfId="9910"/>
    <cellStyle name="Normal 171 7 22" xfId="11132"/>
    <cellStyle name="Normal 171 7 3" xfId="2568"/>
    <cellStyle name="Normal 171 7 3 2" xfId="6084"/>
    <cellStyle name="Normal 171 7 3 2 2" xfId="14565"/>
    <cellStyle name="Normal 171 7 3 2 3" xfId="21079"/>
    <cellStyle name="Normal 171 7 3 2 4" xfId="27468"/>
    <cellStyle name="Normal 171 7 3 3" xfId="11088"/>
    <cellStyle name="Normal 171 7 3 4" xfId="17658"/>
    <cellStyle name="Normal 171 7 3 5" xfId="24064"/>
    <cellStyle name="Normal 171 7 4" xfId="1988"/>
    <cellStyle name="Normal 171 7 4 2" xfId="5577"/>
    <cellStyle name="Normal 171 7 4 2 2" xfId="14058"/>
    <cellStyle name="Normal 171 7 4 2 3" xfId="20572"/>
    <cellStyle name="Normal 171 7 4 2 4" xfId="26961"/>
    <cellStyle name="Normal 171 7 4 3" xfId="10557"/>
    <cellStyle name="Normal 171 7 4 4" xfId="9506"/>
    <cellStyle name="Normal 171 7 4 5" xfId="10206"/>
    <cellStyle name="Normal 171 7 5" xfId="2358"/>
    <cellStyle name="Normal 171 7 5 2" xfId="5912"/>
    <cellStyle name="Normal 171 7 5 2 2" xfId="14393"/>
    <cellStyle name="Normal 171 7 5 2 3" xfId="20907"/>
    <cellStyle name="Normal 171 7 5 2 4" xfId="27296"/>
    <cellStyle name="Normal 171 7 5 3" xfId="10904"/>
    <cellStyle name="Normal 171 7 5 4" xfId="17257"/>
    <cellStyle name="Normal 171 7 5 5" xfId="23732"/>
    <cellStyle name="Normal 171 7 6" xfId="2598"/>
    <cellStyle name="Normal 171 7 6 2" xfId="6112"/>
    <cellStyle name="Normal 171 7 6 2 2" xfId="14593"/>
    <cellStyle name="Normal 171 7 6 2 3" xfId="21107"/>
    <cellStyle name="Normal 171 7 6 2 4" xfId="27496"/>
    <cellStyle name="Normal 171 7 6 3" xfId="11117"/>
    <cellStyle name="Normal 171 7 6 4" xfId="17687"/>
    <cellStyle name="Normal 171 7 6 5" xfId="24092"/>
    <cellStyle name="Normal 171 7 7" xfId="2435"/>
    <cellStyle name="Normal 171 7 7 2" xfId="5976"/>
    <cellStyle name="Normal 171 7 7 2 2" xfId="14457"/>
    <cellStyle name="Normal 171 7 7 2 3" xfId="20971"/>
    <cellStyle name="Normal 171 7 7 2 4" xfId="27360"/>
    <cellStyle name="Normal 171 7 7 3" xfId="10974"/>
    <cellStyle name="Normal 171 7 7 4" xfId="17294"/>
    <cellStyle name="Normal 171 7 7 5" xfId="23767"/>
    <cellStyle name="Normal 171 7 8" xfId="2058"/>
    <cellStyle name="Normal 171 7 8 2" xfId="5634"/>
    <cellStyle name="Normal 171 7 8 2 2" xfId="14115"/>
    <cellStyle name="Normal 171 7 8 2 3" xfId="20629"/>
    <cellStyle name="Normal 171 7 8 2 4" xfId="27018"/>
    <cellStyle name="Normal 171 7 8 3" xfId="10619"/>
    <cellStyle name="Normal 171 7 8 4" xfId="9447"/>
    <cellStyle name="Normal 171 7 8 5" xfId="10252"/>
    <cellStyle name="Normal 171 7 9" xfId="2289"/>
    <cellStyle name="Normal 171 7 9 2" xfId="5856"/>
    <cellStyle name="Normal 171 7 9 2 2" xfId="14337"/>
    <cellStyle name="Normal 171 7 9 2 3" xfId="20851"/>
    <cellStyle name="Normal 171 7 9 2 4" xfId="27240"/>
    <cellStyle name="Normal 171 7 9 3" xfId="10843"/>
    <cellStyle name="Normal 171 7 9 4" xfId="17213"/>
    <cellStyle name="Normal 171 7 9 5" xfId="23688"/>
    <cellStyle name="Normal 171 8" xfId="833"/>
    <cellStyle name="Normal 171 8 10" xfId="1980"/>
    <cellStyle name="Normal 171 8 10 2" xfId="5569"/>
    <cellStyle name="Normal 171 8 10 2 2" xfId="14050"/>
    <cellStyle name="Normal 171 8 10 2 3" xfId="20564"/>
    <cellStyle name="Normal 171 8 10 2 4" xfId="26953"/>
    <cellStyle name="Normal 171 8 10 3" xfId="10549"/>
    <cellStyle name="Normal 171 8 10 4" xfId="9514"/>
    <cellStyle name="Normal 171 8 10 5" xfId="10198"/>
    <cellStyle name="Normal 171 8 11" xfId="2366"/>
    <cellStyle name="Normal 171 8 11 2" xfId="5920"/>
    <cellStyle name="Normal 171 8 11 2 2" xfId="14401"/>
    <cellStyle name="Normal 171 8 11 2 3" xfId="20915"/>
    <cellStyle name="Normal 171 8 11 2 4" xfId="27304"/>
    <cellStyle name="Normal 171 8 11 3" xfId="10912"/>
    <cellStyle name="Normal 171 8 11 4" xfId="17265"/>
    <cellStyle name="Normal 171 8 11 5" xfId="23740"/>
    <cellStyle name="Normal 171 8 12" xfId="2589"/>
    <cellStyle name="Normal 171 8 12 2" xfId="6104"/>
    <cellStyle name="Normal 171 8 12 2 2" xfId="14585"/>
    <cellStyle name="Normal 171 8 12 2 3" xfId="21099"/>
    <cellStyle name="Normal 171 8 12 2 4" xfId="27488"/>
    <cellStyle name="Normal 171 8 12 3" xfId="11109"/>
    <cellStyle name="Normal 171 8 12 4" xfId="17679"/>
    <cellStyle name="Normal 171 8 12 5" xfId="24084"/>
    <cellStyle name="Normal 171 8 13" xfId="2443"/>
    <cellStyle name="Normal 171 8 13 2" xfId="5983"/>
    <cellStyle name="Normal 171 8 13 2 2" xfId="14464"/>
    <cellStyle name="Normal 171 8 13 2 3" xfId="20978"/>
    <cellStyle name="Normal 171 8 13 2 4" xfId="27367"/>
    <cellStyle name="Normal 171 8 13 3" xfId="10981"/>
    <cellStyle name="Normal 171 8 13 4" xfId="17555"/>
    <cellStyle name="Normal 171 8 13 5" xfId="23963"/>
    <cellStyle name="Normal 171 8 14" xfId="2050"/>
    <cellStyle name="Normal 171 8 14 2" xfId="5627"/>
    <cellStyle name="Normal 171 8 14 2 2" xfId="14108"/>
    <cellStyle name="Normal 171 8 14 2 3" xfId="20622"/>
    <cellStyle name="Normal 171 8 14 2 4" xfId="27011"/>
    <cellStyle name="Normal 171 8 14 3" xfId="10611"/>
    <cellStyle name="Normal 171 8 14 4" xfId="9454"/>
    <cellStyle name="Normal 171 8 14 5" xfId="10247"/>
    <cellStyle name="Normal 171 8 15" xfId="2297"/>
    <cellStyle name="Normal 171 8 15 2" xfId="5863"/>
    <cellStyle name="Normal 171 8 15 2 2" xfId="14344"/>
    <cellStyle name="Normal 171 8 15 2 3" xfId="20858"/>
    <cellStyle name="Normal 171 8 15 2 4" xfId="27247"/>
    <cellStyle name="Normal 171 8 15 3" xfId="10850"/>
    <cellStyle name="Normal 171 8 15 4" xfId="17220"/>
    <cellStyle name="Normal 171 8 15 5" xfId="23695"/>
    <cellStyle name="Normal 171 8 16" xfId="2652"/>
    <cellStyle name="Normal 171 8 16 2" xfId="6157"/>
    <cellStyle name="Normal 171 8 16 2 2" xfId="14638"/>
    <cellStyle name="Normal 171 8 16 2 3" xfId="21152"/>
    <cellStyle name="Normal 171 8 16 2 4" xfId="27541"/>
    <cellStyle name="Normal 171 8 16 3" xfId="11165"/>
    <cellStyle name="Normal 171 8 16 4" xfId="17734"/>
    <cellStyle name="Normal 171 8 16 5" xfId="24137"/>
    <cellStyle name="Normal 171 8 17" xfId="1951"/>
    <cellStyle name="Normal 171 8 17 2" xfId="5543"/>
    <cellStyle name="Normal 171 8 17 2 2" xfId="14024"/>
    <cellStyle name="Normal 171 8 17 2 3" xfId="20538"/>
    <cellStyle name="Normal 171 8 17 2 4" xfId="26927"/>
    <cellStyle name="Normal 171 8 17 3" xfId="10521"/>
    <cellStyle name="Normal 171 8 17 4" xfId="9525"/>
    <cellStyle name="Normal 171 8 17 5" xfId="10188"/>
    <cellStyle name="Normal 171 8 18" xfId="2394"/>
    <cellStyle name="Normal 171 8 18 2" xfId="5945"/>
    <cellStyle name="Normal 171 8 18 2 2" xfId="14426"/>
    <cellStyle name="Normal 171 8 18 2 3" xfId="20940"/>
    <cellStyle name="Normal 171 8 18 2 4" xfId="27329"/>
    <cellStyle name="Normal 171 8 18 3" xfId="10939"/>
    <cellStyle name="Normal 171 8 18 4" xfId="17453"/>
    <cellStyle name="Normal 171 8 18 5" xfId="23883"/>
    <cellStyle name="Normal 171 8 19" xfId="5219"/>
    <cellStyle name="Normal 171 8 19 2" xfId="13701"/>
    <cellStyle name="Normal 171 8 19 3" xfId="20219"/>
    <cellStyle name="Normal 171 8 19 4" xfId="26608"/>
    <cellStyle name="Normal 171 8 2" xfId="1823"/>
    <cellStyle name="Normal 171 8 2 2" xfId="5421"/>
    <cellStyle name="Normal 171 8 2 2 2" xfId="13902"/>
    <cellStyle name="Normal 171 8 2 2 3" xfId="20416"/>
    <cellStyle name="Normal 171 8 2 2 4" xfId="26805"/>
    <cellStyle name="Normal 171 8 2 3" xfId="10395"/>
    <cellStyle name="Normal 171 8 2 4" xfId="9603"/>
    <cellStyle name="Normal 171 8 2 5" xfId="11854"/>
    <cellStyle name="Normal 171 8 20" xfId="9850"/>
    <cellStyle name="Normal 171 8 21" xfId="9909"/>
    <cellStyle name="Normal 171 8 22" xfId="10536"/>
    <cellStyle name="Normal 171 8 3" xfId="2569"/>
    <cellStyle name="Normal 171 8 3 2" xfId="6085"/>
    <cellStyle name="Normal 171 8 3 2 2" xfId="14566"/>
    <cellStyle name="Normal 171 8 3 2 3" xfId="21080"/>
    <cellStyle name="Normal 171 8 3 2 4" xfId="27469"/>
    <cellStyle name="Normal 171 8 3 3" xfId="11089"/>
    <cellStyle name="Normal 171 8 3 4" xfId="17659"/>
    <cellStyle name="Normal 171 8 3 5" xfId="24065"/>
    <cellStyle name="Normal 171 8 4" xfId="1987"/>
    <cellStyle name="Normal 171 8 4 2" xfId="5576"/>
    <cellStyle name="Normal 171 8 4 2 2" xfId="14057"/>
    <cellStyle name="Normal 171 8 4 2 3" xfId="20571"/>
    <cellStyle name="Normal 171 8 4 2 4" xfId="26960"/>
    <cellStyle name="Normal 171 8 4 3" xfId="10556"/>
    <cellStyle name="Normal 171 8 4 4" xfId="9507"/>
    <cellStyle name="Normal 171 8 4 5" xfId="10205"/>
    <cellStyle name="Normal 171 8 5" xfId="2359"/>
    <cellStyle name="Normal 171 8 5 2" xfId="5913"/>
    <cellStyle name="Normal 171 8 5 2 2" xfId="14394"/>
    <cellStyle name="Normal 171 8 5 2 3" xfId="20908"/>
    <cellStyle name="Normal 171 8 5 2 4" xfId="27297"/>
    <cellStyle name="Normal 171 8 5 3" xfId="10905"/>
    <cellStyle name="Normal 171 8 5 4" xfId="17258"/>
    <cellStyle name="Normal 171 8 5 5" xfId="23733"/>
    <cellStyle name="Normal 171 8 6" xfId="2597"/>
    <cellStyle name="Normal 171 8 6 2" xfId="6111"/>
    <cellStyle name="Normal 171 8 6 2 2" xfId="14592"/>
    <cellStyle name="Normal 171 8 6 2 3" xfId="21106"/>
    <cellStyle name="Normal 171 8 6 2 4" xfId="27495"/>
    <cellStyle name="Normal 171 8 6 3" xfId="11116"/>
    <cellStyle name="Normal 171 8 6 4" xfId="17686"/>
    <cellStyle name="Normal 171 8 6 5" xfId="24091"/>
    <cellStyle name="Normal 171 8 7" xfId="1978"/>
    <cellStyle name="Normal 171 8 7 2" xfId="5568"/>
    <cellStyle name="Normal 171 8 7 2 2" xfId="14049"/>
    <cellStyle name="Normal 171 8 7 2 3" xfId="20563"/>
    <cellStyle name="Normal 171 8 7 2 4" xfId="26952"/>
    <cellStyle name="Normal 171 8 7 3" xfId="10547"/>
    <cellStyle name="Normal 171 8 7 4" xfId="9516"/>
    <cellStyle name="Normal 171 8 7 5" xfId="10197"/>
    <cellStyle name="Normal 171 8 8" xfId="2368"/>
    <cellStyle name="Normal 171 8 8 2" xfId="5921"/>
    <cellStyle name="Normal 171 8 8 2 2" xfId="14402"/>
    <cellStyle name="Normal 171 8 8 2 3" xfId="20916"/>
    <cellStyle name="Normal 171 8 8 2 4" xfId="27305"/>
    <cellStyle name="Normal 171 8 8 3" xfId="10914"/>
    <cellStyle name="Normal 171 8 8 4" xfId="17267"/>
    <cellStyle name="Normal 171 8 8 5" xfId="23741"/>
    <cellStyle name="Normal 171 8 9" xfId="2587"/>
    <cellStyle name="Normal 171 8 9 2" xfId="6103"/>
    <cellStyle name="Normal 171 8 9 2 2" xfId="14584"/>
    <cellStyle name="Normal 171 8 9 2 3" xfId="21098"/>
    <cellStyle name="Normal 171 8 9 2 4" xfId="27487"/>
    <cellStyle name="Normal 171 8 9 3" xfId="11107"/>
    <cellStyle name="Normal 171 8 9 4" xfId="17677"/>
    <cellStyle name="Normal 171 8 9 5" xfId="24083"/>
    <cellStyle name="Normal 171 9" xfId="834"/>
    <cellStyle name="Normal 171 9 10" xfId="2747"/>
    <cellStyle name="Normal 171 9 10 2" xfId="6248"/>
    <cellStyle name="Normal 171 9 10 2 2" xfId="14729"/>
    <cellStyle name="Normal 171 9 10 2 3" xfId="21243"/>
    <cellStyle name="Normal 171 9 10 2 4" xfId="27632"/>
    <cellStyle name="Normal 171 9 10 3" xfId="11257"/>
    <cellStyle name="Normal 171 9 10 4" xfId="17826"/>
    <cellStyle name="Normal 171 9 10 5" xfId="24228"/>
    <cellStyle name="Normal 171 9 11" xfId="2921"/>
    <cellStyle name="Normal 171 9 11 2" xfId="6415"/>
    <cellStyle name="Normal 171 9 11 2 2" xfId="14896"/>
    <cellStyle name="Normal 171 9 11 2 3" xfId="21410"/>
    <cellStyle name="Normal 171 9 11 2 4" xfId="27799"/>
    <cellStyle name="Normal 171 9 11 3" xfId="11427"/>
    <cellStyle name="Normal 171 9 11 4" xfId="17993"/>
    <cellStyle name="Normal 171 9 11 5" xfId="24395"/>
    <cellStyle name="Normal 171 9 12" xfId="3095"/>
    <cellStyle name="Normal 171 9 12 2" xfId="6582"/>
    <cellStyle name="Normal 171 9 12 2 2" xfId="15063"/>
    <cellStyle name="Normal 171 9 12 2 3" xfId="21577"/>
    <cellStyle name="Normal 171 9 12 2 4" xfId="27966"/>
    <cellStyle name="Normal 171 9 12 3" xfId="11597"/>
    <cellStyle name="Normal 171 9 12 4" xfId="18160"/>
    <cellStyle name="Normal 171 9 12 5" xfId="24562"/>
    <cellStyle name="Normal 171 9 13" xfId="3268"/>
    <cellStyle name="Normal 171 9 13 2" xfId="6749"/>
    <cellStyle name="Normal 171 9 13 2 2" xfId="15230"/>
    <cellStyle name="Normal 171 9 13 2 3" xfId="21744"/>
    <cellStyle name="Normal 171 9 13 2 4" xfId="28133"/>
    <cellStyle name="Normal 171 9 13 3" xfId="11768"/>
    <cellStyle name="Normal 171 9 13 4" xfId="18327"/>
    <cellStyle name="Normal 171 9 13 5" xfId="24729"/>
    <cellStyle name="Normal 171 9 14" xfId="3439"/>
    <cellStyle name="Normal 171 9 14 2" xfId="6914"/>
    <cellStyle name="Normal 171 9 14 2 2" xfId="15395"/>
    <cellStyle name="Normal 171 9 14 2 3" xfId="21909"/>
    <cellStyle name="Normal 171 9 14 2 4" xfId="28298"/>
    <cellStyle name="Normal 171 9 14 3" xfId="11936"/>
    <cellStyle name="Normal 171 9 14 4" xfId="18492"/>
    <cellStyle name="Normal 171 9 14 5" xfId="24894"/>
    <cellStyle name="Normal 171 9 15" xfId="3609"/>
    <cellStyle name="Normal 171 9 15 2" xfId="7078"/>
    <cellStyle name="Normal 171 9 15 2 2" xfId="15559"/>
    <cellStyle name="Normal 171 9 15 2 3" xfId="22073"/>
    <cellStyle name="Normal 171 9 15 2 4" xfId="28462"/>
    <cellStyle name="Normal 171 9 15 3" xfId="12104"/>
    <cellStyle name="Normal 171 9 15 4" xfId="18657"/>
    <cellStyle name="Normal 171 9 15 5" xfId="25058"/>
    <cellStyle name="Normal 171 9 16" xfId="3779"/>
    <cellStyle name="Normal 171 9 16 2" xfId="7242"/>
    <cellStyle name="Normal 171 9 16 2 2" xfId="15723"/>
    <cellStyle name="Normal 171 9 16 2 3" xfId="22237"/>
    <cellStyle name="Normal 171 9 16 2 4" xfId="28626"/>
    <cellStyle name="Normal 171 9 16 3" xfId="12274"/>
    <cellStyle name="Normal 171 9 16 4" xfId="18824"/>
    <cellStyle name="Normal 171 9 16 5" xfId="25222"/>
    <cellStyle name="Normal 171 9 17" xfId="3946"/>
    <cellStyle name="Normal 171 9 17 2" xfId="7404"/>
    <cellStyle name="Normal 171 9 17 2 2" xfId="15885"/>
    <cellStyle name="Normal 171 9 17 2 3" xfId="22399"/>
    <cellStyle name="Normal 171 9 17 2 4" xfId="28788"/>
    <cellStyle name="Normal 171 9 17 3" xfId="12440"/>
    <cellStyle name="Normal 171 9 17 4" xfId="18987"/>
    <cellStyle name="Normal 171 9 17 5" xfId="25384"/>
    <cellStyle name="Normal 171 9 18" xfId="4111"/>
    <cellStyle name="Normal 171 9 18 2" xfId="7564"/>
    <cellStyle name="Normal 171 9 18 2 2" xfId="16045"/>
    <cellStyle name="Normal 171 9 18 2 3" xfId="22559"/>
    <cellStyle name="Normal 171 9 18 2 4" xfId="28948"/>
    <cellStyle name="Normal 171 9 18 3" xfId="12604"/>
    <cellStyle name="Normal 171 9 18 4" xfId="19148"/>
    <cellStyle name="Normal 171 9 18 5" xfId="25544"/>
    <cellStyle name="Normal 171 9 19" xfId="5220"/>
    <cellStyle name="Normal 171 9 19 2" xfId="13702"/>
    <cellStyle name="Normal 171 9 19 3" xfId="20220"/>
    <cellStyle name="Normal 171 9 19 4" xfId="26609"/>
    <cellStyle name="Normal 171 9 2" xfId="1824"/>
    <cellStyle name="Normal 171 9 2 2" xfId="5422"/>
    <cellStyle name="Normal 171 9 2 2 2" xfId="13903"/>
    <cellStyle name="Normal 171 9 2 2 3" xfId="20417"/>
    <cellStyle name="Normal 171 9 2 2 4" xfId="26806"/>
    <cellStyle name="Normal 171 9 2 3" xfId="10396"/>
    <cellStyle name="Normal 171 9 2 4" xfId="9602"/>
    <cellStyle name="Normal 171 9 2 5" xfId="12023"/>
    <cellStyle name="Normal 171 9 20" xfId="9851"/>
    <cellStyle name="Normal 171 9 21" xfId="9908"/>
    <cellStyle name="Normal 171 9 22" xfId="10925"/>
    <cellStyle name="Normal 171 9 3" xfId="2570"/>
    <cellStyle name="Normal 171 9 3 2" xfId="6086"/>
    <cellStyle name="Normal 171 9 3 2 2" xfId="14567"/>
    <cellStyle name="Normal 171 9 3 2 3" xfId="21081"/>
    <cellStyle name="Normal 171 9 3 2 4" xfId="27470"/>
    <cellStyle name="Normal 171 9 3 3" xfId="11090"/>
    <cellStyle name="Normal 171 9 3 4" xfId="17660"/>
    <cellStyle name="Normal 171 9 3 5" xfId="24066"/>
    <cellStyle name="Normal 171 9 4" xfId="2455"/>
    <cellStyle name="Normal 171 9 4 2" xfId="5994"/>
    <cellStyle name="Normal 171 9 4 2 2" xfId="14475"/>
    <cellStyle name="Normal 171 9 4 2 3" xfId="20989"/>
    <cellStyle name="Normal 171 9 4 2 4" xfId="27378"/>
    <cellStyle name="Normal 171 9 4 3" xfId="10993"/>
    <cellStyle name="Normal 171 9 4 4" xfId="17567"/>
    <cellStyle name="Normal 171 9 4 5" xfId="23974"/>
    <cellStyle name="Normal 171 9 5" xfId="2517"/>
    <cellStyle name="Normal 171 9 5 2" xfId="6041"/>
    <cellStyle name="Normal 171 9 5 2 2" xfId="14522"/>
    <cellStyle name="Normal 171 9 5 2 3" xfId="21036"/>
    <cellStyle name="Normal 171 9 5 2 4" xfId="27425"/>
    <cellStyle name="Normal 171 9 5 3" xfId="11042"/>
    <cellStyle name="Normal 171 9 5 4" xfId="17614"/>
    <cellStyle name="Normal 171 9 5 5" xfId="24021"/>
    <cellStyle name="Normal 171 9 6" xfId="2011"/>
    <cellStyle name="Normal 171 9 6 2" xfId="5595"/>
    <cellStyle name="Normal 171 9 6 2 2" xfId="14076"/>
    <cellStyle name="Normal 171 9 6 2 3" xfId="20590"/>
    <cellStyle name="Normal 171 9 6 2 4" xfId="26979"/>
    <cellStyle name="Normal 171 9 6 3" xfId="10577"/>
    <cellStyle name="Normal 171 9 6 4" xfId="9486"/>
    <cellStyle name="Normal 171 9 6 5" xfId="10225"/>
    <cellStyle name="Normal 171 9 7" xfId="2335"/>
    <cellStyle name="Normal 171 9 7 2" xfId="5894"/>
    <cellStyle name="Normal 171 9 7 2 2" xfId="14375"/>
    <cellStyle name="Normal 171 9 7 2 3" xfId="20889"/>
    <cellStyle name="Normal 171 9 7 2 4" xfId="27278"/>
    <cellStyle name="Normal 171 9 7 3" xfId="10883"/>
    <cellStyle name="Normal 171 9 7 4" xfId="17244"/>
    <cellStyle name="Normal 171 9 7 5" xfId="23719"/>
    <cellStyle name="Normal 171 9 8" xfId="2147"/>
    <cellStyle name="Normal 171 9 8 2" xfId="5718"/>
    <cellStyle name="Normal 171 9 8 2 2" xfId="14199"/>
    <cellStyle name="Normal 171 9 8 2 3" xfId="20713"/>
    <cellStyle name="Normal 171 9 8 2 4" xfId="27102"/>
    <cellStyle name="Normal 171 9 8 3" xfId="10704"/>
    <cellStyle name="Normal 171 9 8 4" xfId="9371"/>
    <cellStyle name="Normal 171 9 8 5" xfId="17044"/>
    <cellStyle name="Normal 171 9 9" xfId="2199"/>
    <cellStyle name="Normal 171 9 9 2" xfId="5769"/>
    <cellStyle name="Normal 171 9 9 2 2" xfId="14250"/>
    <cellStyle name="Normal 171 9 9 2 3" xfId="20764"/>
    <cellStyle name="Normal 171 9 9 2 4" xfId="27153"/>
    <cellStyle name="Normal 171 9 9 3" xfId="10755"/>
    <cellStyle name="Normal 171 9 9 4" xfId="17146"/>
    <cellStyle name="Normal 171 9 9 5" xfId="23622"/>
    <cellStyle name="Normal 172" xfId="835"/>
    <cellStyle name="Normal 172 2" xfId="836"/>
    <cellStyle name="Normal 172 2 10" xfId="3821"/>
    <cellStyle name="Normal 172 2 10 2" xfId="7282"/>
    <cellStyle name="Normal 172 2 10 2 2" xfId="15763"/>
    <cellStyle name="Normal 172 2 10 2 3" xfId="22277"/>
    <cellStyle name="Normal 172 2 10 2 4" xfId="28666"/>
    <cellStyle name="Normal 172 2 10 3" xfId="12315"/>
    <cellStyle name="Normal 172 2 10 4" xfId="18865"/>
    <cellStyle name="Normal 172 2 10 5" xfId="25262"/>
    <cellStyle name="Normal 172 2 11" xfId="3988"/>
    <cellStyle name="Normal 172 2 11 2" xfId="7444"/>
    <cellStyle name="Normal 172 2 11 2 2" xfId="15925"/>
    <cellStyle name="Normal 172 2 11 2 3" xfId="22439"/>
    <cellStyle name="Normal 172 2 11 2 4" xfId="28828"/>
    <cellStyle name="Normal 172 2 11 3" xfId="12481"/>
    <cellStyle name="Normal 172 2 11 4" xfId="19028"/>
    <cellStyle name="Normal 172 2 11 5" xfId="25424"/>
    <cellStyle name="Normal 172 2 12" xfId="4153"/>
    <cellStyle name="Normal 172 2 12 2" xfId="7604"/>
    <cellStyle name="Normal 172 2 12 2 2" xfId="16085"/>
    <cellStyle name="Normal 172 2 12 2 3" xfId="22599"/>
    <cellStyle name="Normal 172 2 12 2 4" xfId="28988"/>
    <cellStyle name="Normal 172 2 12 3" xfId="12645"/>
    <cellStyle name="Normal 172 2 12 4" xfId="19189"/>
    <cellStyle name="Normal 172 2 12 5" xfId="25584"/>
    <cellStyle name="Normal 172 2 13" xfId="4315"/>
    <cellStyle name="Normal 172 2 13 2" xfId="7761"/>
    <cellStyle name="Normal 172 2 13 2 2" xfId="16242"/>
    <cellStyle name="Normal 172 2 13 2 3" xfId="22756"/>
    <cellStyle name="Normal 172 2 13 2 4" xfId="29145"/>
    <cellStyle name="Normal 172 2 13 3" xfId="12806"/>
    <cellStyle name="Normal 172 2 13 4" xfId="19347"/>
    <cellStyle name="Normal 172 2 13 5" xfId="25741"/>
    <cellStyle name="Normal 172 2 14" xfId="4475"/>
    <cellStyle name="Normal 172 2 14 2" xfId="7916"/>
    <cellStyle name="Normal 172 2 14 2 2" xfId="16397"/>
    <cellStyle name="Normal 172 2 14 2 3" xfId="22911"/>
    <cellStyle name="Normal 172 2 14 2 4" xfId="29300"/>
    <cellStyle name="Normal 172 2 14 3" xfId="12966"/>
    <cellStyle name="Normal 172 2 14 4" xfId="19503"/>
    <cellStyle name="Normal 172 2 14 5" xfId="25896"/>
    <cellStyle name="Normal 172 2 15" xfId="4635"/>
    <cellStyle name="Normal 172 2 15 2" xfId="8071"/>
    <cellStyle name="Normal 172 2 15 2 2" xfId="16552"/>
    <cellStyle name="Normal 172 2 15 2 3" xfId="23066"/>
    <cellStyle name="Normal 172 2 15 2 4" xfId="29455"/>
    <cellStyle name="Normal 172 2 15 3" xfId="13125"/>
    <cellStyle name="Normal 172 2 15 4" xfId="19659"/>
    <cellStyle name="Normal 172 2 15 5" xfId="26051"/>
    <cellStyle name="Normal 172 2 16" xfId="4794"/>
    <cellStyle name="Normal 172 2 16 2" xfId="8225"/>
    <cellStyle name="Normal 172 2 16 2 2" xfId="16706"/>
    <cellStyle name="Normal 172 2 16 2 3" xfId="23220"/>
    <cellStyle name="Normal 172 2 16 2 4" xfId="29609"/>
    <cellStyle name="Normal 172 2 16 3" xfId="13283"/>
    <cellStyle name="Normal 172 2 16 4" xfId="19814"/>
    <cellStyle name="Normal 172 2 16 5" xfId="26205"/>
    <cellStyle name="Normal 172 2 17" xfId="4952"/>
    <cellStyle name="Normal 172 2 17 2" xfId="8378"/>
    <cellStyle name="Normal 172 2 17 2 2" xfId="16859"/>
    <cellStyle name="Normal 172 2 17 2 3" xfId="23373"/>
    <cellStyle name="Normal 172 2 17 2 4" xfId="29762"/>
    <cellStyle name="Normal 172 2 17 3" xfId="13440"/>
    <cellStyle name="Normal 172 2 17 4" xfId="19968"/>
    <cellStyle name="Normal 172 2 17 5" xfId="26358"/>
    <cellStyle name="Normal 172 2 18" xfId="5081"/>
    <cellStyle name="Normal 172 2 18 2" xfId="8502"/>
    <cellStyle name="Normal 172 2 18 2 2" xfId="16983"/>
    <cellStyle name="Normal 172 2 18 2 3" xfId="23497"/>
    <cellStyle name="Normal 172 2 18 2 4" xfId="29886"/>
    <cellStyle name="Normal 172 2 18 3" xfId="13567"/>
    <cellStyle name="Normal 172 2 18 4" xfId="20092"/>
    <cellStyle name="Normal 172 2 18 5" xfId="26482"/>
    <cellStyle name="Normal 172 2 19" xfId="5221"/>
    <cellStyle name="Normal 172 2 19 2" xfId="13703"/>
    <cellStyle name="Normal 172 2 19 3" xfId="20221"/>
    <cellStyle name="Normal 172 2 19 4" xfId="26610"/>
    <cellStyle name="Normal 172 2 2" xfId="1825"/>
    <cellStyle name="Normal 172 2 2 2" xfId="5423"/>
    <cellStyle name="Normal 172 2 2 2 2" xfId="13904"/>
    <cellStyle name="Normal 172 2 2 2 3" xfId="20418"/>
    <cellStyle name="Normal 172 2 2 2 4" xfId="26807"/>
    <cellStyle name="Normal 172 2 2 3" xfId="10397"/>
    <cellStyle name="Normal 172 2 2 4" xfId="9601"/>
    <cellStyle name="Normal 172 2 2 5" xfId="12192"/>
    <cellStyle name="Normal 172 2 20" xfId="9853"/>
    <cellStyle name="Normal 172 2 21" xfId="9906"/>
    <cellStyle name="Normal 172 2 22" xfId="10998"/>
    <cellStyle name="Normal 172 2 3" xfId="2141"/>
    <cellStyle name="Normal 172 2 3 2" xfId="5714"/>
    <cellStyle name="Normal 172 2 3 2 2" xfId="14195"/>
    <cellStyle name="Normal 172 2 3 2 3" xfId="20709"/>
    <cellStyle name="Normal 172 2 3 2 4" xfId="27098"/>
    <cellStyle name="Normal 172 2 3 3" xfId="10700"/>
    <cellStyle name="Normal 172 2 3 4" xfId="17030"/>
    <cellStyle name="Normal 172 2 3 5" xfId="23543"/>
    <cellStyle name="Normal 172 2 4" xfId="2791"/>
    <cellStyle name="Normal 172 2 4 2" xfId="6289"/>
    <cellStyle name="Normal 172 2 4 2 2" xfId="14770"/>
    <cellStyle name="Normal 172 2 4 2 3" xfId="21284"/>
    <cellStyle name="Normal 172 2 4 2 4" xfId="27673"/>
    <cellStyle name="Normal 172 2 4 3" xfId="11298"/>
    <cellStyle name="Normal 172 2 4 4" xfId="17867"/>
    <cellStyle name="Normal 172 2 4 5" xfId="24269"/>
    <cellStyle name="Normal 172 2 5" xfId="2965"/>
    <cellStyle name="Normal 172 2 5 2" xfId="6456"/>
    <cellStyle name="Normal 172 2 5 2 2" xfId="14937"/>
    <cellStyle name="Normal 172 2 5 2 3" xfId="21451"/>
    <cellStyle name="Normal 172 2 5 2 4" xfId="27840"/>
    <cellStyle name="Normal 172 2 5 3" xfId="11468"/>
    <cellStyle name="Normal 172 2 5 4" xfId="18034"/>
    <cellStyle name="Normal 172 2 5 5" xfId="24436"/>
    <cellStyle name="Normal 172 2 6" xfId="3138"/>
    <cellStyle name="Normal 172 2 6 2" xfId="6623"/>
    <cellStyle name="Normal 172 2 6 2 2" xfId="15104"/>
    <cellStyle name="Normal 172 2 6 2 3" xfId="21618"/>
    <cellStyle name="Normal 172 2 6 2 4" xfId="28007"/>
    <cellStyle name="Normal 172 2 6 3" xfId="11639"/>
    <cellStyle name="Normal 172 2 6 4" xfId="18201"/>
    <cellStyle name="Normal 172 2 6 5" xfId="24603"/>
    <cellStyle name="Normal 172 2 7" xfId="3311"/>
    <cellStyle name="Normal 172 2 7 2" xfId="6790"/>
    <cellStyle name="Normal 172 2 7 2 2" xfId="15271"/>
    <cellStyle name="Normal 172 2 7 2 3" xfId="21785"/>
    <cellStyle name="Normal 172 2 7 2 4" xfId="28174"/>
    <cellStyle name="Normal 172 2 7 3" xfId="11809"/>
    <cellStyle name="Normal 172 2 7 4" xfId="18368"/>
    <cellStyle name="Normal 172 2 7 5" xfId="24770"/>
    <cellStyle name="Normal 172 2 8" xfId="3482"/>
    <cellStyle name="Normal 172 2 8 2" xfId="6955"/>
    <cellStyle name="Normal 172 2 8 2 2" xfId="15436"/>
    <cellStyle name="Normal 172 2 8 2 3" xfId="21950"/>
    <cellStyle name="Normal 172 2 8 2 4" xfId="28339"/>
    <cellStyle name="Normal 172 2 8 3" xfId="11978"/>
    <cellStyle name="Normal 172 2 8 4" xfId="18534"/>
    <cellStyle name="Normal 172 2 8 5" xfId="24935"/>
    <cellStyle name="Normal 172 2 9" xfId="3652"/>
    <cellStyle name="Normal 172 2 9 2" xfId="7119"/>
    <cellStyle name="Normal 172 2 9 2 2" xfId="15600"/>
    <cellStyle name="Normal 172 2 9 2 3" xfId="22114"/>
    <cellStyle name="Normal 172 2 9 2 4" xfId="28503"/>
    <cellStyle name="Normal 172 2 9 3" xfId="12147"/>
    <cellStyle name="Normal 172 2 9 4" xfId="18700"/>
    <cellStyle name="Normal 172 2 9 5" xfId="25099"/>
    <cellStyle name="Normal 172 3" xfId="837"/>
    <cellStyle name="Normal 172 4" xfId="8925"/>
    <cellStyle name="Normal 173" xfId="838"/>
    <cellStyle name="Normal 173 10" xfId="3820"/>
    <cellStyle name="Normal 173 10 2" xfId="7281"/>
    <cellStyle name="Normal 173 10 2 2" xfId="15762"/>
    <cellStyle name="Normal 173 10 2 3" xfId="22276"/>
    <cellStyle name="Normal 173 10 2 4" xfId="28665"/>
    <cellStyle name="Normal 173 10 3" xfId="12314"/>
    <cellStyle name="Normal 173 10 4" xfId="18864"/>
    <cellStyle name="Normal 173 10 5" xfId="25261"/>
    <cellStyle name="Normal 173 11" xfId="3987"/>
    <cellStyle name="Normal 173 11 2" xfId="7443"/>
    <cellStyle name="Normal 173 11 2 2" xfId="15924"/>
    <cellStyle name="Normal 173 11 2 3" xfId="22438"/>
    <cellStyle name="Normal 173 11 2 4" xfId="28827"/>
    <cellStyle name="Normal 173 11 3" xfId="12480"/>
    <cellStyle name="Normal 173 11 4" xfId="19027"/>
    <cellStyle name="Normal 173 11 5" xfId="25423"/>
    <cellStyle name="Normal 173 12" xfId="4152"/>
    <cellStyle name="Normal 173 12 2" xfId="7603"/>
    <cellStyle name="Normal 173 12 2 2" xfId="16084"/>
    <cellStyle name="Normal 173 12 2 3" xfId="22598"/>
    <cellStyle name="Normal 173 12 2 4" xfId="28987"/>
    <cellStyle name="Normal 173 12 3" xfId="12644"/>
    <cellStyle name="Normal 173 12 4" xfId="19188"/>
    <cellStyle name="Normal 173 12 5" xfId="25583"/>
    <cellStyle name="Normal 173 13" xfId="4314"/>
    <cellStyle name="Normal 173 13 2" xfId="7760"/>
    <cellStyle name="Normal 173 13 2 2" xfId="16241"/>
    <cellStyle name="Normal 173 13 2 3" xfId="22755"/>
    <cellStyle name="Normal 173 13 2 4" xfId="29144"/>
    <cellStyle name="Normal 173 13 3" xfId="12805"/>
    <cellStyle name="Normal 173 13 4" xfId="19346"/>
    <cellStyle name="Normal 173 13 5" xfId="25740"/>
    <cellStyle name="Normal 173 14" xfId="4474"/>
    <cellStyle name="Normal 173 14 2" xfId="7915"/>
    <cellStyle name="Normal 173 14 2 2" xfId="16396"/>
    <cellStyle name="Normal 173 14 2 3" xfId="22910"/>
    <cellStyle name="Normal 173 14 2 4" xfId="29299"/>
    <cellStyle name="Normal 173 14 3" xfId="12965"/>
    <cellStyle name="Normal 173 14 4" xfId="19502"/>
    <cellStyle name="Normal 173 14 5" xfId="25895"/>
    <cellStyle name="Normal 173 15" xfId="4634"/>
    <cellStyle name="Normal 173 15 2" xfId="8070"/>
    <cellStyle name="Normal 173 15 2 2" xfId="16551"/>
    <cellStyle name="Normal 173 15 2 3" xfId="23065"/>
    <cellStyle name="Normal 173 15 2 4" xfId="29454"/>
    <cellStyle name="Normal 173 15 3" xfId="13124"/>
    <cellStyle name="Normal 173 15 4" xfId="19658"/>
    <cellStyle name="Normal 173 15 5" xfId="26050"/>
    <cellStyle name="Normal 173 16" xfId="4793"/>
    <cellStyle name="Normal 173 16 2" xfId="8224"/>
    <cellStyle name="Normal 173 16 2 2" xfId="16705"/>
    <cellStyle name="Normal 173 16 2 3" xfId="23219"/>
    <cellStyle name="Normal 173 16 2 4" xfId="29608"/>
    <cellStyle name="Normal 173 16 3" xfId="13282"/>
    <cellStyle name="Normal 173 16 4" xfId="19813"/>
    <cellStyle name="Normal 173 16 5" xfId="26204"/>
    <cellStyle name="Normal 173 17" xfId="4951"/>
    <cellStyle name="Normal 173 17 2" xfId="8377"/>
    <cellStyle name="Normal 173 17 2 2" xfId="16858"/>
    <cellStyle name="Normal 173 17 2 3" xfId="23372"/>
    <cellStyle name="Normal 173 17 2 4" xfId="29761"/>
    <cellStyle name="Normal 173 17 3" xfId="13439"/>
    <cellStyle name="Normal 173 17 4" xfId="19967"/>
    <cellStyle name="Normal 173 17 5" xfId="26357"/>
    <cellStyle name="Normal 173 18" xfId="5080"/>
    <cellStyle name="Normal 173 18 2" xfId="8501"/>
    <cellStyle name="Normal 173 18 2 2" xfId="16982"/>
    <cellStyle name="Normal 173 18 2 3" xfId="23496"/>
    <cellStyle name="Normal 173 18 2 4" xfId="29885"/>
    <cellStyle name="Normal 173 18 3" xfId="13566"/>
    <cellStyle name="Normal 173 18 4" xfId="20091"/>
    <cellStyle name="Normal 173 18 5" xfId="26481"/>
    <cellStyle name="Normal 173 19" xfId="5222"/>
    <cellStyle name="Normal 173 19 2" xfId="13704"/>
    <cellStyle name="Normal 173 19 3" xfId="20222"/>
    <cellStyle name="Normal 173 19 4" xfId="26611"/>
    <cellStyle name="Normal 173 2" xfId="1826"/>
    <cellStyle name="Normal 173 2 2" xfId="5424"/>
    <cellStyle name="Normal 173 2 2 2" xfId="13905"/>
    <cellStyle name="Normal 173 2 2 3" xfId="20419"/>
    <cellStyle name="Normal 173 2 2 4" xfId="26808"/>
    <cellStyle name="Normal 173 2 3" xfId="10398"/>
    <cellStyle name="Normal 173 2 4" xfId="9600"/>
    <cellStyle name="Normal 173 2 5" xfId="12360"/>
    <cellStyle name="Normal 173 20" xfId="9854"/>
    <cellStyle name="Normal 173 21" xfId="9905"/>
    <cellStyle name="Normal 173 22" xfId="10861"/>
    <cellStyle name="Normal 173 3" xfId="2142"/>
    <cellStyle name="Normal 173 3 2" xfId="5715"/>
    <cellStyle name="Normal 173 3 2 2" xfId="14196"/>
    <cellStyle name="Normal 173 3 2 3" xfId="20710"/>
    <cellStyle name="Normal 173 3 2 4" xfId="27099"/>
    <cellStyle name="Normal 173 3 3" xfId="10701"/>
    <cellStyle name="Normal 173 3 4" xfId="17462"/>
    <cellStyle name="Normal 173 3 5" xfId="23889"/>
    <cellStyle name="Normal 173 4" xfId="2790"/>
    <cellStyle name="Normal 173 4 2" xfId="6288"/>
    <cellStyle name="Normal 173 4 2 2" xfId="14769"/>
    <cellStyle name="Normal 173 4 2 3" xfId="21283"/>
    <cellStyle name="Normal 173 4 2 4" xfId="27672"/>
    <cellStyle name="Normal 173 4 3" xfId="11297"/>
    <cellStyle name="Normal 173 4 4" xfId="17866"/>
    <cellStyle name="Normal 173 4 5" xfId="24268"/>
    <cellStyle name="Normal 173 5" xfId="2964"/>
    <cellStyle name="Normal 173 5 2" xfId="6455"/>
    <cellStyle name="Normal 173 5 2 2" xfId="14936"/>
    <cellStyle name="Normal 173 5 2 3" xfId="21450"/>
    <cellStyle name="Normal 173 5 2 4" xfId="27839"/>
    <cellStyle name="Normal 173 5 3" xfId="11467"/>
    <cellStyle name="Normal 173 5 4" xfId="18033"/>
    <cellStyle name="Normal 173 5 5" xfId="24435"/>
    <cellStyle name="Normal 173 6" xfId="3137"/>
    <cellStyle name="Normal 173 6 2" xfId="6622"/>
    <cellStyle name="Normal 173 6 2 2" xfId="15103"/>
    <cellStyle name="Normal 173 6 2 3" xfId="21617"/>
    <cellStyle name="Normal 173 6 2 4" xfId="28006"/>
    <cellStyle name="Normal 173 6 3" xfId="11638"/>
    <cellStyle name="Normal 173 6 4" xfId="18200"/>
    <cellStyle name="Normal 173 6 5" xfId="24602"/>
    <cellStyle name="Normal 173 7" xfId="3310"/>
    <cellStyle name="Normal 173 7 2" xfId="6789"/>
    <cellStyle name="Normal 173 7 2 2" xfId="15270"/>
    <cellStyle name="Normal 173 7 2 3" xfId="21784"/>
    <cellStyle name="Normal 173 7 2 4" xfId="28173"/>
    <cellStyle name="Normal 173 7 3" xfId="11808"/>
    <cellStyle name="Normal 173 7 4" xfId="18367"/>
    <cellStyle name="Normal 173 7 5" xfId="24769"/>
    <cellStyle name="Normal 173 8" xfId="3481"/>
    <cellStyle name="Normal 173 8 2" xfId="6954"/>
    <cellStyle name="Normal 173 8 2 2" xfId="15435"/>
    <cellStyle name="Normal 173 8 2 3" xfId="21949"/>
    <cellStyle name="Normal 173 8 2 4" xfId="28338"/>
    <cellStyle name="Normal 173 8 3" xfId="11977"/>
    <cellStyle name="Normal 173 8 4" xfId="18533"/>
    <cellStyle name="Normal 173 8 5" xfId="24934"/>
    <cellStyle name="Normal 173 9" xfId="3651"/>
    <cellStyle name="Normal 173 9 2" xfId="7118"/>
    <cellStyle name="Normal 173 9 2 2" xfId="15599"/>
    <cellStyle name="Normal 173 9 2 3" xfId="22113"/>
    <cellStyle name="Normal 173 9 2 4" xfId="28502"/>
    <cellStyle name="Normal 173 9 3" xfId="12146"/>
    <cellStyle name="Normal 173 9 4" xfId="18699"/>
    <cellStyle name="Normal 173 9 5" xfId="25098"/>
    <cellStyle name="Normal 174" xfId="9277"/>
    <cellStyle name="Normal 174 10" xfId="17520"/>
    <cellStyle name="Normal 174 11" xfId="23935"/>
    <cellStyle name="Normal 174 12" xfId="29995"/>
    <cellStyle name="Normal 174 2" xfId="839"/>
    <cellStyle name="Normal 174 2 10" xfId="2658"/>
    <cellStyle name="Normal 174 2 10 2" xfId="6163"/>
    <cellStyle name="Normal 174 2 10 2 2" xfId="14644"/>
    <cellStyle name="Normal 174 2 10 2 3" xfId="21158"/>
    <cellStyle name="Normal 174 2 10 2 4" xfId="27547"/>
    <cellStyle name="Normal 174 2 10 3" xfId="11171"/>
    <cellStyle name="Normal 174 2 10 4" xfId="17740"/>
    <cellStyle name="Normal 174 2 10 5" xfId="24143"/>
    <cellStyle name="Normal 174 2 11" xfId="2407"/>
    <cellStyle name="Normal 174 2 11 2" xfId="5955"/>
    <cellStyle name="Normal 174 2 11 2 2" xfId="14436"/>
    <cellStyle name="Normal 174 2 11 2 3" xfId="20950"/>
    <cellStyle name="Normal 174 2 11 2 4" xfId="27339"/>
    <cellStyle name="Normal 174 2 11 3" xfId="10951"/>
    <cellStyle name="Normal 174 2 11 4" xfId="17394"/>
    <cellStyle name="Normal 174 2 11 5" xfId="23833"/>
    <cellStyle name="Normal 174 2 12" xfId="2529"/>
    <cellStyle name="Normal 174 2 12 2" xfId="6049"/>
    <cellStyle name="Normal 174 2 12 2 2" xfId="14530"/>
    <cellStyle name="Normal 174 2 12 2 3" xfId="21044"/>
    <cellStyle name="Normal 174 2 12 2 4" xfId="27433"/>
    <cellStyle name="Normal 174 2 12 3" xfId="11051"/>
    <cellStyle name="Normal 174 2 12 4" xfId="17623"/>
    <cellStyle name="Normal 174 2 12 5" xfId="24029"/>
    <cellStyle name="Normal 174 2 13" xfId="2478"/>
    <cellStyle name="Normal 174 2 13 2" xfId="6014"/>
    <cellStyle name="Normal 174 2 13 2 2" xfId="14495"/>
    <cellStyle name="Normal 174 2 13 2 3" xfId="21009"/>
    <cellStyle name="Normal 174 2 13 2 4" xfId="27398"/>
    <cellStyle name="Normal 174 2 13 3" xfId="11015"/>
    <cellStyle name="Normal 174 2 13 4" xfId="17587"/>
    <cellStyle name="Normal 174 2 13 5" xfId="23994"/>
    <cellStyle name="Normal 174 2 14" xfId="2029"/>
    <cellStyle name="Normal 174 2 14 2" xfId="5609"/>
    <cellStyle name="Normal 174 2 14 2 2" xfId="14090"/>
    <cellStyle name="Normal 174 2 14 2 3" xfId="20604"/>
    <cellStyle name="Normal 174 2 14 2 4" xfId="26993"/>
    <cellStyle name="Normal 174 2 14 3" xfId="10591"/>
    <cellStyle name="Normal 174 2 14 4" xfId="9472"/>
    <cellStyle name="Normal 174 2 14 5" xfId="17352"/>
    <cellStyle name="Normal 174 2 15" xfId="2317"/>
    <cellStyle name="Normal 174 2 15 2" xfId="5880"/>
    <cellStyle name="Normal 174 2 15 2 2" xfId="14361"/>
    <cellStyle name="Normal 174 2 15 2 3" xfId="20875"/>
    <cellStyle name="Normal 174 2 15 2 4" xfId="27264"/>
    <cellStyle name="Normal 174 2 15 3" xfId="10869"/>
    <cellStyle name="Normal 174 2 15 4" xfId="17235"/>
    <cellStyle name="Normal 174 2 15 5" xfId="23710"/>
    <cellStyle name="Normal 174 2 16" xfId="2633"/>
    <cellStyle name="Normal 174 2 16 2" xfId="6140"/>
    <cellStyle name="Normal 174 2 16 2 2" xfId="14621"/>
    <cellStyle name="Normal 174 2 16 2 3" xfId="21135"/>
    <cellStyle name="Normal 174 2 16 2 4" xfId="27524"/>
    <cellStyle name="Normal 174 2 16 3" xfId="11147"/>
    <cellStyle name="Normal 174 2 16 4" xfId="17716"/>
    <cellStyle name="Normal 174 2 16 5" xfId="24120"/>
    <cellStyle name="Normal 174 2 17" xfId="1958"/>
    <cellStyle name="Normal 174 2 17 2" xfId="5550"/>
    <cellStyle name="Normal 174 2 17 2 2" xfId="14031"/>
    <cellStyle name="Normal 174 2 17 2 3" xfId="20545"/>
    <cellStyle name="Normal 174 2 17 2 4" xfId="26934"/>
    <cellStyle name="Normal 174 2 17 3" xfId="10528"/>
    <cellStyle name="Normal 174 2 17 4" xfId="10968"/>
    <cellStyle name="Normal 174 2 17 5" xfId="17288"/>
    <cellStyle name="Normal 174 2 18" xfId="2387"/>
    <cellStyle name="Normal 174 2 18 2" xfId="5938"/>
    <cellStyle name="Normal 174 2 18 2 2" xfId="14419"/>
    <cellStyle name="Normal 174 2 18 2 3" xfId="20933"/>
    <cellStyle name="Normal 174 2 18 2 4" xfId="27322"/>
    <cellStyle name="Normal 174 2 18 3" xfId="10932"/>
    <cellStyle name="Normal 174 2 18 4" xfId="17311"/>
    <cellStyle name="Normal 174 2 18 5" xfId="23783"/>
    <cellStyle name="Normal 174 2 19" xfId="5223"/>
    <cellStyle name="Normal 174 2 19 2" xfId="13705"/>
    <cellStyle name="Normal 174 2 19 3" xfId="20223"/>
    <cellStyle name="Normal 174 2 19 4" xfId="26612"/>
    <cellStyle name="Normal 174 2 2" xfId="1827"/>
    <cellStyle name="Normal 174 2 2 2" xfId="5425"/>
    <cellStyle name="Normal 174 2 2 2 2" xfId="13906"/>
    <cellStyle name="Normal 174 2 2 2 3" xfId="20420"/>
    <cellStyle name="Normal 174 2 2 2 4" xfId="26809"/>
    <cellStyle name="Normal 174 2 2 3" xfId="10399"/>
    <cellStyle name="Normal 174 2 2 4" xfId="9599"/>
    <cellStyle name="Normal 174 2 2 5" xfId="12526"/>
    <cellStyle name="Normal 174 2 20" xfId="9855"/>
    <cellStyle name="Normal 174 2 21" xfId="9904"/>
    <cellStyle name="Normal 174 2 22" xfId="13714"/>
    <cellStyle name="Normal 174 2 3" xfId="2572"/>
    <cellStyle name="Normal 174 2 3 2" xfId="6088"/>
    <cellStyle name="Normal 174 2 3 2 2" xfId="14569"/>
    <cellStyle name="Normal 174 2 3 2 3" xfId="21083"/>
    <cellStyle name="Normal 174 2 3 2 4" xfId="27472"/>
    <cellStyle name="Normal 174 2 3 3" xfId="11092"/>
    <cellStyle name="Normal 174 2 3 4" xfId="17662"/>
    <cellStyle name="Normal 174 2 3 5" xfId="24068"/>
    <cellStyle name="Normal 174 2 4" xfId="1986"/>
    <cellStyle name="Normal 174 2 4 2" xfId="5575"/>
    <cellStyle name="Normal 174 2 4 2 2" xfId="14056"/>
    <cellStyle name="Normal 174 2 4 2 3" xfId="20570"/>
    <cellStyle name="Normal 174 2 4 2 4" xfId="26959"/>
    <cellStyle name="Normal 174 2 4 3" xfId="10555"/>
    <cellStyle name="Normal 174 2 4 4" xfId="9508"/>
    <cellStyle name="Normal 174 2 4 5" xfId="10204"/>
    <cellStyle name="Normal 174 2 5" xfId="2360"/>
    <cellStyle name="Normal 174 2 5 2" xfId="5914"/>
    <cellStyle name="Normal 174 2 5 2 2" xfId="14395"/>
    <cellStyle name="Normal 174 2 5 2 3" xfId="20909"/>
    <cellStyle name="Normal 174 2 5 2 4" xfId="27298"/>
    <cellStyle name="Normal 174 2 5 3" xfId="10906"/>
    <cellStyle name="Normal 174 2 5 4" xfId="17259"/>
    <cellStyle name="Normal 174 2 5 5" xfId="23734"/>
    <cellStyle name="Normal 174 2 6" xfId="2595"/>
    <cellStyle name="Normal 174 2 6 2" xfId="6110"/>
    <cellStyle name="Normal 174 2 6 2 2" xfId="14591"/>
    <cellStyle name="Normal 174 2 6 2 3" xfId="21105"/>
    <cellStyle name="Normal 174 2 6 2 4" xfId="27494"/>
    <cellStyle name="Normal 174 2 6 3" xfId="11115"/>
    <cellStyle name="Normal 174 2 6 4" xfId="17685"/>
    <cellStyle name="Normal 174 2 6 5" xfId="24090"/>
    <cellStyle name="Normal 174 2 7" xfId="2437"/>
    <cellStyle name="Normal 174 2 7 2" xfId="5977"/>
    <cellStyle name="Normal 174 2 7 2 2" xfId="14458"/>
    <cellStyle name="Normal 174 2 7 2 3" xfId="20972"/>
    <cellStyle name="Normal 174 2 7 2 4" xfId="27361"/>
    <cellStyle name="Normal 174 2 7 3" xfId="10975"/>
    <cellStyle name="Normal 174 2 7 4" xfId="17295"/>
    <cellStyle name="Normal 174 2 7 5" xfId="23768"/>
    <cellStyle name="Normal 174 2 8" xfId="2056"/>
    <cellStyle name="Normal 174 2 8 2" xfId="5633"/>
    <cellStyle name="Normal 174 2 8 2 2" xfId="14114"/>
    <cellStyle name="Normal 174 2 8 2 3" xfId="20628"/>
    <cellStyle name="Normal 174 2 8 2 4" xfId="27017"/>
    <cellStyle name="Normal 174 2 8 3" xfId="10617"/>
    <cellStyle name="Normal 174 2 8 4" xfId="9448"/>
    <cellStyle name="Normal 174 2 8 5" xfId="10251"/>
    <cellStyle name="Normal 174 2 9" xfId="2291"/>
    <cellStyle name="Normal 174 2 9 2" xfId="5857"/>
    <cellStyle name="Normal 174 2 9 2 2" xfId="14338"/>
    <cellStyle name="Normal 174 2 9 2 3" xfId="20852"/>
    <cellStyle name="Normal 174 2 9 2 4" xfId="27241"/>
    <cellStyle name="Normal 174 2 9 3" xfId="10844"/>
    <cellStyle name="Normal 174 2 9 4" xfId="17214"/>
    <cellStyle name="Normal 174 2 9 5" xfId="23689"/>
    <cellStyle name="Normal 174 3" xfId="840"/>
    <cellStyle name="Normal 174 3 10" xfId="2544"/>
    <cellStyle name="Normal 174 3 10 2" xfId="6062"/>
    <cellStyle name="Normal 174 3 10 2 2" xfId="14543"/>
    <cellStyle name="Normal 174 3 10 2 3" xfId="21057"/>
    <cellStyle name="Normal 174 3 10 2 4" xfId="27446"/>
    <cellStyle name="Normal 174 3 10 3" xfId="11066"/>
    <cellStyle name="Normal 174 3 10 4" xfId="17636"/>
    <cellStyle name="Normal 174 3 10 5" xfId="24042"/>
    <cellStyle name="Normal 174 3 11" xfId="2470"/>
    <cellStyle name="Normal 174 3 11 2" xfId="6007"/>
    <cellStyle name="Normal 174 3 11 2 2" xfId="14488"/>
    <cellStyle name="Normal 174 3 11 2 3" xfId="21002"/>
    <cellStyle name="Normal 174 3 11 2 4" xfId="27391"/>
    <cellStyle name="Normal 174 3 11 3" xfId="11007"/>
    <cellStyle name="Normal 174 3 11 4" xfId="17580"/>
    <cellStyle name="Normal 174 3 11 5" xfId="23987"/>
    <cellStyle name="Normal 174 3 12" xfId="2509"/>
    <cellStyle name="Normal 174 3 12 2" xfId="6033"/>
    <cellStyle name="Normal 174 3 12 2 2" xfId="14514"/>
    <cellStyle name="Normal 174 3 12 2 3" xfId="21028"/>
    <cellStyle name="Normal 174 3 12 2 4" xfId="27417"/>
    <cellStyle name="Normal 174 3 12 3" xfId="11034"/>
    <cellStyle name="Normal 174 3 12 4" xfId="17606"/>
    <cellStyle name="Normal 174 3 12 5" xfId="24013"/>
    <cellStyle name="Normal 174 3 13" xfId="2486"/>
    <cellStyle name="Normal 174 3 13 2" xfId="6021"/>
    <cellStyle name="Normal 174 3 13 2 2" xfId="14502"/>
    <cellStyle name="Normal 174 3 13 2 3" xfId="21016"/>
    <cellStyle name="Normal 174 3 13 2 4" xfId="27405"/>
    <cellStyle name="Normal 174 3 13 3" xfId="11022"/>
    <cellStyle name="Normal 174 3 13 4" xfId="17594"/>
    <cellStyle name="Normal 174 3 13 5" xfId="24001"/>
    <cellStyle name="Normal 174 3 14" xfId="2502"/>
    <cellStyle name="Normal 174 3 14 2" xfId="6026"/>
    <cellStyle name="Normal 174 3 14 2 2" xfId="14507"/>
    <cellStyle name="Normal 174 3 14 2 3" xfId="21021"/>
    <cellStyle name="Normal 174 3 14 2 4" xfId="27410"/>
    <cellStyle name="Normal 174 3 14 3" xfId="11027"/>
    <cellStyle name="Normal 174 3 14 4" xfId="17599"/>
    <cellStyle name="Normal 174 3 14 5" xfId="24006"/>
    <cellStyle name="Normal 174 3 15" xfId="2018"/>
    <cellStyle name="Normal 174 3 15 2" xfId="5602"/>
    <cellStyle name="Normal 174 3 15 2 2" xfId="14083"/>
    <cellStyle name="Normal 174 3 15 2 3" xfId="20597"/>
    <cellStyle name="Normal 174 3 15 2 4" xfId="26986"/>
    <cellStyle name="Normal 174 3 15 3" xfId="10584"/>
    <cellStyle name="Normal 174 3 15 4" xfId="9479"/>
    <cellStyle name="Normal 174 3 15 5" xfId="10231"/>
    <cellStyle name="Normal 174 3 16" xfId="2328"/>
    <cellStyle name="Normal 174 3 16 2" xfId="5887"/>
    <cellStyle name="Normal 174 3 16 2 2" xfId="14368"/>
    <cellStyle name="Normal 174 3 16 2 3" xfId="20882"/>
    <cellStyle name="Normal 174 3 16 2 4" xfId="27271"/>
    <cellStyle name="Normal 174 3 16 3" xfId="10876"/>
    <cellStyle name="Normal 174 3 16 4" xfId="17239"/>
    <cellStyle name="Normal 174 3 16 5" xfId="23714"/>
    <cellStyle name="Normal 174 3 17" xfId="2622"/>
    <cellStyle name="Normal 174 3 17 2" xfId="6133"/>
    <cellStyle name="Normal 174 3 17 2 2" xfId="14614"/>
    <cellStyle name="Normal 174 3 17 2 3" xfId="21128"/>
    <cellStyle name="Normal 174 3 17 2 4" xfId="27517"/>
    <cellStyle name="Normal 174 3 17 3" xfId="11140"/>
    <cellStyle name="Normal 174 3 17 4" xfId="17709"/>
    <cellStyle name="Normal 174 3 17 5" xfId="24113"/>
    <cellStyle name="Normal 174 3 18" xfId="1962"/>
    <cellStyle name="Normal 174 3 18 2" xfId="5554"/>
    <cellStyle name="Normal 174 3 18 2 2" xfId="14035"/>
    <cellStyle name="Normal 174 3 18 2 3" xfId="20549"/>
    <cellStyle name="Normal 174 3 18 2 4" xfId="26938"/>
    <cellStyle name="Normal 174 3 18 3" xfId="10532"/>
    <cellStyle name="Normal 174 3 18 4" xfId="11048"/>
    <cellStyle name="Normal 174 3 18 5" xfId="17620"/>
    <cellStyle name="Normal 174 3 19" xfId="5224"/>
    <cellStyle name="Normal 174 3 19 2" xfId="13706"/>
    <cellStyle name="Normal 174 3 19 3" xfId="20224"/>
    <cellStyle name="Normal 174 3 19 4" xfId="26613"/>
    <cellStyle name="Normal 174 3 2" xfId="1828"/>
    <cellStyle name="Normal 174 3 2 2" xfId="5426"/>
    <cellStyle name="Normal 174 3 2 2 2" xfId="13907"/>
    <cellStyle name="Normal 174 3 2 2 3" xfId="20421"/>
    <cellStyle name="Normal 174 3 2 2 4" xfId="26810"/>
    <cellStyle name="Normal 174 3 2 3" xfId="10400"/>
    <cellStyle name="Normal 174 3 2 4" xfId="9598"/>
    <cellStyle name="Normal 174 3 2 5" xfId="12690"/>
    <cellStyle name="Normal 174 3 20" xfId="9856"/>
    <cellStyle name="Normal 174 3 21" xfId="9903"/>
    <cellStyle name="Normal 174 3 22" xfId="9869"/>
    <cellStyle name="Normal 174 3 3" xfId="2573"/>
    <cellStyle name="Normal 174 3 3 2" xfId="6089"/>
    <cellStyle name="Normal 174 3 3 2 2" xfId="14570"/>
    <cellStyle name="Normal 174 3 3 2 3" xfId="21084"/>
    <cellStyle name="Normal 174 3 3 2 4" xfId="27473"/>
    <cellStyle name="Normal 174 3 3 3" xfId="11093"/>
    <cellStyle name="Normal 174 3 3 4" xfId="17663"/>
    <cellStyle name="Normal 174 3 3 5" xfId="24069"/>
    <cellStyle name="Normal 174 3 4" xfId="2453"/>
    <cellStyle name="Normal 174 3 4 2" xfId="5992"/>
    <cellStyle name="Normal 174 3 4 2 2" xfId="14473"/>
    <cellStyle name="Normal 174 3 4 2 3" xfId="20987"/>
    <cellStyle name="Normal 174 3 4 2 4" xfId="27376"/>
    <cellStyle name="Normal 174 3 4 3" xfId="10991"/>
    <cellStyle name="Normal 174 3 4 4" xfId="17565"/>
    <cellStyle name="Normal 174 3 4 5" xfId="23972"/>
    <cellStyle name="Normal 174 3 5" xfId="2040"/>
    <cellStyle name="Normal 174 3 5 2" xfId="5618"/>
    <cellStyle name="Normal 174 3 5 2 2" xfId="14099"/>
    <cellStyle name="Normal 174 3 5 2 3" xfId="20613"/>
    <cellStyle name="Normal 174 3 5 2 4" xfId="27002"/>
    <cellStyle name="Normal 174 3 5 3" xfId="10601"/>
    <cellStyle name="Normal 174 3 5 4" xfId="9463"/>
    <cellStyle name="Normal 174 3 5 5" xfId="10239"/>
    <cellStyle name="Normal 174 3 6" xfId="2307"/>
    <cellStyle name="Normal 174 3 6 2" xfId="5872"/>
    <cellStyle name="Normal 174 3 6 2 2" xfId="14353"/>
    <cellStyle name="Normal 174 3 6 2 3" xfId="20867"/>
    <cellStyle name="Normal 174 3 6 2 4" xfId="27256"/>
    <cellStyle name="Normal 174 3 6 3" xfId="10859"/>
    <cellStyle name="Normal 174 3 6 4" xfId="17228"/>
    <cellStyle name="Normal 174 3 6 5" xfId="23703"/>
    <cellStyle name="Normal 174 3 7" xfId="2642"/>
    <cellStyle name="Normal 174 3 7 2" xfId="6148"/>
    <cellStyle name="Normal 174 3 7 2 2" xfId="14629"/>
    <cellStyle name="Normal 174 3 7 2 3" xfId="21143"/>
    <cellStyle name="Normal 174 3 7 2 4" xfId="27532"/>
    <cellStyle name="Normal 174 3 7 3" xfId="11156"/>
    <cellStyle name="Normal 174 3 7 4" xfId="17725"/>
    <cellStyle name="Normal 174 3 7 5" xfId="24128"/>
    <cellStyle name="Normal 174 3 8" xfId="1955"/>
    <cellStyle name="Normal 174 3 8 2" xfId="5547"/>
    <cellStyle name="Normal 174 3 8 2 2" xfId="14028"/>
    <cellStyle name="Normal 174 3 8 2 3" xfId="20542"/>
    <cellStyle name="Normal 174 3 8 2 4" xfId="26931"/>
    <cellStyle name="Normal 174 3 8 3" xfId="10525"/>
    <cellStyle name="Normal 174 3 8 4" xfId="11176"/>
    <cellStyle name="Normal 174 3 8 5" xfId="17745"/>
    <cellStyle name="Normal 174 3 9" xfId="2390"/>
    <cellStyle name="Normal 174 3 9 2" xfId="5941"/>
    <cellStyle name="Normal 174 3 9 2 2" xfId="14422"/>
    <cellStyle name="Normal 174 3 9 2 3" xfId="20936"/>
    <cellStyle name="Normal 174 3 9 2 4" xfId="27325"/>
    <cellStyle name="Normal 174 3 9 3" xfId="10935"/>
    <cellStyle name="Normal 174 3 9 4" xfId="17404"/>
    <cellStyle name="Normal 174 3 9 5" xfId="23842"/>
    <cellStyle name="Normal 174 4" xfId="841"/>
    <cellStyle name="Normal 174 4 10" xfId="2837"/>
    <cellStyle name="Normal 174 4 10 2" xfId="6335"/>
    <cellStyle name="Normal 174 4 10 2 2" xfId="14816"/>
    <cellStyle name="Normal 174 4 10 2 3" xfId="21330"/>
    <cellStyle name="Normal 174 4 10 2 4" xfId="27719"/>
    <cellStyle name="Normal 174 4 10 3" xfId="11344"/>
    <cellStyle name="Normal 174 4 10 4" xfId="17913"/>
    <cellStyle name="Normal 174 4 10 5" xfId="24315"/>
    <cellStyle name="Normal 174 4 11" xfId="3011"/>
    <cellStyle name="Normal 174 4 11 2" xfId="6502"/>
    <cellStyle name="Normal 174 4 11 2 2" xfId="14983"/>
    <cellStyle name="Normal 174 4 11 2 3" xfId="21497"/>
    <cellStyle name="Normal 174 4 11 2 4" xfId="27886"/>
    <cellStyle name="Normal 174 4 11 3" xfId="11514"/>
    <cellStyle name="Normal 174 4 11 4" xfId="18080"/>
    <cellStyle name="Normal 174 4 11 5" xfId="24482"/>
    <cellStyle name="Normal 174 4 12" xfId="3184"/>
    <cellStyle name="Normal 174 4 12 2" xfId="6669"/>
    <cellStyle name="Normal 174 4 12 2 2" xfId="15150"/>
    <cellStyle name="Normal 174 4 12 2 3" xfId="21664"/>
    <cellStyle name="Normal 174 4 12 2 4" xfId="28053"/>
    <cellStyle name="Normal 174 4 12 3" xfId="11685"/>
    <cellStyle name="Normal 174 4 12 4" xfId="18247"/>
    <cellStyle name="Normal 174 4 12 5" xfId="24649"/>
    <cellStyle name="Normal 174 4 13" xfId="3355"/>
    <cellStyle name="Normal 174 4 13 2" xfId="6834"/>
    <cellStyle name="Normal 174 4 13 2 2" xfId="15315"/>
    <cellStyle name="Normal 174 4 13 2 3" xfId="21829"/>
    <cellStyle name="Normal 174 4 13 2 4" xfId="28218"/>
    <cellStyle name="Normal 174 4 13 3" xfId="11853"/>
    <cellStyle name="Normal 174 4 13 4" xfId="18412"/>
    <cellStyle name="Normal 174 4 13 5" xfId="24814"/>
    <cellStyle name="Normal 174 4 14" xfId="3526"/>
    <cellStyle name="Normal 174 4 14 2" xfId="6999"/>
    <cellStyle name="Normal 174 4 14 2 2" xfId="15480"/>
    <cellStyle name="Normal 174 4 14 2 3" xfId="21994"/>
    <cellStyle name="Normal 174 4 14 2 4" xfId="28383"/>
    <cellStyle name="Normal 174 4 14 3" xfId="12022"/>
    <cellStyle name="Normal 174 4 14 4" xfId="18578"/>
    <cellStyle name="Normal 174 4 14 5" xfId="24979"/>
    <cellStyle name="Normal 174 4 15" xfId="3696"/>
    <cellStyle name="Normal 174 4 15 2" xfId="7163"/>
    <cellStyle name="Normal 174 4 15 2 2" xfId="15644"/>
    <cellStyle name="Normal 174 4 15 2 3" xfId="22158"/>
    <cellStyle name="Normal 174 4 15 2 4" xfId="28547"/>
    <cellStyle name="Normal 174 4 15 3" xfId="12191"/>
    <cellStyle name="Normal 174 4 15 4" xfId="18744"/>
    <cellStyle name="Normal 174 4 15 5" xfId="25143"/>
    <cellStyle name="Normal 174 4 16" xfId="3865"/>
    <cellStyle name="Normal 174 4 16 2" xfId="7326"/>
    <cellStyle name="Normal 174 4 16 2 2" xfId="15807"/>
    <cellStyle name="Normal 174 4 16 2 3" xfId="22321"/>
    <cellStyle name="Normal 174 4 16 2 4" xfId="28710"/>
    <cellStyle name="Normal 174 4 16 3" xfId="12359"/>
    <cellStyle name="Normal 174 4 16 4" xfId="18909"/>
    <cellStyle name="Normal 174 4 16 5" xfId="25306"/>
    <cellStyle name="Normal 174 4 17" xfId="4032"/>
    <cellStyle name="Normal 174 4 17 2" xfId="7488"/>
    <cellStyle name="Normal 174 4 17 2 2" xfId="15969"/>
    <cellStyle name="Normal 174 4 17 2 3" xfId="22483"/>
    <cellStyle name="Normal 174 4 17 2 4" xfId="28872"/>
    <cellStyle name="Normal 174 4 17 3" xfId="12525"/>
    <cellStyle name="Normal 174 4 17 4" xfId="19072"/>
    <cellStyle name="Normal 174 4 17 5" xfId="25468"/>
    <cellStyle name="Normal 174 4 18" xfId="4197"/>
    <cellStyle name="Normal 174 4 18 2" xfId="7648"/>
    <cellStyle name="Normal 174 4 18 2 2" xfId="16129"/>
    <cellStyle name="Normal 174 4 18 2 3" xfId="22643"/>
    <cellStyle name="Normal 174 4 18 2 4" xfId="29032"/>
    <cellStyle name="Normal 174 4 18 3" xfId="12689"/>
    <cellStyle name="Normal 174 4 18 4" xfId="19233"/>
    <cellStyle name="Normal 174 4 18 5" xfId="25628"/>
    <cellStyle name="Normal 174 4 19" xfId="5225"/>
    <cellStyle name="Normal 174 4 19 2" xfId="13707"/>
    <cellStyle name="Normal 174 4 19 3" xfId="20225"/>
    <cellStyle name="Normal 174 4 19 4" xfId="26614"/>
    <cellStyle name="Normal 174 4 2" xfId="1829"/>
    <cellStyle name="Normal 174 4 2 2" xfId="5427"/>
    <cellStyle name="Normal 174 4 2 2 2" xfId="13908"/>
    <cellStyle name="Normal 174 4 2 2 3" xfId="20422"/>
    <cellStyle name="Normal 174 4 2 2 4" xfId="26811"/>
    <cellStyle name="Normal 174 4 2 3" xfId="10401"/>
    <cellStyle name="Normal 174 4 2 4" xfId="9597"/>
    <cellStyle name="Normal 174 4 2 5" xfId="12849"/>
    <cellStyle name="Normal 174 4 20" xfId="9857"/>
    <cellStyle name="Normal 174 4 21" xfId="9902"/>
    <cellStyle name="Normal 174 4 22" xfId="9870"/>
    <cellStyle name="Normal 174 4 3" xfId="2574"/>
    <cellStyle name="Normal 174 4 3 2" xfId="6090"/>
    <cellStyle name="Normal 174 4 3 2 2" xfId="14571"/>
    <cellStyle name="Normal 174 4 3 2 3" xfId="21085"/>
    <cellStyle name="Normal 174 4 3 2 4" xfId="27474"/>
    <cellStyle name="Normal 174 4 3 3" xfId="11094"/>
    <cellStyle name="Normal 174 4 3 4" xfId="17664"/>
    <cellStyle name="Normal 174 4 3 5" xfId="24070"/>
    <cellStyle name="Normal 174 4 4" xfId="2452"/>
    <cellStyle name="Normal 174 4 4 2" xfId="5991"/>
    <cellStyle name="Normal 174 4 4 2 2" xfId="14472"/>
    <cellStyle name="Normal 174 4 4 2 3" xfId="20986"/>
    <cellStyle name="Normal 174 4 4 2 4" xfId="27375"/>
    <cellStyle name="Normal 174 4 4 3" xfId="10990"/>
    <cellStyle name="Normal 174 4 4 4" xfId="17564"/>
    <cellStyle name="Normal 174 4 4 5" xfId="23971"/>
    <cellStyle name="Normal 174 4 5" xfId="2041"/>
    <cellStyle name="Normal 174 4 5 2" xfId="5619"/>
    <cellStyle name="Normal 174 4 5 2 2" xfId="14100"/>
    <cellStyle name="Normal 174 4 5 2 3" xfId="20614"/>
    <cellStyle name="Normal 174 4 5 2 4" xfId="27003"/>
    <cellStyle name="Normal 174 4 5 3" xfId="10602"/>
    <cellStyle name="Normal 174 4 5 4" xfId="9462"/>
    <cellStyle name="Normal 174 4 5 5" xfId="10240"/>
    <cellStyle name="Normal 174 4 6" xfId="2306"/>
    <cellStyle name="Normal 174 4 6 2" xfId="5871"/>
    <cellStyle name="Normal 174 4 6 2 2" xfId="14352"/>
    <cellStyle name="Normal 174 4 6 2 3" xfId="20866"/>
    <cellStyle name="Normal 174 4 6 2 4" xfId="27255"/>
    <cellStyle name="Normal 174 4 6 3" xfId="10858"/>
    <cellStyle name="Normal 174 4 6 4" xfId="17227"/>
    <cellStyle name="Normal 174 4 6 5" xfId="23702"/>
    <cellStyle name="Normal 174 4 7" xfId="2643"/>
    <cellStyle name="Normal 174 4 7 2" xfId="6149"/>
    <cellStyle name="Normal 174 4 7 2 2" xfId="14630"/>
    <cellStyle name="Normal 174 4 7 2 3" xfId="21144"/>
    <cellStyle name="Normal 174 4 7 2 4" xfId="27533"/>
    <cellStyle name="Normal 174 4 7 3" xfId="11157"/>
    <cellStyle name="Normal 174 4 7 4" xfId="17726"/>
    <cellStyle name="Normal 174 4 7 5" xfId="24129"/>
    <cellStyle name="Normal 174 4 8" xfId="2415"/>
    <cellStyle name="Normal 174 4 8 2" xfId="5962"/>
    <cellStyle name="Normal 174 4 8 2 2" xfId="14443"/>
    <cellStyle name="Normal 174 4 8 2 3" xfId="20957"/>
    <cellStyle name="Normal 174 4 8 2 4" xfId="27346"/>
    <cellStyle name="Normal 174 4 8 3" xfId="10959"/>
    <cellStyle name="Normal 174 4 8 4" xfId="17279"/>
    <cellStyle name="Normal 174 4 8 5" xfId="23753"/>
    <cellStyle name="Normal 174 4 9" xfId="2082"/>
    <cellStyle name="Normal 174 4 9 2" xfId="5655"/>
    <cellStyle name="Normal 174 4 9 2 2" xfId="14136"/>
    <cellStyle name="Normal 174 4 9 2 3" xfId="20650"/>
    <cellStyle name="Normal 174 4 9 2 4" xfId="27039"/>
    <cellStyle name="Normal 174 4 9 3" xfId="10641"/>
    <cellStyle name="Normal 174 4 9 4" xfId="17402"/>
    <cellStyle name="Normal 174 4 9 5" xfId="23840"/>
    <cellStyle name="Normal 174 5" xfId="842"/>
    <cellStyle name="Normal 174 5 10" xfId="2657"/>
    <cellStyle name="Normal 174 5 10 2" xfId="6162"/>
    <cellStyle name="Normal 174 5 10 2 2" xfId="14643"/>
    <cellStyle name="Normal 174 5 10 2 3" xfId="21157"/>
    <cellStyle name="Normal 174 5 10 2 4" xfId="27546"/>
    <cellStyle name="Normal 174 5 10 3" xfId="11170"/>
    <cellStyle name="Normal 174 5 10 4" xfId="17739"/>
    <cellStyle name="Normal 174 5 10 5" xfId="24142"/>
    <cellStyle name="Normal 174 5 11" xfId="1948"/>
    <cellStyle name="Normal 174 5 11 2" xfId="5540"/>
    <cellStyle name="Normal 174 5 11 2 2" xfId="14021"/>
    <cellStyle name="Normal 174 5 11 2 3" xfId="20535"/>
    <cellStyle name="Normal 174 5 11 2 4" xfId="26924"/>
    <cellStyle name="Normal 174 5 11 3" xfId="10518"/>
    <cellStyle name="Normal 174 5 11 4" xfId="9528"/>
    <cellStyle name="Normal 174 5 11 5" xfId="17459"/>
    <cellStyle name="Normal 174 5 12" xfId="2397"/>
    <cellStyle name="Normal 174 5 12 2" xfId="5948"/>
    <cellStyle name="Normal 174 5 12 2 2" xfId="14429"/>
    <cellStyle name="Normal 174 5 12 2 3" xfId="20943"/>
    <cellStyle name="Normal 174 5 12 2 4" xfId="27332"/>
    <cellStyle name="Normal 174 5 12 3" xfId="10942"/>
    <cellStyle name="Normal 174 5 12 4" xfId="17476"/>
    <cellStyle name="Normal 174 5 12 5" xfId="23901"/>
    <cellStyle name="Normal 174 5 13" xfId="2538"/>
    <cellStyle name="Normal 174 5 13 2" xfId="6056"/>
    <cellStyle name="Normal 174 5 13 2 2" xfId="14537"/>
    <cellStyle name="Normal 174 5 13 2 3" xfId="21051"/>
    <cellStyle name="Normal 174 5 13 2 4" xfId="27440"/>
    <cellStyle name="Normal 174 5 13 3" xfId="11060"/>
    <cellStyle name="Normal 174 5 13 4" xfId="17630"/>
    <cellStyle name="Normal 174 5 13 5" xfId="24036"/>
    <cellStyle name="Normal 174 5 14" xfId="2473"/>
    <cellStyle name="Normal 174 5 14 2" xfId="6010"/>
    <cellStyle name="Normal 174 5 14 2 2" xfId="14491"/>
    <cellStyle name="Normal 174 5 14 2 3" xfId="21005"/>
    <cellStyle name="Normal 174 5 14 2 4" xfId="27394"/>
    <cellStyle name="Normal 174 5 14 3" xfId="11010"/>
    <cellStyle name="Normal 174 5 14 4" xfId="17583"/>
    <cellStyle name="Normal 174 5 14 5" xfId="23990"/>
    <cellStyle name="Normal 174 5 15" xfId="2506"/>
    <cellStyle name="Normal 174 5 15 2" xfId="6030"/>
    <cellStyle name="Normal 174 5 15 2 2" xfId="14511"/>
    <cellStyle name="Normal 174 5 15 2 3" xfId="21025"/>
    <cellStyle name="Normal 174 5 15 2 4" xfId="27414"/>
    <cellStyle name="Normal 174 5 15 3" xfId="11031"/>
    <cellStyle name="Normal 174 5 15 4" xfId="17603"/>
    <cellStyle name="Normal 174 5 15 5" xfId="24010"/>
    <cellStyle name="Normal 174 5 16" xfId="2016"/>
    <cellStyle name="Normal 174 5 16 2" xfId="5600"/>
    <cellStyle name="Normal 174 5 16 2 2" xfId="14081"/>
    <cellStyle name="Normal 174 5 16 2 3" xfId="20595"/>
    <cellStyle name="Normal 174 5 16 2 4" xfId="26984"/>
    <cellStyle name="Normal 174 5 16 3" xfId="10582"/>
    <cellStyle name="Normal 174 5 16 4" xfId="9481"/>
    <cellStyle name="Normal 174 5 16 5" xfId="10229"/>
    <cellStyle name="Normal 174 5 17" xfId="2330"/>
    <cellStyle name="Normal 174 5 17 2" xfId="5889"/>
    <cellStyle name="Normal 174 5 17 2 2" xfId="14370"/>
    <cellStyle name="Normal 174 5 17 2 3" xfId="20884"/>
    <cellStyle name="Normal 174 5 17 2 4" xfId="27273"/>
    <cellStyle name="Normal 174 5 17 3" xfId="10878"/>
    <cellStyle name="Normal 174 5 17 4" xfId="17241"/>
    <cellStyle name="Normal 174 5 17 5" xfId="23716"/>
    <cellStyle name="Normal 174 5 18" xfId="2620"/>
    <cellStyle name="Normal 174 5 18 2" xfId="6131"/>
    <cellStyle name="Normal 174 5 18 2 2" xfId="14612"/>
    <cellStyle name="Normal 174 5 18 2 3" xfId="21126"/>
    <cellStyle name="Normal 174 5 18 2 4" xfId="27515"/>
    <cellStyle name="Normal 174 5 18 3" xfId="11138"/>
    <cellStyle name="Normal 174 5 18 4" xfId="17707"/>
    <cellStyle name="Normal 174 5 18 5" xfId="24111"/>
    <cellStyle name="Normal 174 5 19" xfId="5226"/>
    <cellStyle name="Normal 174 5 19 2" xfId="13708"/>
    <cellStyle name="Normal 174 5 19 3" xfId="20226"/>
    <cellStyle name="Normal 174 5 19 4" xfId="26615"/>
    <cellStyle name="Normal 174 5 2" xfId="1830"/>
    <cellStyle name="Normal 174 5 2 2" xfId="5428"/>
    <cellStyle name="Normal 174 5 2 2 2" xfId="13909"/>
    <cellStyle name="Normal 174 5 2 2 3" xfId="20423"/>
    <cellStyle name="Normal 174 5 2 2 4" xfId="26812"/>
    <cellStyle name="Normal 174 5 2 3" xfId="10402"/>
    <cellStyle name="Normal 174 5 2 4" xfId="9596"/>
    <cellStyle name="Normal 174 5 2 5" xfId="10133"/>
    <cellStyle name="Normal 174 5 20" xfId="9858"/>
    <cellStyle name="Normal 174 5 21" xfId="9901"/>
    <cellStyle name="Normal 174 5 22" xfId="9871"/>
    <cellStyle name="Normal 174 5 3" xfId="2575"/>
    <cellStyle name="Normal 174 5 3 2" xfId="6091"/>
    <cellStyle name="Normal 174 5 3 2 2" xfId="14572"/>
    <cellStyle name="Normal 174 5 3 2 3" xfId="21086"/>
    <cellStyle name="Normal 174 5 3 2 4" xfId="27475"/>
    <cellStyle name="Normal 174 5 3 3" xfId="11095"/>
    <cellStyle name="Normal 174 5 3 4" xfId="17665"/>
    <cellStyle name="Normal 174 5 3 5" xfId="24071"/>
    <cellStyle name="Normal 174 5 4" xfId="1985"/>
    <cellStyle name="Normal 174 5 4 2" xfId="5574"/>
    <cellStyle name="Normal 174 5 4 2 2" xfId="14055"/>
    <cellStyle name="Normal 174 5 4 2 3" xfId="20569"/>
    <cellStyle name="Normal 174 5 4 2 4" xfId="26958"/>
    <cellStyle name="Normal 174 5 4 3" xfId="10554"/>
    <cellStyle name="Normal 174 5 4 4" xfId="9509"/>
    <cellStyle name="Normal 174 5 4 5" xfId="10203"/>
    <cellStyle name="Normal 174 5 5" xfId="2361"/>
    <cellStyle name="Normal 174 5 5 2" xfId="5915"/>
    <cellStyle name="Normal 174 5 5 2 2" xfId="14396"/>
    <cellStyle name="Normal 174 5 5 2 3" xfId="20910"/>
    <cellStyle name="Normal 174 5 5 2 4" xfId="27299"/>
    <cellStyle name="Normal 174 5 5 3" xfId="10907"/>
    <cellStyle name="Normal 174 5 5 4" xfId="17260"/>
    <cellStyle name="Normal 174 5 5 5" xfId="23735"/>
    <cellStyle name="Normal 174 5 6" xfId="2594"/>
    <cellStyle name="Normal 174 5 6 2" xfId="6109"/>
    <cellStyle name="Normal 174 5 6 2 2" xfId="14590"/>
    <cellStyle name="Normal 174 5 6 2 3" xfId="21104"/>
    <cellStyle name="Normal 174 5 6 2 4" xfId="27493"/>
    <cellStyle name="Normal 174 5 6 3" xfId="11114"/>
    <cellStyle name="Normal 174 5 6 4" xfId="17684"/>
    <cellStyle name="Normal 174 5 6 5" xfId="24089"/>
    <cellStyle name="Normal 174 5 7" xfId="2438"/>
    <cellStyle name="Normal 174 5 7 2" xfId="5978"/>
    <cellStyle name="Normal 174 5 7 2 2" xfId="14459"/>
    <cellStyle name="Normal 174 5 7 2 3" xfId="20973"/>
    <cellStyle name="Normal 174 5 7 2 4" xfId="27362"/>
    <cellStyle name="Normal 174 5 7 3" xfId="10976"/>
    <cellStyle name="Normal 174 5 7 4" xfId="17296"/>
    <cellStyle name="Normal 174 5 7 5" xfId="23769"/>
    <cellStyle name="Normal 174 5 8" xfId="2055"/>
    <cellStyle name="Normal 174 5 8 2" xfId="5632"/>
    <cellStyle name="Normal 174 5 8 2 2" xfId="14113"/>
    <cellStyle name="Normal 174 5 8 2 3" xfId="20627"/>
    <cellStyle name="Normal 174 5 8 2 4" xfId="27016"/>
    <cellStyle name="Normal 174 5 8 3" xfId="10616"/>
    <cellStyle name="Normal 174 5 8 4" xfId="9449"/>
    <cellStyle name="Normal 174 5 8 5" xfId="10250"/>
    <cellStyle name="Normal 174 5 9" xfId="2292"/>
    <cellStyle name="Normal 174 5 9 2" xfId="5858"/>
    <cellStyle name="Normal 174 5 9 2 2" xfId="14339"/>
    <cellStyle name="Normal 174 5 9 2 3" xfId="20853"/>
    <cellStyle name="Normal 174 5 9 2 4" xfId="27242"/>
    <cellStyle name="Normal 174 5 9 3" xfId="10845"/>
    <cellStyle name="Normal 174 5 9 4" xfId="17215"/>
    <cellStyle name="Normal 174 5 9 5" xfId="23690"/>
    <cellStyle name="Normal 174 6" xfId="843"/>
    <cellStyle name="Normal 174 6 10" xfId="2543"/>
    <cellStyle name="Normal 174 6 10 2" xfId="6061"/>
    <cellStyle name="Normal 174 6 10 2 2" xfId="14542"/>
    <cellStyle name="Normal 174 6 10 2 3" xfId="21056"/>
    <cellStyle name="Normal 174 6 10 2 4" xfId="27445"/>
    <cellStyle name="Normal 174 6 10 3" xfId="11065"/>
    <cellStyle name="Normal 174 6 10 4" xfId="17635"/>
    <cellStyle name="Normal 174 6 10 5" xfId="24041"/>
    <cellStyle name="Normal 174 6 11" xfId="1998"/>
    <cellStyle name="Normal 174 6 11 2" xfId="5587"/>
    <cellStyle name="Normal 174 6 11 2 2" xfId="14068"/>
    <cellStyle name="Normal 174 6 11 2 3" xfId="20582"/>
    <cellStyle name="Normal 174 6 11 2 4" xfId="26971"/>
    <cellStyle name="Normal 174 6 11 3" xfId="10567"/>
    <cellStyle name="Normal 174 6 11 4" xfId="9495"/>
    <cellStyle name="Normal 174 6 11 5" xfId="10217"/>
    <cellStyle name="Normal 174 6 12" xfId="2347"/>
    <cellStyle name="Normal 174 6 12 2" xfId="5902"/>
    <cellStyle name="Normal 174 6 12 2 2" xfId="14383"/>
    <cellStyle name="Normal 174 6 12 2 3" xfId="20897"/>
    <cellStyle name="Normal 174 6 12 2 4" xfId="27286"/>
    <cellStyle name="Normal 174 6 12 3" xfId="10893"/>
    <cellStyle name="Normal 174 6 12 4" xfId="17247"/>
    <cellStyle name="Normal 174 6 12 5" xfId="23722"/>
    <cellStyle name="Normal 174 6 13" xfId="2608"/>
    <cellStyle name="Normal 174 6 13 2" xfId="6122"/>
    <cellStyle name="Normal 174 6 13 2 2" xfId="14603"/>
    <cellStyle name="Normal 174 6 13 2 3" xfId="21117"/>
    <cellStyle name="Normal 174 6 13 2 4" xfId="27506"/>
    <cellStyle name="Normal 174 6 13 3" xfId="11127"/>
    <cellStyle name="Normal 174 6 13 4" xfId="17697"/>
    <cellStyle name="Normal 174 6 13 5" xfId="24102"/>
    <cellStyle name="Normal 174 6 14" xfId="2433"/>
    <cellStyle name="Normal 174 6 14 2" xfId="5974"/>
    <cellStyle name="Normal 174 6 14 2 2" xfId="14455"/>
    <cellStyle name="Normal 174 6 14 2 3" xfId="20969"/>
    <cellStyle name="Normal 174 6 14 2 4" xfId="27358"/>
    <cellStyle name="Normal 174 6 14 3" xfId="10972"/>
    <cellStyle name="Normal 174 6 14 4" xfId="17292"/>
    <cellStyle name="Normal 174 6 14 5" xfId="23765"/>
    <cellStyle name="Normal 174 6 15" xfId="2060"/>
    <cellStyle name="Normal 174 6 15 2" xfId="5636"/>
    <cellStyle name="Normal 174 6 15 2 2" xfId="14117"/>
    <cellStyle name="Normal 174 6 15 2 3" xfId="20631"/>
    <cellStyle name="Normal 174 6 15 2 4" xfId="27020"/>
    <cellStyle name="Normal 174 6 15 3" xfId="10621"/>
    <cellStyle name="Normal 174 6 15 4" xfId="9445"/>
    <cellStyle name="Normal 174 6 15 5" xfId="10254"/>
    <cellStyle name="Normal 174 6 16" xfId="2287"/>
    <cellStyle name="Normal 174 6 16 2" xfId="5854"/>
    <cellStyle name="Normal 174 6 16 2 2" xfId="14335"/>
    <cellStyle name="Normal 174 6 16 2 3" xfId="20849"/>
    <cellStyle name="Normal 174 6 16 2 4" xfId="27238"/>
    <cellStyle name="Normal 174 6 16 3" xfId="10841"/>
    <cellStyle name="Normal 174 6 16 4" xfId="17211"/>
    <cellStyle name="Normal 174 6 16 5" xfId="23686"/>
    <cellStyle name="Normal 174 6 17" xfId="2662"/>
    <cellStyle name="Normal 174 6 17 2" xfId="6166"/>
    <cellStyle name="Normal 174 6 17 2 2" xfId="14647"/>
    <cellStyle name="Normal 174 6 17 2 3" xfId="21161"/>
    <cellStyle name="Normal 174 6 17 2 4" xfId="27550"/>
    <cellStyle name="Normal 174 6 17 3" xfId="11174"/>
    <cellStyle name="Normal 174 6 17 4" xfId="17743"/>
    <cellStyle name="Normal 174 6 17 5" xfId="24146"/>
    <cellStyle name="Normal 174 6 18" xfId="1946"/>
    <cellStyle name="Normal 174 6 18 2" xfId="5538"/>
    <cellStyle name="Normal 174 6 18 2 2" xfId="14019"/>
    <cellStyle name="Normal 174 6 18 2 3" xfId="20533"/>
    <cellStyle name="Normal 174 6 18 2 4" xfId="26922"/>
    <cellStyle name="Normal 174 6 18 3" xfId="10516"/>
    <cellStyle name="Normal 174 6 18 4" xfId="9530"/>
    <cellStyle name="Normal 174 6 18 5" xfId="17485"/>
    <cellStyle name="Normal 174 6 19" xfId="5227"/>
    <cellStyle name="Normal 174 6 19 2" xfId="13709"/>
    <cellStyle name="Normal 174 6 19 3" xfId="20227"/>
    <cellStyle name="Normal 174 6 19 4" xfId="26616"/>
    <cellStyle name="Normal 174 6 2" xfId="1831"/>
    <cellStyle name="Normal 174 6 2 2" xfId="5429"/>
    <cellStyle name="Normal 174 6 2 2 2" xfId="13910"/>
    <cellStyle name="Normal 174 6 2 2 3" xfId="20424"/>
    <cellStyle name="Normal 174 6 2 2 4" xfId="26813"/>
    <cellStyle name="Normal 174 6 2 3" xfId="10403"/>
    <cellStyle name="Normal 174 6 2 4" xfId="9595"/>
    <cellStyle name="Normal 174 6 2 5" xfId="13009"/>
    <cellStyle name="Normal 174 6 20" xfId="9859"/>
    <cellStyle name="Normal 174 6 21" xfId="9900"/>
    <cellStyle name="Normal 174 6 22" xfId="9872"/>
    <cellStyle name="Normal 174 6 3" xfId="2576"/>
    <cellStyle name="Normal 174 6 3 2" xfId="6092"/>
    <cellStyle name="Normal 174 6 3 2 2" xfId="14573"/>
    <cellStyle name="Normal 174 6 3 2 3" xfId="21087"/>
    <cellStyle name="Normal 174 6 3 2 4" xfId="27476"/>
    <cellStyle name="Normal 174 6 3 3" xfId="11096"/>
    <cellStyle name="Normal 174 6 3 4" xfId="17666"/>
    <cellStyle name="Normal 174 6 3 5" xfId="24072"/>
    <cellStyle name="Normal 174 6 4" xfId="2451"/>
    <cellStyle name="Normal 174 6 4 2" xfId="5990"/>
    <cellStyle name="Normal 174 6 4 2 2" xfId="14471"/>
    <cellStyle name="Normal 174 6 4 2 3" xfId="20985"/>
    <cellStyle name="Normal 174 6 4 2 4" xfId="27374"/>
    <cellStyle name="Normal 174 6 4 3" xfId="10989"/>
    <cellStyle name="Normal 174 6 4 4" xfId="17563"/>
    <cellStyle name="Normal 174 6 4 5" xfId="23970"/>
    <cellStyle name="Normal 174 6 5" xfId="2042"/>
    <cellStyle name="Normal 174 6 5 2" xfId="5620"/>
    <cellStyle name="Normal 174 6 5 2 2" xfId="14101"/>
    <cellStyle name="Normal 174 6 5 2 3" xfId="20615"/>
    <cellStyle name="Normal 174 6 5 2 4" xfId="27004"/>
    <cellStyle name="Normal 174 6 5 3" xfId="10603"/>
    <cellStyle name="Normal 174 6 5 4" xfId="9461"/>
    <cellStyle name="Normal 174 6 5 5" xfId="10241"/>
    <cellStyle name="Normal 174 6 6" xfId="2305"/>
    <cellStyle name="Normal 174 6 6 2" xfId="5870"/>
    <cellStyle name="Normal 174 6 6 2 2" xfId="14351"/>
    <cellStyle name="Normal 174 6 6 2 3" xfId="20865"/>
    <cellStyle name="Normal 174 6 6 2 4" xfId="27254"/>
    <cellStyle name="Normal 174 6 6 3" xfId="10857"/>
    <cellStyle name="Normal 174 6 6 4" xfId="17226"/>
    <cellStyle name="Normal 174 6 6 5" xfId="23701"/>
    <cellStyle name="Normal 174 6 7" xfId="2644"/>
    <cellStyle name="Normal 174 6 7 2" xfId="6150"/>
    <cellStyle name="Normal 174 6 7 2 2" xfId="14631"/>
    <cellStyle name="Normal 174 6 7 2 3" xfId="21145"/>
    <cellStyle name="Normal 174 6 7 2 4" xfId="27534"/>
    <cellStyle name="Normal 174 6 7 3" xfId="11158"/>
    <cellStyle name="Normal 174 6 7 4" xfId="17727"/>
    <cellStyle name="Normal 174 6 7 5" xfId="24130"/>
    <cellStyle name="Normal 174 6 8" xfId="1954"/>
    <cellStyle name="Normal 174 6 8 2" xfId="5546"/>
    <cellStyle name="Normal 174 6 8 2 2" xfId="14027"/>
    <cellStyle name="Normal 174 6 8 2 3" xfId="20541"/>
    <cellStyle name="Normal 174 6 8 2 4" xfId="26930"/>
    <cellStyle name="Normal 174 6 8 3" xfId="10524"/>
    <cellStyle name="Normal 174 6 8 4" xfId="9523"/>
    <cellStyle name="Normal 174 6 8 5" xfId="10190"/>
    <cellStyle name="Normal 174 6 9" xfId="2391"/>
    <cellStyle name="Normal 174 6 9 2" xfId="5942"/>
    <cellStyle name="Normal 174 6 9 2 2" xfId="14423"/>
    <cellStyle name="Normal 174 6 9 2 3" xfId="20937"/>
    <cellStyle name="Normal 174 6 9 2 4" xfId="27326"/>
    <cellStyle name="Normal 174 6 9 3" xfId="10936"/>
    <cellStyle name="Normal 174 6 9 4" xfId="17414"/>
    <cellStyle name="Normal 174 6 9 5" xfId="23851"/>
    <cellStyle name="Normal 174 7" xfId="844"/>
    <cellStyle name="Normal 174 7 10" xfId="2656"/>
    <cellStyle name="Normal 174 7 10 2" xfId="6161"/>
    <cellStyle name="Normal 174 7 10 2 2" xfId="14642"/>
    <cellStyle name="Normal 174 7 10 2 3" xfId="21156"/>
    <cellStyle name="Normal 174 7 10 2 4" xfId="27545"/>
    <cellStyle name="Normal 174 7 10 3" xfId="11169"/>
    <cellStyle name="Normal 174 7 10 4" xfId="17738"/>
    <cellStyle name="Normal 174 7 10 5" xfId="24141"/>
    <cellStyle name="Normal 174 7 11" xfId="2408"/>
    <cellStyle name="Normal 174 7 11 2" xfId="5956"/>
    <cellStyle name="Normal 174 7 11 2 2" xfId="14437"/>
    <cellStyle name="Normal 174 7 11 2 3" xfId="20951"/>
    <cellStyle name="Normal 174 7 11 2 4" xfId="27340"/>
    <cellStyle name="Normal 174 7 11 3" xfId="10952"/>
    <cellStyle name="Normal 174 7 11 4" xfId="17405"/>
    <cellStyle name="Normal 174 7 11 5" xfId="23843"/>
    <cellStyle name="Normal 174 7 12" xfId="2528"/>
    <cellStyle name="Normal 174 7 12 2" xfId="6048"/>
    <cellStyle name="Normal 174 7 12 2 2" xfId="14529"/>
    <cellStyle name="Normal 174 7 12 2 3" xfId="21043"/>
    <cellStyle name="Normal 174 7 12 2 4" xfId="27432"/>
    <cellStyle name="Normal 174 7 12 3" xfId="11050"/>
    <cellStyle name="Normal 174 7 12 4" xfId="17622"/>
    <cellStyle name="Normal 174 7 12 5" xfId="24028"/>
    <cellStyle name="Normal 174 7 13" xfId="2006"/>
    <cellStyle name="Normal 174 7 13 2" xfId="5593"/>
    <cellStyle name="Normal 174 7 13 2 2" xfId="14074"/>
    <cellStyle name="Normal 174 7 13 2 3" xfId="20588"/>
    <cellStyle name="Normal 174 7 13 2 4" xfId="26977"/>
    <cellStyle name="Normal 174 7 13 3" xfId="10574"/>
    <cellStyle name="Normal 174 7 13 4" xfId="9489"/>
    <cellStyle name="Normal 174 7 13 5" xfId="10223"/>
    <cellStyle name="Normal 174 7 14" xfId="2340"/>
    <cellStyle name="Normal 174 7 14 2" xfId="5896"/>
    <cellStyle name="Normal 174 7 14 2 2" xfId="14377"/>
    <cellStyle name="Normal 174 7 14 2 3" xfId="20891"/>
    <cellStyle name="Normal 174 7 14 2 4" xfId="27280"/>
    <cellStyle name="Normal 174 7 14 3" xfId="10886"/>
    <cellStyle name="Normal 174 7 14 4" xfId="9340"/>
    <cellStyle name="Normal 174 7 14 5" xfId="17035"/>
    <cellStyle name="Normal 174 7 15" xfId="2614"/>
    <cellStyle name="Normal 174 7 15 2" xfId="6127"/>
    <cellStyle name="Normal 174 7 15 2 2" xfId="14608"/>
    <cellStyle name="Normal 174 7 15 2 3" xfId="21122"/>
    <cellStyle name="Normal 174 7 15 2 4" xfId="27511"/>
    <cellStyle name="Normal 174 7 15 3" xfId="11133"/>
    <cellStyle name="Normal 174 7 15 4" xfId="17702"/>
    <cellStyle name="Normal 174 7 15 5" xfId="24107"/>
    <cellStyle name="Normal 174 7 16" xfId="2430"/>
    <cellStyle name="Normal 174 7 16 2" xfId="5971"/>
    <cellStyle name="Normal 174 7 16 2 2" xfId="14452"/>
    <cellStyle name="Normal 174 7 16 2 3" xfId="20966"/>
    <cellStyle name="Normal 174 7 16 2 4" xfId="27355"/>
    <cellStyle name="Normal 174 7 16 3" xfId="10969"/>
    <cellStyle name="Normal 174 7 16 4" xfId="17289"/>
    <cellStyle name="Normal 174 7 16 5" xfId="23762"/>
    <cellStyle name="Normal 174 7 17" xfId="2063"/>
    <cellStyle name="Normal 174 7 17 2" xfId="5639"/>
    <cellStyle name="Normal 174 7 17 2 2" xfId="14120"/>
    <cellStyle name="Normal 174 7 17 2 3" xfId="20634"/>
    <cellStyle name="Normal 174 7 17 2 4" xfId="27023"/>
    <cellStyle name="Normal 174 7 17 3" xfId="10624"/>
    <cellStyle name="Normal 174 7 17 4" xfId="17391"/>
    <cellStyle name="Normal 174 7 17 5" xfId="23830"/>
    <cellStyle name="Normal 174 7 18" xfId="2285"/>
    <cellStyle name="Normal 174 7 18 2" xfId="5852"/>
    <cellStyle name="Normal 174 7 18 2 2" xfId="14333"/>
    <cellStyle name="Normal 174 7 18 2 3" xfId="20847"/>
    <cellStyle name="Normal 174 7 18 2 4" xfId="27236"/>
    <cellStyle name="Normal 174 7 18 3" xfId="10839"/>
    <cellStyle name="Normal 174 7 18 4" xfId="17209"/>
    <cellStyle name="Normal 174 7 18 5" xfId="23684"/>
    <cellStyle name="Normal 174 7 19" xfId="5228"/>
    <cellStyle name="Normal 174 7 19 2" xfId="13710"/>
    <cellStyle name="Normal 174 7 19 3" xfId="20228"/>
    <cellStyle name="Normal 174 7 19 4" xfId="26617"/>
    <cellStyle name="Normal 174 7 2" xfId="1832"/>
    <cellStyle name="Normal 174 7 2 2" xfId="5430"/>
    <cellStyle name="Normal 174 7 2 2 2" xfId="13911"/>
    <cellStyle name="Normal 174 7 2 2 3" xfId="20425"/>
    <cellStyle name="Normal 174 7 2 2 4" xfId="26814"/>
    <cellStyle name="Normal 174 7 2 3" xfId="10404"/>
    <cellStyle name="Normal 174 7 2 4" xfId="9594"/>
    <cellStyle name="Normal 174 7 2 5" xfId="13168"/>
    <cellStyle name="Normal 174 7 20" xfId="9860"/>
    <cellStyle name="Normal 174 7 21" xfId="9899"/>
    <cellStyle name="Normal 174 7 22" xfId="9873"/>
    <cellStyle name="Normal 174 7 3" xfId="2577"/>
    <cellStyle name="Normal 174 7 3 2" xfId="6093"/>
    <cellStyle name="Normal 174 7 3 2 2" xfId="14574"/>
    <cellStyle name="Normal 174 7 3 2 3" xfId="21088"/>
    <cellStyle name="Normal 174 7 3 2 4" xfId="27477"/>
    <cellStyle name="Normal 174 7 3 3" xfId="11097"/>
    <cellStyle name="Normal 174 7 3 4" xfId="17667"/>
    <cellStyle name="Normal 174 7 3 5" xfId="24073"/>
    <cellStyle name="Normal 174 7 4" xfId="1984"/>
    <cellStyle name="Normal 174 7 4 2" xfId="5573"/>
    <cellStyle name="Normal 174 7 4 2 2" xfId="14054"/>
    <cellStyle name="Normal 174 7 4 2 3" xfId="20568"/>
    <cellStyle name="Normal 174 7 4 2 4" xfId="26957"/>
    <cellStyle name="Normal 174 7 4 3" xfId="10553"/>
    <cellStyle name="Normal 174 7 4 4" xfId="9510"/>
    <cellStyle name="Normal 174 7 4 5" xfId="10202"/>
    <cellStyle name="Normal 174 7 5" xfId="2362"/>
    <cellStyle name="Normal 174 7 5 2" xfId="5916"/>
    <cellStyle name="Normal 174 7 5 2 2" xfId="14397"/>
    <cellStyle name="Normal 174 7 5 2 3" xfId="20911"/>
    <cellStyle name="Normal 174 7 5 2 4" xfId="27300"/>
    <cellStyle name="Normal 174 7 5 3" xfId="10908"/>
    <cellStyle name="Normal 174 7 5 4" xfId="17261"/>
    <cellStyle name="Normal 174 7 5 5" xfId="23736"/>
    <cellStyle name="Normal 174 7 6" xfId="2593"/>
    <cellStyle name="Normal 174 7 6 2" xfId="6108"/>
    <cellStyle name="Normal 174 7 6 2 2" xfId="14589"/>
    <cellStyle name="Normal 174 7 6 2 3" xfId="21103"/>
    <cellStyle name="Normal 174 7 6 2 4" xfId="27492"/>
    <cellStyle name="Normal 174 7 6 3" xfId="11113"/>
    <cellStyle name="Normal 174 7 6 4" xfId="17683"/>
    <cellStyle name="Normal 174 7 6 5" xfId="24088"/>
    <cellStyle name="Normal 174 7 7" xfId="2439"/>
    <cellStyle name="Normal 174 7 7 2" xfId="5979"/>
    <cellStyle name="Normal 174 7 7 2 2" xfId="14460"/>
    <cellStyle name="Normal 174 7 7 2 3" xfId="20974"/>
    <cellStyle name="Normal 174 7 7 2 4" xfId="27363"/>
    <cellStyle name="Normal 174 7 7 3" xfId="10977"/>
    <cellStyle name="Normal 174 7 7 4" xfId="17297"/>
    <cellStyle name="Normal 174 7 7 5" xfId="23770"/>
    <cellStyle name="Normal 174 7 8" xfId="2054"/>
    <cellStyle name="Normal 174 7 8 2" xfId="5631"/>
    <cellStyle name="Normal 174 7 8 2 2" xfId="14112"/>
    <cellStyle name="Normal 174 7 8 2 3" xfId="20626"/>
    <cellStyle name="Normal 174 7 8 2 4" xfId="27015"/>
    <cellStyle name="Normal 174 7 8 3" xfId="10615"/>
    <cellStyle name="Normal 174 7 8 4" xfId="9450"/>
    <cellStyle name="Normal 174 7 8 5" xfId="10249"/>
    <cellStyle name="Normal 174 7 9" xfId="2293"/>
    <cellStyle name="Normal 174 7 9 2" xfId="5859"/>
    <cellStyle name="Normal 174 7 9 2 2" xfId="14340"/>
    <cellStyle name="Normal 174 7 9 2 3" xfId="20854"/>
    <cellStyle name="Normal 174 7 9 2 4" xfId="27243"/>
    <cellStyle name="Normal 174 7 9 3" xfId="10846"/>
    <cellStyle name="Normal 174 7 9 4" xfId="17216"/>
    <cellStyle name="Normal 174 7 9 5" xfId="23691"/>
    <cellStyle name="Normal 174 8" xfId="845"/>
    <cellStyle name="Normal 174 8 10" xfId="2836"/>
    <cellStyle name="Normal 174 8 10 2" xfId="6334"/>
    <cellStyle name="Normal 174 8 10 2 2" xfId="14815"/>
    <cellStyle name="Normal 174 8 10 2 3" xfId="21329"/>
    <cellStyle name="Normal 174 8 10 2 4" xfId="27718"/>
    <cellStyle name="Normal 174 8 10 3" xfId="11343"/>
    <cellStyle name="Normal 174 8 10 4" xfId="17912"/>
    <cellStyle name="Normal 174 8 10 5" xfId="24314"/>
    <cellStyle name="Normal 174 8 11" xfId="3010"/>
    <cellStyle name="Normal 174 8 11 2" xfId="6501"/>
    <cellStyle name="Normal 174 8 11 2 2" xfId="14982"/>
    <cellStyle name="Normal 174 8 11 2 3" xfId="21496"/>
    <cellStyle name="Normal 174 8 11 2 4" xfId="27885"/>
    <cellStyle name="Normal 174 8 11 3" xfId="11513"/>
    <cellStyle name="Normal 174 8 11 4" xfId="18079"/>
    <cellStyle name="Normal 174 8 11 5" xfId="24481"/>
    <cellStyle name="Normal 174 8 12" xfId="3183"/>
    <cellStyle name="Normal 174 8 12 2" xfId="6668"/>
    <cellStyle name="Normal 174 8 12 2 2" xfId="15149"/>
    <cellStyle name="Normal 174 8 12 2 3" xfId="21663"/>
    <cellStyle name="Normal 174 8 12 2 4" xfId="28052"/>
    <cellStyle name="Normal 174 8 12 3" xfId="11684"/>
    <cellStyle name="Normal 174 8 12 4" xfId="18246"/>
    <cellStyle name="Normal 174 8 12 5" xfId="24648"/>
    <cellStyle name="Normal 174 8 13" xfId="3354"/>
    <cellStyle name="Normal 174 8 13 2" xfId="6833"/>
    <cellStyle name="Normal 174 8 13 2 2" xfId="15314"/>
    <cellStyle name="Normal 174 8 13 2 3" xfId="21828"/>
    <cellStyle name="Normal 174 8 13 2 4" xfId="28217"/>
    <cellStyle name="Normal 174 8 13 3" xfId="11852"/>
    <cellStyle name="Normal 174 8 13 4" xfId="18411"/>
    <cellStyle name="Normal 174 8 13 5" xfId="24813"/>
    <cellStyle name="Normal 174 8 14" xfId="3525"/>
    <cellStyle name="Normal 174 8 14 2" xfId="6998"/>
    <cellStyle name="Normal 174 8 14 2 2" xfId="15479"/>
    <cellStyle name="Normal 174 8 14 2 3" xfId="21993"/>
    <cellStyle name="Normal 174 8 14 2 4" xfId="28382"/>
    <cellStyle name="Normal 174 8 14 3" xfId="12021"/>
    <cellStyle name="Normal 174 8 14 4" xfId="18577"/>
    <cellStyle name="Normal 174 8 14 5" xfId="24978"/>
    <cellStyle name="Normal 174 8 15" xfId="3695"/>
    <cellStyle name="Normal 174 8 15 2" xfId="7162"/>
    <cellStyle name="Normal 174 8 15 2 2" xfId="15643"/>
    <cellStyle name="Normal 174 8 15 2 3" xfId="22157"/>
    <cellStyle name="Normal 174 8 15 2 4" xfId="28546"/>
    <cellStyle name="Normal 174 8 15 3" xfId="12190"/>
    <cellStyle name="Normal 174 8 15 4" xfId="18743"/>
    <cellStyle name="Normal 174 8 15 5" xfId="25142"/>
    <cellStyle name="Normal 174 8 16" xfId="3864"/>
    <cellStyle name="Normal 174 8 16 2" xfId="7325"/>
    <cellStyle name="Normal 174 8 16 2 2" xfId="15806"/>
    <cellStyle name="Normal 174 8 16 2 3" xfId="22320"/>
    <cellStyle name="Normal 174 8 16 2 4" xfId="28709"/>
    <cellStyle name="Normal 174 8 16 3" xfId="12358"/>
    <cellStyle name="Normal 174 8 16 4" xfId="18908"/>
    <cellStyle name="Normal 174 8 16 5" xfId="25305"/>
    <cellStyle name="Normal 174 8 17" xfId="4031"/>
    <cellStyle name="Normal 174 8 17 2" xfId="7487"/>
    <cellStyle name="Normal 174 8 17 2 2" xfId="15968"/>
    <cellStyle name="Normal 174 8 17 2 3" xfId="22482"/>
    <cellStyle name="Normal 174 8 17 2 4" xfId="28871"/>
    <cellStyle name="Normal 174 8 17 3" xfId="12524"/>
    <cellStyle name="Normal 174 8 17 4" xfId="19071"/>
    <cellStyle name="Normal 174 8 17 5" xfId="25467"/>
    <cellStyle name="Normal 174 8 18" xfId="4196"/>
    <cellStyle name="Normal 174 8 18 2" xfId="7647"/>
    <cellStyle name="Normal 174 8 18 2 2" xfId="16128"/>
    <cellStyle name="Normal 174 8 18 2 3" xfId="22642"/>
    <cellStyle name="Normal 174 8 18 2 4" xfId="29031"/>
    <cellStyle name="Normal 174 8 18 3" xfId="12688"/>
    <cellStyle name="Normal 174 8 18 4" xfId="19232"/>
    <cellStyle name="Normal 174 8 18 5" xfId="25627"/>
    <cellStyle name="Normal 174 8 19" xfId="5229"/>
    <cellStyle name="Normal 174 8 19 2" xfId="13711"/>
    <cellStyle name="Normal 174 8 19 3" xfId="20229"/>
    <cellStyle name="Normal 174 8 19 4" xfId="26618"/>
    <cellStyle name="Normal 174 8 2" xfId="1833"/>
    <cellStyle name="Normal 174 8 2 2" xfId="5431"/>
    <cellStyle name="Normal 174 8 2 2 2" xfId="13912"/>
    <cellStyle name="Normal 174 8 2 2 3" xfId="20426"/>
    <cellStyle name="Normal 174 8 2 2 4" xfId="26815"/>
    <cellStyle name="Normal 174 8 2 3" xfId="10405"/>
    <cellStyle name="Normal 174 8 2 4" xfId="9593"/>
    <cellStyle name="Normal 174 8 2 5" xfId="13326"/>
    <cellStyle name="Normal 174 8 20" xfId="9861"/>
    <cellStyle name="Normal 174 8 21" xfId="9897"/>
    <cellStyle name="Normal 174 8 22" xfId="10901"/>
    <cellStyle name="Normal 174 8 3" xfId="2578"/>
    <cellStyle name="Normal 174 8 3 2" xfId="6094"/>
    <cellStyle name="Normal 174 8 3 2 2" xfId="14575"/>
    <cellStyle name="Normal 174 8 3 2 3" xfId="21089"/>
    <cellStyle name="Normal 174 8 3 2 4" xfId="27478"/>
    <cellStyle name="Normal 174 8 3 3" xfId="11098"/>
    <cellStyle name="Normal 174 8 3 4" xfId="17668"/>
    <cellStyle name="Normal 174 8 3 5" xfId="24074"/>
    <cellStyle name="Normal 174 8 4" xfId="2450"/>
    <cellStyle name="Normal 174 8 4 2" xfId="5989"/>
    <cellStyle name="Normal 174 8 4 2 2" xfId="14470"/>
    <cellStyle name="Normal 174 8 4 2 3" xfId="20984"/>
    <cellStyle name="Normal 174 8 4 2 4" xfId="27373"/>
    <cellStyle name="Normal 174 8 4 3" xfId="10988"/>
    <cellStyle name="Normal 174 8 4 4" xfId="17562"/>
    <cellStyle name="Normal 174 8 4 5" xfId="23969"/>
    <cellStyle name="Normal 174 8 5" xfId="2043"/>
    <cellStyle name="Normal 174 8 5 2" xfId="5621"/>
    <cellStyle name="Normal 174 8 5 2 2" xfId="14102"/>
    <cellStyle name="Normal 174 8 5 2 3" xfId="20616"/>
    <cellStyle name="Normal 174 8 5 2 4" xfId="27005"/>
    <cellStyle name="Normal 174 8 5 3" xfId="10604"/>
    <cellStyle name="Normal 174 8 5 4" xfId="17324"/>
    <cellStyle name="Normal 174 8 5 5" xfId="23791"/>
    <cellStyle name="Normal 174 8 6" xfId="2304"/>
    <cellStyle name="Normal 174 8 6 2" xfId="5869"/>
    <cellStyle name="Normal 174 8 6 2 2" xfId="14350"/>
    <cellStyle name="Normal 174 8 6 2 3" xfId="20864"/>
    <cellStyle name="Normal 174 8 6 2 4" xfId="27253"/>
    <cellStyle name="Normal 174 8 6 3" xfId="10856"/>
    <cellStyle name="Normal 174 8 6 4" xfId="17225"/>
    <cellStyle name="Normal 174 8 6 5" xfId="23700"/>
    <cellStyle name="Normal 174 8 7" xfId="2645"/>
    <cellStyle name="Normal 174 8 7 2" xfId="6151"/>
    <cellStyle name="Normal 174 8 7 2 2" xfId="14632"/>
    <cellStyle name="Normal 174 8 7 2 3" xfId="21146"/>
    <cellStyle name="Normal 174 8 7 2 4" xfId="27535"/>
    <cellStyle name="Normal 174 8 7 3" xfId="11159"/>
    <cellStyle name="Normal 174 8 7 4" xfId="17728"/>
    <cellStyle name="Normal 174 8 7 5" xfId="24131"/>
    <cellStyle name="Normal 174 8 8" xfId="2414"/>
    <cellStyle name="Normal 174 8 8 2" xfId="5961"/>
    <cellStyle name="Normal 174 8 8 2 2" xfId="14442"/>
    <cellStyle name="Normal 174 8 8 2 3" xfId="20956"/>
    <cellStyle name="Normal 174 8 8 2 4" xfId="27345"/>
    <cellStyle name="Normal 174 8 8 3" xfId="10958"/>
    <cellStyle name="Normal 174 8 8 4" xfId="17278"/>
    <cellStyle name="Normal 174 8 8 5" xfId="23752"/>
    <cellStyle name="Normal 174 8 9" xfId="2083"/>
    <cellStyle name="Normal 174 8 9 2" xfId="5656"/>
    <cellStyle name="Normal 174 8 9 2 2" xfId="14137"/>
    <cellStyle name="Normal 174 8 9 2 3" xfId="20651"/>
    <cellStyle name="Normal 174 8 9 2 4" xfId="27040"/>
    <cellStyle name="Normal 174 8 9 3" xfId="10642"/>
    <cellStyle name="Normal 174 8 9 4" xfId="17412"/>
    <cellStyle name="Normal 174 8 9 5" xfId="23849"/>
    <cellStyle name="Normal 174 9" xfId="846"/>
    <cellStyle name="Normal 174 9 10" xfId="2655"/>
    <cellStyle name="Normal 174 9 10 2" xfId="6160"/>
    <cellStyle name="Normal 174 9 10 2 2" xfId="14641"/>
    <cellStyle name="Normal 174 9 10 2 3" xfId="21155"/>
    <cellStyle name="Normal 174 9 10 2 4" xfId="27544"/>
    <cellStyle name="Normal 174 9 10 3" xfId="11168"/>
    <cellStyle name="Normal 174 9 10 4" xfId="17737"/>
    <cellStyle name="Normal 174 9 10 5" xfId="24140"/>
    <cellStyle name="Normal 174 9 11" xfId="1949"/>
    <cellStyle name="Normal 174 9 11 2" xfId="5541"/>
    <cellStyle name="Normal 174 9 11 2 2" xfId="14022"/>
    <cellStyle name="Normal 174 9 11 2 3" xfId="20536"/>
    <cellStyle name="Normal 174 9 11 2 4" xfId="26925"/>
    <cellStyle name="Normal 174 9 11 3" xfId="10519"/>
    <cellStyle name="Normal 174 9 11 4" xfId="9527"/>
    <cellStyle name="Normal 174 9 11 5" xfId="17447"/>
    <cellStyle name="Normal 174 9 12" xfId="2396"/>
    <cellStyle name="Normal 174 9 12 2" xfId="5947"/>
    <cellStyle name="Normal 174 9 12 2 2" xfId="14428"/>
    <cellStyle name="Normal 174 9 12 2 3" xfId="20942"/>
    <cellStyle name="Normal 174 9 12 2 4" xfId="27331"/>
    <cellStyle name="Normal 174 9 12 3" xfId="10941"/>
    <cellStyle name="Normal 174 9 12 4" xfId="17465"/>
    <cellStyle name="Normal 174 9 12 5" xfId="23892"/>
    <cellStyle name="Normal 174 9 13" xfId="2539"/>
    <cellStyle name="Normal 174 9 13 2" xfId="6057"/>
    <cellStyle name="Normal 174 9 13 2 2" xfId="14538"/>
    <cellStyle name="Normal 174 9 13 2 3" xfId="21052"/>
    <cellStyle name="Normal 174 9 13 2 4" xfId="27441"/>
    <cellStyle name="Normal 174 9 13 3" xfId="11061"/>
    <cellStyle name="Normal 174 9 13 4" xfId="17631"/>
    <cellStyle name="Normal 174 9 13 5" xfId="24037"/>
    <cellStyle name="Normal 174 9 14" xfId="2000"/>
    <cellStyle name="Normal 174 9 14 2" xfId="5589"/>
    <cellStyle name="Normal 174 9 14 2 2" xfId="14070"/>
    <cellStyle name="Normal 174 9 14 2 3" xfId="20584"/>
    <cellStyle name="Normal 174 9 14 2 4" xfId="26973"/>
    <cellStyle name="Normal 174 9 14 3" xfId="10569"/>
    <cellStyle name="Normal 174 9 14 4" xfId="9493"/>
    <cellStyle name="Normal 174 9 14 5" xfId="10219"/>
    <cellStyle name="Normal 174 9 15" xfId="2345"/>
    <cellStyle name="Normal 174 9 15 2" xfId="5900"/>
    <cellStyle name="Normal 174 9 15 2 2" xfId="14381"/>
    <cellStyle name="Normal 174 9 15 2 3" xfId="20895"/>
    <cellStyle name="Normal 174 9 15 2 4" xfId="27284"/>
    <cellStyle name="Normal 174 9 15 3" xfId="10891"/>
    <cellStyle name="Normal 174 9 15 4" xfId="9336"/>
    <cellStyle name="Normal 174 9 15 5" xfId="17032"/>
    <cellStyle name="Normal 174 9 16" xfId="2609"/>
    <cellStyle name="Normal 174 9 16 2" xfId="6123"/>
    <cellStyle name="Normal 174 9 16 2 2" xfId="14604"/>
    <cellStyle name="Normal 174 9 16 2 3" xfId="21118"/>
    <cellStyle name="Normal 174 9 16 2 4" xfId="27507"/>
    <cellStyle name="Normal 174 9 16 3" xfId="11128"/>
    <cellStyle name="Normal 174 9 16 4" xfId="17698"/>
    <cellStyle name="Normal 174 9 16 5" xfId="24103"/>
    <cellStyle name="Normal 174 9 17" xfId="2432"/>
    <cellStyle name="Normal 174 9 17 2" xfId="5973"/>
    <cellStyle name="Normal 174 9 17 2 2" xfId="14454"/>
    <cellStyle name="Normal 174 9 17 2 3" xfId="20968"/>
    <cellStyle name="Normal 174 9 17 2 4" xfId="27357"/>
    <cellStyle name="Normal 174 9 17 3" xfId="10971"/>
    <cellStyle name="Normal 174 9 17 4" xfId="17291"/>
    <cellStyle name="Normal 174 9 17 5" xfId="23764"/>
    <cellStyle name="Normal 174 9 18" xfId="2061"/>
    <cellStyle name="Normal 174 9 18 2" xfId="5637"/>
    <cellStyle name="Normal 174 9 18 2 2" xfId="14118"/>
    <cellStyle name="Normal 174 9 18 2 3" xfId="20632"/>
    <cellStyle name="Normal 174 9 18 2 4" xfId="27021"/>
    <cellStyle name="Normal 174 9 18 3" xfId="10622"/>
    <cellStyle name="Normal 174 9 18 4" xfId="9444"/>
    <cellStyle name="Normal 174 9 18 5" xfId="17363"/>
    <cellStyle name="Normal 174 9 19" xfId="5230"/>
    <cellStyle name="Normal 174 9 19 2" xfId="13712"/>
    <cellStyle name="Normal 174 9 19 3" xfId="20230"/>
    <cellStyle name="Normal 174 9 19 4" xfId="26619"/>
    <cellStyle name="Normal 174 9 2" xfId="1834"/>
    <cellStyle name="Normal 174 9 2 2" xfId="5432"/>
    <cellStyle name="Normal 174 9 2 2 2" xfId="13913"/>
    <cellStyle name="Normal 174 9 2 2 3" xfId="20427"/>
    <cellStyle name="Normal 174 9 2 2 4" xfId="26816"/>
    <cellStyle name="Normal 174 9 2 3" xfId="10406"/>
    <cellStyle name="Normal 174 9 2 4" xfId="17467"/>
    <cellStyle name="Normal 174 9 2 5" xfId="23894"/>
    <cellStyle name="Normal 174 9 20" xfId="9862"/>
    <cellStyle name="Normal 174 9 21" xfId="9896"/>
    <cellStyle name="Normal 174 9 22" xfId="17084"/>
    <cellStyle name="Normal 174 9 3" xfId="2579"/>
    <cellStyle name="Normal 174 9 3 2" xfId="6095"/>
    <cellStyle name="Normal 174 9 3 2 2" xfId="14576"/>
    <cellStyle name="Normal 174 9 3 2 3" xfId="21090"/>
    <cellStyle name="Normal 174 9 3 2 4" xfId="27479"/>
    <cellStyle name="Normal 174 9 3 3" xfId="11099"/>
    <cellStyle name="Normal 174 9 3 4" xfId="17669"/>
    <cellStyle name="Normal 174 9 3 5" xfId="24075"/>
    <cellStyle name="Normal 174 9 4" xfId="1983"/>
    <cellStyle name="Normal 174 9 4 2" xfId="5572"/>
    <cellStyle name="Normal 174 9 4 2 2" xfId="14053"/>
    <cellStyle name="Normal 174 9 4 2 3" xfId="20567"/>
    <cellStyle name="Normal 174 9 4 2 4" xfId="26956"/>
    <cellStyle name="Normal 174 9 4 3" xfId="10552"/>
    <cellStyle name="Normal 174 9 4 4" xfId="9511"/>
    <cellStyle name="Normal 174 9 4 5" xfId="10201"/>
    <cellStyle name="Normal 174 9 5" xfId="2363"/>
    <cellStyle name="Normal 174 9 5 2" xfId="5917"/>
    <cellStyle name="Normal 174 9 5 2 2" xfId="14398"/>
    <cellStyle name="Normal 174 9 5 2 3" xfId="20912"/>
    <cellStyle name="Normal 174 9 5 2 4" xfId="27301"/>
    <cellStyle name="Normal 174 9 5 3" xfId="10909"/>
    <cellStyle name="Normal 174 9 5 4" xfId="17262"/>
    <cellStyle name="Normal 174 9 5 5" xfId="23737"/>
    <cellStyle name="Normal 174 9 6" xfId="2592"/>
    <cellStyle name="Normal 174 9 6 2" xfId="6107"/>
    <cellStyle name="Normal 174 9 6 2 2" xfId="14588"/>
    <cellStyle name="Normal 174 9 6 2 3" xfId="21102"/>
    <cellStyle name="Normal 174 9 6 2 4" xfId="27491"/>
    <cellStyle name="Normal 174 9 6 3" xfId="11112"/>
    <cellStyle name="Normal 174 9 6 4" xfId="17682"/>
    <cellStyle name="Normal 174 9 6 5" xfId="24087"/>
    <cellStyle name="Normal 174 9 7" xfId="2440"/>
    <cellStyle name="Normal 174 9 7 2" xfId="5980"/>
    <cellStyle name="Normal 174 9 7 2 2" xfId="14461"/>
    <cellStyle name="Normal 174 9 7 2 3" xfId="20975"/>
    <cellStyle name="Normal 174 9 7 2 4" xfId="27364"/>
    <cellStyle name="Normal 174 9 7 3" xfId="10978"/>
    <cellStyle name="Normal 174 9 7 4" xfId="17298"/>
    <cellStyle name="Normal 174 9 7 5" xfId="23771"/>
    <cellStyle name="Normal 174 9 8" xfId="2053"/>
    <cellStyle name="Normal 174 9 8 2" xfId="5630"/>
    <cellStyle name="Normal 174 9 8 2 2" xfId="14111"/>
    <cellStyle name="Normal 174 9 8 2 3" xfId="20625"/>
    <cellStyle name="Normal 174 9 8 2 4" xfId="27014"/>
    <cellStyle name="Normal 174 9 8 3" xfId="10614"/>
    <cellStyle name="Normal 174 9 8 4" xfId="9451"/>
    <cellStyle name="Normal 174 9 8 5" xfId="10248"/>
    <cellStyle name="Normal 174 9 9" xfId="2294"/>
    <cellStyle name="Normal 174 9 9 2" xfId="5860"/>
    <cellStyle name="Normal 174 9 9 2 2" xfId="14341"/>
    <cellStyle name="Normal 174 9 9 2 3" xfId="20855"/>
    <cellStyle name="Normal 174 9 9 2 4" xfId="27244"/>
    <cellStyle name="Normal 174 9 9 3" xfId="10847"/>
    <cellStyle name="Normal 174 9 9 4" xfId="17217"/>
    <cellStyle name="Normal 174 9 9 5" xfId="23692"/>
    <cellStyle name="Normal 175" xfId="2002"/>
    <cellStyle name="Normal 175 2" xfId="9109"/>
    <cellStyle name="Normal 176" xfId="8993"/>
    <cellStyle name="Normal 176 2" xfId="17358"/>
    <cellStyle name="Normal 176 3" xfId="23806"/>
    <cellStyle name="Normal 176 4" xfId="29970"/>
    <cellStyle name="Normal 177" xfId="9085"/>
    <cellStyle name="Normal 178" xfId="847"/>
    <cellStyle name="Normal 178 2" xfId="848"/>
    <cellStyle name="Normal 178 3" xfId="8897"/>
    <cellStyle name="Normal 178 4" xfId="8937"/>
    <cellStyle name="Normal 179" xfId="9046"/>
    <cellStyle name="Normal 179 2" xfId="8980"/>
    <cellStyle name="Normal 18" xfId="849"/>
    <cellStyle name="Normal 18 10" xfId="850"/>
    <cellStyle name="Normal 18 11" xfId="851"/>
    <cellStyle name="Normal 18 12" xfId="852"/>
    <cellStyle name="Normal 18 13" xfId="853"/>
    <cellStyle name="Normal 18 14" xfId="854"/>
    <cellStyle name="Normal 18 15" xfId="855"/>
    <cellStyle name="Normal 18 16" xfId="856"/>
    <cellStyle name="Normal 18 17" xfId="857"/>
    <cellStyle name="Normal 18 18" xfId="858"/>
    <cellStyle name="Normal 18 19" xfId="859"/>
    <cellStyle name="Normal 18 2" xfId="860"/>
    <cellStyle name="Normal 18 20" xfId="861"/>
    <cellStyle name="Normal 18 21" xfId="1835"/>
    <cellStyle name="Normal 18 21 2" xfId="5433"/>
    <cellStyle name="Normal 18 21 2 2" xfId="13914"/>
    <cellStyle name="Normal 18 21 2 3" xfId="20428"/>
    <cellStyle name="Normal 18 21 2 4" xfId="26817"/>
    <cellStyle name="Normal 18 21 3" xfId="10407"/>
    <cellStyle name="Normal 18 21 4" xfId="17111"/>
    <cellStyle name="Normal 18 21 5" xfId="23588"/>
    <cellStyle name="Normal 18 22" xfId="2143"/>
    <cellStyle name="Normal 18 22 2" xfId="5716"/>
    <cellStyle name="Normal 18 22 2 2" xfId="14197"/>
    <cellStyle name="Normal 18 22 2 3" xfId="20711"/>
    <cellStyle name="Normal 18 22 2 4" xfId="27100"/>
    <cellStyle name="Normal 18 22 3" xfId="10702"/>
    <cellStyle name="Normal 18 22 4" xfId="9373"/>
    <cellStyle name="Normal 18 22 5" xfId="10288"/>
    <cellStyle name="Normal 18 23" xfId="2789"/>
    <cellStyle name="Normal 18 23 2" xfId="6287"/>
    <cellStyle name="Normal 18 23 2 2" xfId="14768"/>
    <cellStyle name="Normal 18 23 2 3" xfId="21282"/>
    <cellStyle name="Normal 18 23 2 4" xfId="27671"/>
    <cellStyle name="Normal 18 23 3" xfId="11296"/>
    <cellStyle name="Normal 18 23 4" xfId="17865"/>
    <cellStyle name="Normal 18 23 5" xfId="24267"/>
    <cellStyle name="Normal 18 24" xfId="2963"/>
    <cellStyle name="Normal 18 24 2" xfId="6454"/>
    <cellStyle name="Normal 18 24 2 2" xfId="14935"/>
    <cellStyle name="Normal 18 24 2 3" xfId="21449"/>
    <cellStyle name="Normal 18 24 2 4" xfId="27838"/>
    <cellStyle name="Normal 18 24 3" xfId="11466"/>
    <cellStyle name="Normal 18 24 4" xfId="18032"/>
    <cellStyle name="Normal 18 24 5" xfId="24434"/>
    <cellStyle name="Normal 18 25" xfId="3136"/>
    <cellStyle name="Normal 18 25 2" xfId="6621"/>
    <cellStyle name="Normal 18 25 2 2" xfId="15102"/>
    <cellStyle name="Normal 18 25 2 3" xfId="21616"/>
    <cellStyle name="Normal 18 25 2 4" xfId="28005"/>
    <cellStyle name="Normal 18 25 3" xfId="11637"/>
    <cellStyle name="Normal 18 25 4" xfId="18199"/>
    <cellStyle name="Normal 18 25 5" xfId="24601"/>
    <cellStyle name="Normal 18 26" xfId="3309"/>
    <cellStyle name="Normal 18 26 2" xfId="6788"/>
    <cellStyle name="Normal 18 26 2 2" xfId="15269"/>
    <cellStyle name="Normal 18 26 2 3" xfId="21783"/>
    <cellStyle name="Normal 18 26 2 4" xfId="28172"/>
    <cellStyle name="Normal 18 26 3" xfId="11807"/>
    <cellStyle name="Normal 18 26 4" xfId="18366"/>
    <cellStyle name="Normal 18 26 5" xfId="24768"/>
    <cellStyle name="Normal 18 27" xfId="3480"/>
    <cellStyle name="Normal 18 27 2" xfId="6953"/>
    <cellStyle name="Normal 18 27 2 2" xfId="15434"/>
    <cellStyle name="Normal 18 27 2 3" xfId="21948"/>
    <cellStyle name="Normal 18 27 2 4" xfId="28337"/>
    <cellStyle name="Normal 18 27 3" xfId="11976"/>
    <cellStyle name="Normal 18 27 4" xfId="18532"/>
    <cellStyle name="Normal 18 27 5" xfId="24933"/>
    <cellStyle name="Normal 18 28" xfId="3650"/>
    <cellStyle name="Normal 18 28 2" xfId="7117"/>
    <cellStyle name="Normal 18 28 2 2" xfId="15598"/>
    <cellStyle name="Normal 18 28 2 3" xfId="22112"/>
    <cellStyle name="Normal 18 28 2 4" xfId="28501"/>
    <cellStyle name="Normal 18 28 3" xfId="12145"/>
    <cellStyle name="Normal 18 28 4" xfId="18698"/>
    <cellStyle name="Normal 18 28 5" xfId="25097"/>
    <cellStyle name="Normal 18 29" xfId="3819"/>
    <cellStyle name="Normal 18 29 2" xfId="7280"/>
    <cellStyle name="Normal 18 29 2 2" xfId="15761"/>
    <cellStyle name="Normal 18 29 2 3" xfId="22275"/>
    <cellStyle name="Normal 18 29 2 4" xfId="28664"/>
    <cellStyle name="Normal 18 29 3" xfId="12313"/>
    <cellStyle name="Normal 18 29 4" xfId="18863"/>
    <cellStyle name="Normal 18 29 5" xfId="25260"/>
    <cellStyle name="Normal 18 3" xfId="862"/>
    <cellStyle name="Normal 18 30" xfId="3986"/>
    <cellStyle name="Normal 18 30 2" xfId="7442"/>
    <cellStyle name="Normal 18 30 2 2" xfId="15923"/>
    <cellStyle name="Normal 18 30 2 3" xfId="22437"/>
    <cellStyle name="Normal 18 30 2 4" xfId="28826"/>
    <cellStyle name="Normal 18 30 3" xfId="12479"/>
    <cellStyle name="Normal 18 30 4" xfId="19026"/>
    <cellStyle name="Normal 18 30 5" xfId="25422"/>
    <cellStyle name="Normal 18 31" xfId="4151"/>
    <cellStyle name="Normal 18 31 2" xfId="7602"/>
    <cellStyle name="Normal 18 31 2 2" xfId="16083"/>
    <cellStyle name="Normal 18 31 2 3" xfId="22597"/>
    <cellStyle name="Normal 18 31 2 4" xfId="28986"/>
    <cellStyle name="Normal 18 31 3" xfId="12643"/>
    <cellStyle name="Normal 18 31 4" xfId="19187"/>
    <cellStyle name="Normal 18 31 5" xfId="25582"/>
    <cellStyle name="Normal 18 32" xfId="4313"/>
    <cellStyle name="Normal 18 32 2" xfId="7759"/>
    <cellStyle name="Normal 18 32 2 2" xfId="16240"/>
    <cellStyle name="Normal 18 32 2 3" xfId="22754"/>
    <cellStyle name="Normal 18 32 2 4" xfId="29143"/>
    <cellStyle name="Normal 18 32 3" xfId="12804"/>
    <cellStyle name="Normal 18 32 4" xfId="19345"/>
    <cellStyle name="Normal 18 32 5" xfId="25739"/>
    <cellStyle name="Normal 18 33" xfId="4473"/>
    <cellStyle name="Normal 18 33 2" xfId="7914"/>
    <cellStyle name="Normal 18 33 2 2" xfId="16395"/>
    <cellStyle name="Normal 18 33 2 3" xfId="22909"/>
    <cellStyle name="Normal 18 33 2 4" xfId="29298"/>
    <cellStyle name="Normal 18 33 3" xfId="12964"/>
    <cellStyle name="Normal 18 33 4" xfId="19501"/>
    <cellStyle name="Normal 18 33 5" xfId="25894"/>
    <cellStyle name="Normal 18 34" xfId="4633"/>
    <cellStyle name="Normal 18 34 2" xfId="8069"/>
    <cellStyle name="Normal 18 34 2 2" xfId="16550"/>
    <cellStyle name="Normal 18 34 2 3" xfId="23064"/>
    <cellStyle name="Normal 18 34 2 4" xfId="29453"/>
    <cellStyle name="Normal 18 34 3" xfId="13123"/>
    <cellStyle name="Normal 18 34 4" xfId="19657"/>
    <cellStyle name="Normal 18 34 5" xfId="26049"/>
    <cellStyle name="Normal 18 35" xfId="4792"/>
    <cellStyle name="Normal 18 35 2" xfId="8223"/>
    <cellStyle name="Normal 18 35 2 2" xfId="16704"/>
    <cellStyle name="Normal 18 35 2 3" xfId="23218"/>
    <cellStyle name="Normal 18 35 2 4" xfId="29607"/>
    <cellStyle name="Normal 18 35 3" xfId="13281"/>
    <cellStyle name="Normal 18 35 4" xfId="19812"/>
    <cellStyle name="Normal 18 35 5" xfId="26203"/>
    <cellStyle name="Normal 18 36" xfId="4950"/>
    <cellStyle name="Normal 18 36 2" xfId="8376"/>
    <cellStyle name="Normal 18 36 2 2" xfId="16857"/>
    <cellStyle name="Normal 18 36 2 3" xfId="23371"/>
    <cellStyle name="Normal 18 36 2 4" xfId="29760"/>
    <cellStyle name="Normal 18 36 3" xfId="13438"/>
    <cellStyle name="Normal 18 36 4" xfId="19966"/>
    <cellStyle name="Normal 18 36 5" xfId="26356"/>
    <cellStyle name="Normal 18 37" xfId="5079"/>
    <cellStyle name="Normal 18 37 2" xfId="8500"/>
    <cellStyle name="Normal 18 37 2 2" xfId="16981"/>
    <cellStyle name="Normal 18 37 2 3" xfId="23495"/>
    <cellStyle name="Normal 18 37 2 4" xfId="29884"/>
    <cellStyle name="Normal 18 37 3" xfId="13565"/>
    <cellStyle name="Normal 18 37 4" xfId="20090"/>
    <cellStyle name="Normal 18 37 5" xfId="26480"/>
    <cellStyle name="Normal 18 38" xfId="5231"/>
    <cellStyle name="Normal 18 38 2" xfId="13713"/>
    <cellStyle name="Normal 18 38 3" xfId="20231"/>
    <cellStyle name="Normal 18 38 4" xfId="26620"/>
    <cellStyle name="Normal 18 39" xfId="9863"/>
    <cellStyle name="Normal 18 4" xfId="863"/>
    <cellStyle name="Normal 18 40" xfId="9895"/>
    <cellStyle name="Normal 18 41" xfId="9876"/>
    <cellStyle name="Normal 18 5" xfId="864"/>
    <cellStyle name="Normal 18 6" xfId="865"/>
    <cellStyle name="Normal 18 7" xfId="866"/>
    <cellStyle name="Normal 18 8" xfId="867"/>
    <cellStyle name="Normal 18 9" xfId="868"/>
    <cellStyle name="Normal 180" xfId="8997"/>
    <cellStyle name="Normal 180 2" xfId="17361"/>
    <cellStyle name="Normal 180 3" xfId="23808"/>
    <cellStyle name="Normal 180 4" xfId="29971"/>
    <cellStyle name="Normal 181" xfId="8970"/>
    <cellStyle name="Normal 181 2" xfId="17342"/>
    <cellStyle name="Normal 181 3" xfId="23802"/>
    <cellStyle name="Normal 181 4" xfId="29967"/>
    <cellStyle name="Normal 182" xfId="8927"/>
    <cellStyle name="Normal 182 2" xfId="17315"/>
    <cellStyle name="Normal 182 3" xfId="23786"/>
    <cellStyle name="Normal 182 4" xfId="29960"/>
    <cellStyle name="Normal 183" xfId="869"/>
    <cellStyle name="Normal 183 10" xfId="870"/>
    <cellStyle name="Normal 183 11" xfId="871"/>
    <cellStyle name="Normal 183 12" xfId="872"/>
    <cellStyle name="Normal 183 13" xfId="873"/>
    <cellStyle name="Normal 183 14" xfId="874"/>
    <cellStyle name="Normal 183 15" xfId="875"/>
    <cellStyle name="Normal 183 16" xfId="1836"/>
    <cellStyle name="Normal 183 17" xfId="2596"/>
    <cellStyle name="Normal 183 18" xfId="2436"/>
    <cellStyle name="Normal 183 19" xfId="2057"/>
    <cellStyle name="Normal 183 2" xfId="876"/>
    <cellStyle name="Normal 183 20" xfId="2290"/>
    <cellStyle name="Normal 183 21" xfId="2659"/>
    <cellStyle name="Normal 183 22" xfId="2406"/>
    <cellStyle name="Normal 183 23" xfId="2530"/>
    <cellStyle name="Normal 183 24" xfId="2005"/>
    <cellStyle name="Normal 183 25" xfId="2341"/>
    <cellStyle name="Normal 183 26" xfId="2613"/>
    <cellStyle name="Normal 183 27" xfId="1967"/>
    <cellStyle name="Normal 183 28" xfId="2379"/>
    <cellStyle name="Normal 183 29" xfId="2561"/>
    <cellStyle name="Normal 183 3" xfId="877"/>
    <cellStyle name="Normal 183 30" xfId="2460"/>
    <cellStyle name="Normal 183 31" xfId="2037"/>
    <cellStyle name="Normal 183 32" xfId="2309"/>
    <cellStyle name="Normal 183 33" xfId="5232"/>
    <cellStyle name="Normal 183 34" xfId="9866"/>
    <cellStyle name="Normal 183 35" xfId="9892"/>
    <cellStyle name="Normal 183 36" xfId="17327"/>
    <cellStyle name="Normal 183 4" xfId="878"/>
    <cellStyle name="Normal 183 5" xfId="879"/>
    <cellStyle name="Normal 183 6" xfId="880"/>
    <cellStyle name="Normal 183 7" xfId="881"/>
    <cellStyle name="Normal 183 8" xfId="882"/>
    <cellStyle name="Normal 183 9" xfId="883"/>
    <cellStyle name="Normal 184" xfId="2355"/>
    <cellStyle name="Normal 184 2" xfId="8988"/>
    <cellStyle name="Normal 184 2 2" xfId="17355"/>
    <cellStyle name="Normal 184 2 3" xfId="23805"/>
    <cellStyle name="Normal 184 2 4" xfId="29969"/>
    <cellStyle name="Normal 185" xfId="8650"/>
    <cellStyle name="Normal 186" xfId="8976"/>
    <cellStyle name="Normal 186 2" xfId="17346"/>
    <cellStyle name="Normal 186 2 2" xfId="8922"/>
    <cellStyle name="Normal 186 2 2 2" xfId="17313"/>
    <cellStyle name="Normal 186 2 2 3" xfId="23785"/>
    <cellStyle name="Normal 186 2 2 4" xfId="29959"/>
    <cellStyle name="Normal 186 3" xfId="23803"/>
    <cellStyle name="Normal 186 4" xfId="29968"/>
    <cellStyle name="Normal 187" xfId="9004"/>
    <cellStyle name="Normal 187 2" xfId="17367"/>
    <cellStyle name="Normal 187 3" xfId="23810"/>
    <cellStyle name="Normal 187 4" xfId="29973"/>
    <cellStyle name="Normal 188" xfId="8548"/>
    <cellStyle name="Normal 189" xfId="8939"/>
    <cellStyle name="Normal 189 2" xfId="17323"/>
    <cellStyle name="Normal 189 3" xfId="23790"/>
    <cellStyle name="Normal 189 4" xfId="29963"/>
    <cellStyle name="Normal 19" xfId="884"/>
    <cellStyle name="Normal 19 10" xfId="885"/>
    <cellStyle name="Normal 19 11" xfId="886"/>
    <cellStyle name="Normal 19 12" xfId="887"/>
    <cellStyle name="Normal 19 13" xfId="888"/>
    <cellStyle name="Normal 19 14" xfId="889"/>
    <cellStyle name="Normal 19 15" xfId="890"/>
    <cellStyle name="Normal 19 16" xfId="891"/>
    <cellStyle name="Normal 19 17" xfId="892"/>
    <cellStyle name="Normal 19 18" xfId="893"/>
    <cellStyle name="Normal 19 19" xfId="894"/>
    <cellStyle name="Normal 19 2" xfId="895"/>
    <cellStyle name="Normal 19 20" xfId="896"/>
    <cellStyle name="Normal 19 21" xfId="1837"/>
    <cellStyle name="Normal 19 21 2" xfId="5434"/>
    <cellStyle name="Normal 19 21 2 2" xfId="13915"/>
    <cellStyle name="Normal 19 21 2 3" xfId="20429"/>
    <cellStyle name="Normal 19 21 2 4" xfId="26818"/>
    <cellStyle name="Normal 19 21 3" xfId="10408"/>
    <cellStyle name="Normal 19 21 4" xfId="17430"/>
    <cellStyle name="Normal 19 21 5" xfId="23865"/>
    <cellStyle name="Normal 19 22" xfId="2144"/>
    <cellStyle name="Normal 19 22 2" xfId="5717"/>
    <cellStyle name="Normal 19 22 2 2" xfId="14198"/>
    <cellStyle name="Normal 19 22 2 3" xfId="20712"/>
    <cellStyle name="Normal 19 22 2 4" xfId="27101"/>
    <cellStyle name="Normal 19 22 3" xfId="10703"/>
    <cellStyle name="Normal 19 22 4" xfId="9372"/>
    <cellStyle name="Normal 19 22 5" xfId="10289"/>
    <cellStyle name="Normal 19 23" xfId="2788"/>
    <cellStyle name="Normal 19 23 2" xfId="6286"/>
    <cellStyle name="Normal 19 23 2 2" xfId="14767"/>
    <cellStyle name="Normal 19 23 2 3" xfId="21281"/>
    <cellStyle name="Normal 19 23 2 4" xfId="27670"/>
    <cellStyle name="Normal 19 23 3" xfId="11295"/>
    <cellStyle name="Normal 19 23 4" xfId="17864"/>
    <cellStyle name="Normal 19 23 5" xfId="24266"/>
    <cellStyle name="Normal 19 24" xfId="2962"/>
    <cellStyle name="Normal 19 24 2" xfId="6453"/>
    <cellStyle name="Normal 19 24 2 2" xfId="14934"/>
    <cellStyle name="Normal 19 24 2 3" xfId="21448"/>
    <cellStyle name="Normal 19 24 2 4" xfId="27837"/>
    <cellStyle name="Normal 19 24 3" xfId="11465"/>
    <cellStyle name="Normal 19 24 4" xfId="18031"/>
    <cellStyle name="Normal 19 24 5" xfId="24433"/>
    <cellStyle name="Normal 19 25" xfId="3135"/>
    <cellStyle name="Normal 19 25 2" xfId="6620"/>
    <cellStyle name="Normal 19 25 2 2" xfId="15101"/>
    <cellStyle name="Normal 19 25 2 3" xfId="21615"/>
    <cellStyle name="Normal 19 25 2 4" xfId="28004"/>
    <cellStyle name="Normal 19 25 3" xfId="11636"/>
    <cellStyle name="Normal 19 25 4" xfId="18198"/>
    <cellStyle name="Normal 19 25 5" xfId="24600"/>
    <cellStyle name="Normal 19 26" xfId="3308"/>
    <cellStyle name="Normal 19 26 2" xfId="6787"/>
    <cellStyle name="Normal 19 26 2 2" xfId="15268"/>
    <cellStyle name="Normal 19 26 2 3" xfId="21782"/>
    <cellStyle name="Normal 19 26 2 4" xfId="28171"/>
    <cellStyle name="Normal 19 26 3" xfId="11806"/>
    <cellStyle name="Normal 19 26 4" xfId="18365"/>
    <cellStyle name="Normal 19 26 5" xfId="24767"/>
    <cellStyle name="Normal 19 27" xfId="3479"/>
    <cellStyle name="Normal 19 27 2" xfId="6952"/>
    <cellStyle name="Normal 19 27 2 2" xfId="15433"/>
    <cellStyle name="Normal 19 27 2 3" xfId="21947"/>
    <cellStyle name="Normal 19 27 2 4" xfId="28336"/>
    <cellStyle name="Normal 19 27 3" xfId="11975"/>
    <cellStyle name="Normal 19 27 4" xfId="18531"/>
    <cellStyle name="Normal 19 27 5" xfId="24932"/>
    <cellStyle name="Normal 19 28" xfId="3649"/>
    <cellStyle name="Normal 19 28 2" xfId="7116"/>
    <cellStyle name="Normal 19 28 2 2" xfId="15597"/>
    <cellStyle name="Normal 19 28 2 3" xfId="22111"/>
    <cellStyle name="Normal 19 28 2 4" xfId="28500"/>
    <cellStyle name="Normal 19 28 3" xfId="12144"/>
    <cellStyle name="Normal 19 28 4" xfId="18697"/>
    <cellStyle name="Normal 19 28 5" xfId="25096"/>
    <cellStyle name="Normal 19 29" xfId="3818"/>
    <cellStyle name="Normal 19 29 2" xfId="7279"/>
    <cellStyle name="Normal 19 29 2 2" xfId="15760"/>
    <cellStyle name="Normal 19 29 2 3" xfId="22274"/>
    <cellStyle name="Normal 19 29 2 4" xfId="28663"/>
    <cellStyle name="Normal 19 29 3" xfId="12312"/>
    <cellStyle name="Normal 19 29 4" xfId="18862"/>
    <cellStyle name="Normal 19 29 5" xfId="25259"/>
    <cellStyle name="Normal 19 3" xfId="897"/>
    <cellStyle name="Normal 19 30" xfId="3985"/>
    <cellStyle name="Normal 19 30 2" xfId="7441"/>
    <cellStyle name="Normal 19 30 2 2" xfId="15922"/>
    <cellStyle name="Normal 19 30 2 3" xfId="22436"/>
    <cellStyle name="Normal 19 30 2 4" xfId="28825"/>
    <cellStyle name="Normal 19 30 3" xfId="12478"/>
    <cellStyle name="Normal 19 30 4" xfId="19025"/>
    <cellStyle name="Normal 19 30 5" xfId="25421"/>
    <cellStyle name="Normal 19 31" xfId="4150"/>
    <cellStyle name="Normal 19 31 2" xfId="7601"/>
    <cellStyle name="Normal 19 31 2 2" xfId="16082"/>
    <cellStyle name="Normal 19 31 2 3" xfId="22596"/>
    <cellStyle name="Normal 19 31 2 4" xfId="28985"/>
    <cellStyle name="Normal 19 31 3" xfId="12642"/>
    <cellStyle name="Normal 19 31 4" xfId="19186"/>
    <cellStyle name="Normal 19 31 5" xfId="25581"/>
    <cellStyle name="Normal 19 32" xfId="4312"/>
    <cellStyle name="Normal 19 32 2" xfId="7758"/>
    <cellStyle name="Normal 19 32 2 2" xfId="16239"/>
    <cellStyle name="Normal 19 32 2 3" xfId="22753"/>
    <cellStyle name="Normal 19 32 2 4" xfId="29142"/>
    <cellStyle name="Normal 19 32 3" xfId="12803"/>
    <cellStyle name="Normal 19 32 4" xfId="19344"/>
    <cellStyle name="Normal 19 32 5" xfId="25738"/>
    <cellStyle name="Normal 19 33" xfId="4472"/>
    <cellStyle name="Normal 19 33 2" xfId="7913"/>
    <cellStyle name="Normal 19 33 2 2" xfId="16394"/>
    <cellStyle name="Normal 19 33 2 3" xfId="22908"/>
    <cellStyle name="Normal 19 33 2 4" xfId="29297"/>
    <cellStyle name="Normal 19 33 3" xfId="12963"/>
    <cellStyle name="Normal 19 33 4" xfId="19500"/>
    <cellStyle name="Normal 19 33 5" xfId="25893"/>
    <cellStyle name="Normal 19 34" xfId="4632"/>
    <cellStyle name="Normal 19 34 2" xfId="8068"/>
    <cellStyle name="Normal 19 34 2 2" xfId="16549"/>
    <cellStyle name="Normal 19 34 2 3" xfId="23063"/>
    <cellStyle name="Normal 19 34 2 4" xfId="29452"/>
    <cellStyle name="Normal 19 34 3" xfId="13122"/>
    <cellStyle name="Normal 19 34 4" xfId="19656"/>
    <cellStyle name="Normal 19 34 5" xfId="26048"/>
    <cellStyle name="Normal 19 35" xfId="4791"/>
    <cellStyle name="Normal 19 35 2" xfId="8222"/>
    <cellStyle name="Normal 19 35 2 2" xfId="16703"/>
    <cellStyle name="Normal 19 35 2 3" xfId="23217"/>
    <cellStyle name="Normal 19 35 2 4" xfId="29606"/>
    <cellStyle name="Normal 19 35 3" xfId="13280"/>
    <cellStyle name="Normal 19 35 4" xfId="19811"/>
    <cellStyle name="Normal 19 35 5" xfId="26202"/>
    <cellStyle name="Normal 19 36" xfId="4949"/>
    <cellStyle name="Normal 19 36 2" xfId="8375"/>
    <cellStyle name="Normal 19 36 2 2" xfId="16856"/>
    <cellStyle name="Normal 19 36 2 3" xfId="23370"/>
    <cellStyle name="Normal 19 36 2 4" xfId="29759"/>
    <cellStyle name="Normal 19 36 3" xfId="13437"/>
    <cellStyle name="Normal 19 36 4" xfId="19965"/>
    <cellStyle name="Normal 19 36 5" xfId="26355"/>
    <cellStyle name="Normal 19 37" xfId="5078"/>
    <cellStyle name="Normal 19 37 2" xfId="8499"/>
    <cellStyle name="Normal 19 37 2 2" xfId="16980"/>
    <cellStyle name="Normal 19 37 2 3" xfId="23494"/>
    <cellStyle name="Normal 19 37 2 4" xfId="29883"/>
    <cellStyle name="Normal 19 37 3" xfId="13564"/>
    <cellStyle name="Normal 19 37 4" xfId="20089"/>
    <cellStyle name="Normal 19 37 5" xfId="26479"/>
    <cellStyle name="Normal 19 38" xfId="5233"/>
    <cellStyle name="Normal 19 38 2" xfId="13715"/>
    <cellStyle name="Normal 19 38 3" xfId="20232"/>
    <cellStyle name="Normal 19 38 4" xfId="26621"/>
    <cellStyle name="Normal 19 39" xfId="9875"/>
    <cellStyle name="Normal 19 4" xfId="898"/>
    <cellStyle name="Normal 19 40" xfId="9888"/>
    <cellStyle name="Normal 19 41" xfId="9879"/>
    <cellStyle name="Normal 19 5" xfId="899"/>
    <cellStyle name="Normal 19 6" xfId="900"/>
    <cellStyle name="Normal 19 7" xfId="901"/>
    <cellStyle name="Normal 19 8" xfId="902"/>
    <cellStyle name="Normal 19 9" xfId="903"/>
    <cellStyle name="Normal 190" xfId="8979"/>
    <cellStyle name="Normal 191" xfId="9003"/>
    <cellStyle name="Normal 191 2" xfId="17366"/>
    <cellStyle name="Normal 191 3" xfId="23809"/>
    <cellStyle name="Normal 191 4" xfId="29972"/>
    <cellStyle name="Normal 192" xfId="8967"/>
    <cellStyle name="Normal 192 2" xfId="17339"/>
    <cellStyle name="Normal 192 3" xfId="23801"/>
    <cellStyle name="Normal 192 4" xfId="29966"/>
    <cellStyle name="Normal 193" xfId="8996"/>
    <cellStyle name="Normal 2" xfId="904"/>
    <cellStyle name="Normal 2 10" xfId="905"/>
    <cellStyle name="Normal 2 10 10" xfId="8943"/>
    <cellStyle name="Normal 2 10 11" xfId="8902"/>
    <cellStyle name="Normal 2 10 12" xfId="9322"/>
    <cellStyle name="Normal 2 10 13" xfId="9301"/>
    <cellStyle name="Normal 2 10 14" xfId="9278"/>
    <cellStyle name="Normal 2 10 15" xfId="9254"/>
    <cellStyle name="Normal 2 10 16" xfId="9233"/>
    <cellStyle name="Normal 2 10 17" xfId="9212"/>
    <cellStyle name="Normal 2 10 18" xfId="9189"/>
    <cellStyle name="Normal 2 10 2" xfId="906"/>
    <cellStyle name="Normal 2 10 3" xfId="907"/>
    <cellStyle name="Normal 2 10 4" xfId="908"/>
    <cellStyle name="Normal 2 10 5" xfId="909"/>
    <cellStyle name="Normal 2 10 6" xfId="910"/>
    <cellStyle name="Normal 2 10 7" xfId="911"/>
    <cellStyle name="Normal 2 10 8" xfId="912"/>
    <cellStyle name="Normal 2 10 9" xfId="913"/>
    <cellStyle name="Normal 2 11" xfId="914"/>
    <cellStyle name="Normal 2 12" xfId="915"/>
    <cellStyle name="Normal 2 13" xfId="916"/>
    <cellStyle name="Normal 2 14" xfId="917"/>
    <cellStyle name="Normal 2 15" xfId="918"/>
    <cellStyle name="Normal 2 16" xfId="919"/>
    <cellStyle name="Normal 2 17" xfId="920"/>
    <cellStyle name="Normal 2 18" xfId="921"/>
    <cellStyle name="Normal 2 19" xfId="922"/>
    <cellStyle name="Normal 2 2" xfId="923"/>
    <cellStyle name="Normal 2 2 2" xfId="924"/>
    <cellStyle name="Normal 2 2 2 10" xfId="2036"/>
    <cellStyle name="Normal 2 2 2 10 2" xfId="5615"/>
    <cellStyle name="Normal 2 2 2 10 2 2" xfId="14096"/>
    <cellStyle name="Normal 2 2 2 10 2 3" xfId="20610"/>
    <cellStyle name="Normal 2 2 2 10 2 4" xfId="26999"/>
    <cellStyle name="Normal 2 2 2 10 3" xfId="10598"/>
    <cellStyle name="Normal 2 2 2 10 4" xfId="9466"/>
    <cellStyle name="Normal 2 2 2 10 5" xfId="10236"/>
    <cellStyle name="Normal 2 2 2 11" xfId="2310"/>
    <cellStyle name="Normal 2 2 2 11 2" xfId="5874"/>
    <cellStyle name="Normal 2 2 2 11 2 2" xfId="14355"/>
    <cellStyle name="Normal 2 2 2 11 2 3" xfId="20869"/>
    <cellStyle name="Normal 2 2 2 11 2 4" xfId="27258"/>
    <cellStyle name="Normal 2 2 2 11 3" xfId="10862"/>
    <cellStyle name="Normal 2 2 2 11 4" xfId="17230"/>
    <cellStyle name="Normal 2 2 2 11 5" xfId="23705"/>
    <cellStyle name="Normal 2 2 2 12" xfId="2640"/>
    <cellStyle name="Normal 2 2 2 12 2" xfId="6146"/>
    <cellStyle name="Normal 2 2 2 12 2 2" xfId="14627"/>
    <cellStyle name="Normal 2 2 2 12 2 3" xfId="21141"/>
    <cellStyle name="Normal 2 2 2 12 2 4" xfId="27530"/>
    <cellStyle name="Normal 2 2 2 12 3" xfId="11154"/>
    <cellStyle name="Normal 2 2 2 12 4" xfId="17723"/>
    <cellStyle name="Normal 2 2 2 12 5" xfId="24126"/>
    <cellStyle name="Normal 2 2 2 13" xfId="2416"/>
    <cellStyle name="Normal 2 2 2 13 2" xfId="5963"/>
    <cellStyle name="Normal 2 2 2 13 2 2" xfId="14444"/>
    <cellStyle name="Normal 2 2 2 13 2 3" xfId="20958"/>
    <cellStyle name="Normal 2 2 2 13 2 4" xfId="27347"/>
    <cellStyle name="Normal 2 2 2 13 3" xfId="10960"/>
    <cellStyle name="Normal 2 2 2 13 4" xfId="17280"/>
    <cellStyle name="Normal 2 2 2 13 5" xfId="23754"/>
    <cellStyle name="Normal 2 2 2 14" xfId="2081"/>
    <cellStyle name="Normal 2 2 2 14 2" xfId="5654"/>
    <cellStyle name="Normal 2 2 2 14 2 2" xfId="14135"/>
    <cellStyle name="Normal 2 2 2 14 2 3" xfId="20649"/>
    <cellStyle name="Normal 2 2 2 14 2 4" xfId="27038"/>
    <cellStyle name="Normal 2 2 2 14 3" xfId="10640"/>
    <cellStyle name="Normal 2 2 2 14 4" xfId="9428"/>
    <cellStyle name="Normal 2 2 2 14 5" xfId="11516"/>
    <cellStyle name="Normal 2 2 2 15" xfId="2246"/>
    <cellStyle name="Normal 2 2 2 15 2" xfId="5816"/>
    <cellStyle name="Normal 2 2 2 15 2 2" xfId="14297"/>
    <cellStyle name="Normal 2 2 2 15 2 3" xfId="20811"/>
    <cellStyle name="Normal 2 2 2 15 2 4" xfId="27200"/>
    <cellStyle name="Normal 2 2 2 15 3" xfId="10802"/>
    <cellStyle name="Normal 2 2 2 15 4" xfId="17175"/>
    <cellStyle name="Normal 2 2 2 15 5" xfId="23651"/>
    <cellStyle name="Normal 2 2 2 16" xfId="2701"/>
    <cellStyle name="Normal 2 2 2 16 2" xfId="6202"/>
    <cellStyle name="Normal 2 2 2 16 2 2" xfId="14683"/>
    <cellStyle name="Normal 2 2 2 16 2 3" xfId="21197"/>
    <cellStyle name="Normal 2 2 2 16 2 4" xfId="27586"/>
    <cellStyle name="Normal 2 2 2 16 3" xfId="11211"/>
    <cellStyle name="Normal 2 2 2 16 4" xfId="17780"/>
    <cellStyle name="Normal 2 2 2 16 5" xfId="24182"/>
    <cellStyle name="Normal 2 2 2 17" xfId="2875"/>
    <cellStyle name="Normal 2 2 2 17 2" xfId="6369"/>
    <cellStyle name="Normal 2 2 2 17 2 2" xfId="14850"/>
    <cellStyle name="Normal 2 2 2 17 2 3" xfId="21364"/>
    <cellStyle name="Normal 2 2 2 17 2 4" xfId="27753"/>
    <cellStyle name="Normal 2 2 2 17 3" xfId="11381"/>
    <cellStyle name="Normal 2 2 2 17 4" xfId="17947"/>
    <cellStyle name="Normal 2 2 2 17 5" xfId="24349"/>
    <cellStyle name="Normal 2 2 2 18" xfId="3049"/>
    <cellStyle name="Normal 2 2 2 18 2" xfId="6536"/>
    <cellStyle name="Normal 2 2 2 18 2 2" xfId="15017"/>
    <cellStyle name="Normal 2 2 2 18 2 3" xfId="21531"/>
    <cellStyle name="Normal 2 2 2 18 2 4" xfId="27920"/>
    <cellStyle name="Normal 2 2 2 18 3" xfId="11551"/>
    <cellStyle name="Normal 2 2 2 18 4" xfId="18114"/>
    <cellStyle name="Normal 2 2 2 18 5" xfId="24516"/>
    <cellStyle name="Normal 2 2 2 19" xfId="3222"/>
    <cellStyle name="Normal 2 2 2 19 2" xfId="6703"/>
    <cellStyle name="Normal 2 2 2 19 2 2" xfId="15184"/>
    <cellStyle name="Normal 2 2 2 19 2 3" xfId="21698"/>
    <cellStyle name="Normal 2 2 2 19 2 4" xfId="28087"/>
    <cellStyle name="Normal 2 2 2 19 3" xfId="11722"/>
    <cellStyle name="Normal 2 2 2 19 4" xfId="18281"/>
    <cellStyle name="Normal 2 2 2 19 5" xfId="24683"/>
    <cellStyle name="Normal 2 2 2 2" xfId="925"/>
    <cellStyle name="Normal 2 2 2 20" xfId="3393"/>
    <cellStyle name="Normal 2 2 2 20 2" xfId="6868"/>
    <cellStyle name="Normal 2 2 2 20 2 2" xfId="15349"/>
    <cellStyle name="Normal 2 2 2 20 2 3" xfId="21863"/>
    <cellStyle name="Normal 2 2 2 20 2 4" xfId="28252"/>
    <cellStyle name="Normal 2 2 2 20 3" xfId="11890"/>
    <cellStyle name="Normal 2 2 2 20 4" xfId="18446"/>
    <cellStyle name="Normal 2 2 2 20 5" xfId="24848"/>
    <cellStyle name="Normal 2 2 2 21" xfId="5234"/>
    <cellStyle name="Normal 2 2 2 21 2" xfId="13716"/>
    <cellStyle name="Normal 2 2 2 21 3" xfId="20233"/>
    <cellStyle name="Normal 2 2 2 21 4" xfId="26622"/>
    <cellStyle name="Normal 2 2 2 22" xfId="9880"/>
    <cellStyle name="Normal 2 2 2 23" xfId="9883"/>
    <cellStyle name="Normal 2 2 2 24" xfId="12962"/>
    <cellStyle name="Normal 2 2 2 3" xfId="926"/>
    <cellStyle name="Normal 2 2 2 3 10" xfId="2332"/>
    <cellStyle name="Normal 2 2 2 3 10 2" xfId="5891"/>
    <cellStyle name="Normal 2 2 2 3 10 2 2" xfId="14372"/>
    <cellStyle name="Normal 2 2 2 3 10 2 3" xfId="20886"/>
    <cellStyle name="Normal 2 2 2 3 10 2 4" xfId="27275"/>
    <cellStyle name="Normal 2 2 2 3 10 3" xfId="10880"/>
    <cellStyle name="Normal 2 2 2 3 10 4" xfId="17243"/>
    <cellStyle name="Normal 2 2 2 3 10 5" xfId="23718"/>
    <cellStyle name="Normal 2 2 2 3 11" xfId="2150"/>
    <cellStyle name="Normal 2 2 2 3 11 2" xfId="5721"/>
    <cellStyle name="Normal 2 2 2 3 11 2 2" xfId="14202"/>
    <cellStyle name="Normal 2 2 2 3 11 2 3" xfId="20716"/>
    <cellStyle name="Normal 2 2 2 3 11 2 4" xfId="27105"/>
    <cellStyle name="Normal 2 2 2 3 11 3" xfId="10707"/>
    <cellStyle name="Normal 2 2 2 3 11 4" xfId="9368"/>
    <cellStyle name="Normal 2 2 2 3 11 5" xfId="17041"/>
    <cellStyle name="Normal 2 2 2 3 12" xfId="2196"/>
    <cellStyle name="Normal 2 2 2 3 12 2" xfId="5766"/>
    <cellStyle name="Normal 2 2 2 3 12 2 2" xfId="14247"/>
    <cellStyle name="Normal 2 2 2 3 12 2 3" xfId="20761"/>
    <cellStyle name="Normal 2 2 2 3 12 2 4" xfId="27150"/>
    <cellStyle name="Normal 2 2 2 3 12 3" xfId="10752"/>
    <cellStyle name="Normal 2 2 2 3 12 4" xfId="17143"/>
    <cellStyle name="Normal 2 2 2 3 12 5" xfId="23620"/>
    <cellStyle name="Normal 2 2 2 3 13" xfId="2750"/>
    <cellStyle name="Normal 2 2 2 3 13 2" xfId="6251"/>
    <cellStyle name="Normal 2 2 2 3 13 2 2" xfId="14732"/>
    <cellStyle name="Normal 2 2 2 3 13 2 3" xfId="21246"/>
    <cellStyle name="Normal 2 2 2 3 13 2 4" xfId="27635"/>
    <cellStyle name="Normal 2 2 2 3 13 3" xfId="11260"/>
    <cellStyle name="Normal 2 2 2 3 13 4" xfId="17829"/>
    <cellStyle name="Normal 2 2 2 3 13 5" xfId="24231"/>
    <cellStyle name="Normal 2 2 2 3 14" xfId="2924"/>
    <cellStyle name="Normal 2 2 2 3 14 2" xfId="6418"/>
    <cellStyle name="Normal 2 2 2 3 14 2 2" xfId="14899"/>
    <cellStyle name="Normal 2 2 2 3 14 2 3" xfId="21413"/>
    <cellStyle name="Normal 2 2 2 3 14 2 4" xfId="27802"/>
    <cellStyle name="Normal 2 2 2 3 14 3" xfId="11430"/>
    <cellStyle name="Normal 2 2 2 3 14 4" xfId="17996"/>
    <cellStyle name="Normal 2 2 2 3 14 5" xfId="24398"/>
    <cellStyle name="Normal 2 2 2 3 15" xfId="3098"/>
    <cellStyle name="Normal 2 2 2 3 15 2" xfId="6585"/>
    <cellStyle name="Normal 2 2 2 3 15 2 2" xfId="15066"/>
    <cellStyle name="Normal 2 2 2 3 15 2 3" xfId="21580"/>
    <cellStyle name="Normal 2 2 2 3 15 2 4" xfId="27969"/>
    <cellStyle name="Normal 2 2 2 3 15 3" xfId="11600"/>
    <cellStyle name="Normal 2 2 2 3 15 4" xfId="18163"/>
    <cellStyle name="Normal 2 2 2 3 15 5" xfId="24565"/>
    <cellStyle name="Normal 2 2 2 3 16" xfId="3271"/>
    <cellStyle name="Normal 2 2 2 3 16 2" xfId="6752"/>
    <cellStyle name="Normal 2 2 2 3 16 2 2" xfId="15233"/>
    <cellStyle name="Normal 2 2 2 3 16 2 3" xfId="21747"/>
    <cellStyle name="Normal 2 2 2 3 16 2 4" xfId="28136"/>
    <cellStyle name="Normal 2 2 2 3 16 3" xfId="11771"/>
    <cellStyle name="Normal 2 2 2 3 16 4" xfId="18330"/>
    <cellStyle name="Normal 2 2 2 3 16 5" xfId="24732"/>
    <cellStyle name="Normal 2 2 2 3 17" xfId="3442"/>
    <cellStyle name="Normal 2 2 2 3 17 2" xfId="6917"/>
    <cellStyle name="Normal 2 2 2 3 17 2 2" xfId="15398"/>
    <cellStyle name="Normal 2 2 2 3 17 2 3" xfId="21912"/>
    <cellStyle name="Normal 2 2 2 3 17 2 4" xfId="28301"/>
    <cellStyle name="Normal 2 2 2 3 17 3" xfId="11939"/>
    <cellStyle name="Normal 2 2 2 3 17 4" xfId="18495"/>
    <cellStyle name="Normal 2 2 2 3 17 5" xfId="24897"/>
    <cellStyle name="Normal 2 2 2 3 18" xfId="3612"/>
    <cellStyle name="Normal 2 2 2 3 18 2" xfId="7081"/>
    <cellStyle name="Normal 2 2 2 3 18 2 2" xfId="15562"/>
    <cellStyle name="Normal 2 2 2 3 18 2 3" xfId="22076"/>
    <cellStyle name="Normal 2 2 2 3 18 2 4" xfId="28465"/>
    <cellStyle name="Normal 2 2 2 3 18 3" xfId="12107"/>
    <cellStyle name="Normal 2 2 2 3 18 4" xfId="18660"/>
    <cellStyle name="Normal 2 2 2 3 18 5" xfId="25061"/>
    <cellStyle name="Normal 2 2 2 3 19" xfId="5235"/>
    <cellStyle name="Normal 2 2 2 3 19 2" xfId="13717"/>
    <cellStyle name="Normal 2 2 2 3 19 3" xfId="20234"/>
    <cellStyle name="Normal 2 2 2 3 19 4" xfId="26623"/>
    <cellStyle name="Normal 2 2 2 3 2" xfId="1839"/>
    <cellStyle name="Normal 2 2 2 3 2 2" xfId="5436"/>
    <cellStyle name="Normal 2 2 2 3 2 2 2" xfId="13917"/>
    <cellStyle name="Normal 2 2 2 3 2 2 3" xfId="20431"/>
    <cellStyle name="Normal 2 2 2 3 2 2 4" xfId="26820"/>
    <cellStyle name="Normal 2 2 2 3 2 3" xfId="10410"/>
    <cellStyle name="Normal 2 2 2 3 2 4" xfId="9591"/>
    <cellStyle name="Normal 2 2 2 3 2 5" xfId="13610"/>
    <cellStyle name="Normal 2 2 2 3 20" xfId="9881"/>
    <cellStyle name="Normal 2 2 2 3 21" xfId="17051"/>
    <cellStyle name="Normal 2 2 2 3 22" xfId="23550"/>
    <cellStyle name="Normal 2 2 2 3 3" xfId="2617"/>
    <cellStyle name="Normal 2 2 2 3 3 2" xfId="6129"/>
    <cellStyle name="Normal 2 2 2 3 3 2 2" xfId="14610"/>
    <cellStyle name="Normal 2 2 2 3 3 2 3" xfId="21124"/>
    <cellStyle name="Normal 2 2 2 3 3 2 4" xfId="27513"/>
    <cellStyle name="Normal 2 2 2 3 3 3" xfId="11136"/>
    <cellStyle name="Normal 2 2 2 3 3 4" xfId="17705"/>
    <cellStyle name="Normal 2 2 2 3 3 5" xfId="24109"/>
    <cellStyle name="Normal 2 2 2 3 4" xfId="1965"/>
    <cellStyle name="Normal 2 2 2 3 4 2" xfId="5556"/>
    <cellStyle name="Normal 2 2 2 3 4 2 2" xfId="14037"/>
    <cellStyle name="Normal 2 2 2 3 4 2 3" xfId="20551"/>
    <cellStyle name="Normal 2 2 2 3 4 2 4" xfId="26940"/>
    <cellStyle name="Normal 2 2 2 3 4 3" xfId="10534"/>
    <cellStyle name="Normal 2 2 2 3 4 4" xfId="9522"/>
    <cellStyle name="Normal 2 2 2 3 4 5" xfId="10191"/>
    <cellStyle name="Normal 2 2 2 3 5" xfId="2381"/>
    <cellStyle name="Normal 2 2 2 3 5 2" xfId="5933"/>
    <cellStyle name="Normal 2 2 2 3 5 2 2" xfId="14414"/>
    <cellStyle name="Normal 2 2 2 3 5 2 3" xfId="20928"/>
    <cellStyle name="Normal 2 2 2 3 5 2 4" xfId="27317"/>
    <cellStyle name="Normal 2 2 2 3 5 3" xfId="10927"/>
    <cellStyle name="Normal 2 2 2 3 5 4" xfId="17502"/>
    <cellStyle name="Normal 2 2 2 3 5 5" xfId="23920"/>
    <cellStyle name="Normal 2 2 2 3 6" xfId="2559"/>
    <cellStyle name="Normal 2 2 2 3 6 2" xfId="6076"/>
    <cellStyle name="Normal 2 2 2 3 6 2 2" xfId="14557"/>
    <cellStyle name="Normal 2 2 2 3 6 2 3" xfId="21071"/>
    <cellStyle name="Normal 2 2 2 3 6 2 4" xfId="27460"/>
    <cellStyle name="Normal 2 2 2 3 6 3" xfId="11080"/>
    <cellStyle name="Normal 2 2 2 3 6 4" xfId="17650"/>
    <cellStyle name="Normal 2 2 2 3 6 5" xfId="24056"/>
    <cellStyle name="Normal 2 2 2 3 7" xfId="2462"/>
    <cellStyle name="Normal 2 2 2 3 7 2" xfId="6000"/>
    <cellStyle name="Normal 2 2 2 3 7 2 2" xfId="14481"/>
    <cellStyle name="Normal 2 2 2 3 7 2 3" xfId="20995"/>
    <cellStyle name="Normal 2 2 2 3 7 2 4" xfId="27384"/>
    <cellStyle name="Normal 2 2 2 3 7 3" xfId="11000"/>
    <cellStyle name="Normal 2 2 2 3 7 4" xfId="17573"/>
    <cellStyle name="Normal 2 2 2 3 7 5" xfId="23980"/>
    <cellStyle name="Normal 2 2 2 3 8" xfId="2513"/>
    <cellStyle name="Normal 2 2 2 3 8 2" xfId="6037"/>
    <cellStyle name="Normal 2 2 2 3 8 2 2" xfId="14518"/>
    <cellStyle name="Normal 2 2 2 3 8 2 3" xfId="21032"/>
    <cellStyle name="Normal 2 2 2 3 8 2 4" xfId="27421"/>
    <cellStyle name="Normal 2 2 2 3 8 3" xfId="11038"/>
    <cellStyle name="Normal 2 2 2 3 8 4" xfId="17610"/>
    <cellStyle name="Normal 2 2 2 3 8 5" xfId="24017"/>
    <cellStyle name="Normal 2 2 2 3 9" xfId="2014"/>
    <cellStyle name="Normal 2 2 2 3 9 2" xfId="5598"/>
    <cellStyle name="Normal 2 2 2 3 9 2 2" xfId="14079"/>
    <cellStyle name="Normal 2 2 2 3 9 2 3" xfId="20593"/>
    <cellStyle name="Normal 2 2 2 3 9 2 4" xfId="26982"/>
    <cellStyle name="Normal 2 2 2 3 9 3" xfId="10580"/>
    <cellStyle name="Normal 2 2 2 3 9 4" xfId="9483"/>
    <cellStyle name="Normal 2 2 2 3 9 5" xfId="17368"/>
    <cellStyle name="Normal 2 2 2 4" xfId="1838"/>
    <cellStyle name="Normal 2 2 2 4 2" xfId="5435"/>
    <cellStyle name="Normal 2 2 2 4 2 2" xfId="8982"/>
    <cellStyle name="Normal 2 2 2 4 2 3" xfId="13916"/>
    <cellStyle name="Normal 2 2 2 4 2 4" xfId="20430"/>
    <cellStyle name="Normal 2 2 2 4 2 5" xfId="26819"/>
    <cellStyle name="Normal 2 2 2 4 3" xfId="10409"/>
    <cellStyle name="Normal 2 2 2 4 4" xfId="9592"/>
    <cellStyle name="Normal 2 2 2 4 5" xfId="13483"/>
    <cellStyle name="Normal 2 2 2 5" xfId="2616"/>
    <cellStyle name="Normal 2 2 2 5 2" xfId="6128"/>
    <cellStyle name="Normal 2 2 2 5 2 2" xfId="8992"/>
    <cellStyle name="Normal 2 2 2 5 2 3" xfId="14609"/>
    <cellStyle name="Normal 2 2 2 5 2 4" xfId="21123"/>
    <cellStyle name="Normal 2 2 2 5 2 5" xfId="27512"/>
    <cellStyle name="Normal 2 2 2 5 3" xfId="11135"/>
    <cellStyle name="Normal 2 2 2 5 4" xfId="17704"/>
    <cellStyle name="Normal 2 2 2 5 5" xfId="24108"/>
    <cellStyle name="Normal 2 2 2 6" xfId="1966"/>
    <cellStyle name="Normal 2 2 2 6 2" xfId="5557"/>
    <cellStyle name="Normal 2 2 2 6 2 2" xfId="9259"/>
    <cellStyle name="Normal 2 2 2 6 2 3" xfId="14038"/>
    <cellStyle name="Normal 2 2 2 6 2 4" xfId="20552"/>
    <cellStyle name="Normal 2 2 2 6 2 5" xfId="26941"/>
    <cellStyle name="Normal 2 2 2 6 3" xfId="10535"/>
    <cellStyle name="Normal 2 2 2 6 4" xfId="9521"/>
    <cellStyle name="Normal 2 2 2 6 5" xfId="10192"/>
    <cellStyle name="Normal 2 2 2 7" xfId="2380"/>
    <cellStyle name="Normal 2 2 2 7 2" xfId="5932"/>
    <cellStyle name="Normal 2 2 2 7 2 2" xfId="14413"/>
    <cellStyle name="Normal 2 2 2 7 2 3" xfId="20927"/>
    <cellStyle name="Normal 2 2 2 7 2 4" xfId="27316"/>
    <cellStyle name="Normal 2 2 2 7 3" xfId="10926"/>
    <cellStyle name="Normal 2 2 2 7 4" xfId="17489"/>
    <cellStyle name="Normal 2 2 2 7 5" xfId="23911"/>
    <cellStyle name="Normal 2 2 2 8" xfId="2560"/>
    <cellStyle name="Normal 2 2 2 8 2" xfId="6077"/>
    <cellStyle name="Normal 2 2 2 8 2 2" xfId="14558"/>
    <cellStyle name="Normal 2 2 2 8 2 3" xfId="21072"/>
    <cellStyle name="Normal 2 2 2 8 2 4" xfId="27461"/>
    <cellStyle name="Normal 2 2 2 8 3" xfId="11081"/>
    <cellStyle name="Normal 2 2 2 8 4" xfId="17651"/>
    <cellStyle name="Normal 2 2 2 8 5" xfId="24057"/>
    <cellStyle name="Normal 2 2 2 9" xfId="2461"/>
    <cellStyle name="Normal 2 2 2 9 2" xfId="5999"/>
    <cellStyle name="Normal 2 2 2 9 2 2" xfId="14480"/>
    <cellStyle name="Normal 2 2 2 9 2 3" xfId="20994"/>
    <cellStyle name="Normal 2 2 2 9 2 4" xfId="27383"/>
    <cellStyle name="Normal 2 2 2 9 3" xfId="10999"/>
    <cellStyle name="Normal 2 2 2 9 4" xfId="17572"/>
    <cellStyle name="Normal 2 2 2 9 5" xfId="23979"/>
    <cellStyle name="Normal 2 2 3" xfId="927"/>
    <cellStyle name="Normal 2 2 3 2" xfId="9196"/>
    <cellStyle name="Normal 2 2 4" xfId="9174"/>
    <cellStyle name="Normal 2 2 5" xfId="9156"/>
    <cellStyle name="Normal 2 2 6" xfId="9283"/>
    <cellStyle name="Normal 2 2 6 2" xfId="8932"/>
    <cellStyle name="Normal 2 2 7" xfId="9136"/>
    <cellStyle name="Normal 2 2 8" xfId="9114"/>
    <cellStyle name="Normal 2 20" xfId="928"/>
    <cellStyle name="Normal 2 21" xfId="929"/>
    <cellStyle name="Normal 2 22" xfId="930"/>
    <cellStyle name="Normal 2 23" xfId="931"/>
    <cellStyle name="Normal 2 24" xfId="2145"/>
    <cellStyle name="Normal 2 25" xfId="2787"/>
    <cellStyle name="Normal 2 26" xfId="2961"/>
    <cellStyle name="Normal 2 27" xfId="3134"/>
    <cellStyle name="Normal 2 28" xfId="3307"/>
    <cellStyle name="Normal 2 29" xfId="3478"/>
    <cellStyle name="Normal 2 3" xfId="932"/>
    <cellStyle name="Normal 2 3 2" xfId="9090"/>
    <cellStyle name="Normal 2 30" xfId="3648"/>
    <cellStyle name="Normal 2 31" xfId="3817"/>
    <cellStyle name="Normal 2 32" xfId="3984"/>
    <cellStyle name="Normal 2 33" xfId="4149"/>
    <cellStyle name="Normal 2 34" xfId="4311"/>
    <cellStyle name="Normal 2 35" xfId="4471"/>
    <cellStyle name="Normal 2 36" xfId="4631"/>
    <cellStyle name="Normal 2 37" xfId="4790"/>
    <cellStyle name="Normal 2 38" xfId="4948"/>
    <cellStyle name="Normal 2 39" xfId="5077"/>
    <cellStyle name="Normal 2 4" xfId="933"/>
    <cellStyle name="Normal 2 4 2" xfId="9068"/>
    <cellStyle name="Normal 2 40" xfId="5132"/>
    <cellStyle name="Normal 2 41" xfId="8583"/>
    <cellStyle name="Normal 2 42" xfId="8894"/>
    <cellStyle name="Normal 2 43" xfId="9334"/>
    <cellStyle name="Normal 2 44" xfId="17549"/>
    <cellStyle name="Normal 2 45" xfId="23957"/>
    <cellStyle name="Normal 2 5" xfId="934"/>
    <cellStyle name="Normal 2 5 2" xfId="9048"/>
    <cellStyle name="Normal 2 6" xfId="935"/>
    <cellStyle name="Normal 2 7" xfId="936"/>
    <cellStyle name="Normal 2 8" xfId="937"/>
    <cellStyle name="Normal 2 9" xfId="938"/>
    <cellStyle name="Normal 2_01-2010 EX" xfId="939"/>
    <cellStyle name="Normal 20" xfId="940"/>
    <cellStyle name="Normal 20 10" xfId="941"/>
    <cellStyle name="Normal 20 11" xfId="942"/>
    <cellStyle name="Normal 20 12" xfId="943"/>
    <cellStyle name="Normal 20 13" xfId="944"/>
    <cellStyle name="Normal 20 14" xfId="945"/>
    <cellStyle name="Normal 20 15" xfId="946"/>
    <cellStyle name="Normal 20 16" xfId="947"/>
    <cellStyle name="Normal 20 17" xfId="948"/>
    <cellStyle name="Normal 20 18" xfId="949"/>
    <cellStyle name="Normal 20 19" xfId="950"/>
    <cellStyle name="Normal 20 2" xfId="951"/>
    <cellStyle name="Normal 20 20" xfId="952"/>
    <cellStyle name="Normal 20 21" xfId="1840"/>
    <cellStyle name="Normal 20 21 2" xfId="5437"/>
    <cellStyle name="Normal 20 21 2 2" xfId="13918"/>
    <cellStyle name="Normal 20 21 2 3" xfId="20432"/>
    <cellStyle name="Normal 20 21 2 4" xfId="26821"/>
    <cellStyle name="Normal 20 21 3" xfId="10411"/>
    <cellStyle name="Normal 20 21 4" xfId="9590"/>
    <cellStyle name="Normal 20 21 5" xfId="13613"/>
    <cellStyle name="Normal 20 22" xfId="2151"/>
    <cellStyle name="Normal 20 22 2" xfId="5722"/>
    <cellStyle name="Normal 20 22 2 2" xfId="14203"/>
    <cellStyle name="Normal 20 22 2 3" xfId="20717"/>
    <cellStyle name="Normal 20 22 2 4" xfId="27106"/>
    <cellStyle name="Normal 20 22 3" xfId="10708"/>
    <cellStyle name="Normal 20 22 4" xfId="9367"/>
    <cellStyle name="Normal 20 22 5" xfId="17341"/>
    <cellStyle name="Normal 20 23" xfId="2195"/>
    <cellStyle name="Normal 20 23 2" xfId="5765"/>
    <cellStyle name="Normal 20 23 2 2" xfId="14246"/>
    <cellStyle name="Normal 20 23 2 3" xfId="20760"/>
    <cellStyle name="Normal 20 23 2 4" xfId="27149"/>
    <cellStyle name="Normal 20 23 3" xfId="10751"/>
    <cellStyle name="Normal 20 23 4" xfId="17142"/>
    <cellStyle name="Normal 20 23 5" xfId="23619"/>
    <cellStyle name="Normal 20 24" xfId="2751"/>
    <cellStyle name="Normal 20 24 2" xfId="6252"/>
    <cellStyle name="Normal 20 24 2 2" xfId="14733"/>
    <cellStyle name="Normal 20 24 2 3" xfId="21247"/>
    <cellStyle name="Normal 20 24 2 4" xfId="27636"/>
    <cellStyle name="Normal 20 24 3" xfId="11261"/>
    <cellStyle name="Normal 20 24 4" xfId="17830"/>
    <cellStyle name="Normal 20 24 5" xfId="24232"/>
    <cellStyle name="Normal 20 25" xfId="2925"/>
    <cellStyle name="Normal 20 25 2" xfId="6419"/>
    <cellStyle name="Normal 20 25 2 2" xfId="14900"/>
    <cellStyle name="Normal 20 25 2 3" xfId="21414"/>
    <cellStyle name="Normal 20 25 2 4" xfId="27803"/>
    <cellStyle name="Normal 20 25 3" xfId="11431"/>
    <cellStyle name="Normal 20 25 4" xfId="17997"/>
    <cellStyle name="Normal 20 25 5" xfId="24399"/>
    <cellStyle name="Normal 20 26" xfId="3099"/>
    <cellStyle name="Normal 20 26 2" xfId="6586"/>
    <cellStyle name="Normal 20 26 2 2" xfId="15067"/>
    <cellStyle name="Normal 20 26 2 3" xfId="21581"/>
    <cellStyle name="Normal 20 26 2 4" xfId="27970"/>
    <cellStyle name="Normal 20 26 3" xfId="11601"/>
    <cellStyle name="Normal 20 26 4" xfId="18164"/>
    <cellStyle name="Normal 20 26 5" xfId="24566"/>
    <cellStyle name="Normal 20 27" xfId="3272"/>
    <cellStyle name="Normal 20 27 2" xfId="6753"/>
    <cellStyle name="Normal 20 27 2 2" xfId="15234"/>
    <cellStyle name="Normal 20 27 2 3" xfId="21748"/>
    <cellStyle name="Normal 20 27 2 4" xfId="28137"/>
    <cellStyle name="Normal 20 27 3" xfId="11772"/>
    <cellStyle name="Normal 20 27 4" xfId="18331"/>
    <cellStyle name="Normal 20 27 5" xfId="24733"/>
    <cellStyle name="Normal 20 28" xfId="3443"/>
    <cellStyle name="Normal 20 28 2" xfId="6918"/>
    <cellStyle name="Normal 20 28 2 2" xfId="15399"/>
    <cellStyle name="Normal 20 28 2 3" xfId="21913"/>
    <cellStyle name="Normal 20 28 2 4" xfId="28302"/>
    <cellStyle name="Normal 20 28 3" xfId="11940"/>
    <cellStyle name="Normal 20 28 4" xfId="18496"/>
    <cellStyle name="Normal 20 28 5" xfId="24898"/>
    <cellStyle name="Normal 20 29" xfId="3613"/>
    <cellStyle name="Normal 20 29 2" xfId="7082"/>
    <cellStyle name="Normal 20 29 2 2" xfId="15563"/>
    <cellStyle name="Normal 20 29 2 3" xfId="22077"/>
    <cellStyle name="Normal 20 29 2 4" xfId="28466"/>
    <cellStyle name="Normal 20 29 3" xfId="12108"/>
    <cellStyle name="Normal 20 29 4" xfId="18661"/>
    <cellStyle name="Normal 20 29 5" xfId="25062"/>
    <cellStyle name="Normal 20 3" xfId="953"/>
    <cellStyle name="Normal 20 30" xfId="3782"/>
    <cellStyle name="Normal 20 30 2" xfId="7245"/>
    <cellStyle name="Normal 20 30 2 2" xfId="15726"/>
    <cellStyle name="Normal 20 30 2 3" xfId="22240"/>
    <cellStyle name="Normal 20 30 2 4" xfId="28629"/>
    <cellStyle name="Normal 20 30 3" xfId="12277"/>
    <cellStyle name="Normal 20 30 4" xfId="18827"/>
    <cellStyle name="Normal 20 30 5" xfId="25225"/>
    <cellStyle name="Normal 20 31" xfId="3949"/>
    <cellStyle name="Normal 20 31 2" xfId="7407"/>
    <cellStyle name="Normal 20 31 2 2" xfId="15888"/>
    <cellStyle name="Normal 20 31 2 3" xfId="22402"/>
    <cellStyle name="Normal 20 31 2 4" xfId="28791"/>
    <cellStyle name="Normal 20 31 3" xfId="12443"/>
    <cellStyle name="Normal 20 31 4" xfId="18990"/>
    <cellStyle name="Normal 20 31 5" xfId="25387"/>
    <cellStyle name="Normal 20 32" xfId="4114"/>
    <cellStyle name="Normal 20 32 2" xfId="7567"/>
    <cellStyle name="Normal 20 32 2 2" xfId="16048"/>
    <cellStyle name="Normal 20 32 2 3" xfId="22562"/>
    <cellStyle name="Normal 20 32 2 4" xfId="28951"/>
    <cellStyle name="Normal 20 32 3" xfId="12607"/>
    <cellStyle name="Normal 20 32 4" xfId="19151"/>
    <cellStyle name="Normal 20 32 5" xfId="25547"/>
    <cellStyle name="Normal 20 33" xfId="4276"/>
    <cellStyle name="Normal 20 33 2" xfId="7724"/>
    <cellStyle name="Normal 20 33 2 2" xfId="16205"/>
    <cellStyle name="Normal 20 33 2 3" xfId="22719"/>
    <cellStyle name="Normal 20 33 2 4" xfId="29108"/>
    <cellStyle name="Normal 20 33 3" xfId="12768"/>
    <cellStyle name="Normal 20 33 4" xfId="19309"/>
    <cellStyle name="Normal 20 33 5" xfId="25704"/>
    <cellStyle name="Normal 20 34" xfId="4436"/>
    <cellStyle name="Normal 20 34 2" xfId="7879"/>
    <cellStyle name="Normal 20 34 2 2" xfId="16360"/>
    <cellStyle name="Normal 20 34 2 3" xfId="22874"/>
    <cellStyle name="Normal 20 34 2 4" xfId="29263"/>
    <cellStyle name="Normal 20 34 3" xfId="12927"/>
    <cellStyle name="Normal 20 34 4" xfId="19465"/>
    <cellStyle name="Normal 20 34 5" xfId="25859"/>
    <cellStyle name="Normal 20 35" xfId="4596"/>
    <cellStyle name="Normal 20 35 2" xfId="8034"/>
    <cellStyle name="Normal 20 35 2 2" xfId="16515"/>
    <cellStyle name="Normal 20 35 2 3" xfId="23029"/>
    <cellStyle name="Normal 20 35 2 4" xfId="29418"/>
    <cellStyle name="Normal 20 35 3" xfId="13087"/>
    <cellStyle name="Normal 20 35 4" xfId="19621"/>
    <cellStyle name="Normal 20 35 5" xfId="26014"/>
    <cellStyle name="Normal 20 36" xfId="4756"/>
    <cellStyle name="Normal 20 36 2" xfId="8189"/>
    <cellStyle name="Normal 20 36 2 2" xfId="16670"/>
    <cellStyle name="Normal 20 36 2 3" xfId="23184"/>
    <cellStyle name="Normal 20 36 2 4" xfId="29573"/>
    <cellStyle name="Normal 20 36 3" xfId="13246"/>
    <cellStyle name="Normal 20 36 4" xfId="19777"/>
    <cellStyle name="Normal 20 36 5" xfId="26169"/>
    <cellStyle name="Normal 20 37" xfId="4915"/>
    <cellStyle name="Normal 20 37 2" xfId="8343"/>
    <cellStyle name="Normal 20 37 2 2" xfId="16824"/>
    <cellStyle name="Normal 20 37 2 3" xfId="23338"/>
    <cellStyle name="Normal 20 37 2 4" xfId="29727"/>
    <cellStyle name="Normal 20 37 3" xfId="13404"/>
    <cellStyle name="Normal 20 37 4" xfId="19932"/>
    <cellStyle name="Normal 20 37 5" xfId="26323"/>
    <cellStyle name="Normal 20 38" xfId="5236"/>
    <cellStyle name="Normal 20 38 2" xfId="13718"/>
    <cellStyle name="Normal 20 38 3" xfId="20235"/>
    <cellStyle name="Normal 20 38 4" xfId="26624"/>
    <cellStyle name="Normal 20 39" xfId="9884"/>
    <cellStyle name="Normal 20 4" xfId="954"/>
    <cellStyle name="Normal 20 40" xfId="12143"/>
    <cellStyle name="Normal 20 41" xfId="18696"/>
    <cellStyle name="Normal 20 5" xfId="955"/>
    <cellStyle name="Normal 20 6" xfId="956"/>
    <cellStyle name="Normal 20 7" xfId="957"/>
    <cellStyle name="Normal 20 8" xfId="958"/>
    <cellStyle name="Normal 20 9" xfId="959"/>
    <cellStyle name="Normal 21" xfId="960"/>
    <cellStyle name="Normal 21 10" xfId="961"/>
    <cellStyle name="Normal 21 11" xfId="962"/>
    <cellStyle name="Normal 21 12" xfId="963"/>
    <cellStyle name="Normal 21 13" xfId="964"/>
    <cellStyle name="Normal 21 14" xfId="965"/>
    <cellStyle name="Normal 21 15" xfId="966"/>
    <cellStyle name="Normal 21 16" xfId="967"/>
    <cellStyle name="Normal 21 17" xfId="968"/>
    <cellStyle name="Normal 21 18" xfId="969"/>
    <cellStyle name="Normal 21 19" xfId="970"/>
    <cellStyle name="Normal 21 2" xfId="971"/>
    <cellStyle name="Normal 21 20" xfId="972"/>
    <cellStyle name="Normal 21 21" xfId="1841"/>
    <cellStyle name="Normal 21 21 2" xfId="5438"/>
    <cellStyle name="Normal 21 21 2 2" xfId="13919"/>
    <cellStyle name="Normal 21 21 2 3" xfId="20433"/>
    <cellStyle name="Normal 21 21 2 4" xfId="26822"/>
    <cellStyle name="Normal 21 21 3" xfId="10412"/>
    <cellStyle name="Normal 21 21 4" xfId="9589"/>
    <cellStyle name="Normal 21 21 5" xfId="13805"/>
    <cellStyle name="Normal 21 22" xfId="2152"/>
    <cellStyle name="Normal 21 22 2" xfId="5723"/>
    <cellStyle name="Normal 21 22 2 2" xfId="14204"/>
    <cellStyle name="Normal 21 22 2 3" xfId="20718"/>
    <cellStyle name="Normal 21 22 2 4" xfId="27107"/>
    <cellStyle name="Normal 21 22 3" xfId="10709"/>
    <cellStyle name="Normal 21 22 4" xfId="9366"/>
    <cellStyle name="Normal 21 22 5" xfId="17319"/>
    <cellStyle name="Normal 21 23" xfId="2194"/>
    <cellStyle name="Normal 21 23 2" xfId="5764"/>
    <cellStyle name="Normal 21 23 2 2" xfId="14245"/>
    <cellStyle name="Normal 21 23 2 3" xfId="20759"/>
    <cellStyle name="Normal 21 23 2 4" xfId="27148"/>
    <cellStyle name="Normal 21 23 3" xfId="10750"/>
    <cellStyle name="Normal 21 23 4" xfId="17141"/>
    <cellStyle name="Normal 21 23 5" xfId="23618"/>
    <cellStyle name="Normal 21 24" xfId="2752"/>
    <cellStyle name="Normal 21 24 2" xfId="6253"/>
    <cellStyle name="Normal 21 24 2 2" xfId="14734"/>
    <cellStyle name="Normal 21 24 2 3" xfId="21248"/>
    <cellStyle name="Normal 21 24 2 4" xfId="27637"/>
    <cellStyle name="Normal 21 24 3" xfId="11262"/>
    <cellStyle name="Normal 21 24 4" xfId="17831"/>
    <cellStyle name="Normal 21 24 5" xfId="24233"/>
    <cellStyle name="Normal 21 25" xfId="2926"/>
    <cellStyle name="Normal 21 25 2" xfId="6420"/>
    <cellStyle name="Normal 21 25 2 2" xfId="14901"/>
    <cellStyle name="Normal 21 25 2 3" xfId="21415"/>
    <cellStyle name="Normal 21 25 2 4" xfId="27804"/>
    <cellStyle name="Normal 21 25 3" xfId="11432"/>
    <cellStyle name="Normal 21 25 4" xfId="17998"/>
    <cellStyle name="Normal 21 25 5" xfId="24400"/>
    <cellStyle name="Normal 21 26" xfId="3100"/>
    <cellStyle name="Normal 21 26 2" xfId="6587"/>
    <cellStyle name="Normal 21 26 2 2" xfId="15068"/>
    <cellStyle name="Normal 21 26 2 3" xfId="21582"/>
    <cellStyle name="Normal 21 26 2 4" xfId="27971"/>
    <cellStyle name="Normal 21 26 3" xfId="11602"/>
    <cellStyle name="Normal 21 26 4" xfId="18165"/>
    <cellStyle name="Normal 21 26 5" xfId="24567"/>
    <cellStyle name="Normal 21 27" xfId="3273"/>
    <cellStyle name="Normal 21 27 2" xfId="6754"/>
    <cellStyle name="Normal 21 27 2 2" xfId="15235"/>
    <cellStyle name="Normal 21 27 2 3" xfId="21749"/>
    <cellStyle name="Normal 21 27 2 4" xfId="28138"/>
    <cellStyle name="Normal 21 27 3" xfId="11773"/>
    <cellStyle name="Normal 21 27 4" xfId="18332"/>
    <cellStyle name="Normal 21 27 5" xfId="24734"/>
    <cellStyle name="Normal 21 28" xfId="3444"/>
    <cellStyle name="Normal 21 28 2" xfId="6919"/>
    <cellStyle name="Normal 21 28 2 2" xfId="15400"/>
    <cellStyle name="Normal 21 28 2 3" xfId="21914"/>
    <cellStyle name="Normal 21 28 2 4" xfId="28303"/>
    <cellStyle name="Normal 21 28 3" xfId="11941"/>
    <cellStyle name="Normal 21 28 4" xfId="18497"/>
    <cellStyle name="Normal 21 28 5" xfId="24899"/>
    <cellStyle name="Normal 21 29" xfId="3614"/>
    <cellStyle name="Normal 21 29 2" xfId="7083"/>
    <cellStyle name="Normal 21 29 2 2" xfId="15564"/>
    <cellStyle name="Normal 21 29 2 3" xfId="22078"/>
    <cellStyle name="Normal 21 29 2 4" xfId="28467"/>
    <cellStyle name="Normal 21 29 3" xfId="12109"/>
    <cellStyle name="Normal 21 29 4" xfId="18662"/>
    <cellStyle name="Normal 21 29 5" xfId="25063"/>
    <cellStyle name="Normal 21 3" xfId="973"/>
    <cellStyle name="Normal 21 30" xfId="3783"/>
    <cellStyle name="Normal 21 30 2" xfId="7246"/>
    <cellStyle name="Normal 21 30 2 2" xfId="15727"/>
    <cellStyle name="Normal 21 30 2 3" xfId="22241"/>
    <cellStyle name="Normal 21 30 2 4" xfId="28630"/>
    <cellStyle name="Normal 21 30 3" xfId="12278"/>
    <cellStyle name="Normal 21 30 4" xfId="18828"/>
    <cellStyle name="Normal 21 30 5" xfId="25226"/>
    <cellStyle name="Normal 21 31" xfId="3950"/>
    <cellStyle name="Normal 21 31 2" xfId="7408"/>
    <cellStyle name="Normal 21 31 2 2" xfId="15889"/>
    <cellStyle name="Normal 21 31 2 3" xfId="22403"/>
    <cellStyle name="Normal 21 31 2 4" xfId="28792"/>
    <cellStyle name="Normal 21 31 3" xfId="12444"/>
    <cellStyle name="Normal 21 31 4" xfId="18991"/>
    <cellStyle name="Normal 21 31 5" xfId="25388"/>
    <cellStyle name="Normal 21 32" xfId="4115"/>
    <cellStyle name="Normal 21 32 2" xfId="7568"/>
    <cellStyle name="Normal 21 32 2 2" xfId="16049"/>
    <cellStyle name="Normal 21 32 2 3" xfId="22563"/>
    <cellStyle name="Normal 21 32 2 4" xfId="28952"/>
    <cellStyle name="Normal 21 32 3" xfId="12608"/>
    <cellStyle name="Normal 21 32 4" xfId="19152"/>
    <cellStyle name="Normal 21 32 5" xfId="25548"/>
    <cellStyle name="Normal 21 33" xfId="4277"/>
    <cellStyle name="Normal 21 33 2" xfId="7725"/>
    <cellStyle name="Normal 21 33 2 2" xfId="16206"/>
    <cellStyle name="Normal 21 33 2 3" xfId="22720"/>
    <cellStyle name="Normal 21 33 2 4" xfId="29109"/>
    <cellStyle name="Normal 21 33 3" xfId="12769"/>
    <cellStyle name="Normal 21 33 4" xfId="19310"/>
    <cellStyle name="Normal 21 33 5" xfId="25705"/>
    <cellStyle name="Normal 21 34" xfId="4437"/>
    <cellStyle name="Normal 21 34 2" xfId="7880"/>
    <cellStyle name="Normal 21 34 2 2" xfId="16361"/>
    <cellStyle name="Normal 21 34 2 3" xfId="22875"/>
    <cellStyle name="Normal 21 34 2 4" xfId="29264"/>
    <cellStyle name="Normal 21 34 3" xfId="12928"/>
    <cellStyle name="Normal 21 34 4" xfId="19466"/>
    <cellStyle name="Normal 21 34 5" xfId="25860"/>
    <cellStyle name="Normal 21 35" xfId="4597"/>
    <cellStyle name="Normal 21 35 2" xfId="8035"/>
    <cellStyle name="Normal 21 35 2 2" xfId="16516"/>
    <cellStyle name="Normal 21 35 2 3" xfId="23030"/>
    <cellStyle name="Normal 21 35 2 4" xfId="29419"/>
    <cellStyle name="Normal 21 35 3" xfId="13088"/>
    <cellStyle name="Normal 21 35 4" xfId="19622"/>
    <cellStyle name="Normal 21 35 5" xfId="26015"/>
    <cellStyle name="Normal 21 36" xfId="4757"/>
    <cellStyle name="Normal 21 36 2" xfId="8190"/>
    <cellStyle name="Normal 21 36 2 2" xfId="16671"/>
    <cellStyle name="Normal 21 36 2 3" xfId="23185"/>
    <cellStyle name="Normal 21 36 2 4" xfId="29574"/>
    <cellStyle name="Normal 21 36 3" xfId="13247"/>
    <cellStyle name="Normal 21 36 4" xfId="19778"/>
    <cellStyle name="Normal 21 36 5" xfId="26170"/>
    <cellStyle name="Normal 21 37" xfId="4916"/>
    <cellStyle name="Normal 21 37 2" xfId="8344"/>
    <cellStyle name="Normal 21 37 2 2" xfId="16825"/>
    <cellStyle name="Normal 21 37 2 3" xfId="23339"/>
    <cellStyle name="Normal 21 37 2 4" xfId="29728"/>
    <cellStyle name="Normal 21 37 3" xfId="13405"/>
    <cellStyle name="Normal 21 37 4" xfId="19933"/>
    <cellStyle name="Normal 21 37 5" xfId="26324"/>
    <cellStyle name="Normal 21 38" xfId="5237"/>
    <cellStyle name="Normal 21 38 2" xfId="13719"/>
    <cellStyle name="Normal 21 38 3" xfId="20236"/>
    <cellStyle name="Normal 21 38 4" xfId="26625"/>
    <cellStyle name="Normal 21 39" xfId="9887"/>
    <cellStyle name="Normal 21 4" xfId="974"/>
    <cellStyle name="Normal 21 40" xfId="9882"/>
    <cellStyle name="Normal 21 41" xfId="13617"/>
    <cellStyle name="Normal 21 5" xfId="975"/>
    <cellStyle name="Normal 21 6" xfId="976"/>
    <cellStyle name="Normal 21 7" xfId="977"/>
    <cellStyle name="Normal 21 8" xfId="978"/>
    <cellStyle name="Normal 21 9" xfId="979"/>
    <cellStyle name="Normal 22" xfId="980"/>
    <cellStyle name="Normal 22 10" xfId="981"/>
    <cellStyle name="Normal 22 11" xfId="982"/>
    <cellStyle name="Normal 22 12" xfId="983"/>
    <cellStyle name="Normal 22 13" xfId="984"/>
    <cellStyle name="Normal 22 14" xfId="985"/>
    <cellStyle name="Normal 22 15" xfId="986"/>
    <cellStyle name="Normal 22 16" xfId="987"/>
    <cellStyle name="Normal 22 17" xfId="988"/>
    <cellStyle name="Normal 22 18" xfId="989"/>
    <cellStyle name="Normal 22 19" xfId="990"/>
    <cellStyle name="Normal 22 2" xfId="991"/>
    <cellStyle name="Normal 22 20" xfId="1842"/>
    <cellStyle name="Normal 22 20 2" xfId="5439"/>
    <cellStyle name="Normal 22 20 2 2" xfId="13920"/>
    <cellStyle name="Normal 22 20 2 3" xfId="20434"/>
    <cellStyle name="Normal 22 20 2 4" xfId="26823"/>
    <cellStyle name="Normal 22 20 3" xfId="10413"/>
    <cellStyle name="Normal 22 20 4" xfId="9588"/>
    <cellStyle name="Normal 22 20 5" xfId="10134"/>
    <cellStyle name="Normal 22 21" xfId="2153"/>
    <cellStyle name="Normal 22 21 2" xfId="5724"/>
    <cellStyle name="Normal 22 21 2 2" xfId="14205"/>
    <cellStyle name="Normal 22 21 2 3" xfId="20719"/>
    <cellStyle name="Normal 22 21 2 4" xfId="27108"/>
    <cellStyle name="Normal 22 21 3" xfId="10710"/>
    <cellStyle name="Normal 22 21 4" xfId="9365"/>
    <cellStyle name="Normal 22 21 5" xfId="17351"/>
    <cellStyle name="Normal 22 22" xfId="2785"/>
    <cellStyle name="Normal 22 22 2" xfId="6285"/>
    <cellStyle name="Normal 22 22 2 2" xfId="14766"/>
    <cellStyle name="Normal 22 22 2 3" xfId="21280"/>
    <cellStyle name="Normal 22 22 2 4" xfId="27669"/>
    <cellStyle name="Normal 22 22 3" xfId="11294"/>
    <cellStyle name="Normal 22 22 4" xfId="17863"/>
    <cellStyle name="Normal 22 22 5" xfId="24265"/>
    <cellStyle name="Normal 22 23" xfId="2959"/>
    <cellStyle name="Normal 22 23 2" xfId="6452"/>
    <cellStyle name="Normal 22 23 2 2" xfId="14933"/>
    <cellStyle name="Normal 22 23 2 3" xfId="21447"/>
    <cellStyle name="Normal 22 23 2 4" xfId="27836"/>
    <cellStyle name="Normal 22 23 3" xfId="11464"/>
    <cellStyle name="Normal 22 23 4" xfId="18030"/>
    <cellStyle name="Normal 22 23 5" xfId="24432"/>
    <cellStyle name="Normal 22 24" xfId="3133"/>
    <cellStyle name="Normal 22 24 2" xfId="6619"/>
    <cellStyle name="Normal 22 24 2 2" xfId="15100"/>
    <cellStyle name="Normal 22 24 2 3" xfId="21614"/>
    <cellStyle name="Normal 22 24 2 4" xfId="28003"/>
    <cellStyle name="Normal 22 24 3" xfId="11635"/>
    <cellStyle name="Normal 22 24 4" xfId="18197"/>
    <cellStyle name="Normal 22 24 5" xfId="24599"/>
    <cellStyle name="Normal 22 25" xfId="3306"/>
    <cellStyle name="Normal 22 25 2" xfId="6786"/>
    <cellStyle name="Normal 22 25 2 2" xfId="15267"/>
    <cellStyle name="Normal 22 25 2 3" xfId="21781"/>
    <cellStyle name="Normal 22 25 2 4" xfId="28170"/>
    <cellStyle name="Normal 22 25 3" xfId="11805"/>
    <cellStyle name="Normal 22 25 4" xfId="18364"/>
    <cellStyle name="Normal 22 25 5" xfId="24766"/>
    <cellStyle name="Normal 22 26" xfId="3477"/>
    <cellStyle name="Normal 22 26 2" xfId="6951"/>
    <cellStyle name="Normal 22 26 2 2" xfId="15432"/>
    <cellStyle name="Normal 22 26 2 3" xfId="21946"/>
    <cellStyle name="Normal 22 26 2 4" xfId="28335"/>
    <cellStyle name="Normal 22 26 3" xfId="11974"/>
    <cellStyle name="Normal 22 26 4" xfId="18530"/>
    <cellStyle name="Normal 22 26 5" xfId="24931"/>
    <cellStyle name="Normal 22 27" xfId="3647"/>
    <cellStyle name="Normal 22 27 2" xfId="7115"/>
    <cellStyle name="Normal 22 27 2 2" xfId="15596"/>
    <cellStyle name="Normal 22 27 2 3" xfId="22110"/>
    <cellStyle name="Normal 22 27 2 4" xfId="28499"/>
    <cellStyle name="Normal 22 27 3" xfId="12142"/>
    <cellStyle name="Normal 22 27 4" xfId="18695"/>
    <cellStyle name="Normal 22 27 5" xfId="25095"/>
    <cellStyle name="Normal 22 28" xfId="3816"/>
    <cellStyle name="Normal 22 28 2" xfId="7278"/>
    <cellStyle name="Normal 22 28 2 2" xfId="15759"/>
    <cellStyle name="Normal 22 28 2 3" xfId="22273"/>
    <cellStyle name="Normal 22 28 2 4" xfId="28662"/>
    <cellStyle name="Normal 22 28 3" xfId="12311"/>
    <cellStyle name="Normal 22 28 4" xfId="18861"/>
    <cellStyle name="Normal 22 28 5" xfId="25258"/>
    <cellStyle name="Normal 22 29" xfId="3983"/>
    <cellStyle name="Normal 22 29 2" xfId="7440"/>
    <cellStyle name="Normal 22 29 2 2" xfId="15921"/>
    <cellStyle name="Normal 22 29 2 3" xfId="22435"/>
    <cellStyle name="Normal 22 29 2 4" xfId="28824"/>
    <cellStyle name="Normal 22 29 3" xfId="12477"/>
    <cellStyle name="Normal 22 29 4" xfId="19024"/>
    <cellStyle name="Normal 22 29 5" xfId="25420"/>
    <cellStyle name="Normal 22 3" xfId="992"/>
    <cellStyle name="Normal 22 30" xfId="4148"/>
    <cellStyle name="Normal 22 30 2" xfId="7600"/>
    <cellStyle name="Normal 22 30 2 2" xfId="16081"/>
    <cellStyle name="Normal 22 30 2 3" xfId="22595"/>
    <cellStyle name="Normal 22 30 2 4" xfId="28984"/>
    <cellStyle name="Normal 22 30 3" xfId="12641"/>
    <cellStyle name="Normal 22 30 4" xfId="19185"/>
    <cellStyle name="Normal 22 30 5" xfId="25580"/>
    <cellStyle name="Normal 22 31" xfId="4310"/>
    <cellStyle name="Normal 22 31 2" xfId="7757"/>
    <cellStyle name="Normal 22 31 2 2" xfId="16238"/>
    <cellStyle name="Normal 22 31 2 3" xfId="22752"/>
    <cellStyle name="Normal 22 31 2 4" xfId="29141"/>
    <cellStyle name="Normal 22 31 3" xfId="12802"/>
    <cellStyle name="Normal 22 31 4" xfId="19343"/>
    <cellStyle name="Normal 22 31 5" xfId="25737"/>
    <cellStyle name="Normal 22 32" xfId="4470"/>
    <cellStyle name="Normal 22 32 2" xfId="7912"/>
    <cellStyle name="Normal 22 32 2 2" xfId="16393"/>
    <cellStyle name="Normal 22 32 2 3" xfId="22907"/>
    <cellStyle name="Normal 22 32 2 4" xfId="29296"/>
    <cellStyle name="Normal 22 32 3" xfId="12961"/>
    <cellStyle name="Normal 22 32 4" xfId="19499"/>
    <cellStyle name="Normal 22 32 5" xfId="25892"/>
    <cellStyle name="Normal 22 33" xfId="4630"/>
    <cellStyle name="Normal 22 33 2" xfId="8067"/>
    <cellStyle name="Normal 22 33 2 2" xfId="16548"/>
    <cellStyle name="Normal 22 33 2 3" xfId="23062"/>
    <cellStyle name="Normal 22 33 2 4" xfId="29451"/>
    <cellStyle name="Normal 22 33 3" xfId="13121"/>
    <cellStyle name="Normal 22 33 4" xfId="19655"/>
    <cellStyle name="Normal 22 33 5" xfId="26047"/>
    <cellStyle name="Normal 22 34" xfId="4789"/>
    <cellStyle name="Normal 22 34 2" xfId="8221"/>
    <cellStyle name="Normal 22 34 2 2" xfId="16702"/>
    <cellStyle name="Normal 22 34 2 3" xfId="23216"/>
    <cellStyle name="Normal 22 34 2 4" xfId="29605"/>
    <cellStyle name="Normal 22 34 3" xfId="13279"/>
    <cellStyle name="Normal 22 34 4" xfId="19810"/>
    <cellStyle name="Normal 22 34 5" xfId="26201"/>
    <cellStyle name="Normal 22 35" xfId="4947"/>
    <cellStyle name="Normal 22 35 2" xfId="8374"/>
    <cellStyle name="Normal 22 35 2 2" xfId="16855"/>
    <cellStyle name="Normal 22 35 2 3" xfId="23369"/>
    <cellStyle name="Normal 22 35 2 4" xfId="29758"/>
    <cellStyle name="Normal 22 35 3" xfId="13436"/>
    <cellStyle name="Normal 22 35 4" xfId="19964"/>
    <cellStyle name="Normal 22 35 5" xfId="26354"/>
    <cellStyle name="Normal 22 36" xfId="5076"/>
    <cellStyle name="Normal 22 36 2" xfId="8498"/>
    <cellStyle name="Normal 22 36 2 2" xfId="16979"/>
    <cellStyle name="Normal 22 36 2 3" xfId="23493"/>
    <cellStyle name="Normal 22 36 2 4" xfId="29882"/>
    <cellStyle name="Normal 22 36 3" xfId="13563"/>
    <cellStyle name="Normal 22 36 4" xfId="20088"/>
    <cellStyle name="Normal 22 36 5" xfId="26478"/>
    <cellStyle name="Normal 22 37" xfId="5238"/>
    <cellStyle name="Normal 22 37 2" xfId="13720"/>
    <cellStyle name="Normal 22 37 3" xfId="20237"/>
    <cellStyle name="Normal 22 37 4" xfId="26626"/>
    <cellStyle name="Normal 22 38" xfId="9890"/>
    <cellStyle name="Normal 22 39" xfId="9878"/>
    <cellStyle name="Normal 22 4" xfId="993"/>
    <cellStyle name="Normal 22 40" xfId="9885"/>
    <cellStyle name="Normal 22 5" xfId="994"/>
    <cellStyle name="Normal 22 6" xfId="995"/>
    <cellStyle name="Normal 22 7" xfId="996"/>
    <cellStyle name="Normal 22 8" xfId="997"/>
    <cellStyle name="Normal 22 9" xfId="998"/>
    <cellStyle name="Normal 23" xfId="999"/>
    <cellStyle name="Normal 23 10" xfId="1000"/>
    <cellStyle name="Normal 23 11" xfId="1001"/>
    <cellStyle name="Normal 23 12" xfId="1002"/>
    <cellStyle name="Normal 23 13" xfId="1003"/>
    <cellStyle name="Normal 23 14" xfId="1004"/>
    <cellStyle name="Normal 23 15" xfId="1005"/>
    <cellStyle name="Normal 23 16" xfId="1006"/>
    <cellStyle name="Normal 23 17" xfId="1007"/>
    <cellStyle name="Normal 23 18" xfId="1008"/>
    <cellStyle name="Normal 23 19" xfId="1843"/>
    <cellStyle name="Normal 23 19 2" xfId="5440"/>
    <cellStyle name="Normal 23 19 2 2" xfId="13921"/>
    <cellStyle name="Normal 23 19 2 3" xfId="20435"/>
    <cellStyle name="Normal 23 19 2 4" xfId="26824"/>
    <cellStyle name="Normal 23 19 3" xfId="10414"/>
    <cellStyle name="Normal 23 19 4" xfId="9587"/>
    <cellStyle name="Normal 23 19 5" xfId="10135"/>
    <cellStyle name="Normal 23 2" xfId="1009"/>
    <cellStyle name="Normal 23 20" xfId="2154"/>
    <cellStyle name="Normal 23 20 2" xfId="5725"/>
    <cellStyle name="Normal 23 20 2 2" xfId="14206"/>
    <cellStyle name="Normal 23 20 2 3" xfId="20720"/>
    <cellStyle name="Normal 23 20 2 4" xfId="27109"/>
    <cellStyle name="Normal 23 20 3" xfId="10711"/>
    <cellStyle name="Normal 23 20 4" xfId="9364"/>
    <cellStyle name="Normal 23 20 5" xfId="17040"/>
    <cellStyle name="Normal 23 21" xfId="2784"/>
    <cellStyle name="Normal 23 21 2" xfId="6284"/>
    <cellStyle name="Normal 23 21 2 2" xfId="14765"/>
    <cellStyle name="Normal 23 21 2 3" xfId="21279"/>
    <cellStyle name="Normal 23 21 2 4" xfId="27668"/>
    <cellStyle name="Normal 23 21 3" xfId="11293"/>
    <cellStyle name="Normal 23 21 4" xfId="17862"/>
    <cellStyle name="Normal 23 21 5" xfId="24264"/>
    <cellStyle name="Normal 23 22" xfId="2958"/>
    <cellStyle name="Normal 23 22 2" xfId="6451"/>
    <cellStyle name="Normal 23 22 2 2" xfId="14932"/>
    <cellStyle name="Normal 23 22 2 3" xfId="21446"/>
    <cellStyle name="Normal 23 22 2 4" xfId="27835"/>
    <cellStyle name="Normal 23 22 3" xfId="11463"/>
    <cellStyle name="Normal 23 22 4" xfId="18029"/>
    <cellStyle name="Normal 23 22 5" xfId="24431"/>
    <cellStyle name="Normal 23 23" xfId="3132"/>
    <cellStyle name="Normal 23 23 2" xfId="6618"/>
    <cellStyle name="Normal 23 23 2 2" xfId="15099"/>
    <cellStyle name="Normal 23 23 2 3" xfId="21613"/>
    <cellStyle name="Normal 23 23 2 4" xfId="28002"/>
    <cellStyle name="Normal 23 23 3" xfId="11634"/>
    <cellStyle name="Normal 23 23 4" xfId="18196"/>
    <cellStyle name="Normal 23 23 5" xfId="24598"/>
    <cellStyle name="Normal 23 24" xfId="3305"/>
    <cellStyle name="Normal 23 24 2" xfId="6785"/>
    <cellStyle name="Normal 23 24 2 2" xfId="15266"/>
    <cellStyle name="Normal 23 24 2 3" xfId="21780"/>
    <cellStyle name="Normal 23 24 2 4" xfId="28169"/>
    <cellStyle name="Normal 23 24 3" xfId="11804"/>
    <cellStyle name="Normal 23 24 4" xfId="18363"/>
    <cellStyle name="Normal 23 24 5" xfId="24765"/>
    <cellStyle name="Normal 23 25" xfId="3476"/>
    <cellStyle name="Normal 23 25 2" xfId="6950"/>
    <cellStyle name="Normal 23 25 2 2" xfId="15431"/>
    <cellStyle name="Normal 23 25 2 3" xfId="21945"/>
    <cellStyle name="Normal 23 25 2 4" xfId="28334"/>
    <cellStyle name="Normal 23 25 3" xfId="11973"/>
    <cellStyle name="Normal 23 25 4" xfId="18529"/>
    <cellStyle name="Normal 23 25 5" xfId="24930"/>
    <cellStyle name="Normal 23 26" xfId="3646"/>
    <cellStyle name="Normal 23 26 2" xfId="7114"/>
    <cellStyle name="Normal 23 26 2 2" xfId="15595"/>
    <cellStyle name="Normal 23 26 2 3" xfId="22109"/>
    <cellStyle name="Normal 23 26 2 4" xfId="28498"/>
    <cellStyle name="Normal 23 26 3" xfId="12141"/>
    <cellStyle name="Normal 23 26 4" xfId="18694"/>
    <cellStyle name="Normal 23 26 5" xfId="25094"/>
    <cellStyle name="Normal 23 27" xfId="3815"/>
    <cellStyle name="Normal 23 27 2" xfId="7277"/>
    <cellStyle name="Normal 23 27 2 2" xfId="15758"/>
    <cellStyle name="Normal 23 27 2 3" xfId="22272"/>
    <cellStyle name="Normal 23 27 2 4" xfId="28661"/>
    <cellStyle name="Normal 23 27 3" xfId="12310"/>
    <cellStyle name="Normal 23 27 4" xfId="18860"/>
    <cellStyle name="Normal 23 27 5" xfId="25257"/>
    <cellStyle name="Normal 23 28" xfId="3982"/>
    <cellStyle name="Normal 23 28 2" xfId="7439"/>
    <cellStyle name="Normal 23 28 2 2" xfId="15920"/>
    <cellStyle name="Normal 23 28 2 3" xfId="22434"/>
    <cellStyle name="Normal 23 28 2 4" xfId="28823"/>
    <cellStyle name="Normal 23 28 3" xfId="12476"/>
    <cellStyle name="Normal 23 28 4" xfId="19023"/>
    <cellStyle name="Normal 23 28 5" xfId="25419"/>
    <cellStyle name="Normal 23 29" xfId="4147"/>
    <cellStyle name="Normal 23 29 2" xfId="7599"/>
    <cellStyle name="Normal 23 29 2 2" xfId="16080"/>
    <cellStyle name="Normal 23 29 2 3" xfId="22594"/>
    <cellStyle name="Normal 23 29 2 4" xfId="28983"/>
    <cellStyle name="Normal 23 29 3" xfId="12640"/>
    <cellStyle name="Normal 23 29 4" xfId="19184"/>
    <cellStyle name="Normal 23 29 5" xfId="25579"/>
    <cellStyle name="Normal 23 3" xfId="1010"/>
    <cellStyle name="Normal 23 30" xfId="4309"/>
    <cellStyle name="Normal 23 30 2" xfId="7756"/>
    <cellStyle name="Normal 23 30 2 2" xfId="16237"/>
    <cellStyle name="Normal 23 30 2 3" xfId="22751"/>
    <cellStyle name="Normal 23 30 2 4" xfId="29140"/>
    <cellStyle name="Normal 23 30 3" xfId="12801"/>
    <cellStyle name="Normal 23 30 4" xfId="19342"/>
    <cellStyle name="Normal 23 30 5" xfId="25736"/>
    <cellStyle name="Normal 23 31" xfId="4469"/>
    <cellStyle name="Normal 23 31 2" xfId="7911"/>
    <cellStyle name="Normal 23 31 2 2" xfId="16392"/>
    <cellStyle name="Normal 23 31 2 3" xfId="22906"/>
    <cellStyle name="Normal 23 31 2 4" xfId="29295"/>
    <cellStyle name="Normal 23 31 3" xfId="12960"/>
    <cellStyle name="Normal 23 31 4" xfId="19498"/>
    <cellStyle name="Normal 23 31 5" xfId="25891"/>
    <cellStyle name="Normal 23 32" xfId="4629"/>
    <cellStyle name="Normal 23 32 2" xfId="8066"/>
    <cellStyle name="Normal 23 32 2 2" xfId="16547"/>
    <cellStyle name="Normal 23 32 2 3" xfId="23061"/>
    <cellStyle name="Normal 23 32 2 4" xfId="29450"/>
    <cellStyle name="Normal 23 32 3" xfId="13120"/>
    <cellStyle name="Normal 23 32 4" xfId="19654"/>
    <cellStyle name="Normal 23 32 5" xfId="26046"/>
    <cellStyle name="Normal 23 33" xfId="4788"/>
    <cellStyle name="Normal 23 33 2" xfId="8220"/>
    <cellStyle name="Normal 23 33 2 2" xfId="16701"/>
    <cellStyle name="Normal 23 33 2 3" xfId="23215"/>
    <cellStyle name="Normal 23 33 2 4" xfId="29604"/>
    <cellStyle name="Normal 23 33 3" xfId="13278"/>
    <cellStyle name="Normal 23 33 4" xfId="19809"/>
    <cellStyle name="Normal 23 33 5" xfId="26200"/>
    <cellStyle name="Normal 23 34" xfId="4946"/>
    <cellStyle name="Normal 23 34 2" xfId="8373"/>
    <cellStyle name="Normal 23 34 2 2" xfId="16854"/>
    <cellStyle name="Normal 23 34 2 3" xfId="23368"/>
    <cellStyle name="Normal 23 34 2 4" xfId="29757"/>
    <cellStyle name="Normal 23 34 3" xfId="13435"/>
    <cellStyle name="Normal 23 34 4" xfId="19963"/>
    <cellStyle name="Normal 23 34 5" xfId="26353"/>
    <cellStyle name="Normal 23 35" xfId="5075"/>
    <cellStyle name="Normal 23 35 2" xfId="8497"/>
    <cellStyle name="Normal 23 35 2 2" xfId="16978"/>
    <cellStyle name="Normal 23 35 2 3" xfId="23492"/>
    <cellStyle name="Normal 23 35 2 4" xfId="29881"/>
    <cellStyle name="Normal 23 35 3" xfId="13562"/>
    <cellStyle name="Normal 23 35 4" xfId="20087"/>
    <cellStyle name="Normal 23 35 5" xfId="26477"/>
    <cellStyle name="Normal 23 36" xfId="5239"/>
    <cellStyle name="Normal 23 36 2" xfId="13721"/>
    <cellStyle name="Normal 23 36 3" xfId="20238"/>
    <cellStyle name="Normal 23 36 4" xfId="26627"/>
    <cellStyle name="Normal 23 37" xfId="9894"/>
    <cellStyle name="Normal 23 38" xfId="9877"/>
    <cellStyle name="Normal 23 39" xfId="9886"/>
    <cellStyle name="Normal 23 4" xfId="1011"/>
    <cellStyle name="Normal 23 5" xfId="1012"/>
    <cellStyle name="Normal 23 6" xfId="1013"/>
    <cellStyle name="Normal 23 7" xfId="1014"/>
    <cellStyle name="Normal 23 8" xfId="1015"/>
    <cellStyle name="Normal 23 9" xfId="1016"/>
    <cellStyle name="Normal 24" xfId="1017"/>
    <cellStyle name="Normal 24 10" xfId="1018"/>
    <cellStyle name="Normal 24 11" xfId="1019"/>
    <cellStyle name="Normal 24 12" xfId="1020"/>
    <cellStyle name="Normal 24 13" xfId="1021"/>
    <cellStyle name="Normal 24 14" xfId="1022"/>
    <cellStyle name="Normal 24 15" xfId="1023"/>
    <cellStyle name="Normal 24 16" xfId="1024"/>
    <cellStyle name="Normal 24 17" xfId="1025"/>
    <cellStyle name="Normal 24 18" xfId="1026"/>
    <cellStyle name="Normal 24 19" xfId="1844"/>
    <cellStyle name="Normal 24 19 2" xfId="5441"/>
    <cellStyle name="Normal 24 19 2 2" xfId="13922"/>
    <cellStyle name="Normal 24 19 2 3" xfId="20436"/>
    <cellStyle name="Normal 24 19 2 4" xfId="26825"/>
    <cellStyle name="Normal 24 19 3" xfId="10415"/>
    <cellStyle name="Normal 24 19 4" xfId="17515"/>
    <cellStyle name="Normal 24 19 5" xfId="23931"/>
    <cellStyle name="Normal 24 2" xfId="1027"/>
    <cellStyle name="Normal 24 2 10" xfId="3813"/>
    <cellStyle name="Normal 24 2 10 2" xfId="7275"/>
    <cellStyle name="Normal 24 2 10 2 2" xfId="15756"/>
    <cellStyle name="Normal 24 2 10 2 3" xfId="22270"/>
    <cellStyle name="Normal 24 2 10 2 4" xfId="28659"/>
    <cellStyle name="Normal 24 2 10 3" xfId="12308"/>
    <cellStyle name="Normal 24 2 10 4" xfId="18858"/>
    <cellStyle name="Normal 24 2 10 5" xfId="25255"/>
    <cellStyle name="Normal 24 2 11" xfId="3980"/>
    <cellStyle name="Normal 24 2 11 2" xfId="7437"/>
    <cellStyle name="Normal 24 2 11 2 2" xfId="15918"/>
    <cellStyle name="Normal 24 2 11 2 3" xfId="22432"/>
    <cellStyle name="Normal 24 2 11 2 4" xfId="28821"/>
    <cellStyle name="Normal 24 2 11 3" xfId="12474"/>
    <cellStyle name="Normal 24 2 11 4" xfId="19021"/>
    <cellStyle name="Normal 24 2 11 5" xfId="25417"/>
    <cellStyle name="Normal 24 2 12" xfId="4145"/>
    <cellStyle name="Normal 24 2 12 2" xfId="7597"/>
    <cellStyle name="Normal 24 2 12 2 2" xfId="16078"/>
    <cellStyle name="Normal 24 2 12 2 3" xfId="22592"/>
    <cellStyle name="Normal 24 2 12 2 4" xfId="28981"/>
    <cellStyle name="Normal 24 2 12 3" xfId="12638"/>
    <cellStyle name="Normal 24 2 12 4" xfId="19182"/>
    <cellStyle name="Normal 24 2 12 5" xfId="25577"/>
    <cellStyle name="Normal 24 2 13" xfId="4307"/>
    <cellStyle name="Normal 24 2 13 2" xfId="7754"/>
    <cellStyle name="Normal 24 2 13 2 2" xfId="16235"/>
    <cellStyle name="Normal 24 2 13 2 3" xfId="22749"/>
    <cellStyle name="Normal 24 2 13 2 4" xfId="29138"/>
    <cellStyle name="Normal 24 2 13 3" xfId="12799"/>
    <cellStyle name="Normal 24 2 13 4" xfId="19340"/>
    <cellStyle name="Normal 24 2 13 5" xfId="25734"/>
    <cellStyle name="Normal 24 2 14" xfId="4467"/>
    <cellStyle name="Normal 24 2 14 2" xfId="7909"/>
    <cellStyle name="Normal 24 2 14 2 2" xfId="16390"/>
    <cellStyle name="Normal 24 2 14 2 3" xfId="22904"/>
    <cellStyle name="Normal 24 2 14 2 4" xfId="29293"/>
    <cellStyle name="Normal 24 2 14 3" xfId="12958"/>
    <cellStyle name="Normal 24 2 14 4" xfId="19496"/>
    <cellStyle name="Normal 24 2 14 5" xfId="25889"/>
    <cellStyle name="Normal 24 2 15" xfId="4627"/>
    <cellStyle name="Normal 24 2 15 2" xfId="8064"/>
    <cellStyle name="Normal 24 2 15 2 2" xfId="16545"/>
    <cellStyle name="Normal 24 2 15 2 3" xfId="23059"/>
    <cellStyle name="Normal 24 2 15 2 4" xfId="29448"/>
    <cellStyle name="Normal 24 2 15 3" xfId="13118"/>
    <cellStyle name="Normal 24 2 15 4" xfId="19652"/>
    <cellStyle name="Normal 24 2 15 5" xfId="26044"/>
    <cellStyle name="Normal 24 2 16" xfId="4786"/>
    <cellStyle name="Normal 24 2 16 2" xfId="8218"/>
    <cellStyle name="Normal 24 2 16 2 2" xfId="16699"/>
    <cellStyle name="Normal 24 2 16 2 3" xfId="23213"/>
    <cellStyle name="Normal 24 2 16 2 4" xfId="29602"/>
    <cellStyle name="Normal 24 2 16 3" xfId="13276"/>
    <cellStyle name="Normal 24 2 16 4" xfId="19807"/>
    <cellStyle name="Normal 24 2 16 5" xfId="26198"/>
    <cellStyle name="Normal 24 2 17" xfId="4944"/>
    <cellStyle name="Normal 24 2 17 2" xfId="8371"/>
    <cellStyle name="Normal 24 2 17 2 2" xfId="16852"/>
    <cellStyle name="Normal 24 2 17 2 3" xfId="23366"/>
    <cellStyle name="Normal 24 2 17 2 4" xfId="29755"/>
    <cellStyle name="Normal 24 2 17 3" xfId="13433"/>
    <cellStyle name="Normal 24 2 17 4" xfId="19961"/>
    <cellStyle name="Normal 24 2 17 5" xfId="26351"/>
    <cellStyle name="Normal 24 2 18" xfId="5073"/>
    <cellStyle name="Normal 24 2 18 2" xfId="8495"/>
    <cellStyle name="Normal 24 2 18 2 2" xfId="16976"/>
    <cellStyle name="Normal 24 2 18 2 3" xfId="23490"/>
    <cellStyle name="Normal 24 2 18 2 4" xfId="29879"/>
    <cellStyle name="Normal 24 2 18 3" xfId="13560"/>
    <cellStyle name="Normal 24 2 18 4" xfId="20085"/>
    <cellStyle name="Normal 24 2 18 5" xfId="26475"/>
    <cellStyle name="Normal 24 2 19" xfId="5241"/>
    <cellStyle name="Normal 24 2 19 2" xfId="13723"/>
    <cellStyle name="Normal 24 2 19 3" xfId="20240"/>
    <cellStyle name="Normal 24 2 19 4" xfId="26629"/>
    <cellStyle name="Normal 24 2 2" xfId="1845"/>
    <cellStyle name="Normal 24 2 2 2" xfId="5442"/>
    <cellStyle name="Normal 24 2 2 2 2" xfId="13923"/>
    <cellStyle name="Normal 24 2 2 2 3" xfId="20437"/>
    <cellStyle name="Normal 24 2 2 2 4" xfId="26826"/>
    <cellStyle name="Normal 24 2 2 3" xfId="10416"/>
    <cellStyle name="Normal 24 2 2 4" xfId="17529"/>
    <cellStyle name="Normal 24 2 2 5" xfId="23941"/>
    <cellStyle name="Normal 24 2 20" xfId="9907"/>
    <cellStyle name="Normal 24 2 21" xfId="9868"/>
    <cellStyle name="Normal 24 2 22" xfId="9891"/>
    <cellStyle name="Normal 24 2 3" xfId="2156"/>
    <cellStyle name="Normal 24 2 3 2" xfId="5727"/>
    <cellStyle name="Normal 24 2 3 2 2" xfId="14208"/>
    <cellStyle name="Normal 24 2 3 2 3" xfId="20722"/>
    <cellStyle name="Normal 24 2 3 2 4" xfId="27111"/>
    <cellStyle name="Normal 24 2 3 3" xfId="10713"/>
    <cellStyle name="Normal 24 2 3 4" xfId="9362"/>
    <cellStyle name="Normal 24 2 3 5" xfId="17344"/>
    <cellStyle name="Normal 24 2 4" xfId="2782"/>
    <cellStyle name="Normal 24 2 4 2" xfId="6282"/>
    <cellStyle name="Normal 24 2 4 2 2" xfId="14763"/>
    <cellStyle name="Normal 24 2 4 2 3" xfId="21277"/>
    <cellStyle name="Normal 24 2 4 2 4" xfId="27666"/>
    <cellStyle name="Normal 24 2 4 3" xfId="11291"/>
    <cellStyle name="Normal 24 2 4 4" xfId="17860"/>
    <cellStyle name="Normal 24 2 4 5" xfId="24262"/>
    <cellStyle name="Normal 24 2 5" xfId="2956"/>
    <cellStyle name="Normal 24 2 5 2" xfId="6449"/>
    <cellStyle name="Normal 24 2 5 2 2" xfId="14930"/>
    <cellStyle name="Normal 24 2 5 2 3" xfId="21444"/>
    <cellStyle name="Normal 24 2 5 2 4" xfId="27833"/>
    <cellStyle name="Normal 24 2 5 3" xfId="11461"/>
    <cellStyle name="Normal 24 2 5 4" xfId="18027"/>
    <cellStyle name="Normal 24 2 5 5" xfId="24429"/>
    <cellStyle name="Normal 24 2 6" xfId="3130"/>
    <cellStyle name="Normal 24 2 6 2" xfId="6616"/>
    <cellStyle name="Normal 24 2 6 2 2" xfId="15097"/>
    <cellStyle name="Normal 24 2 6 2 3" xfId="21611"/>
    <cellStyle name="Normal 24 2 6 2 4" xfId="28000"/>
    <cellStyle name="Normal 24 2 6 3" xfId="11632"/>
    <cellStyle name="Normal 24 2 6 4" xfId="18194"/>
    <cellStyle name="Normal 24 2 6 5" xfId="24596"/>
    <cellStyle name="Normal 24 2 7" xfId="3303"/>
    <cellStyle name="Normal 24 2 7 2" xfId="6783"/>
    <cellStyle name="Normal 24 2 7 2 2" xfId="15264"/>
    <cellStyle name="Normal 24 2 7 2 3" xfId="21778"/>
    <cellStyle name="Normal 24 2 7 2 4" xfId="28167"/>
    <cellStyle name="Normal 24 2 7 3" xfId="11802"/>
    <cellStyle name="Normal 24 2 7 4" xfId="18361"/>
    <cellStyle name="Normal 24 2 7 5" xfId="24763"/>
    <cellStyle name="Normal 24 2 8" xfId="3474"/>
    <cellStyle name="Normal 24 2 8 2" xfId="6948"/>
    <cellStyle name="Normal 24 2 8 2 2" xfId="15429"/>
    <cellStyle name="Normal 24 2 8 2 3" xfId="21943"/>
    <cellStyle name="Normal 24 2 8 2 4" xfId="28332"/>
    <cellStyle name="Normal 24 2 8 3" xfId="11971"/>
    <cellStyle name="Normal 24 2 8 4" xfId="18527"/>
    <cellStyle name="Normal 24 2 8 5" xfId="24928"/>
    <cellStyle name="Normal 24 2 9" xfId="3644"/>
    <cellStyle name="Normal 24 2 9 2" xfId="7112"/>
    <cellStyle name="Normal 24 2 9 2 2" xfId="15593"/>
    <cellStyle name="Normal 24 2 9 2 3" xfId="22107"/>
    <cellStyle name="Normal 24 2 9 2 4" xfId="28496"/>
    <cellStyle name="Normal 24 2 9 3" xfId="12139"/>
    <cellStyle name="Normal 24 2 9 4" xfId="18692"/>
    <cellStyle name="Normal 24 2 9 5" xfId="25092"/>
    <cellStyle name="Normal 24 20" xfId="2155"/>
    <cellStyle name="Normal 24 20 2" xfId="5726"/>
    <cellStyle name="Normal 24 20 2 2" xfId="14207"/>
    <cellStyle name="Normal 24 20 2 3" xfId="20721"/>
    <cellStyle name="Normal 24 20 2 4" xfId="27110"/>
    <cellStyle name="Normal 24 20 3" xfId="10712"/>
    <cellStyle name="Normal 24 20 4" xfId="9363"/>
    <cellStyle name="Normal 24 20 5" xfId="17357"/>
    <cellStyle name="Normal 24 21" xfId="2783"/>
    <cellStyle name="Normal 24 21 2" xfId="6283"/>
    <cellStyle name="Normal 24 21 2 2" xfId="14764"/>
    <cellStyle name="Normal 24 21 2 3" xfId="21278"/>
    <cellStyle name="Normal 24 21 2 4" xfId="27667"/>
    <cellStyle name="Normal 24 21 3" xfId="11292"/>
    <cellStyle name="Normal 24 21 4" xfId="17861"/>
    <cellStyle name="Normal 24 21 5" xfId="24263"/>
    <cellStyle name="Normal 24 22" xfId="2957"/>
    <cellStyle name="Normal 24 22 2" xfId="6450"/>
    <cellStyle name="Normal 24 22 2 2" xfId="14931"/>
    <cellStyle name="Normal 24 22 2 3" xfId="21445"/>
    <cellStyle name="Normal 24 22 2 4" xfId="27834"/>
    <cellStyle name="Normal 24 22 3" xfId="11462"/>
    <cellStyle name="Normal 24 22 4" xfId="18028"/>
    <cellStyle name="Normal 24 22 5" xfId="24430"/>
    <cellStyle name="Normal 24 23" xfId="3131"/>
    <cellStyle name="Normal 24 23 2" xfId="6617"/>
    <cellStyle name="Normal 24 23 2 2" xfId="15098"/>
    <cellStyle name="Normal 24 23 2 3" xfId="21612"/>
    <cellStyle name="Normal 24 23 2 4" xfId="28001"/>
    <cellStyle name="Normal 24 23 3" xfId="11633"/>
    <cellStyle name="Normal 24 23 4" xfId="18195"/>
    <cellStyle name="Normal 24 23 5" xfId="24597"/>
    <cellStyle name="Normal 24 24" xfId="3304"/>
    <cellStyle name="Normal 24 24 2" xfId="6784"/>
    <cellStyle name="Normal 24 24 2 2" xfId="15265"/>
    <cellStyle name="Normal 24 24 2 3" xfId="21779"/>
    <cellStyle name="Normal 24 24 2 4" xfId="28168"/>
    <cellStyle name="Normal 24 24 3" xfId="11803"/>
    <cellStyle name="Normal 24 24 4" xfId="18362"/>
    <cellStyle name="Normal 24 24 5" xfId="24764"/>
    <cellStyle name="Normal 24 25" xfId="3475"/>
    <cellStyle name="Normal 24 25 2" xfId="6949"/>
    <cellStyle name="Normal 24 25 2 2" xfId="15430"/>
    <cellStyle name="Normal 24 25 2 3" xfId="21944"/>
    <cellStyle name="Normal 24 25 2 4" xfId="28333"/>
    <cellStyle name="Normal 24 25 3" xfId="11972"/>
    <cellStyle name="Normal 24 25 4" xfId="18528"/>
    <cellStyle name="Normal 24 25 5" xfId="24929"/>
    <cellStyle name="Normal 24 26" xfId="3645"/>
    <cellStyle name="Normal 24 26 2" xfId="7113"/>
    <cellStyle name="Normal 24 26 2 2" xfId="15594"/>
    <cellStyle name="Normal 24 26 2 3" xfId="22108"/>
    <cellStyle name="Normal 24 26 2 4" xfId="28497"/>
    <cellStyle name="Normal 24 26 3" xfId="12140"/>
    <cellStyle name="Normal 24 26 4" xfId="18693"/>
    <cellStyle name="Normal 24 26 5" xfId="25093"/>
    <cellStyle name="Normal 24 27" xfId="3814"/>
    <cellStyle name="Normal 24 27 2" xfId="7276"/>
    <cellStyle name="Normal 24 27 2 2" xfId="15757"/>
    <cellStyle name="Normal 24 27 2 3" xfId="22271"/>
    <cellStyle name="Normal 24 27 2 4" xfId="28660"/>
    <cellStyle name="Normal 24 27 3" xfId="12309"/>
    <cellStyle name="Normal 24 27 4" xfId="18859"/>
    <cellStyle name="Normal 24 27 5" xfId="25256"/>
    <cellStyle name="Normal 24 28" xfId="3981"/>
    <cellStyle name="Normal 24 28 2" xfId="7438"/>
    <cellStyle name="Normal 24 28 2 2" xfId="15919"/>
    <cellStyle name="Normal 24 28 2 3" xfId="22433"/>
    <cellStyle name="Normal 24 28 2 4" xfId="28822"/>
    <cellStyle name="Normal 24 28 3" xfId="12475"/>
    <cellStyle name="Normal 24 28 4" xfId="19022"/>
    <cellStyle name="Normal 24 28 5" xfId="25418"/>
    <cellStyle name="Normal 24 29" xfId="4146"/>
    <cellStyle name="Normal 24 29 2" xfId="7598"/>
    <cellStyle name="Normal 24 29 2 2" xfId="16079"/>
    <cellStyle name="Normal 24 29 2 3" xfId="22593"/>
    <cellStyle name="Normal 24 29 2 4" xfId="28982"/>
    <cellStyle name="Normal 24 29 3" xfId="12639"/>
    <cellStyle name="Normal 24 29 4" xfId="19183"/>
    <cellStyle name="Normal 24 29 5" xfId="25578"/>
    <cellStyle name="Normal 24 3" xfId="1028"/>
    <cellStyle name="Normal 24 30" xfId="4308"/>
    <cellStyle name="Normal 24 30 2" xfId="7755"/>
    <cellStyle name="Normal 24 30 2 2" xfId="16236"/>
    <cellStyle name="Normal 24 30 2 3" xfId="22750"/>
    <cellStyle name="Normal 24 30 2 4" xfId="29139"/>
    <cellStyle name="Normal 24 30 3" xfId="12800"/>
    <cellStyle name="Normal 24 30 4" xfId="19341"/>
    <cellStyle name="Normal 24 30 5" xfId="25735"/>
    <cellStyle name="Normal 24 31" xfId="4468"/>
    <cellStyle name="Normal 24 31 2" xfId="7910"/>
    <cellStyle name="Normal 24 31 2 2" xfId="16391"/>
    <cellStyle name="Normal 24 31 2 3" xfId="22905"/>
    <cellStyle name="Normal 24 31 2 4" xfId="29294"/>
    <cellStyle name="Normal 24 31 3" xfId="12959"/>
    <cellStyle name="Normal 24 31 4" xfId="19497"/>
    <cellStyle name="Normal 24 31 5" xfId="25890"/>
    <cellStyle name="Normal 24 32" xfId="4628"/>
    <cellStyle name="Normal 24 32 2" xfId="8065"/>
    <cellStyle name="Normal 24 32 2 2" xfId="16546"/>
    <cellStyle name="Normal 24 32 2 3" xfId="23060"/>
    <cellStyle name="Normal 24 32 2 4" xfId="29449"/>
    <cellStyle name="Normal 24 32 3" xfId="13119"/>
    <cellStyle name="Normal 24 32 4" xfId="19653"/>
    <cellStyle name="Normal 24 32 5" xfId="26045"/>
    <cellStyle name="Normal 24 33" xfId="4787"/>
    <cellStyle name="Normal 24 33 2" xfId="8219"/>
    <cellStyle name="Normal 24 33 2 2" xfId="16700"/>
    <cellStyle name="Normal 24 33 2 3" xfId="23214"/>
    <cellStyle name="Normal 24 33 2 4" xfId="29603"/>
    <cellStyle name="Normal 24 33 3" xfId="13277"/>
    <cellStyle name="Normal 24 33 4" xfId="19808"/>
    <cellStyle name="Normal 24 33 5" xfId="26199"/>
    <cellStyle name="Normal 24 34" xfId="4945"/>
    <cellStyle name="Normal 24 34 2" xfId="8372"/>
    <cellStyle name="Normal 24 34 2 2" xfId="16853"/>
    <cellStyle name="Normal 24 34 2 3" xfId="23367"/>
    <cellStyle name="Normal 24 34 2 4" xfId="29756"/>
    <cellStyle name="Normal 24 34 3" xfId="13434"/>
    <cellStyle name="Normal 24 34 4" xfId="19962"/>
    <cellStyle name="Normal 24 34 5" xfId="26352"/>
    <cellStyle name="Normal 24 35" xfId="5074"/>
    <cellStyle name="Normal 24 35 2" xfId="8496"/>
    <cellStyle name="Normal 24 35 2 2" xfId="16977"/>
    <cellStyle name="Normal 24 35 2 3" xfId="23491"/>
    <cellStyle name="Normal 24 35 2 4" xfId="29880"/>
    <cellStyle name="Normal 24 35 3" xfId="13561"/>
    <cellStyle name="Normal 24 35 4" xfId="20086"/>
    <cellStyle name="Normal 24 35 5" xfId="26476"/>
    <cellStyle name="Normal 24 36" xfId="5240"/>
    <cellStyle name="Normal 24 36 2" xfId="13722"/>
    <cellStyle name="Normal 24 36 3" xfId="20239"/>
    <cellStyle name="Normal 24 36 4" xfId="26628"/>
    <cellStyle name="Normal 24 37" xfId="9898"/>
    <cellStyle name="Normal 24 38" xfId="9874"/>
    <cellStyle name="Normal 24 39" xfId="9889"/>
    <cellStyle name="Normal 24 4" xfId="1029"/>
    <cellStyle name="Normal 24 5" xfId="1030"/>
    <cellStyle name="Normal 24 6" xfId="1031"/>
    <cellStyle name="Normal 24 7" xfId="1032"/>
    <cellStyle name="Normal 24 8" xfId="1033"/>
    <cellStyle name="Normal 24 9" xfId="1034"/>
    <cellStyle name="Normal 25" xfId="1035"/>
    <cellStyle name="Normal 25 10" xfId="1036"/>
    <cellStyle name="Normal 25 11" xfId="1037"/>
    <cellStyle name="Normal 25 12" xfId="1038"/>
    <cellStyle name="Normal 25 13" xfId="1039"/>
    <cellStyle name="Normal 25 14" xfId="1040"/>
    <cellStyle name="Normal 25 15" xfId="1041"/>
    <cellStyle name="Normal 25 16" xfId="1042"/>
    <cellStyle name="Normal 25 17" xfId="1846"/>
    <cellStyle name="Normal 25 17 2" xfId="5443"/>
    <cellStyle name="Normal 25 17 2 2" xfId="13924"/>
    <cellStyle name="Normal 25 17 2 3" xfId="20438"/>
    <cellStyle name="Normal 25 17 2 4" xfId="26827"/>
    <cellStyle name="Normal 25 17 3" xfId="10417"/>
    <cellStyle name="Normal 25 17 4" xfId="17541"/>
    <cellStyle name="Normal 25 17 5" xfId="23951"/>
    <cellStyle name="Normal 25 18" xfId="2157"/>
    <cellStyle name="Normal 25 18 2" xfId="5728"/>
    <cellStyle name="Normal 25 18 2 2" xfId="14209"/>
    <cellStyle name="Normal 25 18 2 3" xfId="20723"/>
    <cellStyle name="Normal 25 18 2 4" xfId="27112"/>
    <cellStyle name="Normal 25 18 3" xfId="10714"/>
    <cellStyle name="Normal 25 18 4" xfId="9361"/>
    <cellStyle name="Normal 25 18 5" xfId="10290"/>
    <cellStyle name="Normal 25 19" xfId="2781"/>
    <cellStyle name="Normal 25 19 2" xfId="6281"/>
    <cellStyle name="Normal 25 19 2 2" xfId="14762"/>
    <cellStyle name="Normal 25 19 2 3" xfId="21276"/>
    <cellStyle name="Normal 25 19 2 4" xfId="27665"/>
    <cellStyle name="Normal 25 19 3" xfId="11290"/>
    <cellStyle name="Normal 25 19 4" xfId="17859"/>
    <cellStyle name="Normal 25 19 5" xfId="24261"/>
    <cellStyle name="Normal 25 2" xfId="1043"/>
    <cellStyle name="Normal 25 20" xfId="2955"/>
    <cellStyle name="Normal 25 20 2" xfId="6448"/>
    <cellStyle name="Normal 25 20 2 2" xfId="14929"/>
    <cellStyle name="Normal 25 20 2 3" xfId="21443"/>
    <cellStyle name="Normal 25 20 2 4" xfId="27832"/>
    <cellStyle name="Normal 25 20 3" xfId="11460"/>
    <cellStyle name="Normal 25 20 4" xfId="18026"/>
    <cellStyle name="Normal 25 20 5" xfId="24428"/>
    <cellStyle name="Normal 25 21" xfId="3129"/>
    <cellStyle name="Normal 25 21 2" xfId="6615"/>
    <cellStyle name="Normal 25 21 2 2" xfId="15096"/>
    <cellStyle name="Normal 25 21 2 3" xfId="21610"/>
    <cellStyle name="Normal 25 21 2 4" xfId="27999"/>
    <cellStyle name="Normal 25 21 3" xfId="11631"/>
    <cellStyle name="Normal 25 21 4" xfId="18193"/>
    <cellStyle name="Normal 25 21 5" xfId="24595"/>
    <cellStyle name="Normal 25 22" xfId="3302"/>
    <cellStyle name="Normal 25 22 2" xfId="6782"/>
    <cellStyle name="Normal 25 22 2 2" xfId="15263"/>
    <cellStyle name="Normal 25 22 2 3" xfId="21777"/>
    <cellStyle name="Normal 25 22 2 4" xfId="28166"/>
    <cellStyle name="Normal 25 22 3" xfId="11801"/>
    <cellStyle name="Normal 25 22 4" xfId="18360"/>
    <cellStyle name="Normal 25 22 5" xfId="24762"/>
    <cellStyle name="Normal 25 23" xfId="3473"/>
    <cellStyle name="Normal 25 23 2" xfId="6947"/>
    <cellStyle name="Normal 25 23 2 2" xfId="15428"/>
    <cellStyle name="Normal 25 23 2 3" xfId="21942"/>
    <cellStyle name="Normal 25 23 2 4" xfId="28331"/>
    <cellStyle name="Normal 25 23 3" xfId="11970"/>
    <cellStyle name="Normal 25 23 4" xfId="18526"/>
    <cellStyle name="Normal 25 23 5" xfId="24927"/>
    <cellStyle name="Normal 25 24" xfId="3643"/>
    <cellStyle name="Normal 25 24 2" xfId="7111"/>
    <cellStyle name="Normal 25 24 2 2" xfId="15592"/>
    <cellStyle name="Normal 25 24 2 3" xfId="22106"/>
    <cellStyle name="Normal 25 24 2 4" xfId="28495"/>
    <cellStyle name="Normal 25 24 3" xfId="12138"/>
    <cellStyle name="Normal 25 24 4" xfId="18691"/>
    <cellStyle name="Normal 25 24 5" xfId="25091"/>
    <cellStyle name="Normal 25 25" xfId="3812"/>
    <cellStyle name="Normal 25 25 2" xfId="7274"/>
    <cellStyle name="Normal 25 25 2 2" xfId="15755"/>
    <cellStyle name="Normal 25 25 2 3" xfId="22269"/>
    <cellStyle name="Normal 25 25 2 4" xfId="28658"/>
    <cellStyle name="Normal 25 25 3" xfId="12307"/>
    <cellStyle name="Normal 25 25 4" xfId="18857"/>
    <cellStyle name="Normal 25 25 5" xfId="25254"/>
    <cellStyle name="Normal 25 26" xfId="3979"/>
    <cellStyle name="Normal 25 26 2" xfId="7436"/>
    <cellStyle name="Normal 25 26 2 2" xfId="15917"/>
    <cellStyle name="Normal 25 26 2 3" xfId="22431"/>
    <cellStyle name="Normal 25 26 2 4" xfId="28820"/>
    <cellStyle name="Normal 25 26 3" xfId="12473"/>
    <cellStyle name="Normal 25 26 4" xfId="19020"/>
    <cellStyle name="Normal 25 26 5" xfId="25416"/>
    <cellStyle name="Normal 25 27" xfId="4144"/>
    <cellStyle name="Normal 25 27 2" xfId="7596"/>
    <cellStyle name="Normal 25 27 2 2" xfId="16077"/>
    <cellStyle name="Normal 25 27 2 3" xfId="22591"/>
    <cellStyle name="Normal 25 27 2 4" xfId="28980"/>
    <cellStyle name="Normal 25 27 3" xfId="12637"/>
    <cellStyle name="Normal 25 27 4" xfId="19181"/>
    <cellStyle name="Normal 25 27 5" xfId="25576"/>
    <cellStyle name="Normal 25 28" xfId="4306"/>
    <cellStyle name="Normal 25 28 2" xfId="7753"/>
    <cellStyle name="Normal 25 28 2 2" xfId="16234"/>
    <cellStyle name="Normal 25 28 2 3" xfId="22748"/>
    <cellStyle name="Normal 25 28 2 4" xfId="29137"/>
    <cellStyle name="Normal 25 28 3" xfId="12798"/>
    <cellStyle name="Normal 25 28 4" xfId="19339"/>
    <cellStyle name="Normal 25 28 5" xfId="25733"/>
    <cellStyle name="Normal 25 29" xfId="4466"/>
    <cellStyle name="Normal 25 29 2" xfId="7908"/>
    <cellStyle name="Normal 25 29 2 2" xfId="16389"/>
    <cellStyle name="Normal 25 29 2 3" xfId="22903"/>
    <cellStyle name="Normal 25 29 2 4" xfId="29292"/>
    <cellStyle name="Normal 25 29 3" xfId="12957"/>
    <cellStyle name="Normal 25 29 4" xfId="19495"/>
    <cellStyle name="Normal 25 29 5" xfId="25888"/>
    <cellStyle name="Normal 25 3" xfId="1044"/>
    <cellStyle name="Normal 25 30" xfId="4626"/>
    <cellStyle name="Normal 25 30 2" xfId="8063"/>
    <cellStyle name="Normal 25 30 2 2" xfId="16544"/>
    <cellStyle name="Normal 25 30 2 3" xfId="23058"/>
    <cellStyle name="Normal 25 30 2 4" xfId="29447"/>
    <cellStyle name="Normal 25 30 3" xfId="13117"/>
    <cellStyle name="Normal 25 30 4" xfId="19651"/>
    <cellStyle name="Normal 25 30 5" xfId="26043"/>
    <cellStyle name="Normal 25 31" xfId="4785"/>
    <cellStyle name="Normal 25 31 2" xfId="8217"/>
    <cellStyle name="Normal 25 31 2 2" xfId="16698"/>
    <cellStyle name="Normal 25 31 2 3" xfId="23212"/>
    <cellStyle name="Normal 25 31 2 4" xfId="29601"/>
    <cellStyle name="Normal 25 31 3" xfId="13275"/>
    <cellStyle name="Normal 25 31 4" xfId="19806"/>
    <cellStyle name="Normal 25 31 5" xfId="26197"/>
    <cellStyle name="Normal 25 32" xfId="4943"/>
    <cellStyle name="Normal 25 32 2" xfId="8370"/>
    <cellStyle name="Normal 25 32 2 2" xfId="16851"/>
    <cellStyle name="Normal 25 32 2 3" xfId="23365"/>
    <cellStyle name="Normal 25 32 2 4" xfId="29754"/>
    <cellStyle name="Normal 25 32 3" xfId="13432"/>
    <cellStyle name="Normal 25 32 4" xfId="19960"/>
    <cellStyle name="Normal 25 32 5" xfId="26350"/>
    <cellStyle name="Normal 25 33" xfId="5072"/>
    <cellStyle name="Normal 25 33 2" xfId="8494"/>
    <cellStyle name="Normal 25 33 2 2" xfId="16975"/>
    <cellStyle name="Normal 25 33 2 3" xfId="23489"/>
    <cellStyle name="Normal 25 33 2 4" xfId="29878"/>
    <cellStyle name="Normal 25 33 3" xfId="13559"/>
    <cellStyle name="Normal 25 33 4" xfId="20084"/>
    <cellStyle name="Normal 25 33 5" xfId="26474"/>
    <cellStyle name="Normal 25 34" xfId="5242"/>
    <cellStyle name="Normal 25 34 2" xfId="13724"/>
    <cellStyle name="Normal 25 34 3" xfId="20241"/>
    <cellStyle name="Normal 25 34 4" xfId="26630"/>
    <cellStyle name="Normal 25 35" xfId="9914"/>
    <cellStyle name="Normal 25 36" xfId="10950"/>
    <cellStyle name="Normal 25 37" xfId="17383"/>
    <cellStyle name="Normal 25 4" xfId="1045"/>
    <cellStyle name="Normal 25 5" xfId="1046"/>
    <cellStyle name="Normal 25 6" xfId="1047"/>
    <cellStyle name="Normal 25 7" xfId="1048"/>
    <cellStyle name="Normal 25 8" xfId="1049"/>
    <cellStyle name="Normal 25 9" xfId="1050"/>
    <cellStyle name="Normal 26" xfId="1051"/>
    <cellStyle name="Normal 26 10" xfId="1052"/>
    <cellStyle name="Normal 26 11" xfId="1053"/>
    <cellStyle name="Normal 26 12" xfId="1054"/>
    <cellStyle name="Normal 26 13" xfId="1055"/>
    <cellStyle name="Normal 26 14" xfId="1056"/>
    <cellStyle name="Normal 26 15" xfId="1057"/>
    <cellStyle name="Normal 26 16" xfId="1847"/>
    <cellStyle name="Normal 26 16 2" xfId="5444"/>
    <cellStyle name="Normal 26 16 2 2" xfId="13925"/>
    <cellStyle name="Normal 26 16 2 3" xfId="20439"/>
    <cellStyle name="Normal 26 16 2 4" xfId="26828"/>
    <cellStyle name="Normal 26 16 3" xfId="10418"/>
    <cellStyle name="Normal 26 16 4" xfId="17112"/>
    <cellStyle name="Normal 26 16 5" xfId="23589"/>
    <cellStyle name="Normal 26 17" xfId="2158"/>
    <cellStyle name="Normal 26 17 2" xfId="5729"/>
    <cellStyle name="Normal 26 17 2 2" xfId="14210"/>
    <cellStyle name="Normal 26 17 2 3" xfId="20724"/>
    <cellStyle name="Normal 26 17 2 4" xfId="27113"/>
    <cellStyle name="Normal 26 17 3" xfId="10715"/>
    <cellStyle name="Normal 26 17 4" xfId="9360"/>
    <cellStyle name="Normal 26 17 5" xfId="17362"/>
    <cellStyle name="Normal 26 18" xfId="2780"/>
    <cellStyle name="Normal 26 18 2" xfId="6280"/>
    <cellStyle name="Normal 26 18 2 2" xfId="14761"/>
    <cellStyle name="Normal 26 18 2 3" xfId="21275"/>
    <cellStyle name="Normal 26 18 2 4" xfId="27664"/>
    <cellStyle name="Normal 26 18 3" xfId="11289"/>
    <cellStyle name="Normal 26 18 4" xfId="17858"/>
    <cellStyle name="Normal 26 18 5" xfId="24260"/>
    <cellStyle name="Normal 26 19" xfId="2954"/>
    <cellStyle name="Normal 26 19 2" xfId="6447"/>
    <cellStyle name="Normal 26 19 2 2" xfId="14928"/>
    <cellStyle name="Normal 26 19 2 3" xfId="21442"/>
    <cellStyle name="Normal 26 19 2 4" xfId="27831"/>
    <cellStyle name="Normal 26 19 3" xfId="11459"/>
    <cellStyle name="Normal 26 19 4" xfId="18025"/>
    <cellStyle name="Normal 26 19 5" xfId="24427"/>
    <cellStyle name="Normal 26 2" xfId="1058"/>
    <cellStyle name="Normal 26 20" xfId="3128"/>
    <cellStyle name="Normal 26 20 2" xfId="6614"/>
    <cellStyle name="Normal 26 20 2 2" xfId="15095"/>
    <cellStyle name="Normal 26 20 2 3" xfId="21609"/>
    <cellStyle name="Normal 26 20 2 4" xfId="27998"/>
    <cellStyle name="Normal 26 20 3" xfId="11630"/>
    <cellStyle name="Normal 26 20 4" xfId="18192"/>
    <cellStyle name="Normal 26 20 5" xfId="24594"/>
    <cellStyle name="Normal 26 21" xfId="3301"/>
    <cellStyle name="Normal 26 21 2" xfId="6781"/>
    <cellStyle name="Normal 26 21 2 2" xfId="15262"/>
    <cellStyle name="Normal 26 21 2 3" xfId="21776"/>
    <cellStyle name="Normal 26 21 2 4" xfId="28165"/>
    <cellStyle name="Normal 26 21 3" xfId="11800"/>
    <cellStyle name="Normal 26 21 4" xfId="18359"/>
    <cellStyle name="Normal 26 21 5" xfId="24761"/>
    <cellStyle name="Normal 26 22" xfId="3472"/>
    <cellStyle name="Normal 26 22 2" xfId="6946"/>
    <cellStyle name="Normal 26 22 2 2" xfId="15427"/>
    <cellStyle name="Normal 26 22 2 3" xfId="21941"/>
    <cellStyle name="Normal 26 22 2 4" xfId="28330"/>
    <cellStyle name="Normal 26 22 3" xfId="11969"/>
    <cellStyle name="Normal 26 22 4" xfId="18525"/>
    <cellStyle name="Normal 26 22 5" xfId="24926"/>
    <cellStyle name="Normal 26 23" xfId="3642"/>
    <cellStyle name="Normal 26 23 2" xfId="7110"/>
    <cellStyle name="Normal 26 23 2 2" xfId="15591"/>
    <cellStyle name="Normal 26 23 2 3" xfId="22105"/>
    <cellStyle name="Normal 26 23 2 4" xfId="28494"/>
    <cellStyle name="Normal 26 23 3" xfId="12137"/>
    <cellStyle name="Normal 26 23 4" xfId="18690"/>
    <cellStyle name="Normal 26 23 5" xfId="25090"/>
    <cellStyle name="Normal 26 24" xfId="3811"/>
    <cellStyle name="Normal 26 24 2" xfId="7273"/>
    <cellStyle name="Normal 26 24 2 2" xfId="15754"/>
    <cellStyle name="Normal 26 24 2 3" xfId="22268"/>
    <cellStyle name="Normal 26 24 2 4" xfId="28657"/>
    <cellStyle name="Normal 26 24 3" xfId="12306"/>
    <cellStyle name="Normal 26 24 4" xfId="18856"/>
    <cellStyle name="Normal 26 24 5" xfId="25253"/>
    <cellStyle name="Normal 26 25" xfId="3978"/>
    <cellStyle name="Normal 26 25 2" xfId="7435"/>
    <cellStyle name="Normal 26 25 2 2" xfId="15916"/>
    <cellStyle name="Normal 26 25 2 3" xfId="22430"/>
    <cellStyle name="Normal 26 25 2 4" xfId="28819"/>
    <cellStyle name="Normal 26 25 3" xfId="12472"/>
    <cellStyle name="Normal 26 25 4" xfId="19019"/>
    <cellStyle name="Normal 26 25 5" xfId="25415"/>
    <cellStyle name="Normal 26 26" xfId="4143"/>
    <cellStyle name="Normal 26 26 2" xfId="7595"/>
    <cellStyle name="Normal 26 26 2 2" xfId="16076"/>
    <cellStyle name="Normal 26 26 2 3" xfId="22590"/>
    <cellStyle name="Normal 26 26 2 4" xfId="28979"/>
    <cellStyle name="Normal 26 26 3" xfId="12636"/>
    <cellStyle name="Normal 26 26 4" xfId="19180"/>
    <cellStyle name="Normal 26 26 5" xfId="25575"/>
    <cellStyle name="Normal 26 27" xfId="4305"/>
    <cellStyle name="Normal 26 27 2" xfId="7752"/>
    <cellStyle name="Normal 26 27 2 2" xfId="16233"/>
    <cellStyle name="Normal 26 27 2 3" xfId="22747"/>
    <cellStyle name="Normal 26 27 2 4" xfId="29136"/>
    <cellStyle name="Normal 26 27 3" xfId="12797"/>
    <cellStyle name="Normal 26 27 4" xfId="19338"/>
    <cellStyle name="Normal 26 27 5" xfId="25732"/>
    <cellStyle name="Normal 26 28" xfId="4465"/>
    <cellStyle name="Normal 26 28 2" xfId="7907"/>
    <cellStyle name="Normal 26 28 2 2" xfId="16388"/>
    <cellStyle name="Normal 26 28 2 3" xfId="22902"/>
    <cellStyle name="Normal 26 28 2 4" xfId="29291"/>
    <cellStyle name="Normal 26 28 3" xfId="12956"/>
    <cellStyle name="Normal 26 28 4" xfId="19494"/>
    <cellStyle name="Normal 26 28 5" xfId="25887"/>
    <cellStyle name="Normal 26 29" xfId="4625"/>
    <cellStyle name="Normal 26 29 2" xfId="8062"/>
    <cellStyle name="Normal 26 29 2 2" xfId="16543"/>
    <cellStyle name="Normal 26 29 2 3" xfId="23057"/>
    <cellStyle name="Normal 26 29 2 4" xfId="29446"/>
    <cellStyle name="Normal 26 29 3" xfId="13116"/>
    <cellStyle name="Normal 26 29 4" xfId="19650"/>
    <cellStyle name="Normal 26 29 5" xfId="26042"/>
    <cellStyle name="Normal 26 3" xfId="1059"/>
    <cellStyle name="Normal 26 30" xfId="4784"/>
    <cellStyle name="Normal 26 30 2" xfId="8216"/>
    <cellStyle name="Normal 26 30 2 2" xfId="16697"/>
    <cellStyle name="Normal 26 30 2 3" xfId="23211"/>
    <cellStyle name="Normal 26 30 2 4" xfId="29600"/>
    <cellStyle name="Normal 26 30 3" xfId="13274"/>
    <cellStyle name="Normal 26 30 4" xfId="19805"/>
    <cellStyle name="Normal 26 30 5" xfId="26196"/>
    <cellStyle name="Normal 26 31" xfId="4942"/>
    <cellStyle name="Normal 26 31 2" xfId="8369"/>
    <cellStyle name="Normal 26 31 2 2" xfId="16850"/>
    <cellStyle name="Normal 26 31 2 3" xfId="23364"/>
    <cellStyle name="Normal 26 31 2 4" xfId="29753"/>
    <cellStyle name="Normal 26 31 3" xfId="13431"/>
    <cellStyle name="Normal 26 31 4" xfId="19959"/>
    <cellStyle name="Normal 26 31 5" xfId="26349"/>
    <cellStyle name="Normal 26 32" xfId="5071"/>
    <cellStyle name="Normal 26 32 2" xfId="8493"/>
    <cellStyle name="Normal 26 32 2 2" xfId="16974"/>
    <cellStyle name="Normal 26 32 2 3" xfId="23488"/>
    <cellStyle name="Normal 26 32 2 4" xfId="29877"/>
    <cellStyle name="Normal 26 32 3" xfId="13558"/>
    <cellStyle name="Normal 26 32 4" xfId="20083"/>
    <cellStyle name="Normal 26 32 5" xfId="26473"/>
    <cellStyle name="Normal 26 33" xfId="5243"/>
    <cellStyle name="Normal 26 33 2" xfId="13725"/>
    <cellStyle name="Normal 26 33 3" xfId="20242"/>
    <cellStyle name="Normal 26 33 4" xfId="26631"/>
    <cellStyle name="Normal 26 34" xfId="9919"/>
    <cellStyle name="Normal 26 35" xfId="9865"/>
    <cellStyle name="Normal 26 36" xfId="9893"/>
    <cellStyle name="Normal 26 4" xfId="1060"/>
    <cellStyle name="Normal 26 5" xfId="1061"/>
    <cellStyle name="Normal 26 6" xfId="1062"/>
    <cellStyle name="Normal 26 7" xfId="1063"/>
    <cellStyle name="Normal 26 8" xfId="1064"/>
    <cellStyle name="Normal 26 9" xfId="1065"/>
    <cellStyle name="Normal 27" xfId="1066"/>
    <cellStyle name="Normal 27 10" xfId="1067"/>
    <cellStyle name="Normal 27 11" xfId="1068"/>
    <cellStyle name="Normal 27 12" xfId="1069"/>
    <cellStyle name="Normal 27 13" xfId="1070"/>
    <cellStyle name="Normal 27 14" xfId="1071"/>
    <cellStyle name="Normal 27 2" xfId="1072"/>
    <cellStyle name="Normal 27 3" xfId="1073"/>
    <cellStyle name="Normal 27 4" xfId="1074"/>
    <cellStyle name="Normal 27 5" xfId="1075"/>
    <cellStyle name="Normal 27 6" xfId="1076"/>
    <cellStyle name="Normal 27 7" xfId="1077"/>
    <cellStyle name="Normal 27 8" xfId="1078"/>
    <cellStyle name="Normal 27 9" xfId="1079"/>
    <cellStyle name="Normal 28" xfId="1080"/>
    <cellStyle name="Normal 28 10" xfId="1081"/>
    <cellStyle name="Normal 28 11" xfId="1082"/>
    <cellStyle name="Normal 28 12" xfId="1083"/>
    <cellStyle name="Normal 28 13" xfId="1084"/>
    <cellStyle name="Normal 28 14" xfId="1848"/>
    <cellStyle name="Normal 28 14 2" xfId="5445"/>
    <cellStyle name="Normal 28 14 2 2" xfId="13926"/>
    <cellStyle name="Normal 28 14 2 3" xfId="20440"/>
    <cellStyle name="Normal 28 14 2 4" xfId="26829"/>
    <cellStyle name="Normal 28 14 3" xfId="10419"/>
    <cellStyle name="Normal 28 14 4" xfId="17307"/>
    <cellStyle name="Normal 28 14 5" xfId="23779"/>
    <cellStyle name="Normal 28 15" xfId="2159"/>
    <cellStyle name="Normal 28 15 2" xfId="5730"/>
    <cellStyle name="Normal 28 15 2 2" xfId="14211"/>
    <cellStyle name="Normal 28 15 2 3" xfId="20725"/>
    <cellStyle name="Normal 28 15 2 4" xfId="27114"/>
    <cellStyle name="Normal 28 15 3" xfId="10716"/>
    <cellStyle name="Normal 28 15 4" xfId="9359"/>
    <cellStyle name="Normal 28 15 5" xfId="10291"/>
    <cellStyle name="Normal 28 16" xfId="2779"/>
    <cellStyle name="Normal 28 16 2" xfId="6279"/>
    <cellStyle name="Normal 28 16 2 2" xfId="14760"/>
    <cellStyle name="Normal 28 16 2 3" xfId="21274"/>
    <cellStyle name="Normal 28 16 2 4" xfId="27663"/>
    <cellStyle name="Normal 28 16 3" xfId="11288"/>
    <cellStyle name="Normal 28 16 4" xfId="17857"/>
    <cellStyle name="Normal 28 16 5" xfId="24259"/>
    <cellStyle name="Normal 28 17" xfId="2953"/>
    <cellStyle name="Normal 28 17 2" xfId="6446"/>
    <cellStyle name="Normal 28 17 2 2" xfId="14927"/>
    <cellStyle name="Normal 28 17 2 3" xfId="21441"/>
    <cellStyle name="Normal 28 17 2 4" xfId="27830"/>
    <cellStyle name="Normal 28 17 3" xfId="11458"/>
    <cellStyle name="Normal 28 17 4" xfId="18024"/>
    <cellStyle name="Normal 28 17 5" xfId="24426"/>
    <cellStyle name="Normal 28 18" xfId="3127"/>
    <cellStyle name="Normal 28 18 2" xfId="6613"/>
    <cellStyle name="Normal 28 18 2 2" xfId="15094"/>
    <cellStyle name="Normal 28 18 2 3" xfId="21608"/>
    <cellStyle name="Normal 28 18 2 4" xfId="27997"/>
    <cellStyle name="Normal 28 18 3" xfId="11629"/>
    <cellStyle name="Normal 28 18 4" xfId="18191"/>
    <cellStyle name="Normal 28 18 5" xfId="24593"/>
    <cellStyle name="Normal 28 19" xfId="3300"/>
    <cellStyle name="Normal 28 19 2" xfId="6780"/>
    <cellStyle name="Normal 28 19 2 2" xfId="15261"/>
    <cellStyle name="Normal 28 19 2 3" xfId="21775"/>
    <cellStyle name="Normal 28 19 2 4" xfId="28164"/>
    <cellStyle name="Normal 28 19 3" xfId="11799"/>
    <cellStyle name="Normal 28 19 4" xfId="18358"/>
    <cellStyle name="Normal 28 19 5" xfId="24760"/>
    <cellStyle name="Normal 28 2" xfId="1085"/>
    <cellStyle name="Normal 28 20" xfId="3471"/>
    <cellStyle name="Normal 28 20 2" xfId="6945"/>
    <cellStyle name="Normal 28 20 2 2" xfId="15426"/>
    <cellStyle name="Normal 28 20 2 3" xfId="21940"/>
    <cellStyle name="Normal 28 20 2 4" xfId="28329"/>
    <cellStyle name="Normal 28 20 3" xfId="11968"/>
    <cellStyle name="Normal 28 20 4" xfId="18524"/>
    <cellStyle name="Normal 28 20 5" xfId="24925"/>
    <cellStyle name="Normal 28 21" xfId="3641"/>
    <cellStyle name="Normal 28 21 2" xfId="7109"/>
    <cellStyle name="Normal 28 21 2 2" xfId="15590"/>
    <cellStyle name="Normal 28 21 2 3" xfId="22104"/>
    <cellStyle name="Normal 28 21 2 4" xfId="28493"/>
    <cellStyle name="Normal 28 21 3" xfId="12136"/>
    <cellStyle name="Normal 28 21 4" xfId="18689"/>
    <cellStyle name="Normal 28 21 5" xfId="25089"/>
    <cellStyle name="Normal 28 22" xfId="3810"/>
    <cellStyle name="Normal 28 22 2" xfId="7272"/>
    <cellStyle name="Normal 28 22 2 2" xfId="15753"/>
    <cellStyle name="Normal 28 22 2 3" xfId="22267"/>
    <cellStyle name="Normal 28 22 2 4" xfId="28656"/>
    <cellStyle name="Normal 28 22 3" xfId="12305"/>
    <cellStyle name="Normal 28 22 4" xfId="18855"/>
    <cellStyle name="Normal 28 22 5" xfId="25252"/>
    <cellStyle name="Normal 28 23" xfId="3977"/>
    <cellStyle name="Normal 28 23 2" xfId="7434"/>
    <cellStyle name="Normal 28 23 2 2" xfId="15915"/>
    <cellStyle name="Normal 28 23 2 3" xfId="22429"/>
    <cellStyle name="Normal 28 23 2 4" xfId="28818"/>
    <cellStyle name="Normal 28 23 3" xfId="12471"/>
    <cellStyle name="Normal 28 23 4" xfId="19018"/>
    <cellStyle name="Normal 28 23 5" xfId="25414"/>
    <cellStyle name="Normal 28 24" xfId="4142"/>
    <cellStyle name="Normal 28 24 2" xfId="7594"/>
    <cellStyle name="Normal 28 24 2 2" xfId="16075"/>
    <cellStyle name="Normal 28 24 2 3" xfId="22589"/>
    <cellStyle name="Normal 28 24 2 4" xfId="28978"/>
    <cellStyle name="Normal 28 24 3" xfId="12635"/>
    <cellStyle name="Normal 28 24 4" xfId="19179"/>
    <cellStyle name="Normal 28 24 5" xfId="25574"/>
    <cellStyle name="Normal 28 25" xfId="4304"/>
    <cellStyle name="Normal 28 25 2" xfId="7751"/>
    <cellStyle name="Normal 28 25 2 2" xfId="16232"/>
    <cellStyle name="Normal 28 25 2 3" xfId="22746"/>
    <cellStyle name="Normal 28 25 2 4" xfId="29135"/>
    <cellStyle name="Normal 28 25 3" xfId="12796"/>
    <cellStyle name="Normal 28 25 4" xfId="19337"/>
    <cellStyle name="Normal 28 25 5" xfId="25731"/>
    <cellStyle name="Normal 28 26" xfId="4464"/>
    <cellStyle name="Normal 28 26 2" xfId="7906"/>
    <cellStyle name="Normal 28 26 2 2" xfId="16387"/>
    <cellStyle name="Normal 28 26 2 3" xfId="22901"/>
    <cellStyle name="Normal 28 26 2 4" xfId="29290"/>
    <cellStyle name="Normal 28 26 3" xfId="12955"/>
    <cellStyle name="Normal 28 26 4" xfId="19493"/>
    <cellStyle name="Normal 28 26 5" xfId="25886"/>
    <cellStyle name="Normal 28 27" xfId="4624"/>
    <cellStyle name="Normal 28 27 2" xfId="8061"/>
    <cellStyle name="Normal 28 27 2 2" xfId="16542"/>
    <cellStyle name="Normal 28 27 2 3" xfId="23056"/>
    <cellStyle name="Normal 28 27 2 4" xfId="29445"/>
    <cellStyle name="Normal 28 27 3" xfId="13115"/>
    <cellStyle name="Normal 28 27 4" xfId="19649"/>
    <cellStyle name="Normal 28 27 5" xfId="26041"/>
    <cellStyle name="Normal 28 28" xfId="4783"/>
    <cellStyle name="Normal 28 28 2" xfId="8215"/>
    <cellStyle name="Normal 28 28 2 2" xfId="16696"/>
    <cellStyle name="Normal 28 28 2 3" xfId="23210"/>
    <cellStyle name="Normal 28 28 2 4" xfId="29599"/>
    <cellStyle name="Normal 28 28 3" xfId="13273"/>
    <cellStyle name="Normal 28 28 4" xfId="19804"/>
    <cellStyle name="Normal 28 28 5" xfId="26195"/>
    <cellStyle name="Normal 28 29" xfId="4941"/>
    <cellStyle name="Normal 28 29 2" xfId="8368"/>
    <cellStyle name="Normal 28 29 2 2" xfId="16849"/>
    <cellStyle name="Normal 28 29 2 3" xfId="23363"/>
    <cellStyle name="Normal 28 29 2 4" xfId="29752"/>
    <cellStyle name="Normal 28 29 3" xfId="13430"/>
    <cellStyle name="Normal 28 29 4" xfId="19958"/>
    <cellStyle name="Normal 28 29 5" xfId="26348"/>
    <cellStyle name="Normal 28 3" xfId="1086"/>
    <cellStyle name="Normal 28 30" xfId="5070"/>
    <cellStyle name="Normal 28 30 2" xfId="8492"/>
    <cellStyle name="Normal 28 30 2 2" xfId="16973"/>
    <cellStyle name="Normal 28 30 2 3" xfId="23487"/>
    <cellStyle name="Normal 28 30 2 4" xfId="29876"/>
    <cellStyle name="Normal 28 30 3" xfId="13557"/>
    <cellStyle name="Normal 28 30 4" xfId="20082"/>
    <cellStyle name="Normal 28 30 5" xfId="26472"/>
    <cellStyle name="Normal 28 31" xfId="5244"/>
    <cellStyle name="Normal 28 31 2" xfId="13726"/>
    <cellStyle name="Normal 28 31 3" xfId="20243"/>
    <cellStyle name="Normal 28 31 4" xfId="26632"/>
    <cellStyle name="Normal 28 32" xfId="9923"/>
    <cellStyle name="Normal 28 33" xfId="9845"/>
    <cellStyle name="Normal 28 34" xfId="9915"/>
    <cellStyle name="Normal 28 4" xfId="1087"/>
    <cellStyle name="Normal 28 5" xfId="1088"/>
    <cellStyle name="Normal 28 6" xfId="1089"/>
    <cellStyle name="Normal 28 7" xfId="1090"/>
    <cellStyle name="Normal 28 8" xfId="1091"/>
    <cellStyle name="Normal 28 9" xfId="1092"/>
    <cellStyle name="Normal 29" xfId="1093"/>
    <cellStyle name="Normal 29 10" xfId="1094"/>
    <cellStyle name="Normal 29 11" xfId="1095"/>
    <cellStyle name="Normal 29 12" xfId="1096"/>
    <cellStyle name="Normal 29 13" xfId="1849"/>
    <cellStyle name="Normal 29 13 2" xfId="5446"/>
    <cellStyle name="Normal 29 13 2 2" xfId="13927"/>
    <cellStyle name="Normal 29 13 2 3" xfId="20441"/>
    <cellStyle name="Normal 29 13 2 4" xfId="26830"/>
    <cellStyle name="Normal 29 13 3" xfId="10420"/>
    <cellStyle name="Normal 29 13 4" xfId="17333"/>
    <cellStyle name="Normal 29 13 5" xfId="23797"/>
    <cellStyle name="Normal 29 14" xfId="2160"/>
    <cellStyle name="Normal 29 14 2" xfId="5731"/>
    <cellStyle name="Normal 29 14 2 2" xfId="14212"/>
    <cellStyle name="Normal 29 14 2 3" xfId="20726"/>
    <cellStyle name="Normal 29 14 2 4" xfId="27115"/>
    <cellStyle name="Normal 29 14 3" xfId="10717"/>
    <cellStyle name="Normal 29 14 4" xfId="9358"/>
    <cellStyle name="Normal 29 14 5" xfId="10292"/>
    <cellStyle name="Normal 29 15" xfId="2778"/>
    <cellStyle name="Normal 29 15 2" xfId="6278"/>
    <cellStyle name="Normal 29 15 2 2" xfId="14759"/>
    <cellStyle name="Normal 29 15 2 3" xfId="21273"/>
    <cellStyle name="Normal 29 15 2 4" xfId="27662"/>
    <cellStyle name="Normal 29 15 3" xfId="11287"/>
    <cellStyle name="Normal 29 15 4" xfId="17856"/>
    <cellStyle name="Normal 29 15 5" xfId="24258"/>
    <cellStyle name="Normal 29 16" xfId="2952"/>
    <cellStyle name="Normal 29 16 2" xfId="6445"/>
    <cellStyle name="Normal 29 16 2 2" xfId="14926"/>
    <cellStyle name="Normal 29 16 2 3" xfId="21440"/>
    <cellStyle name="Normal 29 16 2 4" xfId="27829"/>
    <cellStyle name="Normal 29 16 3" xfId="11457"/>
    <cellStyle name="Normal 29 16 4" xfId="18023"/>
    <cellStyle name="Normal 29 16 5" xfId="24425"/>
    <cellStyle name="Normal 29 17" xfId="3126"/>
    <cellStyle name="Normal 29 17 2" xfId="6612"/>
    <cellStyle name="Normal 29 17 2 2" xfId="15093"/>
    <cellStyle name="Normal 29 17 2 3" xfId="21607"/>
    <cellStyle name="Normal 29 17 2 4" xfId="27996"/>
    <cellStyle name="Normal 29 17 3" xfId="11628"/>
    <cellStyle name="Normal 29 17 4" xfId="18190"/>
    <cellStyle name="Normal 29 17 5" xfId="24592"/>
    <cellStyle name="Normal 29 18" xfId="3299"/>
    <cellStyle name="Normal 29 18 2" xfId="6779"/>
    <cellStyle name="Normal 29 18 2 2" xfId="15260"/>
    <cellStyle name="Normal 29 18 2 3" xfId="21774"/>
    <cellStyle name="Normal 29 18 2 4" xfId="28163"/>
    <cellStyle name="Normal 29 18 3" xfId="11798"/>
    <cellStyle name="Normal 29 18 4" xfId="18357"/>
    <cellStyle name="Normal 29 18 5" xfId="24759"/>
    <cellStyle name="Normal 29 19" xfId="3470"/>
    <cellStyle name="Normal 29 19 2" xfId="6944"/>
    <cellStyle name="Normal 29 19 2 2" xfId="15425"/>
    <cellStyle name="Normal 29 19 2 3" xfId="21939"/>
    <cellStyle name="Normal 29 19 2 4" xfId="28328"/>
    <cellStyle name="Normal 29 19 3" xfId="11967"/>
    <cellStyle name="Normal 29 19 4" xfId="18523"/>
    <cellStyle name="Normal 29 19 5" xfId="24924"/>
    <cellStyle name="Normal 29 2" xfId="1097"/>
    <cellStyle name="Normal 29 20" xfId="3640"/>
    <cellStyle name="Normal 29 20 2" xfId="7108"/>
    <cellStyle name="Normal 29 20 2 2" xfId="15589"/>
    <cellStyle name="Normal 29 20 2 3" xfId="22103"/>
    <cellStyle name="Normal 29 20 2 4" xfId="28492"/>
    <cellStyle name="Normal 29 20 3" xfId="12135"/>
    <cellStyle name="Normal 29 20 4" xfId="18688"/>
    <cellStyle name="Normal 29 20 5" xfId="25088"/>
    <cellStyle name="Normal 29 21" xfId="3809"/>
    <cellStyle name="Normal 29 21 2" xfId="7271"/>
    <cellStyle name="Normal 29 21 2 2" xfId="15752"/>
    <cellStyle name="Normal 29 21 2 3" xfId="22266"/>
    <cellStyle name="Normal 29 21 2 4" xfId="28655"/>
    <cellStyle name="Normal 29 21 3" xfId="12304"/>
    <cellStyle name="Normal 29 21 4" xfId="18854"/>
    <cellStyle name="Normal 29 21 5" xfId="25251"/>
    <cellStyle name="Normal 29 22" xfId="3976"/>
    <cellStyle name="Normal 29 22 2" xfId="7433"/>
    <cellStyle name="Normal 29 22 2 2" xfId="15914"/>
    <cellStyle name="Normal 29 22 2 3" xfId="22428"/>
    <cellStyle name="Normal 29 22 2 4" xfId="28817"/>
    <cellStyle name="Normal 29 22 3" xfId="12470"/>
    <cellStyle name="Normal 29 22 4" xfId="19017"/>
    <cellStyle name="Normal 29 22 5" xfId="25413"/>
    <cellStyle name="Normal 29 23" xfId="4141"/>
    <cellStyle name="Normal 29 23 2" xfId="7593"/>
    <cellStyle name="Normal 29 23 2 2" xfId="16074"/>
    <cellStyle name="Normal 29 23 2 3" xfId="22588"/>
    <cellStyle name="Normal 29 23 2 4" xfId="28977"/>
    <cellStyle name="Normal 29 23 3" xfId="12634"/>
    <cellStyle name="Normal 29 23 4" xfId="19178"/>
    <cellStyle name="Normal 29 23 5" xfId="25573"/>
    <cellStyle name="Normal 29 24" xfId="4303"/>
    <cellStyle name="Normal 29 24 2" xfId="7750"/>
    <cellStyle name="Normal 29 24 2 2" xfId="16231"/>
    <cellStyle name="Normal 29 24 2 3" xfId="22745"/>
    <cellStyle name="Normal 29 24 2 4" xfId="29134"/>
    <cellStyle name="Normal 29 24 3" xfId="12795"/>
    <cellStyle name="Normal 29 24 4" xfId="19336"/>
    <cellStyle name="Normal 29 24 5" xfId="25730"/>
    <cellStyle name="Normal 29 25" xfId="4463"/>
    <cellStyle name="Normal 29 25 2" xfId="7905"/>
    <cellStyle name="Normal 29 25 2 2" xfId="16386"/>
    <cellStyle name="Normal 29 25 2 3" xfId="22900"/>
    <cellStyle name="Normal 29 25 2 4" xfId="29289"/>
    <cellStyle name="Normal 29 25 3" xfId="12954"/>
    <cellStyle name="Normal 29 25 4" xfId="19492"/>
    <cellStyle name="Normal 29 25 5" xfId="25885"/>
    <cellStyle name="Normal 29 26" xfId="4623"/>
    <cellStyle name="Normal 29 26 2" xfId="8060"/>
    <cellStyle name="Normal 29 26 2 2" xfId="16541"/>
    <cellStyle name="Normal 29 26 2 3" xfId="23055"/>
    <cellStyle name="Normal 29 26 2 4" xfId="29444"/>
    <cellStyle name="Normal 29 26 3" xfId="13114"/>
    <cellStyle name="Normal 29 26 4" xfId="19648"/>
    <cellStyle name="Normal 29 26 5" xfId="26040"/>
    <cellStyle name="Normal 29 27" xfId="4782"/>
    <cellStyle name="Normal 29 27 2" xfId="8214"/>
    <cellStyle name="Normal 29 27 2 2" xfId="16695"/>
    <cellStyle name="Normal 29 27 2 3" xfId="23209"/>
    <cellStyle name="Normal 29 27 2 4" xfId="29598"/>
    <cellStyle name="Normal 29 27 3" xfId="13272"/>
    <cellStyle name="Normal 29 27 4" xfId="19803"/>
    <cellStyle name="Normal 29 27 5" xfId="26194"/>
    <cellStyle name="Normal 29 28" xfId="4940"/>
    <cellStyle name="Normal 29 28 2" xfId="8367"/>
    <cellStyle name="Normal 29 28 2 2" xfId="16848"/>
    <cellStyle name="Normal 29 28 2 3" xfId="23362"/>
    <cellStyle name="Normal 29 28 2 4" xfId="29751"/>
    <cellStyle name="Normal 29 28 3" xfId="13429"/>
    <cellStyle name="Normal 29 28 4" xfId="19957"/>
    <cellStyle name="Normal 29 28 5" xfId="26347"/>
    <cellStyle name="Normal 29 29" xfId="5069"/>
    <cellStyle name="Normal 29 29 2" xfId="8491"/>
    <cellStyle name="Normal 29 29 2 2" xfId="16972"/>
    <cellStyle name="Normal 29 29 2 3" xfId="23486"/>
    <cellStyle name="Normal 29 29 2 4" xfId="29875"/>
    <cellStyle name="Normal 29 29 3" xfId="13556"/>
    <cellStyle name="Normal 29 29 4" xfId="20081"/>
    <cellStyle name="Normal 29 29 5" xfId="26471"/>
    <cellStyle name="Normal 29 3" xfId="1098"/>
    <cellStyle name="Normal 29 30" xfId="5245"/>
    <cellStyle name="Normal 29 30 2" xfId="13727"/>
    <cellStyle name="Normal 29 30 3" xfId="20244"/>
    <cellStyle name="Normal 29 30 4" xfId="26633"/>
    <cellStyle name="Normal 29 31" xfId="9933"/>
    <cellStyle name="Normal 29 32" xfId="9839"/>
    <cellStyle name="Normal 29 33" xfId="9918"/>
    <cellStyle name="Normal 29 4" xfId="1099"/>
    <cellStyle name="Normal 29 5" xfId="1100"/>
    <cellStyle name="Normal 29 6" xfId="1101"/>
    <cellStyle name="Normal 29 7" xfId="1102"/>
    <cellStyle name="Normal 29 8" xfId="1103"/>
    <cellStyle name="Normal 29 9" xfId="1104"/>
    <cellStyle name="Normal 3" xfId="1105"/>
    <cellStyle name="Normal 3 10" xfId="1106"/>
    <cellStyle name="Normal 3 11" xfId="1107"/>
    <cellStyle name="Normal 3 12" xfId="1108"/>
    <cellStyle name="Normal 3 13" xfId="1109"/>
    <cellStyle name="Normal 3 14" xfId="1110"/>
    <cellStyle name="Normal 3 15" xfId="1111"/>
    <cellStyle name="Normal 3 16" xfId="1112"/>
    <cellStyle name="Normal 3 17" xfId="1113"/>
    <cellStyle name="Normal 3 18" xfId="1114"/>
    <cellStyle name="Normal 3 19" xfId="1115"/>
    <cellStyle name="Normal 3 2" xfId="1116"/>
    <cellStyle name="Normal 3 2 2" xfId="8965"/>
    <cellStyle name="Normal 3 20" xfId="1117"/>
    <cellStyle name="Normal 3 21" xfId="1118"/>
    <cellStyle name="Normal 3 22" xfId="1119"/>
    <cellStyle name="Normal 3 23" xfId="1120"/>
    <cellStyle name="Normal 3 24" xfId="1121"/>
    <cellStyle name="Normal 3 25" xfId="1122"/>
    <cellStyle name="Normal 3 26" xfId="1123"/>
    <cellStyle name="Normal 3 27" xfId="8934"/>
    <cellStyle name="Normal 3 3" xfId="1124"/>
    <cellStyle name="Normal 3 3 10" xfId="3626"/>
    <cellStyle name="Normal 3 3 10 2" xfId="7095"/>
    <cellStyle name="Normal 3 3 10 2 2" xfId="15576"/>
    <cellStyle name="Normal 3 3 10 2 3" xfId="22090"/>
    <cellStyle name="Normal 3 3 10 2 4" xfId="28479"/>
    <cellStyle name="Normal 3 3 10 3" xfId="12121"/>
    <cellStyle name="Normal 3 3 10 4" xfId="18674"/>
    <cellStyle name="Normal 3 3 10 5" xfId="25075"/>
    <cellStyle name="Normal 3 3 11" xfId="3795"/>
    <cellStyle name="Normal 3 3 11 2" xfId="7258"/>
    <cellStyle name="Normal 3 3 11 2 2" xfId="15739"/>
    <cellStyle name="Normal 3 3 11 2 3" xfId="22253"/>
    <cellStyle name="Normal 3 3 11 2 4" xfId="28642"/>
    <cellStyle name="Normal 3 3 11 3" xfId="12290"/>
    <cellStyle name="Normal 3 3 11 4" xfId="18840"/>
    <cellStyle name="Normal 3 3 11 5" xfId="25238"/>
    <cellStyle name="Normal 3 3 12" xfId="3962"/>
    <cellStyle name="Normal 3 3 12 2" xfId="7420"/>
    <cellStyle name="Normal 3 3 12 2 2" xfId="15901"/>
    <cellStyle name="Normal 3 3 12 2 3" xfId="22415"/>
    <cellStyle name="Normal 3 3 12 2 4" xfId="28804"/>
    <cellStyle name="Normal 3 3 12 3" xfId="12456"/>
    <cellStyle name="Normal 3 3 12 4" xfId="19003"/>
    <cellStyle name="Normal 3 3 12 5" xfId="25400"/>
    <cellStyle name="Normal 3 3 13" xfId="4127"/>
    <cellStyle name="Normal 3 3 13 2" xfId="7580"/>
    <cellStyle name="Normal 3 3 13 2 2" xfId="16061"/>
    <cellStyle name="Normal 3 3 13 2 3" xfId="22575"/>
    <cellStyle name="Normal 3 3 13 2 4" xfId="28964"/>
    <cellStyle name="Normal 3 3 13 3" xfId="12620"/>
    <cellStyle name="Normal 3 3 13 4" xfId="19164"/>
    <cellStyle name="Normal 3 3 13 5" xfId="25560"/>
    <cellStyle name="Normal 3 3 14" xfId="4289"/>
    <cellStyle name="Normal 3 3 14 2" xfId="7737"/>
    <cellStyle name="Normal 3 3 14 2 2" xfId="16218"/>
    <cellStyle name="Normal 3 3 14 2 3" xfId="22732"/>
    <cellStyle name="Normal 3 3 14 2 4" xfId="29121"/>
    <cellStyle name="Normal 3 3 14 3" xfId="12781"/>
    <cellStyle name="Normal 3 3 14 4" xfId="19322"/>
    <cellStyle name="Normal 3 3 14 5" xfId="25717"/>
    <cellStyle name="Normal 3 3 15" xfId="4449"/>
    <cellStyle name="Normal 3 3 15 2" xfId="7892"/>
    <cellStyle name="Normal 3 3 15 2 2" xfId="16373"/>
    <cellStyle name="Normal 3 3 15 2 3" xfId="22887"/>
    <cellStyle name="Normal 3 3 15 2 4" xfId="29276"/>
    <cellStyle name="Normal 3 3 15 3" xfId="12940"/>
    <cellStyle name="Normal 3 3 15 4" xfId="19478"/>
    <cellStyle name="Normal 3 3 15 5" xfId="25872"/>
    <cellStyle name="Normal 3 3 16" xfId="4609"/>
    <cellStyle name="Normal 3 3 16 2" xfId="8047"/>
    <cellStyle name="Normal 3 3 16 2 2" xfId="16528"/>
    <cellStyle name="Normal 3 3 16 2 3" xfId="23042"/>
    <cellStyle name="Normal 3 3 16 2 4" xfId="29431"/>
    <cellStyle name="Normal 3 3 16 3" xfId="13100"/>
    <cellStyle name="Normal 3 3 16 4" xfId="19634"/>
    <cellStyle name="Normal 3 3 16 5" xfId="26027"/>
    <cellStyle name="Normal 3 3 17" xfId="4769"/>
    <cellStyle name="Normal 3 3 17 2" xfId="8202"/>
    <cellStyle name="Normal 3 3 17 2 2" xfId="16683"/>
    <cellStyle name="Normal 3 3 17 2 3" xfId="23197"/>
    <cellStyle name="Normal 3 3 17 2 4" xfId="29586"/>
    <cellStyle name="Normal 3 3 17 3" xfId="13259"/>
    <cellStyle name="Normal 3 3 17 4" xfId="19790"/>
    <cellStyle name="Normal 3 3 17 5" xfId="26182"/>
    <cellStyle name="Normal 3 3 18" xfId="4927"/>
    <cellStyle name="Normal 3 3 18 2" xfId="8355"/>
    <cellStyle name="Normal 3 3 18 2 2" xfId="16836"/>
    <cellStyle name="Normal 3 3 18 2 3" xfId="23350"/>
    <cellStyle name="Normal 3 3 18 2 4" xfId="29739"/>
    <cellStyle name="Normal 3 3 18 3" xfId="13416"/>
    <cellStyle name="Normal 3 3 18 4" xfId="19944"/>
    <cellStyle name="Normal 3 3 18 5" xfId="26335"/>
    <cellStyle name="Normal 3 3 19" xfId="5246"/>
    <cellStyle name="Normal 3 3 19 2" xfId="9025"/>
    <cellStyle name="Normal 3 3 19 3" xfId="13728"/>
    <cellStyle name="Normal 3 3 19 4" xfId="20245"/>
    <cellStyle name="Normal 3 3 19 5" xfId="26634"/>
    <cellStyle name="Normal 3 3 2" xfId="1850"/>
    <cellStyle name="Normal 3 3 2 2" xfId="5447"/>
    <cellStyle name="Normal 3 3 2 2 2" xfId="13928"/>
    <cellStyle name="Normal 3 3 2 2 3" xfId="20442"/>
    <cellStyle name="Normal 3 3 2 2 4" xfId="26831"/>
    <cellStyle name="Normal 3 3 2 3" xfId="10421"/>
    <cellStyle name="Normal 3 3 2 4" xfId="17372"/>
    <cellStyle name="Normal 3 3 2 5" xfId="23813"/>
    <cellStyle name="Normal 3 3 20" xfId="9942"/>
    <cellStyle name="Normal 3 3 21" xfId="9833"/>
    <cellStyle name="Normal 3 3 22" xfId="9921"/>
    <cellStyle name="Normal 3 3 3" xfId="2162"/>
    <cellStyle name="Normal 3 3 3 2" xfId="5733"/>
    <cellStyle name="Normal 3 3 3 2 2" xfId="14214"/>
    <cellStyle name="Normal 3 3 3 2 3" xfId="20728"/>
    <cellStyle name="Normal 3 3 3 2 4" xfId="27117"/>
    <cellStyle name="Normal 3 3 3 3" xfId="10719"/>
    <cellStyle name="Normal 3 3 3 4" xfId="9356"/>
    <cellStyle name="Normal 3 3 3 5" xfId="17347"/>
    <cellStyle name="Normal 3 3 4" xfId="2181"/>
    <cellStyle name="Normal 3 3 4 2" xfId="5751"/>
    <cellStyle name="Normal 3 3 4 2 2" xfId="14232"/>
    <cellStyle name="Normal 3 3 4 2 3" xfId="20746"/>
    <cellStyle name="Normal 3 3 4 2 4" xfId="27135"/>
    <cellStyle name="Normal 3 3 4 3" xfId="10737"/>
    <cellStyle name="Normal 3 3 4 4" xfId="9355"/>
    <cellStyle name="Normal 3 3 4 5" xfId="17369"/>
    <cellStyle name="Normal 3 3 5" xfId="2764"/>
    <cellStyle name="Normal 3 3 5 2" xfId="6265"/>
    <cellStyle name="Normal 3 3 5 2 2" xfId="14746"/>
    <cellStyle name="Normal 3 3 5 2 3" xfId="21260"/>
    <cellStyle name="Normal 3 3 5 2 4" xfId="27649"/>
    <cellStyle name="Normal 3 3 5 3" xfId="11274"/>
    <cellStyle name="Normal 3 3 5 4" xfId="17843"/>
    <cellStyle name="Normal 3 3 5 5" xfId="24245"/>
    <cellStyle name="Normal 3 3 6" xfId="2938"/>
    <cellStyle name="Normal 3 3 6 2" xfId="6432"/>
    <cellStyle name="Normal 3 3 6 2 2" xfId="14913"/>
    <cellStyle name="Normal 3 3 6 2 3" xfId="21427"/>
    <cellStyle name="Normal 3 3 6 2 4" xfId="27816"/>
    <cellStyle name="Normal 3 3 6 3" xfId="11444"/>
    <cellStyle name="Normal 3 3 6 4" xfId="18010"/>
    <cellStyle name="Normal 3 3 6 5" xfId="24412"/>
    <cellStyle name="Normal 3 3 7" xfId="3112"/>
    <cellStyle name="Normal 3 3 7 2" xfId="6599"/>
    <cellStyle name="Normal 3 3 7 2 2" xfId="15080"/>
    <cellStyle name="Normal 3 3 7 2 3" xfId="21594"/>
    <cellStyle name="Normal 3 3 7 2 4" xfId="27983"/>
    <cellStyle name="Normal 3 3 7 3" xfId="11614"/>
    <cellStyle name="Normal 3 3 7 4" xfId="18177"/>
    <cellStyle name="Normal 3 3 7 5" xfId="24579"/>
    <cellStyle name="Normal 3 3 8" xfId="3285"/>
    <cellStyle name="Normal 3 3 8 2" xfId="6766"/>
    <cellStyle name="Normal 3 3 8 2 2" xfId="15247"/>
    <cellStyle name="Normal 3 3 8 2 3" xfId="21761"/>
    <cellStyle name="Normal 3 3 8 2 4" xfId="28150"/>
    <cellStyle name="Normal 3 3 8 3" xfId="11785"/>
    <cellStyle name="Normal 3 3 8 4" xfId="18344"/>
    <cellStyle name="Normal 3 3 8 5" xfId="24746"/>
    <cellStyle name="Normal 3 3 9" xfId="3456"/>
    <cellStyle name="Normal 3 3 9 2" xfId="6931"/>
    <cellStyle name="Normal 3 3 9 2 2" xfId="15412"/>
    <cellStyle name="Normal 3 3 9 2 3" xfId="21926"/>
    <cellStyle name="Normal 3 3 9 2 4" xfId="28315"/>
    <cellStyle name="Normal 3 3 9 3" xfId="11953"/>
    <cellStyle name="Normal 3 3 9 4" xfId="18509"/>
    <cellStyle name="Normal 3 3 9 5" xfId="24911"/>
    <cellStyle name="Normal 3 4" xfId="1125"/>
    <cellStyle name="Normal 3 4 2" xfId="8981"/>
    <cellStyle name="Normal 3 4 3" xfId="8995"/>
    <cellStyle name="Normal 3 4 4" xfId="8971"/>
    <cellStyle name="Normal 3 5" xfId="1126"/>
    <cellStyle name="Normal 3 6" xfId="1127"/>
    <cellStyle name="Normal 3 6 2" xfId="8926"/>
    <cellStyle name="Normal 3 6 3" xfId="8991"/>
    <cellStyle name="Normal 3 7" xfId="1128"/>
    <cellStyle name="Normal 3 8" xfId="1129"/>
    <cellStyle name="Normal 3 9" xfId="1130"/>
    <cellStyle name="Normal 3_05. CMD with all SE-DEs meeting 09.11.2010" xfId="8896"/>
    <cellStyle name="Normal 30" xfId="1131"/>
    <cellStyle name="Normal 30 10" xfId="1132"/>
    <cellStyle name="Normal 30 11" xfId="1133"/>
    <cellStyle name="Normal 30 12" xfId="1851"/>
    <cellStyle name="Normal 30 12 2" xfId="5448"/>
    <cellStyle name="Normal 30 12 2 2" xfId="13929"/>
    <cellStyle name="Normal 30 12 2 3" xfId="20443"/>
    <cellStyle name="Normal 30 12 2 4" xfId="26832"/>
    <cellStyle name="Normal 30 12 3" xfId="10422"/>
    <cellStyle name="Normal 30 12 4" xfId="17386"/>
    <cellStyle name="Normal 30 12 5" xfId="23825"/>
    <cellStyle name="Normal 30 13" xfId="2164"/>
    <cellStyle name="Normal 30 13 2" xfId="5735"/>
    <cellStyle name="Normal 30 13 2 2" xfId="14216"/>
    <cellStyle name="Normal 30 13 2 3" xfId="20730"/>
    <cellStyle name="Normal 30 13 2 4" xfId="27119"/>
    <cellStyle name="Normal 30 13 3" xfId="10721"/>
    <cellStyle name="Normal 30 13 4" xfId="17487"/>
    <cellStyle name="Normal 30 13 5" xfId="23909"/>
    <cellStyle name="Normal 30 14" xfId="2179"/>
    <cellStyle name="Normal 30 14 2" xfId="5749"/>
    <cellStyle name="Normal 30 14 2 2" xfId="14230"/>
    <cellStyle name="Normal 30 14 2 3" xfId="20744"/>
    <cellStyle name="Normal 30 14 2 4" xfId="27133"/>
    <cellStyle name="Normal 30 14 3" xfId="10735"/>
    <cellStyle name="Normal 30 14 4" xfId="17127"/>
    <cellStyle name="Normal 30 14 5" xfId="23604"/>
    <cellStyle name="Normal 30 15" xfId="2766"/>
    <cellStyle name="Normal 30 15 2" xfId="6267"/>
    <cellStyle name="Normal 30 15 2 2" xfId="14748"/>
    <cellStyle name="Normal 30 15 2 3" xfId="21262"/>
    <cellStyle name="Normal 30 15 2 4" xfId="27651"/>
    <cellStyle name="Normal 30 15 3" xfId="11276"/>
    <cellStyle name="Normal 30 15 4" xfId="17845"/>
    <cellStyle name="Normal 30 15 5" xfId="24247"/>
    <cellStyle name="Normal 30 16" xfId="2940"/>
    <cellStyle name="Normal 30 16 2" xfId="6434"/>
    <cellStyle name="Normal 30 16 2 2" xfId="14915"/>
    <cellStyle name="Normal 30 16 2 3" xfId="21429"/>
    <cellStyle name="Normal 30 16 2 4" xfId="27818"/>
    <cellStyle name="Normal 30 16 3" xfId="11446"/>
    <cellStyle name="Normal 30 16 4" xfId="18012"/>
    <cellStyle name="Normal 30 16 5" xfId="24414"/>
    <cellStyle name="Normal 30 17" xfId="3114"/>
    <cellStyle name="Normal 30 17 2" xfId="6601"/>
    <cellStyle name="Normal 30 17 2 2" xfId="15082"/>
    <cellStyle name="Normal 30 17 2 3" xfId="21596"/>
    <cellStyle name="Normal 30 17 2 4" xfId="27985"/>
    <cellStyle name="Normal 30 17 3" xfId="11616"/>
    <cellStyle name="Normal 30 17 4" xfId="18179"/>
    <cellStyle name="Normal 30 17 5" xfId="24581"/>
    <cellStyle name="Normal 30 18" xfId="3287"/>
    <cellStyle name="Normal 30 18 2" xfId="6768"/>
    <cellStyle name="Normal 30 18 2 2" xfId="15249"/>
    <cellStyle name="Normal 30 18 2 3" xfId="21763"/>
    <cellStyle name="Normal 30 18 2 4" xfId="28152"/>
    <cellStyle name="Normal 30 18 3" xfId="11787"/>
    <cellStyle name="Normal 30 18 4" xfId="18346"/>
    <cellStyle name="Normal 30 18 5" xfId="24748"/>
    <cellStyle name="Normal 30 19" xfId="3458"/>
    <cellStyle name="Normal 30 19 2" xfId="6933"/>
    <cellStyle name="Normal 30 19 2 2" xfId="15414"/>
    <cellStyle name="Normal 30 19 2 3" xfId="21928"/>
    <cellStyle name="Normal 30 19 2 4" xfId="28317"/>
    <cellStyle name="Normal 30 19 3" xfId="11955"/>
    <cellStyle name="Normal 30 19 4" xfId="18511"/>
    <cellStyle name="Normal 30 19 5" xfId="24913"/>
    <cellStyle name="Normal 30 2" xfId="1134"/>
    <cellStyle name="Normal 30 20" xfId="3628"/>
    <cellStyle name="Normal 30 20 2" xfId="7097"/>
    <cellStyle name="Normal 30 20 2 2" xfId="15578"/>
    <cellStyle name="Normal 30 20 2 3" xfId="22092"/>
    <cellStyle name="Normal 30 20 2 4" xfId="28481"/>
    <cellStyle name="Normal 30 20 3" xfId="12123"/>
    <cellStyle name="Normal 30 20 4" xfId="18676"/>
    <cellStyle name="Normal 30 20 5" xfId="25077"/>
    <cellStyle name="Normal 30 21" xfId="3797"/>
    <cellStyle name="Normal 30 21 2" xfId="7260"/>
    <cellStyle name="Normal 30 21 2 2" xfId="15741"/>
    <cellStyle name="Normal 30 21 2 3" xfId="22255"/>
    <cellStyle name="Normal 30 21 2 4" xfId="28644"/>
    <cellStyle name="Normal 30 21 3" xfId="12292"/>
    <cellStyle name="Normal 30 21 4" xfId="18842"/>
    <cellStyle name="Normal 30 21 5" xfId="25240"/>
    <cellStyle name="Normal 30 22" xfId="3964"/>
    <cellStyle name="Normal 30 22 2" xfId="7422"/>
    <cellStyle name="Normal 30 22 2 2" xfId="15903"/>
    <cellStyle name="Normal 30 22 2 3" xfId="22417"/>
    <cellStyle name="Normal 30 22 2 4" xfId="28806"/>
    <cellStyle name="Normal 30 22 3" xfId="12458"/>
    <cellStyle name="Normal 30 22 4" xfId="19005"/>
    <cellStyle name="Normal 30 22 5" xfId="25402"/>
    <cellStyle name="Normal 30 23" xfId="4129"/>
    <cellStyle name="Normal 30 23 2" xfId="7582"/>
    <cellStyle name="Normal 30 23 2 2" xfId="16063"/>
    <cellStyle name="Normal 30 23 2 3" xfId="22577"/>
    <cellStyle name="Normal 30 23 2 4" xfId="28966"/>
    <cellStyle name="Normal 30 23 3" xfId="12622"/>
    <cellStyle name="Normal 30 23 4" xfId="19166"/>
    <cellStyle name="Normal 30 23 5" xfId="25562"/>
    <cellStyle name="Normal 30 24" xfId="4291"/>
    <cellStyle name="Normal 30 24 2" xfId="7739"/>
    <cellStyle name="Normal 30 24 2 2" xfId="16220"/>
    <cellStyle name="Normal 30 24 2 3" xfId="22734"/>
    <cellStyle name="Normal 30 24 2 4" xfId="29123"/>
    <cellStyle name="Normal 30 24 3" xfId="12783"/>
    <cellStyle name="Normal 30 24 4" xfId="19324"/>
    <cellStyle name="Normal 30 24 5" xfId="25719"/>
    <cellStyle name="Normal 30 25" xfId="4451"/>
    <cellStyle name="Normal 30 25 2" xfId="7894"/>
    <cellStyle name="Normal 30 25 2 2" xfId="16375"/>
    <cellStyle name="Normal 30 25 2 3" xfId="22889"/>
    <cellStyle name="Normal 30 25 2 4" xfId="29278"/>
    <cellStyle name="Normal 30 25 3" xfId="12942"/>
    <cellStyle name="Normal 30 25 4" xfId="19480"/>
    <cellStyle name="Normal 30 25 5" xfId="25874"/>
    <cellStyle name="Normal 30 26" xfId="4611"/>
    <cellStyle name="Normal 30 26 2" xfId="8049"/>
    <cellStyle name="Normal 30 26 2 2" xfId="16530"/>
    <cellStyle name="Normal 30 26 2 3" xfId="23044"/>
    <cellStyle name="Normal 30 26 2 4" xfId="29433"/>
    <cellStyle name="Normal 30 26 3" xfId="13102"/>
    <cellStyle name="Normal 30 26 4" xfId="19636"/>
    <cellStyle name="Normal 30 26 5" xfId="26029"/>
    <cellStyle name="Normal 30 27" xfId="4770"/>
    <cellStyle name="Normal 30 27 2" xfId="8203"/>
    <cellStyle name="Normal 30 27 2 2" xfId="16684"/>
    <cellStyle name="Normal 30 27 2 3" xfId="23198"/>
    <cellStyle name="Normal 30 27 2 4" xfId="29587"/>
    <cellStyle name="Normal 30 27 3" xfId="13260"/>
    <cellStyle name="Normal 30 27 4" xfId="19791"/>
    <cellStyle name="Normal 30 27 5" xfId="26183"/>
    <cellStyle name="Normal 30 28" xfId="4928"/>
    <cellStyle name="Normal 30 28 2" xfId="8356"/>
    <cellStyle name="Normal 30 28 2 2" xfId="16837"/>
    <cellStyle name="Normal 30 28 2 3" xfId="23351"/>
    <cellStyle name="Normal 30 28 2 4" xfId="29740"/>
    <cellStyle name="Normal 30 28 3" xfId="13417"/>
    <cellStyle name="Normal 30 28 4" xfId="19945"/>
    <cellStyle name="Normal 30 28 5" xfId="26336"/>
    <cellStyle name="Normal 30 29" xfId="5247"/>
    <cellStyle name="Normal 30 29 2" xfId="13729"/>
    <cellStyle name="Normal 30 29 3" xfId="20246"/>
    <cellStyle name="Normal 30 29 4" xfId="26635"/>
    <cellStyle name="Normal 30 3" xfId="1135"/>
    <cellStyle name="Normal 30 30" xfId="9946"/>
    <cellStyle name="Normal 30 31" xfId="12195"/>
    <cellStyle name="Normal 30 32" xfId="18745"/>
    <cellStyle name="Normal 30 4" xfId="1136"/>
    <cellStyle name="Normal 30 5" xfId="1137"/>
    <cellStyle name="Normal 30 6" xfId="1138"/>
    <cellStyle name="Normal 30 7" xfId="1139"/>
    <cellStyle name="Normal 30 8" xfId="1140"/>
    <cellStyle name="Normal 30 9" xfId="1141"/>
    <cellStyle name="Normal 31" xfId="1142"/>
    <cellStyle name="Normal 31 10" xfId="1143"/>
    <cellStyle name="Normal 31 11" xfId="1852"/>
    <cellStyle name="Normal 31 11 2" xfId="5449"/>
    <cellStyle name="Normal 31 11 2 2" xfId="13930"/>
    <cellStyle name="Normal 31 11 2 3" xfId="20444"/>
    <cellStyle name="Normal 31 11 2 4" xfId="26833"/>
    <cellStyle name="Normal 31 11 3" xfId="10423"/>
    <cellStyle name="Normal 31 11 4" xfId="17396"/>
    <cellStyle name="Normal 31 11 5" xfId="23835"/>
    <cellStyle name="Normal 31 12" xfId="2165"/>
    <cellStyle name="Normal 31 12 2" xfId="5736"/>
    <cellStyle name="Normal 31 12 2 2" xfId="14217"/>
    <cellStyle name="Normal 31 12 2 3" xfId="20731"/>
    <cellStyle name="Normal 31 12 2 4" xfId="27120"/>
    <cellStyle name="Normal 31 12 3" xfId="10722"/>
    <cellStyle name="Normal 31 12 4" xfId="17114"/>
    <cellStyle name="Normal 31 12 5" xfId="23591"/>
    <cellStyle name="Normal 31 13" xfId="2178"/>
    <cellStyle name="Normal 31 13 2" xfId="5748"/>
    <cellStyle name="Normal 31 13 2 2" xfId="14229"/>
    <cellStyle name="Normal 31 13 2 3" xfId="20743"/>
    <cellStyle name="Normal 31 13 2 4" xfId="27132"/>
    <cellStyle name="Normal 31 13 3" xfId="10734"/>
    <cellStyle name="Normal 31 13 4" xfId="17126"/>
    <cellStyle name="Normal 31 13 5" xfId="23603"/>
    <cellStyle name="Normal 31 14" xfId="2767"/>
    <cellStyle name="Normal 31 14 2" xfId="6268"/>
    <cellStyle name="Normal 31 14 2 2" xfId="14749"/>
    <cellStyle name="Normal 31 14 2 3" xfId="21263"/>
    <cellStyle name="Normal 31 14 2 4" xfId="27652"/>
    <cellStyle name="Normal 31 14 3" xfId="11277"/>
    <cellStyle name="Normal 31 14 4" xfId="17846"/>
    <cellStyle name="Normal 31 14 5" xfId="24248"/>
    <cellStyle name="Normal 31 15" xfId="2941"/>
    <cellStyle name="Normal 31 15 2" xfId="6435"/>
    <cellStyle name="Normal 31 15 2 2" xfId="14916"/>
    <cellStyle name="Normal 31 15 2 3" xfId="21430"/>
    <cellStyle name="Normal 31 15 2 4" xfId="27819"/>
    <cellStyle name="Normal 31 15 3" xfId="11447"/>
    <cellStyle name="Normal 31 15 4" xfId="18013"/>
    <cellStyle name="Normal 31 15 5" xfId="24415"/>
    <cellStyle name="Normal 31 16" xfId="3115"/>
    <cellStyle name="Normal 31 16 2" xfId="6602"/>
    <cellStyle name="Normal 31 16 2 2" xfId="15083"/>
    <cellStyle name="Normal 31 16 2 3" xfId="21597"/>
    <cellStyle name="Normal 31 16 2 4" xfId="27986"/>
    <cellStyle name="Normal 31 16 3" xfId="11617"/>
    <cellStyle name="Normal 31 16 4" xfId="18180"/>
    <cellStyle name="Normal 31 16 5" xfId="24582"/>
    <cellStyle name="Normal 31 17" xfId="3288"/>
    <cellStyle name="Normal 31 17 2" xfId="6769"/>
    <cellStyle name="Normal 31 17 2 2" xfId="15250"/>
    <cellStyle name="Normal 31 17 2 3" xfId="21764"/>
    <cellStyle name="Normal 31 17 2 4" xfId="28153"/>
    <cellStyle name="Normal 31 17 3" xfId="11788"/>
    <cellStyle name="Normal 31 17 4" xfId="18347"/>
    <cellStyle name="Normal 31 17 5" xfId="24749"/>
    <cellStyle name="Normal 31 18" xfId="3459"/>
    <cellStyle name="Normal 31 18 2" xfId="6934"/>
    <cellStyle name="Normal 31 18 2 2" xfId="15415"/>
    <cellStyle name="Normal 31 18 2 3" xfId="21929"/>
    <cellStyle name="Normal 31 18 2 4" xfId="28318"/>
    <cellStyle name="Normal 31 18 3" xfId="11956"/>
    <cellStyle name="Normal 31 18 4" xfId="18512"/>
    <cellStyle name="Normal 31 18 5" xfId="24914"/>
    <cellStyle name="Normal 31 19" xfId="3629"/>
    <cellStyle name="Normal 31 19 2" xfId="7098"/>
    <cellStyle name="Normal 31 19 2 2" xfId="15579"/>
    <cellStyle name="Normal 31 19 2 3" xfId="22093"/>
    <cellStyle name="Normal 31 19 2 4" xfId="28482"/>
    <cellStyle name="Normal 31 19 3" xfId="12124"/>
    <cellStyle name="Normal 31 19 4" xfId="18677"/>
    <cellStyle name="Normal 31 19 5" xfId="25078"/>
    <cellStyle name="Normal 31 2" xfId="1144"/>
    <cellStyle name="Normal 31 20" xfId="3798"/>
    <cellStyle name="Normal 31 20 2" xfId="7261"/>
    <cellStyle name="Normal 31 20 2 2" xfId="15742"/>
    <cellStyle name="Normal 31 20 2 3" xfId="22256"/>
    <cellStyle name="Normal 31 20 2 4" xfId="28645"/>
    <cellStyle name="Normal 31 20 3" xfId="12293"/>
    <cellStyle name="Normal 31 20 4" xfId="18843"/>
    <cellStyle name="Normal 31 20 5" xfId="25241"/>
    <cellStyle name="Normal 31 21" xfId="3965"/>
    <cellStyle name="Normal 31 21 2" xfId="7423"/>
    <cellStyle name="Normal 31 21 2 2" xfId="15904"/>
    <cellStyle name="Normal 31 21 2 3" xfId="22418"/>
    <cellStyle name="Normal 31 21 2 4" xfId="28807"/>
    <cellStyle name="Normal 31 21 3" xfId="12459"/>
    <cellStyle name="Normal 31 21 4" xfId="19006"/>
    <cellStyle name="Normal 31 21 5" xfId="25403"/>
    <cellStyle name="Normal 31 22" xfId="4130"/>
    <cellStyle name="Normal 31 22 2" xfId="7583"/>
    <cellStyle name="Normal 31 22 2 2" xfId="16064"/>
    <cellStyle name="Normal 31 22 2 3" xfId="22578"/>
    <cellStyle name="Normal 31 22 2 4" xfId="28967"/>
    <cellStyle name="Normal 31 22 3" xfId="12623"/>
    <cellStyle name="Normal 31 22 4" xfId="19167"/>
    <cellStyle name="Normal 31 22 5" xfId="25563"/>
    <cellStyle name="Normal 31 23" xfId="4292"/>
    <cellStyle name="Normal 31 23 2" xfId="7740"/>
    <cellStyle name="Normal 31 23 2 2" xfId="16221"/>
    <cellStyle name="Normal 31 23 2 3" xfId="22735"/>
    <cellStyle name="Normal 31 23 2 4" xfId="29124"/>
    <cellStyle name="Normal 31 23 3" xfId="12784"/>
    <cellStyle name="Normal 31 23 4" xfId="19325"/>
    <cellStyle name="Normal 31 23 5" xfId="25720"/>
    <cellStyle name="Normal 31 24" xfId="4452"/>
    <cellStyle name="Normal 31 24 2" xfId="7895"/>
    <cellStyle name="Normal 31 24 2 2" xfId="16376"/>
    <cellStyle name="Normal 31 24 2 3" xfId="22890"/>
    <cellStyle name="Normal 31 24 2 4" xfId="29279"/>
    <cellStyle name="Normal 31 24 3" xfId="12943"/>
    <cellStyle name="Normal 31 24 4" xfId="19481"/>
    <cellStyle name="Normal 31 24 5" xfId="25875"/>
    <cellStyle name="Normal 31 25" xfId="4612"/>
    <cellStyle name="Normal 31 25 2" xfId="8050"/>
    <cellStyle name="Normal 31 25 2 2" xfId="16531"/>
    <cellStyle name="Normal 31 25 2 3" xfId="23045"/>
    <cellStyle name="Normal 31 25 2 4" xfId="29434"/>
    <cellStyle name="Normal 31 25 3" xfId="13103"/>
    <cellStyle name="Normal 31 25 4" xfId="19637"/>
    <cellStyle name="Normal 31 25 5" xfId="26030"/>
    <cellStyle name="Normal 31 26" xfId="4771"/>
    <cellStyle name="Normal 31 26 2" xfId="8204"/>
    <cellStyle name="Normal 31 26 2 2" xfId="16685"/>
    <cellStyle name="Normal 31 26 2 3" xfId="23199"/>
    <cellStyle name="Normal 31 26 2 4" xfId="29588"/>
    <cellStyle name="Normal 31 26 3" xfId="13261"/>
    <cellStyle name="Normal 31 26 4" xfId="19792"/>
    <cellStyle name="Normal 31 26 5" xfId="26184"/>
    <cellStyle name="Normal 31 27" xfId="4929"/>
    <cellStyle name="Normal 31 27 2" xfId="8357"/>
    <cellStyle name="Normal 31 27 2 2" xfId="16838"/>
    <cellStyle name="Normal 31 27 2 3" xfId="23352"/>
    <cellStyle name="Normal 31 27 2 4" xfId="29741"/>
    <cellStyle name="Normal 31 27 3" xfId="13418"/>
    <cellStyle name="Normal 31 27 4" xfId="19946"/>
    <cellStyle name="Normal 31 27 5" xfId="26337"/>
    <cellStyle name="Normal 31 28" xfId="5248"/>
    <cellStyle name="Normal 31 28 2" xfId="13730"/>
    <cellStyle name="Normal 31 28 3" xfId="20247"/>
    <cellStyle name="Normal 31 28 4" xfId="26636"/>
    <cellStyle name="Normal 31 29" xfId="9951"/>
    <cellStyle name="Normal 31 3" xfId="1145"/>
    <cellStyle name="Normal 31 30" xfId="11149"/>
    <cellStyle name="Normal 31 31" xfId="17718"/>
    <cellStyle name="Normal 31 4" xfId="1146"/>
    <cellStyle name="Normal 31 5" xfId="1147"/>
    <cellStyle name="Normal 31 6" xfId="1148"/>
    <cellStyle name="Normal 31 7" xfId="1149"/>
    <cellStyle name="Normal 31 8" xfId="1150"/>
    <cellStyle name="Normal 31 9" xfId="1151"/>
    <cellStyle name="Normal 32" xfId="1152"/>
    <cellStyle name="Normal 32 10" xfId="1853"/>
    <cellStyle name="Normal 32 10 2" xfId="5450"/>
    <cellStyle name="Normal 32 10 2 2" xfId="13931"/>
    <cellStyle name="Normal 32 10 2 3" xfId="20445"/>
    <cellStyle name="Normal 32 10 2 4" xfId="26834"/>
    <cellStyle name="Normal 32 10 3" xfId="10424"/>
    <cellStyle name="Normal 32 10 4" xfId="17407"/>
    <cellStyle name="Normal 32 10 5" xfId="23845"/>
    <cellStyle name="Normal 32 11" xfId="2166"/>
    <cellStyle name="Normal 32 11 2" xfId="5737"/>
    <cellStyle name="Normal 32 11 2 2" xfId="14218"/>
    <cellStyle name="Normal 32 11 2 3" xfId="20732"/>
    <cellStyle name="Normal 32 11 2 4" xfId="27121"/>
    <cellStyle name="Normal 32 11 3" xfId="10723"/>
    <cellStyle name="Normal 32 11 4" xfId="17115"/>
    <cellStyle name="Normal 32 11 5" xfId="23592"/>
    <cellStyle name="Normal 32 12" xfId="2177"/>
    <cellStyle name="Normal 32 12 2" xfId="5747"/>
    <cellStyle name="Normal 32 12 2 2" xfId="14228"/>
    <cellStyle name="Normal 32 12 2 3" xfId="20742"/>
    <cellStyle name="Normal 32 12 2 4" xfId="27131"/>
    <cellStyle name="Normal 32 12 3" xfId="10733"/>
    <cellStyle name="Normal 32 12 4" xfId="17125"/>
    <cellStyle name="Normal 32 12 5" xfId="23602"/>
    <cellStyle name="Normal 32 13" xfId="2768"/>
    <cellStyle name="Normal 32 13 2" xfId="6269"/>
    <cellStyle name="Normal 32 13 2 2" xfId="14750"/>
    <cellStyle name="Normal 32 13 2 3" xfId="21264"/>
    <cellStyle name="Normal 32 13 2 4" xfId="27653"/>
    <cellStyle name="Normal 32 13 3" xfId="11278"/>
    <cellStyle name="Normal 32 13 4" xfId="17847"/>
    <cellStyle name="Normal 32 13 5" xfId="24249"/>
    <cellStyle name="Normal 32 14" xfId="2942"/>
    <cellStyle name="Normal 32 14 2" xfId="6436"/>
    <cellStyle name="Normal 32 14 2 2" xfId="14917"/>
    <cellStyle name="Normal 32 14 2 3" xfId="21431"/>
    <cellStyle name="Normal 32 14 2 4" xfId="27820"/>
    <cellStyle name="Normal 32 14 3" xfId="11448"/>
    <cellStyle name="Normal 32 14 4" xfId="18014"/>
    <cellStyle name="Normal 32 14 5" xfId="24416"/>
    <cellStyle name="Normal 32 15" xfId="3116"/>
    <cellStyle name="Normal 32 15 2" xfId="6603"/>
    <cellStyle name="Normal 32 15 2 2" xfId="15084"/>
    <cellStyle name="Normal 32 15 2 3" xfId="21598"/>
    <cellStyle name="Normal 32 15 2 4" xfId="27987"/>
    <cellStyle name="Normal 32 15 3" xfId="11618"/>
    <cellStyle name="Normal 32 15 4" xfId="18181"/>
    <cellStyle name="Normal 32 15 5" xfId="24583"/>
    <cellStyle name="Normal 32 16" xfId="3289"/>
    <cellStyle name="Normal 32 16 2" xfId="6770"/>
    <cellStyle name="Normal 32 16 2 2" xfId="15251"/>
    <cellStyle name="Normal 32 16 2 3" xfId="21765"/>
    <cellStyle name="Normal 32 16 2 4" xfId="28154"/>
    <cellStyle name="Normal 32 16 3" xfId="11789"/>
    <cellStyle name="Normal 32 16 4" xfId="18348"/>
    <cellStyle name="Normal 32 16 5" xfId="24750"/>
    <cellStyle name="Normal 32 17" xfId="3460"/>
    <cellStyle name="Normal 32 17 2" xfId="6935"/>
    <cellStyle name="Normal 32 17 2 2" xfId="15416"/>
    <cellStyle name="Normal 32 17 2 3" xfId="21930"/>
    <cellStyle name="Normal 32 17 2 4" xfId="28319"/>
    <cellStyle name="Normal 32 17 3" xfId="11957"/>
    <cellStyle name="Normal 32 17 4" xfId="18513"/>
    <cellStyle name="Normal 32 17 5" xfId="24915"/>
    <cellStyle name="Normal 32 18" xfId="3630"/>
    <cellStyle name="Normal 32 18 2" xfId="7099"/>
    <cellStyle name="Normal 32 18 2 2" xfId="15580"/>
    <cellStyle name="Normal 32 18 2 3" xfId="22094"/>
    <cellStyle name="Normal 32 18 2 4" xfId="28483"/>
    <cellStyle name="Normal 32 18 3" xfId="12125"/>
    <cellStyle name="Normal 32 18 4" xfId="18678"/>
    <cellStyle name="Normal 32 18 5" xfId="25079"/>
    <cellStyle name="Normal 32 19" xfId="3799"/>
    <cellStyle name="Normal 32 19 2" xfId="7262"/>
    <cellStyle name="Normal 32 19 2 2" xfId="15743"/>
    <cellStyle name="Normal 32 19 2 3" xfId="22257"/>
    <cellStyle name="Normal 32 19 2 4" xfId="28646"/>
    <cellStyle name="Normal 32 19 3" xfId="12294"/>
    <cellStyle name="Normal 32 19 4" xfId="18844"/>
    <cellStyle name="Normal 32 19 5" xfId="25242"/>
    <cellStyle name="Normal 32 2" xfId="1153"/>
    <cellStyle name="Normal 32 20" xfId="3966"/>
    <cellStyle name="Normal 32 20 2" xfId="7424"/>
    <cellStyle name="Normal 32 20 2 2" xfId="15905"/>
    <cellStyle name="Normal 32 20 2 3" xfId="22419"/>
    <cellStyle name="Normal 32 20 2 4" xfId="28808"/>
    <cellStyle name="Normal 32 20 3" xfId="12460"/>
    <cellStyle name="Normal 32 20 4" xfId="19007"/>
    <cellStyle name="Normal 32 20 5" xfId="25404"/>
    <cellStyle name="Normal 32 21" xfId="4131"/>
    <cellStyle name="Normal 32 21 2" xfId="7584"/>
    <cellStyle name="Normal 32 21 2 2" xfId="16065"/>
    <cellStyle name="Normal 32 21 2 3" xfId="22579"/>
    <cellStyle name="Normal 32 21 2 4" xfId="28968"/>
    <cellStyle name="Normal 32 21 3" xfId="12624"/>
    <cellStyle name="Normal 32 21 4" xfId="19168"/>
    <cellStyle name="Normal 32 21 5" xfId="25564"/>
    <cellStyle name="Normal 32 22" xfId="4293"/>
    <cellStyle name="Normal 32 22 2" xfId="7741"/>
    <cellStyle name="Normal 32 22 2 2" xfId="16222"/>
    <cellStyle name="Normal 32 22 2 3" xfId="22736"/>
    <cellStyle name="Normal 32 22 2 4" xfId="29125"/>
    <cellStyle name="Normal 32 22 3" xfId="12785"/>
    <cellStyle name="Normal 32 22 4" xfId="19326"/>
    <cellStyle name="Normal 32 22 5" xfId="25721"/>
    <cellStyle name="Normal 32 23" xfId="4453"/>
    <cellStyle name="Normal 32 23 2" xfId="7896"/>
    <cellStyle name="Normal 32 23 2 2" xfId="16377"/>
    <cellStyle name="Normal 32 23 2 3" xfId="22891"/>
    <cellStyle name="Normal 32 23 2 4" xfId="29280"/>
    <cellStyle name="Normal 32 23 3" xfId="12944"/>
    <cellStyle name="Normal 32 23 4" xfId="19482"/>
    <cellStyle name="Normal 32 23 5" xfId="25876"/>
    <cellStyle name="Normal 32 24" xfId="4613"/>
    <cellStyle name="Normal 32 24 2" xfId="8051"/>
    <cellStyle name="Normal 32 24 2 2" xfId="16532"/>
    <cellStyle name="Normal 32 24 2 3" xfId="23046"/>
    <cellStyle name="Normal 32 24 2 4" xfId="29435"/>
    <cellStyle name="Normal 32 24 3" xfId="13104"/>
    <cellStyle name="Normal 32 24 4" xfId="19638"/>
    <cellStyle name="Normal 32 24 5" xfId="26031"/>
    <cellStyle name="Normal 32 25" xfId="4772"/>
    <cellStyle name="Normal 32 25 2" xfId="8205"/>
    <cellStyle name="Normal 32 25 2 2" xfId="16686"/>
    <cellStyle name="Normal 32 25 2 3" xfId="23200"/>
    <cellStyle name="Normal 32 25 2 4" xfId="29589"/>
    <cellStyle name="Normal 32 25 3" xfId="13262"/>
    <cellStyle name="Normal 32 25 4" xfId="19793"/>
    <cellStyle name="Normal 32 25 5" xfId="26185"/>
    <cellStyle name="Normal 32 26" xfId="4930"/>
    <cellStyle name="Normal 32 26 2" xfId="8358"/>
    <cellStyle name="Normal 32 26 2 2" xfId="16839"/>
    <cellStyle name="Normal 32 26 2 3" xfId="23353"/>
    <cellStyle name="Normal 32 26 2 4" xfId="29742"/>
    <cellStyle name="Normal 32 26 3" xfId="13419"/>
    <cellStyle name="Normal 32 26 4" xfId="19947"/>
    <cellStyle name="Normal 32 26 5" xfId="26338"/>
    <cellStyle name="Normal 32 27" xfId="5249"/>
    <cellStyle name="Normal 32 27 2" xfId="13731"/>
    <cellStyle name="Normal 32 27 3" xfId="20248"/>
    <cellStyle name="Normal 32 27 4" xfId="26637"/>
    <cellStyle name="Normal 32 28" xfId="9961"/>
    <cellStyle name="Normal 32 29" xfId="9818"/>
    <cellStyle name="Normal 32 3" xfId="1154"/>
    <cellStyle name="Normal 32 30" xfId="9934"/>
    <cellStyle name="Normal 32 4" xfId="1155"/>
    <cellStyle name="Normal 32 5" xfId="1156"/>
    <cellStyle name="Normal 32 6" xfId="1157"/>
    <cellStyle name="Normal 32 7" xfId="1158"/>
    <cellStyle name="Normal 32 8" xfId="1159"/>
    <cellStyle name="Normal 32 9" xfId="1160"/>
    <cellStyle name="Normal 33" xfId="1161"/>
    <cellStyle name="Normal 33 10" xfId="2167"/>
    <cellStyle name="Normal 33 10 2" xfId="5738"/>
    <cellStyle name="Normal 33 10 2 2" xfId="14219"/>
    <cellStyle name="Normal 33 10 2 3" xfId="20733"/>
    <cellStyle name="Normal 33 10 2 4" xfId="27122"/>
    <cellStyle name="Normal 33 10 3" xfId="10724"/>
    <cellStyle name="Normal 33 10 4" xfId="17116"/>
    <cellStyle name="Normal 33 10 5" xfId="23593"/>
    <cellStyle name="Normal 33 11" xfId="2777"/>
    <cellStyle name="Normal 33 11 2" xfId="6277"/>
    <cellStyle name="Normal 33 11 2 2" xfId="14758"/>
    <cellStyle name="Normal 33 11 2 3" xfId="21272"/>
    <cellStyle name="Normal 33 11 2 4" xfId="27661"/>
    <cellStyle name="Normal 33 11 3" xfId="11286"/>
    <cellStyle name="Normal 33 11 4" xfId="17855"/>
    <cellStyle name="Normal 33 11 5" xfId="24257"/>
    <cellStyle name="Normal 33 12" xfId="2951"/>
    <cellStyle name="Normal 33 12 2" xfId="6444"/>
    <cellStyle name="Normal 33 12 2 2" xfId="14925"/>
    <cellStyle name="Normal 33 12 2 3" xfId="21439"/>
    <cellStyle name="Normal 33 12 2 4" xfId="27828"/>
    <cellStyle name="Normal 33 12 3" xfId="11456"/>
    <cellStyle name="Normal 33 12 4" xfId="18022"/>
    <cellStyle name="Normal 33 12 5" xfId="24424"/>
    <cellStyle name="Normal 33 13" xfId="3125"/>
    <cellStyle name="Normal 33 13 2" xfId="6611"/>
    <cellStyle name="Normal 33 13 2 2" xfId="15092"/>
    <cellStyle name="Normal 33 13 2 3" xfId="21606"/>
    <cellStyle name="Normal 33 13 2 4" xfId="27995"/>
    <cellStyle name="Normal 33 13 3" xfId="11627"/>
    <cellStyle name="Normal 33 13 4" xfId="18189"/>
    <cellStyle name="Normal 33 13 5" xfId="24591"/>
    <cellStyle name="Normal 33 14" xfId="3298"/>
    <cellStyle name="Normal 33 14 2" xfId="6778"/>
    <cellStyle name="Normal 33 14 2 2" xfId="15259"/>
    <cellStyle name="Normal 33 14 2 3" xfId="21773"/>
    <cellStyle name="Normal 33 14 2 4" xfId="28162"/>
    <cellStyle name="Normal 33 14 3" xfId="11797"/>
    <cellStyle name="Normal 33 14 4" xfId="18356"/>
    <cellStyle name="Normal 33 14 5" xfId="24758"/>
    <cellStyle name="Normal 33 15" xfId="3469"/>
    <cellStyle name="Normal 33 15 2" xfId="6943"/>
    <cellStyle name="Normal 33 15 2 2" xfId="15424"/>
    <cellStyle name="Normal 33 15 2 3" xfId="21938"/>
    <cellStyle name="Normal 33 15 2 4" xfId="28327"/>
    <cellStyle name="Normal 33 15 3" xfId="11966"/>
    <cellStyle name="Normal 33 15 4" xfId="18522"/>
    <cellStyle name="Normal 33 15 5" xfId="24923"/>
    <cellStyle name="Normal 33 16" xfId="3639"/>
    <cellStyle name="Normal 33 16 2" xfId="7107"/>
    <cellStyle name="Normal 33 16 2 2" xfId="15588"/>
    <cellStyle name="Normal 33 16 2 3" xfId="22102"/>
    <cellStyle name="Normal 33 16 2 4" xfId="28491"/>
    <cellStyle name="Normal 33 16 3" xfId="12134"/>
    <cellStyle name="Normal 33 16 4" xfId="18687"/>
    <cellStyle name="Normal 33 16 5" xfId="25087"/>
    <cellStyle name="Normal 33 17" xfId="3808"/>
    <cellStyle name="Normal 33 17 2" xfId="7270"/>
    <cellStyle name="Normal 33 17 2 2" xfId="15751"/>
    <cellStyle name="Normal 33 17 2 3" xfId="22265"/>
    <cellStyle name="Normal 33 17 2 4" xfId="28654"/>
    <cellStyle name="Normal 33 17 3" xfId="12303"/>
    <cellStyle name="Normal 33 17 4" xfId="18853"/>
    <cellStyle name="Normal 33 17 5" xfId="25250"/>
    <cellStyle name="Normal 33 18" xfId="3975"/>
    <cellStyle name="Normal 33 18 2" xfId="7432"/>
    <cellStyle name="Normal 33 18 2 2" xfId="15913"/>
    <cellStyle name="Normal 33 18 2 3" xfId="22427"/>
    <cellStyle name="Normal 33 18 2 4" xfId="28816"/>
    <cellStyle name="Normal 33 18 3" xfId="12469"/>
    <cellStyle name="Normal 33 18 4" xfId="19016"/>
    <cellStyle name="Normal 33 18 5" xfId="25412"/>
    <cellStyle name="Normal 33 19" xfId="4140"/>
    <cellStyle name="Normal 33 19 2" xfId="7592"/>
    <cellStyle name="Normal 33 19 2 2" xfId="16073"/>
    <cellStyle name="Normal 33 19 2 3" xfId="22587"/>
    <cellStyle name="Normal 33 19 2 4" xfId="28976"/>
    <cellStyle name="Normal 33 19 3" xfId="12633"/>
    <cellStyle name="Normal 33 19 4" xfId="19177"/>
    <cellStyle name="Normal 33 19 5" xfId="25572"/>
    <cellStyle name="Normal 33 2" xfId="1162"/>
    <cellStyle name="Normal 33 20" xfId="4302"/>
    <cellStyle name="Normal 33 20 2" xfId="7749"/>
    <cellStyle name="Normal 33 20 2 2" xfId="16230"/>
    <cellStyle name="Normal 33 20 2 3" xfId="22744"/>
    <cellStyle name="Normal 33 20 2 4" xfId="29133"/>
    <cellStyle name="Normal 33 20 3" xfId="12794"/>
    <cellStyle name="Normal 33 20 4" xfId="19335"/>
    <cellStyle name="Normal 33 20 5" xfId="25729"/>
    <cellStyle name="Normal 33 21" xfId="4462"/>
    <cellStyle name="Normal 33 21 2" xfId="7904"/>
    <cellStyle name="Normal 33 21 2 2" xfId="16385"/>
    <cellStyle name="Normal 33 21 2 3" xfId="22899"/>
    <cellStyle name="Normal 33 21 2 4" xfId="29288"/>
    <cellStyle name="Normal 33 21 3" xfId="12953"/>
    <cellStyle name="Normal 33 21 4" xfId="19491"/>
    <cellStyle name="Normal 33 21 5" xfId="25884"/>
    <cellStyle name="Normal 33 22" xfId="4622"/>
    <cellStyle name="Normal 33 22 2" xfId="8059"/>
    <cellStyle name="Normal 33 22 2 2" xfId="16540"/>
    <cellStyle name="Normal 33 22 2 3" xfId="23054"/>
    <cellStyle name="Normal 33 22 2 4" xfId="29443"/>
    <cellStyle name="Normal 33 22 3" xfId="13113"/>
    <cellStyle name="Normal 33 22 4" xfId="19647"/>
    <cellStyle name="Normal 33 22 5" xfId="26039"/>
    <cellStyle name="Normal 33 23" xfId="4781"/>
    <cellStyle name="Normal 33 23 2" xfId="8213"/>
    <cellStyle name="Normal 33 23 2 2" xfId="16694"/>
    <cellStyle name="Normal 33 23 2 3" xfId="23208"/>
    <cellStyle name="Normal 33 23 2 4" xfId="29597"/>
    <cellStyle name="Normal 33 23 3" xfId="13271"/>
    <cellStyle name="Normal 33 23 4" xfId="19802"/>
    <cellStyle name="Normal 33 23 5" xfId="26193"/>
    <cellStyle name="Normal 33 24" xfId="4939"/>
    <cellStyle name="Normal 33 24 2" xfId="8366"/>
    <cellStyle name="Normal 33 24 2 2" xfId="16847"/>
    <cellStyle name="Normal 33 24 2 3" xfId="23361"/>
    <cellStyle name="Normal 33 24 2 4" xfId="29750"/>
    <cellStyle name="Normal 33 24 3" xfId="13428"/>
    <cellStyle name="Normal 33 24 4" xfId="19956"/>
    <cellStyle name="Normal 33 24 5" xfId="26346"/>
    <cellStyle name="Normal 33 25" xfId="5068"/>
    <cellStyle name="Normal 33 25 2" xfId="8490"/>
    <cellStyle name="Normal 33 25 2 2" xfId="16971"/>
    <cellStyle name="Normal 33 25 2 3" xfId="23485"/>
    <cellStyle name="Normal 33 25 2 4" xfId="29874"/>
    <cellStyle name="Normal 33 25 3" xfId="13555"/>
    <cellStyle name="Normal 33 25 4" xfId="20080"/>
    <cellStyle name="Normal 33 25 5" xfId="26470"/>
    <cellStyle name="Normal 33 26" xfId="5250"/>
    <cellStyle name="Normal 33 26 2" xfId="13732"/>
    <cellStyle name="Normal 33 26 3" xfId="20249"/>
    <cellStyle name="Normal 33 26 4" xfId="26638"/>
    <cellStyle name="Normal 33 27" xfId="9964"/>
    <cellStyle name="Normal 33 28" xfId="9815"/>
    <cellStyle name="Normal 33 29" xfId="9935"/>
    <cellStyle name="Normal 33 3" xfId="1163"/>
    <cellStyle name="Normal 33 4" xfId="1164"/>
    <cellStyle name="Normal 33 5" xfId="1165"/>
    <cellStyle name="Normal 33 6" xfId="1166"/>
    <cellStyle name="Normal 33 7" xfId="1167"/>
    <cellStyle name="Normal 33 8" xfId="1168"/>
    <cellStyle name="Normal 33 9" xfId="1854"/>
    <cellStyle name="Normal 33 9 2" xfId="5451"/>
    <cellStyle name="Normal 33 9 2 2" xfId="13932"/>
    <cellStyle name="Normal 33 9 2 3" xfId="20446"/>
    <cellStyle name="Normal 33 9 2 4" xfId="26835"/>
    <cellStyle name="Normal 33 9 3" xfId="10425"/>
    <cellStyle name="Normal 33 9 4" xfId="17418"/>
    <cellStyle name="Normal 33 9 5" xfId="23855"/>
    <cellStyle name="Normal 34" xfId="1169"/>
    <cellStyle name="Normal 34 10" xfId="2776"/>
    <cellStyle name="Normal 34 10 2" xfId="6276"/>
    <cellStyle name="Normal 34 10 2 2" xfId="14757"/>
    <cellStyle name="Normal 34 10 2 3" xfId="21271"/>
    <cellStyle name="Normal 34 10 2 4" xfId="27660"/>
    <cellStyle name="Normal 34 10 3" xfId="11285"/>
    <cellStyle name="Normal 34 10 4" xfId="17854"/>
    <cellStyle name="Normal 34 10 5" xfId="24256"/>
    <cellStyle name="Normal 34 11" xfId="2950"/>
    <cellStyle name="Normal 34 11 2" xfId="6443"/>
    <cellStyle name="Normal 34 11 2 2" xfId="14924"/>
    <cellStyle name="Normal 34 11 2 3" xfId="21438"/>
    <cellStyle name="Normal 34 11 2 4" xfId="27827"/>
    <cellStyle name="Normal 34 11 3" xfId="11455"/>
    <cellStyle name="Normal 34 11 4" xfId="18021"/>
    <cellStyle name="Normal 34 11 5" xfId="24423"/>
    <cellStyle name="Normal 34 12" xfId="3124"/>
    <cellStyle name="Normal 34 12 2" xfId="6610"/>
    <cellStyle name="Normal 34 12 2 2" xfId="15091"/>
    <cellStyle name="Normal 34 12 2 3" xfId="21605"/>
    <cellStyle name="Normal 34 12 2 4" xfId="27994"/>
    <cellStyle name="Normal 34 12 3" xfId="11626"/>
    <cellStyle name="Normal 34 12 4" xfId="18188"/>
    <cellStyle name="Normal 34 12 5" xfId="24590"/>
    <cellStyle name="Normal 34 13" xfId="3297"/>
    <cellStyle name="Normal 34 13 2" xfId="6777"/>
    <cellStyle name="Normal 34 13 2 2" xfId="15258"/>
    <cellStyle name="Normal 34 13 2 3" xfId="21772"/>
    <cellStyle name="Normal 34 13 2 4" xfId="28161"/>
    <cellStyle name="Normal 34 13 3" xfId="11796"/>
    <cellStyle name="Normal 34 13 4" xfId="18355"/>
    <cellStyle name="Normal 34 13 5" xfId="24757"/>
    <cellStyle name="Normal 34 14" xfId="3468"/>
    <cellStyle name="Normal 34 14 2" xfId="6942"/>
    <cellStyle name="Normal 34 14 2 2" xfId="15423"/>
    <cellStyle name="Normal 34 14 2 3" xfId="21937"/>
    <cellStyle name="Normal 34 14 2 4" xfId="28326"/>
    <cellStyle name="Normal 34 14 3" xfId="11965"/>
    <cellStyle name="Normal 34 14 4" xfId="18521"/>
    <cellStyle name="Normal 34 14 5" xfId="24922"/>
    <cellStyle name="Normal 34 15" xfId="3638"/>
    <cellStyle name="Normal 34 15 2" xfId="7106"/>
    <cellStyle name="Normal 34 15 2 2" xfId="15587"/>
    <cellStyle name="Normal 34 15 2 3" xfId="22101"/>
    <cellStyle name="Normal 34 15 2 4" xfId="28490"/>
    <cellStyle name="Normal 34 15 3" xfId="12133"/>
    <cellStyle name="Normal 34 15 4" xfId="18686"/>
    <cellStyle name="Normal 34 15 5" xfId="25086"/>
    <cellStyle name="Normal 34 16" xfId="3807"/>
    <cellStyle name="Normal 34 16 2" xfId="7269"/>
    <cellStyle name="Normal 34 16 2 2" xfId="15750"/>
    <cellStyle name="Normal 34 16 2 3" xfId="22264"/>
    <cellStyle name="Normal 34 16 2 4" xfId="28653"/>
    <cellStyle name="Normal 34 16 3" xfId="12302"/>
    <cellStyle name="Normal 34 16 4" xfId="18852"/>
    <cellStyle name="Normal 34 16 5" xfId="25249"/>
    <cellStyle name="Normal 34 17" xfId="3974"/>
    <cellStyle name="Normal 34 17 2" xfId="7431"/>
    <cellStyle name="Normal 34 17 2 2" xfId="15912"/>
    <cellStyle name="Normal 34 17 2 3" xfId="22426"/>
    <cellStyle name="Normal 34 17 2 4" xfId="28815"/>
    <cellStyle name="Normal 34 17 3" xfId="12468"/>
    <cellStyle name="Normal 34 17 4" xfId="19015"/>
    <cellStyle name="Normal 34 17 5" xfId="25411"/>
    <cellStyle name="Normal 34 18" xfId="4139"/>
    <cellStyle name="Normal 34 18 2" xfId="7591"/>
    <cellStyle name="Normal 34 18 2 2" xfId="16072"/>
    <cellStyle name="Normal 34 18 2 3" xfId="22586"/>
    <cellStyle name="Normal 34 18 2 4" xfId="28975"/>
    <cellStyle name="Normal 34 18 3" xfId="12632"/>
    <cellStyle name="Normal 34 18 4" xfId="19176"/>
    <cellStyle name="Normal 34 18 5" xfId="25571"/>
    <cellStyle name="Normal 34 19" xfId="4301"/>
    <cellStyle name="Normal 34 19 2" xfId="7748"/>
    <cellStyle name="Normal 34 19 2 2" xfId="16229"/>
    <cellStyle name="Normal 34 19 2 3" xfId="22743"/>
    <cellStyle name="Normal 34 19 2 4" xfId="29132"/>
    <cellStyle name="Normal 34 19 3" xfId="12793"/>
    <cellStyle name="Normal 34 19 4" xfId="19334"/>
    <cellStyle name="Normal 34 19 5" xfId="25728"/>
    <cellStyle name="Normal 34 2" xfId="1170"/>
    <cellStyle name="Normal 34 20" xfId="4461"/>
    <cellStyle name="Normal 34 20 2" xfId="7903"/>
    <cellStyle name="Normal 34 20 2 2" xfId="16384"/>
    <cellStyle name="Normal 34 20 2 3" xfId="22898"/>
    <cellStyle name="Normal 34 20 2 4" xfId="29287"/>
    <cellStyle name="Normal 34 20 3" xfId="12952"/>
    <cellStyle name="Normal 34 20 4" xfId="19490"/>
    <cellStyle name="Normal 34 20 5" xfId="25883"/>
    <cellStyle name="Normal 34 21" xfId="4621"/>
    <cellStyle name="Normal 34 21 2" xfId="8058"/>
    <cellStyle name="Normal 34 21 2 2" xfId="16539"/>
    <cellStyle name="Normal 34 21 2 3" xfId="23053"/>
    <cellStyle name="Normal 34 21 2 4" xfId="29442"/>
    <cellStyle name="Normal 34 21 3" xfId="13112"/>
    <cellStyle name="Normal 34 21 4" xfId="19646"/>
    <cellStyle name="Normal 34 21 5" xfId="26038"/>
    <cellStyle name="Normal 34 22" xfId="4780"/>
    <cellStyle name="Normal 34 22 2" xfId="8212"/>
    <cellStyle name="Normal 34 22 2 2" xfId="16693"/>
    <cellStyle name="Normal 34 22 2 3" xfId="23207"/>
    <cellStyle name="Normal 34 22 2 4" xfId="29596"/>
    <cellStyle name="Normal 34 22 3" xfId="13270"/>
    <cellStyle name="Normal 34 22 4" xfId="19801"/>
    <cellStyle name="Normal 34 22 5" xfId="26192"/>
    <cellStyle name="Normal 34 23" xfId="4938"/>
    <cellStyle name="Normal 34 23 2" xfId="8365"/>
    <cellStyle name="Normal 34 23 2 2" xfId="16846"/>
    <cellStyle name="Normal 34 23 2 3" xfId="23360"/>
    <cellStyle name="Normal 34 23 2 4" xfId="29749"/>
    <cellStyle name="Normal 34 23 3" xfId="13427"/>
    <cellStyle name="Normal 34 23 4" xfId="19955"/>
    <cellStyle name="Normal 34 23 5" xfId="26345"/>
    <cellStyle name="Normal 34 24" xfId="5067"/>
    <cellStyle name="Normal 34 24 2" xfId="8489"/>
    <cellStyle name="Normal 34 24 2 2" xfId="16970"/>
    <cellStyle name="Normal 34 24 2 3" xfId="23484"/>
    <cellStyle name="Normal 34 24 2 4" xfId="29873"/>
    <cellStyle name="Normal 34 24 3" xfId="13554"/>
    <cellStyle name="Normal 34 24 4" xfId="20079"/>
    <cellStyle name="Normal 34 24 5" xfId="26469"/>
    <cellStyle name="Normal 34 25" xfId="5251"/>
    <cellStyle name="Normal 34 25 2" xfId="13733"/>
    <cellStyle name="Normal 34 25 3" xfId="20250"/>
    <cellStyle name="Normal 34 25 4" xfId="26639"/>
    <cellStyle name="Normal 34 26" xfId="9965"/>
    <cellStyle name="Normal 34 27" xfId="9812"/>
    <cellStyle name="Normal 34 28" xfId="9938"/>
    <cellStyle name="Normal 34 3" xfId="1171"/>
    <cellStyle name="Normal 34 4" xfId="1172"/>
    <cellStyle name="Normal 34 5" xfId="1173"/>
    <cellStyle name="Normal 34 6" xfId="1174"/>
    <cellStyle name="Normal 34 7" xfId="1175"/>
    <cellStyle name="Normal 34 8" xfId="1855"/>
    <cellStyle name="Normal 34 8 2" xfId="5452"/>
    <cellStyle name="Normal 34 8 2 2" xfId="13933"/>
    <cellStyle name="Normal 34 8 2 3" xfId="20447"/>
    <cellStyle name="Normal 34 8 2 4" xfId="26836"/>
    <cellStyle name="Normal 34 8 3" xfId="10426"/>
    <cellStyle name="Normal 34 8 4" xfId="9586"/>
    <cellStyle name="Normal 34 8 5" xfId="10136"/>
    <cellStyle name="Normal 34 9" xfId="2168"/>
    <cellStyle name="Normal 34 9 2" xfId="5739"/>
    <cellStyle name="Normal 34 9 2 2" xfId="14220"/>
    <cellStyle name="Normal 34 9 2 3" xfId="20734"/>
    <cellStyle name="Normal 34 9 2 4" xfId="27123"/>
    <cellStyle name="Normal 34 9 3" xfId="10725"/>
    <cellStyle name="Normal 34 9 4" xfId="17117"/>
    <cellStyle name="Normal 34 9 5" xfId="23594"/>
    <cellStyle name="Normal 35" xfId="1176"/>
    <cellStyle name="Normal 35 10" xfId="2949"/>
    <cellStyle name="Normal 35 10 2" xfId="6442"/>
    <cellStyle name="Normal 35 10 2 2" xfId="14923"/>
    <cellStyle name="Normal 35 10 2 3" xfId="21437"/>
    <cellStyle name="Normal 35 10 2 4" xfId="27826"/>
    <cellStyle name="Normal 35 10 3" xfId="11454"/>
    <cellStyle name="Normal 35 10 4" xfId="18020"/>
    <cellStyle name="Normal 35 10 5" xfId="24422"/>
    <cellStyle name="Normal 35 11" xfId="3123"/>
    <cellStyle name="Normal 35 11 2" xfId="6609"/>
    <cellStyle name="Normal 35 11 2 2" xfId="15090"/>
    <cellStyle name="Normal 35 11 2 3" xfId="21604"/>
    <cellStyle name="Normal 35 11 2 4" xfId="27993"/>
    <cellStyle name="Normal 35 11 3" xfId="11625"/>
    <cellStyle name="Normal 35 11 4" xfId="18187"/>
    <cellStyle name="Normal 35 11 5" xfId="24589"/>
    <cellStyle name="Normal 35 12" xfId="3296"/>
    <cellStyle name="Normal 35 12 2" xfId="6776"/>
    <cellStyle name="Normal 35 12 2 2" xfId="15257"/>
    <cellStyle name="Normal 35 12 2 3" xfId="21771"/>
    <cellStyle name="Normal 35 12 2 4" xfId="28160"/>
    <cellStyle name="Normal 35 12 3" xfId="11795"/>
    <cellStyle name="Normal 35 12 4" xfId="18354"/>
    <cellStyle name="Normal 35 12 5" xfId="24756"/>
    <cellStyle name="Normal 35 13" xfId="3467"/>
    <cellStyle name="Normal 35 13 2" xfId="6941"/>
    <cellStyle name="Normal 35 13 2 2" xfId="15422"/>
    <cellStyle name="Normal 35 13 2 3" xfId="21936"/>
    <cellStyle name="Normal 35 13 2 4" xfId="28325"/>
    <cellStyle name="Normal 35 13 3" xfId="11964"/>
    <cellStyle name="Normal 35 13 4" xfId="18520"/>
    <cellStyle name="Normal 35 13 5" xfId="24921"/>
    <cellStyle name="Normal 35 14" xfId="3637"/>
    <cellStyle name="Normal 35 14 2" xfId="7105"/>
    <cellStyle name="Normal 35 14 2 2" xfId="15586"/>
    <cellStyle name="Normal 35 14 2 3" xfId="22100"/>
    <cellStyle name="Normal 35 14 2 4" xfId="28489"/>
    <cellStyle name="Normal 35 14 3" xfId="12132"/>
    <cellStyle name="Normal 35 14 4" xfId="18685"/>
    <cellStyle name="Normal 35 14 5" xfId="25085"/>
    <cellStyle name="Normal 35 15" xfId="3806"/>
    <cellStyle name="Normal 35 15 2" xfId="7268"/>
    <cellStyle name="Normal 35 15 2 2" xfId="15749"/>
    <cellStyle name="Normal 35 15 2 3" xfId="22263"/>
    <cellStyle name="Normal 35 15 2 4" xfId="28652"/>
    <cellStyle name="Normal 35 15 3" xfId="12301"/>
    <cellStyle name="Normal 35 15 4" xfId="18851"/>
    <cellStyle name="Normal 35 15 5" xfId="25248"/>
    <cellStyle name="Normal 35 16" xfId="3973"/>
    <cellStyle name="Normal 35 16 2" xfId="7430"/>
    <cellStyle name="Normal 35 16 2 2" xfId="15911"/>
    <cellStyle name="Normal 35 16 2 3" xfId="22425"/>
    <cellStyle name="Normal 35 16 2 4" xfId="28814"/>
    <cellStyle name="Normal 35 16 3" xfId="12467"/>
    <cellStyle name="Normal 35 16 4" xfId="19014"/>
    <cellStyle name="Normal 35 16 5" xfId="25410"/>
    <cellStyle name="Normal 35 17" xfId="4138"/>
    <cellStyle name="Normal 35 17 2" xfId="7590"/>
    <cellStyle name="Normal 35 17 2 2" xfId="16071"/>
    <cellStyle name="Normal 35 17 2 3" xfId="22585"/>
    <cellStyle name="Normal 35 17 2 4" xfId="28974"/>
    <cellStyle name="Normal 35 17 3" xfId="12631"/>
    <cellStyle name="Normal 35 17 4" xfId="19175"/>
    <cellStyle name="Normal 35 17 5" xfId="25570"/>
    <cellStyle name="Normal 35 18" xfId="4300"/>
    <cellStyle name="Normal 35 18 2" xfId="7747"/>
    <cellStyle name="Normal 35 18 2 2" xfId="16228"/>
    <cellStyle name="Normal 35 18 2 3" xfId="22742"/>
    <cellStyle name="Normal 35 18 2 4" xfId="29131"/>
    <cellStyle name="Normal 35 18 3" xfId="12792"/>
    <cellStyle name="Normal 35 18 4" xfId="19333"/>
    <cellStyle name="Normal 35 18 5" xfId="25727"/>
    <cellStyle name="Normal 35 19" xfId="4460"/>
    <cellStyle name="Normal 35 19 2" xfId="7902"/>
    <cellStyle name="Normal 35 19 2 2" xfId="16383"/>
    <cellStyle name="Normal 35 19 2 3" xfId="22897"/>
    <cellStyle name="Normal 35 19 2 4" xfId="29286"/>
    <cellStyle name="Normal 35 19 3" xfId="12951"/>
    <cellStyle name="Normal 35 19 4" xfId="19489"/>
    <cellStyle name="Normal 35 19 5" xfId="25882"/>
    <cellStyle name="Normal 35 2" xfId="1177"/>
    <cellStyle name="Normal 35 20" xfId="4620"/>
    <cellStyle name="Normal 35 20 2" xfId="8057"/>
    <cellStyle name="Normal 35 20 2 2" xfId="16538"/>
    <cellStyle name="Normal 35 20 2 3" xfId="23052"/>
    <cellStyle name="Normal 35 20 2 4" xfId="29441"/>
    <cellStyle name="Normal 35 20 3" xfId="13111"/>
    <cellStyle name="Normal 35 20 4" xfId="19645"/>
    <cellStyle name="Normal 35 20 5" xfId="26037"/>
    <cellStyle name="Normal 35 21" xfId="4779"/>
    <cellStyle name="Normal 35 21 2" xfId="8211"/>
    <cellStyle name="Normal 35 21 2 2" xfId="16692"/>
    <cellStyle name="Normal 35 21 2 3" xfId="23206"/>
    <cellStyle name="Normal 35 21 2 4" xfId="29595"/>
    <cellStyle name="Normal 35 21 3" xfId="13269"/>
    <cellStyle name="Normal 35 21 4" xfId="19800"/>
    <cellStyle name="Normal 35 21 5" xfId="26191"/>
    <cellStyle name="Normal 35 22" xfId="4937"/>
    <cellStyle name="Normal 35 22 2" xfId="8364"/>
    <cellStyle name="Normal 35 22 2 2" xfId="16845"/>
    <cellStyle name="Normal 35 22 2 3" xfId="23359"/>
    <cellStyle name="Normal 35 22 2 4" xfId="29748"/>
    <cellStyle name="Normal 35 22 3" xfId="13426"/>
    <cellStyle name="Normal 35 22 4" xfId="19954"/>
    <cellStyle name="Normal 35 22 5" xfId="26344"/>
    <cellStyle name="Normal 35 23" xfId="5066"/>
    <cellStyle name="Normal 35 23 2" xfId="8488"/>
    <cellStyle name="Normal 35 23 2 2" xfId="16969"/>
    <cellStyle name="Normal 35 23 2 3" xfId="23483"/>
    <cellStyle name="Normal 35 23 2 4" xfId="29872"/>
    <cellStyle name="Normal 35 23 3" xfId="13553"/>
    <cellStyle name="Normal 35 23 4" xfId="20078"/>
    <cellStyle name="Normal 35 23 5" xfId="26468"/>
    <cellStyle name="Normal 35 24" xfId="5252"/>
    <cellStyle name="Normal 35 24 2" xfId="13734"/>
    <cellStyle name="Normal 35 24 3" xfId="20251"/>
    <cellStyle name="Normal 35 24 4" xfId="26640"/>
    <cellStyle name="Normal 35 25" xfId="9966"/>
    <cellStyle name="Normal 35 26" xfId="9803"/>
    <cellStyle name="Normal 35 27" xfId="9944"/>
    <cellStyle name="Normal 35 3" xfId="1178"/>
    <cellStyle name="Normal 35 4" xfId="1179"/>
    <cellStyle name="Normal 35 5" xfId="1180"/>
    <cellStyle name="Normal 35 6" xfId="1181"/>
    <cellStyle name="Normal 35 7" xfId="1856"/>
    <cellStyle name="Normal 35 7 2" xfId="5453"/>
    <cellStyle name="Normal 35 7 2 2" xfId="13934"/>
    <cellStyle name="Normal 35 7 2 3" xfId="20448"/>
    <cellStyle name="Normal 35 7 2 4" xfId="26837"/>
    <cellStyle name="Normal 35 7 3" xfId="10427"/>
    <cellStyle name="Normal 35 7 4" xfId="9585"/>
    <cellStyle name="Normal 35 7 5" xfId="10137"/>
    <cellStyle name="Normal 35 8" xfId="2169"/>
    <cellStyle name="Normal 35 8 2" xfId="5740"/>
    <cellStyle name="Normal 35 8 2 2" xfId="14221"/>
    <cellStyle name="Normal 35 8 2 3" xfId="20735"/>
    <cellStyle name="Normal 35 8 2 4" xfId="27124"/>
    <cellStyle name="Normal 35 8 3" xfId="10726"/>
    <cellStyle name="Normal 35 8 4" xfId="17118"/>
    <cellStyle name="Normal 35 8 5" xfId="23595"/>
    <cellStyle name="Normal 35 9" xfId="2775"/>
    <cellStyle name="Normal 35 9 2" xfId="6275"/>
    <cellStyle name="Normal 35 9 2 2" xfId="14756"/>
    <cellStyle name="Normal 35 9 2 3" xfId="21270"/>
    <cellStyle name="Normal 35 9 2 4" xfId="27659"/>
    <cellStyle name="Normal 35 9 3" xfId="11284"/>
    <cellStyle name="Normal 35 9 4" xfId="17853"/>
    <cellStyle name="Normal 35 9 5" xfId="24255"/>
    <cellStyle name="Normal 36" xfId="1182"/>
    <cellStyle name="Normal 36 10" xfId="3295"/>
    <cellStyle name="Normal 36 10 2" xfId="6775"/>
    <cellStyle name="Normal 36 10 2 2" xfId="15256"/>
    <cellStyle name="Normal 36 10 2 3" xfId="21770"/>
    <cellStyle name="Normal 36 10 2 4" xfId="28159"/>
    <cellStyle name="Normal 36 10 3" xfId="11794"/>
    <cellStyle name="Normal 36 10 4" xfId="18353"/>
    <cellStyle name="Normal 36 10 5" xfId="24755"/>
    <cellStyle name="Normal 36 11" xfId="3466"/>
    <cellStyle name="Normal 36 11 2" xfId="6940"/>
    <cellStyle name="Normal 36 11 2 2" xfId="15421"/>
    <cellStyle name="Normal 36 11 2 3" xfId="21935"/>
    <cellStyle name="Normal 36 11 2 4" xfId="28324"/>
    <cellStyle name="Normal 36 11 3" xfId="11963"/>
    <cellStyle name="Normal 36 11 4" xfId="18519"/>
    <cellStyle name="Normal 36 11 5" xfId="24920"/>
    <cellStyle name="Normal 36 12" xfId="3636"/>
    <cellStyle name="Normal 36 12 2" xfId="7104"/>
    <cellStyle name="Normal 36 12 2 2" xfId="15585"/>
    <cellStyle name="Normal 36 12 2 3" xfId="22099"/>
    <cellStyle name="Normal 36 12 2 4" xfId="28488"/>
    <cellStyle name="Normal 36 12 3" xfId="12131"/>
    <cellStyle name="Normal 36 12 4" xfId="18684"/>
    <cellStyle name="Normal 36 12 5" xfId="25084"/>
    <cellStyle name="Normal 36 13" xfId="3805"/>
    <cellStyle name="Normal 36 13 2" xfId="7267"/>
    <cellStyle name="Normal 36 13 2 2" xfId="15748"/>
    <cellStyle name="Normal 36 13 2 3" xfId="22262"/>
    <cellStyle name="Normal 36 13 2 4" xfId="28651"/>
    <cellStyle name="Normal 36 13 3" xfId="12300"/>
    <cellStyle name="Normal 36 13 4" xfId="18850"/>
    <cellStyle name="Normal 36 13 5" xfId="25247"/>
    <cellStyle name="Normal 36 14" xfId="3972"/>
    <cellStyle name="Normal 36 14 2" xfId="7429"/>
    <cellStyle name="Normal 36 14 2 2" xfId="15910"/>
    <cellStyle name="Normal 36 14 2 3" xfId="22424"/>
    <cellStyle name="Normal 36 14 2 4" xfId="28813"/>
    <cellStyle name="Normal 36 14 3" xfId="12466"/>
    <cellStyle name="Normal 36 14 4" xfId="19013"/>
    <cellStyle name="Normal 36 14 5" xfId="25409"/>
    <cellStyle name="Normal 36 15" xfId="4137"/>
    <cellStyle name="Normal 36 15 2" xfId="7589"/>
    <cellStyle name="Normal 36 15 2 2" xfId="16070"/>
    <cellStyle name="Normal 36 15 2 3" xfId="22584"/>
    <cellStyle name="Normal 36 15 2 4" xfId="28973"/>
    <cellStyle name="Normal 36 15 3" xfId="12630"/>
    <cellStyle name="Normal 36 15 4" xfId="19174"/>
    <cellStyle name="Normal 36 15 5" xfId="25569"/>
    <cellStyle name="Normal 36 16" xfId="4299"/>
    <cellStyle name="Normal 36 16 2" xfId="7746"/>
    <cellStyle name="Normal 36 16 2 2" xfId="16227"/>
    <cellStyle name="Normal 36 16 2 3" xfId="22741"/>
    <cellStyle name="Normal 36 16 2 4" xfId="29130"/>
    <cellStyle name="Normal 36 16 3" xfId="12791"/>
    <cellStyle name="Normal 36 16 4" xfId="19332"/>
    <cellStyle name="Normal 36 16 5" xfId="25726"/>
    <cellStyle name="Normal 36 17" xfId="4459"/>
    <cellStyle name="Normal 36 17 2" xfId="7901"/>
    <cellStyle name="Normal 36 17 2 2" xfId="16382"/>
    <cellStyle name="Normal 36 17 2 3" xfId="22896"/>
    <cellStyle name="Normal 36 17 2 4" xfId="29285"/>
    <cellStyle name="Normal 36 17 3" xfId="12950"/>
    <cellStyle name="Normal 36 17 4" xfId="19488"/>
    <cellStyle name="Normal 36 17 5" xfId="25881"/>
    <cellStyle name="Normal 36 18" xfId="4619"/>
    <cellStyle name="Normal 36 18 2" xfId="8056"/>
    <cellStyle name="Normal 36 18 2 2" xfId="16537"/>
    <cellStyle name="Normal 36 18 2 3" xfId="23051"/>
    <cellStyle name="Normal 36 18 2 4" xfId="29440"/>
    <cellStyle name="Normal 36 18 3" xfId="13110"/>
    <cellStyle name="Normal 36 18 4" xfId="19644"/>
    <cellStyle name="Normal 36 18 5" xfId="26036"/>
    <cellStyle name="Normal 36 19" xfId="4778"/>
    <cellStyle name="Normal 36 19 2" xfId="8210"/>
    <cellStyle name="Normal 36 19 2 2" xfId="16691"/>
    <cellStyle name="Normal 36 19 2 3" xfId="23205"/>
    <cellStyle name="Normal 36 19 2 4" xfId="29594"/>
    <cellStyle name="Normal 36 19 3" xfId="13268"/>
    <cellStyle name="Normal 36 19 4" xfId="19799"/>
    <cellStyle name="Normal 36 19 5" xfId="26190"/>
    <cellStyle name="Normal 36 2" xfId="1183"/>
    <cellStyle name="Normal 36 20" xfId="4936"/>
    <cellStyle name="Normal 36 20 2" xfId="8363"/>
    <cellStyle name="Normal 36 20 2 2" xfId="16844"/>
    <cellStyle name="Normal 36 20 2 3" xfId="23358"/>
    <cellStyle name="Normal 36 20 2 4" xfId="29747"/>
    <cellStyle name="Normal 36 20 3" xfId="13425"/>
    <cellStyle name="Normal 36 20 4" xfId="19953"/>
    <cellStyle name="Normal 36 20 5" xfId="26343"/>
    <cellStyle name="Normal 36 21" xfId="5065"/>
    <cellStyle name="Normal 36 21 2" xfId="8487"/>
    <cellStyle name="Normal 36 21 2 2" xfId="16968"/>
    <cellStyle name="Normal 36 21 2 3" xfId="23482"/>
    <cellStyle name="Normal 36 21 2 4" xfId="29871"/>
    <cellStyle name="Normal 36 21 3" xfId="13552"/>
    <cellStyle name="Normal 36 21 4" xfId="20077"/>
    <cellStyle name="Normal 36 21 5" xfId="26467"/>
    <cellStyle name="Normal 36 22" xfId="5253"/>
    <cellStyle name="Normal 36 22 2" xfId="13735"/>
    <cellStyle name="Normal 36 22 3" xfId="20252"/>
    <cellStyle name="Normal 36 22 4" xfId="26641"/>
    <cellStyle name="Normal 36 23" xfId="9972"/>
    <cellStyle name="Normal 36 24" xfId="9797"/>
    <cellStyle name="Normal 36 25" xfId="9945"/>
    <cellStyle name="Normal 36 3" xfId="1184"/>
    <cellStyle name="Normal 36 4" xfId="1185"/>
    <cellStyle name="Normal 36 5" xfId="1857"/>
    <cellStyle name="Normal 36 5 2" xfId="5454"/>
    <cellStyle name="Normal 36 5 2 2" xfId="13935"/>
    <cellStyle name="Normal 36 5 2 3" xfId="20449"/>
    <cellStyle name="Normal 36 5 2 4" xfId="26838"/>
    <cellStyle name="Normal 36 5 3" xfId="10428"/>
    <cellStyle name="Normal 36 5 4" xfId="9584"/>
    <cellStyle name="Normal 36 5 5" xfId="10138"/>
    <cellStyle name="Normal 36 6" xfId="2170"/>
    <cellStyle name="Normal 36 6 2" xfId="5741"/>
    <cellStyle name="Normal 36 6 2 2" xfId="14222"/>
    <cellStyle name="Normal 36 6 2 3" xfId="20736"/>
    <cellStyle name="Normal 36 6 2 4" xfId="27125"/>
    <cellStyle name="Normal 36 6 3" xfId="10727"/>
    <cellStyle name="Normal 36 6 4" xfId="17119"/>
    <cellStyle name="Normal 36 6 5" xfId="23596"/>
    <cellStyle name="Normal 36 7" xfId="2774"/>
    <cellStyle name="Normal 36 7 2" xfId="6274"/>
    <cellStyle name="Normal 36 7 2 2" xfId="14755"/>
    <cellStyle name="Normal 36 7 2 3" xfId="21269"/>
    <cellStyle name="Normal 36 7 2 4" xfId="27658"/>
    <cellStyle name="Normal 36 7 3" xfId="11283"/>
    <cellStyle name="Normal 36 7 4" xfId="17852"/>
    <cellStyle name="Normal 36 7 5" xfId="24254"/>
    <cellStyle name="Normal 36 8" xfId="2948"/>
    <cellStyle name="Normal 36 8 2" xfId="6441"/>
    <cellStyle name="Normal 36 8 2 2" xfId="14922"/>
    <cellStyle name="Normal 36 8 2 3" xfId="21436"/>
    <cellStyle name="Normal 36 8 2 4" xfId="27825"/>
    <cellStyle name="Normal 36 8 3" xfId="11453"/>
    <cellStyle name="Normal 36 8 4" xfId="18019"/>
    <cellStyle name="Normal 36 8 5" xfId="24421"/>
    <cellStyle name="Normal 36 9" xfId="3122"/>
    <cellStyle name="Normal 36 9 2" xfId="6608"/>
    <cellStyle name="Normal 36 9 2 2" xfId="15089"/>
    <cellStyle name="Normal 36 9 2 3" xfId="21603"/>
    <cellStyle name="Normal 36 9 2 4" xfId="27992"/>
    <cellStyle name="Normal 36 9 3" xfId="11624"/>
    <cellStyle name="Normal 36 9 4" xfId="18186"/>
    <cellStyle name="Normal 36 9 5" xfId="24588"/>
    <cellStyle name="Normal 37" xfId="1186"/>
    <cellStyle name="Normal 37 10" xfId="3290"/>
    <cellStyle name="Normal 37 10 2" xfId="6771"/>
    <cellStyle name="Normal 37 10 2 2" xfId="15252"/>
    <cellStyle name="Normal 37 10 2 3" xfId="21766"/>
    <cellStyle name="Normal 37 10 2 4" xfId="28155"/>
    <cellStyle name="Normal 37 10 3" xfId="11790"/>
    <cellStyle name="Normal 37 10 4" xfId="18349"/>
    <cellStyle name="Normal 37 10 5" xfId="24751"/>
    <cellStyle name="Normal 37 11" xfId="3461"/>
    <cellStyle name="Normal 37 11 2" xfId="6936"/>
    <cellStyle name="Normal 37 11 2 2" xfId="15417"/>
    <cellStyle name="Normal 37 11 2 3" xfId="21931"/>
    <cellStyle name="Normal 37 11 2 4" xfId="28320"/>
    <cellStyle name="Normal 37 11 3" xfId="11958"/>
    <cellStyle name="Normal 37 11 4" xfId="18514"/>
    <cellStyle name="Normal 37 11 5" xfId="24916"/>
    <cellStyle name="Normal 37 12" xfId="3631"/>
    <cellStyle name="Normal 37 12 2" xfId="7100"/>
    <cellStyle name="Normal 37 12 2 2" xfId="15581"/>
    <cellStyle name="Normal 37 12 2 3" xfId="22095"/>
    <cellStyle name="Normal 37 12 2 4" xfId="28484"/>
    <cellStyle name="Normal 37 12 3" xfId="12126"/>
    <cellStyle name="Normal 37 12 4" xfId="18679"/>
    <cellStyle name="Normal 37 12 5" xfId="25080"/>
    <cellStyle name="Normal 37 13" xfId="3800"/>
    <cellStyle name="Normal 37 13 2" xfId="7263"/>
    <cellStyle name="Normal 37 13 2 2" xfId="15744"/>
    <cellStyle name="Normal 37 13 2 3" xfId="22258"/>
    <cellStyle name="Normal 37 13 2 4" xfId="28647"/>
    <cellStyle name="Normal 37 13 3" xfId="12295"/>
    <cellStyle name="Normal 37 13 4" xfId="18845"/>
    <cellStyle name="Normal 37 13 5" xfId="25243"/>
    <cellStyle name="Normal 37 14" xfId="3967"/>
    <cellStyle name="Normal 37 14 2" xfId="7425"/>
    <cellStyle name="Normal 37 14 2 2" xfId="15906"/>
    <cellStyle name="Normal 37 14 2 3" xfId="22420"/>
    <cellStyle name="Normal 37 14 2 4" xfId="28809"/>
    <cellStyle name="Normal 37 14 3" xfId="12461"/>
    <cellStyle name="Normal 37 14 4" xfId="19008"/>
    <cellStyle name="Normal 37 14 5" xfId="25405"/>
    <cellStyle name="Normal 37 15" xfId="4132"/>
    <cellStyle name="Normal 37 15 2" xfId="7585"/>
    <cellStyle name="Normal 37 15 2 2" xfId="16066"/>
    <cellStyle name="Normal 37 15 2 3" xfId="22580"/>
    <cellStyle name="Normal 37 15 2 4" xfId="28969"/>
    <cellStyle name="Normal 37 15 3" xfId="12625"/>
    <cellStyle name="Normal 37 15 4" xfId="19169"/>
    <cellStyle name="Normal 37 15 5" xfId="25565"/>
    <cellStyle name="Normal 37 16" xfId="4294"/>
    <cellStyle name="Normal 37 16 2" xfId="7742"/>
    <cellStyle name="Normal 37 16 2 2" xfId="16223"/>
    <cellStyle name="Normal 37 16 2 3" xfId="22737"/>
    <cellStyle name="Normal 37 16 2 4" xfId="29126"/>
    <cellStyle name="Normal 37 16 3" xfId="12786"/>
    <cellStyle name="Normal 37 16 4" xfId="19327"/>
    <cellStyle name="Normal 37 16 5" xfId="25722"/>
    <cellStyle name="Normal 37 17" xfId="4454"/>
    <cellStyle name="Normal 37 17 2" xfId="7897"/>
    <cellStyle name="Normal 37 17 2 2" xfId="16378"/>
    <cellStyle name="Normal 37 17 2 3" xfId="22892"/>
    <cellStyle name="Normal 37 17 2 4" xfId="29281"/>
    <cellStyle name="Normal 37 17 3" xfId="12945"/>
    <cellStyle name="Normal 37 17 4" xfId="19483"/>
    <cellStyle name="Normal 37 17 5" xfId="25877"/>
    <cellStyle name="Normal 37 18" xfId="4614"/>
    <cellStyle name="Normal 37 18 2" xfId="8052"/>
    <cellStyle name="Normal 37 18 2 2" xfId="16533"/>
    <cellStyle name="Normal 37 18 2 3" xfId="23047"/>
    <cellStyle name="Normal 37 18 2 4" xfId="29436"/>
    <cellStyle name="Normal 37 18 3" xfId="13105"/>
    <cellStyle name="Normal 37 18 4" xfId="19639"/>
    <cellStyle name="Normal 37 18 5" xfId="26032"/>
    <cellStyle name="Normal 37 19" xfId="4773"/>
    <cellStyle name="Normal 37 19 2" xfId="8206"/>
    <cellStyle name="Normal 37 19 2 2" xfId="16687"/>
    <cellStyle name="Normal 37 19 2 3" xfId="23201"/>
    <cellStyle name="Normal 37 19 2 4" xfId="29590"/>
    <cellStyle name="Normal 37 19 3" xfId="13263"/>
    <cellStyle name="Normal 37 19 4" xfId="19794"/>
    <cellStyle name="Normal 37 19 5" xfId="26186"/>
    <cellStyle name="Normal 37 2" xfId="1187"/>
    <cellStyle name="Normal 37 20" xfId="4931"/>
    <cellStyle name="Normal 37 20 2" xfId="8359"/>
    <cellStyle name="Normal 37 20 2 2" xfId="16840"/>
    <cellStyle name="Normal 37 20 2 3" xfId="23354"/>
    <cellStyle name="Normal 37 20 2 4" xfId="29743"/>
    <cellStyle name="Normal 37 20 3" xfId="13420"/>
    <cellStyle name="Normal 37 20 4" xfId="19948"/>
    <cellStyle name="Normal 37 20 5" xfId="26339"/>
    <cellStyle name="Normal 37 21" xfId="5254"/>
    <cellStyle name="Normal 37 21 2" xfId="13736"/>
    <cellStyle name="Normal 37 21 3" xfId="20253"/>
    <cellStyle name="Normal 37 21 4" xfId="26642"/>
    <cellStyle name="Normal 37 22" xfId="9976"/>
    <cellStyle name="Normal 37 23" xfId="9793"/>
    <cellStyle name="Normal 37 24" xfId="9947"/>
    <cellStyle name="Normal 37 3" xfId="1188"/>
    <cellStyle name="Normal 37 4" xfId="1858"/>
    <cellStyle name="Normal 37 4 2" xfId="5455"/>
    <cellStyle name="Normal 37 4 2 2" xfId="13936"/>
    <cellStyle name="Normal 37 4 2 3" xfId="20450"/>
    <cellStyle name="Normal 37 4 2 4" xfId="26839"/>
    <cellStyle name="Normal 37 4 3" xfId="10429"/>
    <cellStyle name="Normal 37 4 4" xfId="9583"/>
    <cellStyle name="Normal 37 4 5" xfId="10139"/>
    <cellStyle name="Normal 37 5" xfId="2171"/>
    <cellStyle name="Normal 37 5 2" xfId="5742"/>
    <cellStyle name="Normal 37 5 2 2" xfId="14223"/>
    <cellStyle name="Normal 37 5 2 3" xfId="20737"/>
    <cellStyle name="Normal 37 5 2 4" xfId="27126"/>
    <cellStyle name="Normal 37 5 3" xfId="10728"/>
    <cellStyle name="Normal 37 5 4" xfId="17120"/>
    <cellStyle name="Normal 37 5 5" xfId="23597"/>
    <cellStyle name="Normal 37 6" xfId="2176"/>
    <cellStyle name="Normal 37 6 2" xfId="5746"/>
    <cellStyle name="Normal 37 6 2 2" xfId="14227"/>
    <cellStyle name="Normal 37 6 2 3" xfId="20741"/>
    <cellStyle name="Normal 37 6 2 4" xfId="27130"/>
    <cellStyle name="Normal 37 6 3" xfId="10732"/>
    <cellStyle name="Normal 37 6 4" xfId="17124"/>
    <cellStyle name="Normal 37 6 5" xfId="23601"/>
    <cellStyle name="Normal 37 7" xfId="2769"/>
    <cellStyle name="Normal 37 7 2" xfId="6270"/>
    <cellStyle name="Normal 37 7 2 2" xfId="14751"/>
    <cellStyle name="Normal 37 7 2 3" xfId="21265"/>
    <cellStyle name="Normal 37 7 2 4" xfId="27654"/>
    <cellStyle name="Normal 37 7 3" xfId="11279"/>
    <cellStyle name="Normal 37 7 4" xfId="17848"/>
    <cellStyle name="Normal 37 7 5" xfId="24250"/>
    <cellStyle name="Normal 37 8" xfId="2943"/>
    <cellStyle name="Normal 37 8 2" xfId="6437"/>
    <cellStyle name="Normal 37 8 2 2" xfId="14918"/>
    <cellStyle name="Normal 37 8 2 3" xfId="21432"/>
    <cellStyle name="Normal 37 8 2 4" xfId="27821"/>
    <cellStyle name="Normal 37 8 3" xfId="11449"/>
    <cellStyle name="Normal 37 8 4" xfId="18015"/>
    <cellStyle name="Normal 37 8 5" xfId="24417"/>
    <cellStyle name="Normal 37 9" xfId="3117"/>
    <cellStyle name="Normal 37 9 2" xfId="6604"/>
    <cellStyle name="Normal 37 9 2 2" xfId="15085"/>
    <cellStyle name="Normal 37 9 2 3" xfId="21599"/>
    <cellStyle name="Normal 37 9 2 4" xfId="27988"/>
    <cellStyle name="Normal 37 9 3" xfId="11619"/>
    <cellStyle name="Normal 37 9 4" xfId="18182"/>
    <cellStyle name="Normal 37 9 5" xfId="24584"/>
    <cellStyle name="Normal 38" xfId="1189"/>
    <cellStyle name="Normal 38 10" xfId="3635"/>
    <cellStyle name="Normal 38 10 2" xfId="7103"/>
    <cellStyle name="Normal 38 10 2 2" xfId="15584"/>
    <cellStyle name="Normal 38 10 2 3" xfId="22098"/>
    <cellStyle name="Normal 38 10 2 4" xfId="28487"/>
    <cellStyle name="Normal 38 10 3" xfId="12130"/>
    <cellStyle name="Normal 38 10 4" xfId="18683"/>
    <cellStyle name="Normal 38 10 5" xfId="25083"/>
    <cellStyle name="Normal 38 11" xfId="3804"/>
    <cellStyle name="Normal 38 11 2" xfId="7266"/>
    <cellStyle name="Normal 38 11 2 2" xfId="15747"/>
    <cellStyle name="Normal 38 11 2 3" xfId="22261"/>
    <cellStyle name="Normal 38 11 2 4" xfId="28650"/>
    <cellStyle name="Normal 38 11 3" xfId="12299"/>
    <cellStyle name="Normal 38 11 4" xfId="18849"/>
    <cellStyle name="Normal 38 11 5" xfId="25246"/>
    <cellStyle name="Normal 38 12" xfId="3971"/>
    <cellStyle name="Normal 38 12 2" xfId="7428"/>
    <cellStyle name="Normal 38 12 2 2" xfId="15909"/>
    <cellStyle name="Normal 38 12 2 3" xfId="22423"/>
    <cellStyle name="Normal 38 12 2 4" xfId="28812"/>
    <cellStyle name="Normal 38 12 3" xfId="12465"/>
    <cellStyle name="Normal 38 12 4" xfId="19012"/>
    <cellStyle name="Normal 38 12 5" xfId="25408"/>
    <cellStyle name="Normal 38 13" xfId="4136"/>
    <cellStyle name="Normal 38 13 2" xfId="7588"/>
    <cellStyle name="Normal 38 13 2 2" xfId="16069"/>
    <cellStyle name="Normal 38 13 2 3" xfId="22583"/>
    <cellStyle name="Normal 38 13 2 4" xfId="28972"/>
    <cellStyle name="Normal 38 13 3" xfId="12629"/>
    <cellStyle name="Normal 38 13 4" xfId="19173"/>
    <cellStyle name="Normal 38 13 5" xfId="25568"/>
    <cellStyle name="Normal 38 14" xfId="4298"/>
    <cellStyle name="Normal 38 14 2" xfId="7745"/>
    <cellStyle name="Normal 38 14 2 2" xfId="16226"/>
    <cellStyle name="Normal 38 14 2 3" xfId="22740"/>
    <cellStyle name="Normal 38 14 2 4" xfId="29129"/>
    <cellStyle name="Normal 38 14 3" xfId="12790"/>
    <cellStyle name="Normal 38 14 4" xfId="19331"/>
    <cellStyle name="Normal 38 14 5" xfId="25725"/>
    <cellStyle name="Normal 38 15" xfId="4458"/>
    <cellStyle name="Normal 38 15 2" xfId="7900"/>
    <cellStyle name="Normal 38 15 2 2" xfId="16381"/>
    <cellStyle name="Normal 38 15 2 3" xfId="22895"/>
    <cellStyle name="Normal 38 15 2 4" xfId="29284"/>
    <cellStyle name="Normal 38 15 3" xfId="12949"/>
    <cellStyle name="Normal 38 15 4" xfId="19487"/>
    <cellStyle name="Normal 38 15 5" xfId="25880"/>
    <cellStyle name="Normal 38 16" xfId="4618"/>
    <cellStyle name="Normal 38 16 2" xfId="8055"/>
    <cellStyle name="Normal 38 16 2 2" xfId="16536"/>
    <cellStyle name="Normal 38 16 2 3" xfId="23050"/>
    <cellStyle name="Normal 38 16 2 4" xfId="29439"/>
    <cellStyle name="Normal 38 16 3" xfId="13109"/>
    <cellStyle name="Normal 38 16 4" xfId="19643"/>
    <cellStyle name="Normal 38 16 5" xfId="26035"/>
    <cellStyle name="Normal 38 17" xfId="4777"/>
    <cellStyle name="Normal 38 17 2" xfId="8209"/>
    <cellStyle name="Normal 38 17 2 2" xfId="16690"/>
    <cellStyle name="Normal 38 17 2 3" xfId="23204"/>
    <cellStyle name="Normal 38 17 2 4" xfId="29593"/>
    <cellStyle name="Normal 38 17 3" xfId="13267"/>
    <cellStyle name="Normal 38 17 4" xfId="19798"/>
    <cellStyle name="Normal 38 17 5" xfId="26189"/>
    <cellStyle name="Normal 38 18" xfId="4935"/>
    <cellStyle name="Normal 38 18 2" xfId="8362"/>
    <cellStyle name="Normal 38 18 2 2" xfId="16843"/>
    <cellStyle name="Normal 38 18 2 3" xfId="23357"/>
    <cellStyle name="Normal 38 18 2 4" xfId="29746"/>
    <cellStyle name="Normal 38 18 3" xfId="13424"/>
    <cellStyle name="Normal 38 18 4" xfId="19952"/>
    <cellStyle name="Normal 38 18 5" xfId="26342"/>
    <cellStyle name="Normal 38 19" xfId="5064"/>
    <cellStyle name="Normal 38 19 2" xfId="8486"/>
    <cellStyle name="Normal 38 19 2 2" xfId="16967"/>
    <cellStyle name="Normal 38 19 2 3" xfId="23481"/>
    <cellStyle name="Normal 38 19 2 4" xfId="29870"/>
    <cellStyle name="Normal 38 19 3" xfId="13551"/>
    <cellStyle name="Normal 38 19 4" xfId="20076"/>
    <cellStyle name="Normal 38 19 5" xfId="26466"/>
    <cellStyle name="Normal 38 2" xfId="1190"/>
    <cellStyle name="Normal 38 20" xfId="5255"/>
    <cellStyle name="Normal 38 20 2" xfId="13737"/>
    <cellStyle name="Normal 38 20 3" xfId="20254"/>
    <cellStyle name="Normal 38 20 4" xfId="26643"/>
    <cellStyle name="Normal 38 21" xfId="9979"/>
    <cellStyle name="Normal 38 22" xfId="9790"/>
    <cellStyle name="Normal 38 23" xfId="9948"/>
    <cellStyle name="Normal 38 3" xfId="1859"/>
    <cellStyle name="Normal 38 3 2" xfId="5456"/>
    <cellStyle name="Normal 38 3 2 2" xfId="13937"/>
    <cellStyle name="Normal 38 3 2 3" xfId="20451"/>
    <cellStyle name="Normal 38 3 2 4" xfId="26840"/>
    <cellStyle name="Normal 38 3 3" xfId="10430"/>
    <cellStyle name="Normal 38 3 4" xfId="9582"/>
    <cellStyle name="Normal 38 3 5" xfId="10498"/>
    <cellStyle name="Normal 38 4" xfId="2172"/>
    <cellStyle name="Normal 38 4 2" xfId="5743"/>
    <cellStyle name="Normal 38 4 2 2" xfId="14224"/>
    <cellStyle name="Normal 38 4 2 3" xfId="20738"/>
    <cellStyle name="Normal 38 4 2 4" xfId="27127"/>
    <cellStyle name="Normal 38 4 3" xfId="10729"/>
    <cellStyle name="Normal 38 4 4" xfId="17121"/>
    <cellStyle name="Normal 38 4 5" xfId="23598"/>
    <cellStyle name="Normal 38 5" xfId="2773"/>
    <cellStyle name="Normal 38 5 2" xfId="6273"/>
    <cellStyle name="Normal 38 5 2 2" xfId="14754"/>
    <cellStyle name="Normal 38 5 2 3" xfId="21268"/>
    <cellStyle name="Normal 38 5 2 4" xfId="27657"/>
    <cellStyle name="Normal 38 5 3" xfId="11282"/>
    <cellStyle name="Normal 38 5 4" xfId="17851"/>
    <cellStyle name="Normal 38 5 5" xfId="24253"/>
    <cellStyle name="Normal 38 6" xfId="2947"/>
    <cellStyle name="Normal 38 6 2" xfId="6440"/>
    <cellStyle name="Normal 38 6 2 2" xfId="14921"/>
    <cellStyle name="Normal 38 6 2 3" xfId="21435"/>
    <cellStyle name="Normal 38 6 2 4" xfId="27824"/>
    <cellStyle name="Normal 38 6 3" xfId="11452"/>
    <cellStyle name="Normal 38 6 4" xfId="18018"/>
    <cellStyle name="Normal 38 6 5" xfId="24420"/>
    <cellStyle name="Normal 38 7" xfId="3121"/>
    <cellStyle name="Normal 38 7 2" xfId="6607"/>
    <cellStyle name="Normal 38 7 2 2" xfId="15088"/>
    <cellStyle name="Normal 38 7 2 3" xfId="21602"/>
    <cellStyle name="Normal 38 7 2 4" xfId="27991"/>
    <cellStyle name="Normal 38 7 3" xfId="11623"/>
    <cellStyle name="Normal 38 7 4" xfId="18185"/>
    <cellStyle name="Normal 38 7 5" xfId="24587"/>
    <cellStyle name="Normal 38 8" xfId="3294"/>
    <cellStyle name="Normal 38 8 2" xfId="6774"/>
    <cellStyle name="Normal 38 8 2 2" xfId="15255"/>
    <cellStyle name="Normal 38 8 2 3" xfId="21769"/>
    <cellStyle name="Normal 38 8 2 4" xfId="28158"/>
    <cellStyle name="Normal 38 8 3" xfId="11793"/>
    <cellStyle name="Normal 38 8 4" xfId="18352"/>
    <cellStyle name="Normal 38 8 5" xfId="24754"/>
    <cellStyle name="Normal 38 9" xfId="3465"/>
    <cellStyle name="Normal 38 9 2" xfId="6939"/>
    <cellStyle name="Normal 38 9 2 2" xfId="15420"/>
    <cellStyle name="Normal 38 9 2 3" xfId="21934"/>
    <cellStyle name="Normal 38 9 2 4" xfId="28323"/>
    <cellStyle name="Normal 38 9 3" xfId="11962"/>
    <cellStyle name="Normal 38 9 4" xfId="18518"/>
    <cellStyle name="Normal 38 9 5" xfId="24919"/>
    <cellStyle name="Normal 39" xfId="1191"/>
    <cellStyle name="Normal 39 10" xfId="3803"/>
    <cellStyle name="Normal 39 10 2" xfId="7265"/>
    <cellStyle name="Normal 39 10 2 2" xfId="15746"/>
    <cellStyle name="Normal 39 10 2 3" xfId="22260"/>
    <cellStyle name="Normal 39 10 2 4" xfId="28649"/>
    <cellStyle name="Normal 39 10 3" xfId="12298"/>
    <cellStyle name="Normal 39 10 4" xfId="18848"/>
    <cellStyle name="Normal 39 10 5" xfId="25245"/>
    <cellStyle name="Normal 39 11" xfId="3970"/>
    <cellStyle name="Normal 39 11 2" xfId="7427"/>
    <cellStyle name="Normal 39 11 2 2" xfId="15908"/>
    <cellStyle name="Normal 39 11 2 3" xfId="22422"/>
    <cellStyle name="Normal 39 11 2 4" xfId="28811"/>
    <cellStyle name="Normal 39 11 3" xfId="12464"/>
    <cellStyle name="Normal 39 11 4" xfId="19011"/>
    <cellStyle name="Normal 39 11 5" xfId="25407"/>
    <cellStyle name="Normal 39 12" xfId="4135"/>
    <cellStyle name="Normal 39 12 2" xfId="7587"/>
    <cellStyle name="Normal 39 12 2 2" xfId="16068"/>
    <cellStyle name="Normal 39 12 2 3" xfId="22582"/>
    <cellStyle name="Normal 39 12 2 4" xfId="28971"/>
    <cellStyle name="Normal 39 12 3" xfId="12628"/>
    <cellStyle name="Normal 39 12 4" xfId="19172"/>
    <cellStyle name="Normal 39 12 5" xfId="25567"/>
    <cellStyle name="Normal 39 13" xfId="4297"/>
    <cellStyle name="Normal 39 13 2" xfId="7744"/>
    <cellStyle name="Normal 39 13 2 2" xfId="16225"/>
    <cellStyle name="Normal 39 13 2 3" xfId="22739"/>
    <cellStyle name="Normal 39 13 2 4" xfId="29128"/>
    <cellStyle name="Normal 39 13 3" xfId="12789"/>
    <cellStyle name="Normal 39 13 4" xfId="19330"/>
    <cellStyle name="Normal 39 13 5" xfId="25724"/>
    <cellStyle name="Normal 39 14" xfId="4457"/>
    <cellStyle name="Normal 39 14 2" xfId="7899"/>
    <cellStyle name="Normal 39 14 2 2" xfId="16380"/>
    <cellStyle name="Normal 39 14 2 3" xfId="22894"/>
    <cellStyle name="Normal 39 14 2 4" xfId="29283"/>
    <cellStyle name="Normal 39 14 3" xfId="12948"/>
    <cellStyle name="Normal 39 14 4" xfId="19486"/>
    <cellStyle name="Normal 39 14 5" xfId="25879"/>
    <cellStyle name="Normal 39 15" xfId="4617"/>
    <cellStyle name="Normal 39 15 2" xfId="8054"/>
    <cellStyle name="Normal 39 15 2 2" xfId="16535"/>
    <cellStyle name="Normal 39 15 2 3" xfId="23049"/>
    <cellStyle name="Normal 39 15 2 4" xfId="29438"/>
    <cellStyle name="Normal 39 15 3" xfId="13108"/>
    <cellStyle name="Normal 39 15 4" xfId="19642"/>
    <cellStyle name="Normal 39 15 5" xfId="26034"/>
    <cellStyle name="Normal 39 16" xfId="4776"/>
    <cellStyle name="Normal 39 16 2" xfId="8208"/>
    <cellStyle name="Normal 39 16 2 2" xfId="16689"/>
    <cellStyle name="Normal 39 16 2 3" xfId="23203"/>
    <cellStyle name="Normal 39 16 2 4" xfId="29592"/>
    <cellStyle name="Normal 39 16 3" xfId="13266"/>
    <cellStyle name="Normal 39 16 4" xfId="19797"/>
    <cellStyle name="Normal 39 16 5" xfId="26188"/>
    <cellStyle name="Normal 39 17" xfId="4934"/>
    <cellStyle name="Normal 39 17 2" xfId="8361"/>
    <cellStyle name="Normal 39 17 2 2" xfId="16842"/>
    <cellStyle name="Normal 39 17 2 3" xfId="23356"/>
    <cellStyle name="Normal 39 17 2 4" xfId="29745"/>
    <cellStyle name="Normal 39 17 3" xfId="13423"/>
    <cellStyle name="Normal 39 17 4" xfId="19951"/>
    <cellStyle name="Normal 39 17 5" xfId="26341"/>
    <cellStyle name="Normal 39 18" xfId="5063"/>
    <cellStyle name="Normal 39 18 2" xfId="8485"/>
    <cellStyle name="Normal 39 18 2 2" xfId="16966"/>
    <cellStyle name="Normal 39 18 2 3" xfId="23480"/>
    <cellStyle name="Normal 39 18 2 4" xfId="29869"/>
    <cellStyle name="Normal 39 18 3" xfId="13550"/>
    <cellStyle name="Normal 39 18 4" xfId="20075"/>
    <cellStyle name="Normal 39 18 5" xfId="26465"/>
    <cellStyle name="Normal 39 19" xfId="5256"/>
    <cellStyle name="Normal 39 19 2" xfId="13738"/>
    <cellStyle name="Normal 39 19 3" xfId="20255"/>
    <cellStyle name="Normal 39 19 4" xfId="26644"/>
    <cellStyle name="Normal 39 2" xfId="1860"/>
    <cellStyle name="Normal 39 2 2" xfId="5457"/>
    <cellStyle name="Normal 39 2 2 2" xfId="13938"/>
    <cellStyle name="Normal 39 2 2 3" xfId="20452"/>
    <cellStyle name="Normal 39 2 2 4" xfId="26841"/>
    <cellStyle name="Normal 39 2 3" xfId="10431"/>
    <cellStyle name="Normal 39 2 4" xfId="9581"/>
    <cellStyle name="Normal 39 2 5" xfId="17350"/>
    <cellStyle name="Normal 39 20" xfId="9981"/>
    <cellStyle name="Normal 39 21" xfId="9788"/>
    <cellStyle name="Normal 39 22" xfId="9949"/>
    <cellStyle name="Normal 39 3" xfId="2173"/>
    <cellStyle name="Normal 39 3 2" xfId="5744"/>
    <cellStyle name="Normal 39 3 2 2" xfId="14225"/>
    <cellStyle name="Normal 39 3 2 3" xfId="20739"/>
    <cellStyle name="Normal 39 3 2 4" xfId="27128"/>
    <cellStyle name="Normal 39 3 3" xfId="10730"/>
    <cellStyle name="Normal 39 3 4" xfId="17122"/>
    <cellStyle name="Normal 39 3 5" xfId="23599"/>
    <cellStyle name="Normal 39 4" xfId="2772"/>
    <cellStyle name="Normal 39 4 2" xfId="6272"/>
    <cellStyle name="Normal 39 4 2 2" xfId="14753"/>
    <cellStyle name="Normal 39 4 2 3" xfId="21267"/>
    <cellStyle name="Normal 39 4 2 4" xfId="27656"/>
    <cellStyle name="Normal 39 4 3" xfId="11281"/>
    <cellStyle name="Normal 39 4 4" xfId="17850"/>
    <cellStyle name="Normal 39 4 5" xfId="24252"/>
    <cellStyle name="Normal 39 5" xfId="2946"/>
    <cellStyle name="Normal 39 5 2" xfId="6439"/>
    <cellStyle name="Normal 39 5 2 2" xfId="14920"/>
    <cellStyle name="Normal 39 5 2 3" xfId="21434"/>
    <cellStyle name="Normal 39 5 2 4" xfId="27823"/>
    <cellStyle name="Normal 39 5 3" xfId="11451"/>
    <cellStyle name="Normal 39 5 4" xfId="18017"/>
    <cellStyle name="Normal 39 5 5" xfId="24419"/>
    <cellStyle name="Normal 39 6" xfId="3120"/>
    <cellStyle name="Normal 39 6 2" xfId="6606"/>
    <cellStyle name="Normal 39 6 2 2" xfId="15087"/>
    <cellStyle name="Normal 39 6 2 3" xfId="21601"/>
    <cellStyle name="Normal 39 6 2 4" xfId="27990"/>
    <cellStyle name="Normal 39 6 3" xfId="11622"/>
    <cellStyle name="Normal 39 6 4" xfId="18184"/>
    <cellStyle name="Normal 39 6 5" xfId="24586"/>
    <cellStyle name="Normal 39 7" xfId="3293"/>
    <cellStyle name="Normal 39 7 2" xfId="6773"/>
    <cellStyle name="Normal 39 7 2 2" xfId="15254"/>
    <cellStyle name="Normal 39 7 2 3" xfId="21768"/>
    <cellStyle name="Normal 39 7 2 4" xfId="28157"/>
    <cellStyle name="Normal 39 7 3" xfId="11792"/>
    <cellStyle name="Normal 39 7 4" xfId="18351"/>
    <cellStyle name="Normal 39 7 5" xfId="24753"/>
    <cellStyle name="Normal 39 8" xfId="3464"/>
    <cellStyle name="Normal 39 8 2" xfId="6938"/>
    <cellStyle name="Normal 39 8 2 2" xfId="15419"/>
    <cellStyle name="Normal 39 8 2 3" xfId="21933"/>
    <cellStyle name="Normal 39 8 2 4" xfId="28322"/>
    <cellStyle name="Normal 39 8 3" xfId="11961"/>
    <cellStyle name="Normal 39 8 4" xfId="18517"/>
    <cellStyle name="Normal 39 8 5" xfId="24918"/>
    <cellStyle name="Normal 39 9" xfId="3634"/>
    <cellStyle name="Normal 39 9 2" xfId="7102"/>
    <cellStyle name="Normal 39 9 2 2" xfId="15583"/>
    <cellStyle name="Normal 39 9 2 3" xfId="22097"/>
    <cellStyle name="Normal 39 9 2 4" xfId="28486"/>
    <cellStyle name="Normal 39 9 3" xfId="12129"/>
    <cellStyle name="Normal 39 9 4" xfId="18682"/>
    <cellStyle name="Normal 39 9 5" xfId="25082"/>
    <cellStyle name="Normal 4" xfId="1192"/>
    <cellStyle name="Normal 4 10" xfId="1193"/>
    <cellStyle name="Normal 4 11" xfId="1194"/>
    <cellStyle name="Normal 4 12" xfId="1195"/>
    <cellStyle name="Normal 4 13" xfId="1196"/>
    <cellStyle name="Normal 4 14" xfId="1197"/>
    <cellStyle name="Normal 4 15" xfId="1198"/>
    <cellStyle name="Normal 4 16" xfId="1199"/>
    <cellStyle name="Normal 4 17" xfId="1200"/>
    <cellStyle name="Normal 4 18" xfId="1201"/>
    <cellStyle name="Normal 4 19" xfId="1202"/>
    <cellStyle name="Normal 4 2" xfId="1203"/>
    <cellStyle name="Normal 4 2 2" xfId="8962"/>
    <cellStyle name="Normal 4 20" xfId="1204"/>
    <cellStyle name="Normal 4 21" xfId="1205"/>
    <cellStyle name="Normal 4 22" xfId="1206"/>
    <cellStyle name="Normal 4 23" xfId="1207"/>
    <cellStyle name="Normal 4 24" xfId="1208"/>
    <cellStyle name="Normal 4 25" xfId="1209"/>
    <cellStyle name="Normal 4 26" xfId="1210"/>
    <cellStyle name="Normal 4 27" xfId="1211"/>
    <cellStyle name="Normal 4 28" xfId="1212"/>
    <cellStyle name="Normal 4 29" xfId="1213"/>
    <cellStyle name="Normal 4 3" xfId="1214"/>
    <cellStyle name="Normal 4 30" xfId="1215"/>
    <cellStyle name="Normal 4 31" xfId="1216"/>
    <cellStyle name="Normal 4 32" xfId="1217"/>
    <cellStyle name="Normal 4 33" xfId="1218"/>
    <cellStyle name="Normal 4 34" xfId="1861"/>
    <cellStyle name="Normal 4 34 2" xfId="9007"/>
    <cellStyle name="Normal 4 34 2 2" xfId="17370"/>
    <cellStyle name="Normal 4 34 2 3" xfId="23811"/>
    <cellStyle name="Normal 4 34 2 4" xfId="29974"/>
    <cellStyle name="Normal 4 35" xfId="2174"/>
    <cellStyle name="Normal 4 36" xfId="2771"/>
    <cellStyle name="Normal 4 37" xfId="2945"/>
    <cellStyle name="Normal 4 38" xfId="3119"/>
    <cellStyle name="Normal 4 39" xfId="3292"/>
    <cellStyle name="Normal 4 4" xfId="1219"/>
    <cellStyle name="Normal 4 40" xfId="3463"/>
    <cellStyle name="Normal 4 41" xfId="3633"/>
    <cellStyle name="Normal 4 42" xfId="3802"/>
    <cellStyle name="Normal 4 43" xfId="3969"/>
    <cellStyle name="Normal 4 44" xfId="4134"/>
    <cellStyle name="Normal 4 45" xfId="4296"/>
    <cellStyle name="Normal 4 46" xfId="4456"/>
    <cellStyle name="Normal 4 47" xfId="4616"/>
    <cellStyle name="Normal 4 48" xfId="4775"/>
    <cellStyle name="Normal 4 49" xfId="4933"/>
    <cellStyle name="Normal 4 5" xfId="1220"/>
    <cellStyle name="Normal 4 50" xfId="5062"/>
    <cellStyle name="Normal 4 51" xfId="5257"/>
    <cellStyle name="Normal 4 52" xfId="9982"/>
    <cellStyle name="Normal 4 53" xfId="9787"/>
    <cellStyle name="Normal 4 54" xfId="9950"/>
    <cellStyle name="Normal 4 6" xfId="1221"/>
    <cellStyle name="Normal 4 7" xfId="1222"/>
    <cellStyle name="Normal 4 8" xfId="1223"/>
    <cellStyle name="Normal 4 9" xfId="1224"/>
    <cellStyle name="Normal 4_05. CMD with all SE-DEs meeting 09.11.2010" xfId="8938"/>
    <cellStyle name="Normal 40" xfId="1225"/>
    <cellStyle name="Normal 40 10" xfId="3632"/>
    <cellStyle name="Normal 40 10 2" xfId="7101"/>
    <cellStyle name="Normal 40 10 2 2" xfId="15582"/>
    <cellStyle name="Normal 40 10 2 3" xfId="22096"/>
    <cellStyle name="Normal 40 10 2 4" xfId="28485"/>
    <cellStyle name="Normal 40 10 3" xfId="12127"/>
    <cellStyle name="Normal 40 10 4" xfId="18680"/>
    <cellStyle name="Normal 40 10 5" xfId="25081"/>
    <cellStyle name="Normal 40 11" xfId="3801"/>
    <cellStyle name="Normal 40 11 2" xfId="7264"/>
    <cellStyle name="Normal 40 11 2 2" xfId="15745"/>
    <cellStyle name="Normal 40 11 2 3" xfId="22259"/>
    <cellStyle name="Normal 40 11 2 4" xfId="28648"/>
    <cellStyle name="Normal 40 11 3" xfId="12296"/>
    <cellStyle name="Normal 40 11 4" xfId="18846"/>
    <cellStyle name="Normal 40 11 5" xfId="25244"/>
    <cellStyle name="Normal 40 12" xfId="3968"/>
    <cellStyle name="Normal 40 12 2" xfId="7426"/>
    <cellStyle name="Normal 40 12 2 2" xfId="15907"/>
    <cellStyle name="Normal 40 12 2 3" xfId="22421"/>
    <cellStyle name="Normal 40 12 2 4" xfId="28810"/>
    <cellStyle name="Normal 40 12 3" xfId="12462"/>
    <cellStyle name="Normal 40 12 4" xfId="19009"/>
    <cellStyle name="Normal 40 12 5" xfId="25406"/>
    <cellStyle name="Normal 40 13" xfId="4133"/>
    <cellStyle name="Normal 40 13 2" xfId="7586"/>
    <cellStyle name="Normal 40 13 2 2" xfId="16067"/>
    <cellStyle name="Normal 40 13 2 3" xfId="22581"/>
    <cellStyle name="Normal 40 13 2 4" xfId="28970"/>
    <cellStyle name="Normal 40 13 3" xfId="12626"/>
    <cellStyle name="Normal 40 13 4" xfId="19170"/>
    <cellStyle name="Normal 40 13 5" xfId="25566"/>
    <cellStyle name="Normal 40 14" xfId="4295"/>
    <cellStyle name="Normal 40 14 2" xfId="7743"/>
    <cellStyle name="Normal 40 14 2 2" xfId="16224"/>
    <cellStyle name="Normal 40 14 2 3" xfId="22738"/>
    <cellStyle name="Normal 40 14 2 4" xfId="29127"/>
    <cellStyle name="Normal 40 14 3" xfId="12787"/>
    <cellStyle name="Normal 40 14 4" xfId="19328"/>
    <cellStyle name="Normal 40 14 5" xfId="25723"/>
    <cellStyle name="Normal 40 15" xfId="4455"/>
    <cellStyle name="Normal 40 15 2" xfId="7898"/>
    <cellStyle name="Normal 40 15 2 2" xfId="16379"/>
    <cellStyle name="Normal 40 15 2 3" xfId="22893"/>
    <cellStyle name="Normal 40 15 2 4" xfId="29282"/>
    <cellStyle name="Normal 40 15 3" xfId="12946"/>
    <cellStyle name="Normal 40 15 4" xfId="19484"/>
    <cellStyle name="Normal 40 15 5" xfId="25878"/>
    <cellStyle name="Normal 40 16" xfId="4615"/>
    <cellStyle name="Normal 40 16 2" xfId="8053"/>
    <cellStyle name="Normal 40 16 2 2" xfId="16534"/>
    <cellStyle name="Normal 40 16 2 3" xfId="23048"/>
    <cellStyle name="Normal 40 16 2 4" xfId="29437"/>
    <cellStyle name="Normal 40 16 3" xfId="13106"/>
    <cellStyle name="Normal 40 16 4" xfId="19640"/>
    <cellStyle name="Normal 40 16 5" xfId="26033"/>
    <cellStyle name="Normal 40 17" xfId="4774"/>
    <cellStyle name="Normal 40 17 2" xfId="8207"/>
    <cellStyle name="Normal 40 17 2 2" xfId="16688"/>
    <cellStyle name="Normal 40 17 2 3" xfId="23202"/>
    <cellStyle name="Normal 40 17 2 4" xfId="29591"/>
    <cellStyle name="Normal 40 17 3" xfId="13264"/>
    <cellStyle name="Normal 40 17 4" xfId="19795"/>
    <cellStyle name="Normal 40 17 5" xfId="26187"/>
    <cellStyle name="Normal 40 18" xfId="4932"/>
    <cellStyle name="Normal 40 18 2" xfId="8360"/>
    <cellStyle name="Normal 40 18 2 2" xfId="16841"/>
    <cellStyle name="Normal 40 18 2 3" xfId="23355"/>
    <cellStyle name="Normal 40 18 2 4" xfId="29744"/>
    <cellStyle name="Normal 40 18 3" xfId="13421"/>
    <cellStyle name="Normal 40 18 4" xfId="19949"/>
    <cellStyle name="Normal 40 18 5" xfId="26340"/>
    <cellStyle name="Normal 40 19" xfId="5258"/>
    <cellStyle name="Normal 40 19 2" xfId="13739"/>
    <cellStyle name="Normal 40 19 3" xfId="20256"/>
    <cellStyle name="Normal 40 19 4" xfId="26645"/>
    <cellStyle name="Normal 40 2" xfId="1862"/>
    <cellStyle name="Normal 40 2 2" xfId="5458"/>
    <cellStyle name="Normal 40 2 2 2" xfId="13939"/>
    <cellStyle name="Normal 40 2 2 3" xfId="20453"/>
    <cellStyle name="Normal 40 2 2 4" xfId="26842"/>
    <cellStyle name="Normal 40 2 3" xfId="10432"/>
    <cellStyle name="Normal 40 2 4" xfId="9580"/>
    <cellStyle name="Normal 40 2 5" xfId="10140"/>
    <cellStyle name="Normal 40 20" xfId="10005"/>
    <cellStyle name="Normal 40 21" xfId="17377"/>
    <cellStyle name="Normal 40 22" xfId="23817"/>
    <cellStyle name="Normal 40 3" xfId="2182"/>
    <cellStyle name="Normal 40 3 2" xfId="5752"/>
    <cellStyle name="Normal 40 3 2 2" xfId="14233"/>
    <cellStyle name="Normal 40 3 2 3" xfId="20747"/>
    <cellStyle name="Normal 40 3 2 4" xfId="27136"/>
    <cellStyle name="Normal 40 3 3" xfId="10738"/>
    <cellStyle name="Normal 40 3 4" xfId="17129"/>
    <cellStyle name="Normal 40 3 5" xfId="23606"/>
    <cellStyle name="Normal 40 4" xfId="2175"/>
    <cellStyle name="Normal 40 4 2" xfId="5745"/>
    <cellStyle name="Normal 40 4 2 2" xfId="14226"/>
    <cellStyle name="Normal 40 4 2 3" xfId="20740"/>
    <cellStyle name="Normal 40 4 2 4" xfId="27129"/>
    <cellStyle name="Normal 40 4 3" xfId="10731"/>
    <cellStyle name="Normal 40 4 4" xfId="17123"/>
    <cellStyle name="Normal 40 4 5" xfId="23600"/>
    <cellStyle name="Normal 40 5" xfId="2770"/>
    <cellStyle name="Normal 40 5 2" xfId="6271"/>
    <cellStyle name="Normal 40 5 2 2" xfId="14752"/>
    <cellStyle name="Normal 40 5 2 3" xfId="21266"/>
    <cellStyle name="Normal 40 5 2 4" xfId="27655"/>
    <cellStyle name="Normal 40 5 3" xfId="11280"/>
    <cellStyle name="Normal 40 5 4" xfId="17849"/>
    <cellStyle name="Normal 40 5 5" xfId="24251"/>
    <cellStyle name="Normal 40 6" xfId="2944"/>
    <cellStyle name="Normal 40 6 2" xfId="6438"/>
    <cellStyle name="Normal 40 6 2 2" xfId="14919"/>
    <cellStyle name="Normal 40 6 2 3" xfId="21433"/>
    <cellStyle name="Normal 40 6 2 4" xfId="27822"/>
    <cellStyle name="Normal 40 6 3" xfId="11450"/>
    <cellStyle name="Normal 40 6 4" xfId="18016"/>
    <cellStyle name="Normal 40 6 5" xfId="24418"/>
    <cellStyle name="Normal 40 7" xfId="3118"/>
    <cellStyle name="Normal 40 7 2" xfId="6605"/>
    <cellStyle name="Normal 40 7 2 2" xfId="15086"/>
    <cellStyle name="Normal 40 7 2 3" xfId="21600"/>
    <cellStyle name="Normal 40 7 2 4" xfId="27989"/>
    <cellStyle name="Normal 40 7 3" xfId="11620"/>
    <cellStyle name="Normal 40 7 4" xfId="18183"/>
    <cellStyle name="Normal 40 7 5" xfId="24585"/>
    <cellStyle name="Normal 40 8" xfId="3291"/>
    <cellStyle name="Normal 40 8 2" xfId="6772"/>
    <cellStyle name="Normal 40 8 2 2" xfId="15253"/>
    <cellStyle name="Normal 40 8 2 3" xfId="21767"/>
    <cellStyle name="Normal 40 8 2 4" xfId="28156"/>
    <cellStyle name="Normal 40 8 3" xfId="11791"/>
    <cellStyle name="Normal 40 8 4" xfId="18350"/>
    <cellStyle name="Normal 40 8 5" xfId="24752"/>
    <cellStyle name="Normal 40 9" xfId="3462"/>
    <cellStyle name="Normal 40 9 2" xfId="6937"/>
    <cellStyle name="Normal 40 9 2 2" xfId="15418"/>
    <cellStyle name="Normal 40 9 2 3" xfId="21932"/>
    <cellStyle name="Normal 40 9 2 4" xfId="28321"/>
    <cellStyle name="Normal 40 9 3" xfId="11959"/>
    <cellStyle name="Normal 40 9 4" xfId="18515"/>
    <cellStyle name="Normal 40 9 5" xfId="24917"/>
    <cellStyle name="Normal 41" xfId="1226"/>
    <cellStyle name="Normal 41 10" xfId="3794"/>
    <cellStyle name="Normal 41 10 2" xfId="7257"/>
    <cellStyle name="Normal 41 10 2 2" xfId="15738"/>
    <cellStyle name="Normal 41 10 2 3" xfId="22252"/>
    <cellStyle name="Normal 41 10 2 4" xfId="28641"/>
    <cellStyle name="Normal 41 10 3" xfId="12289"/>
    <cellStyle name="Normal 41 10 4" xfId="18839"/>
    <cellStyle name="Normal 41 10 5" xfId="25237"/>
    <cellStyle name="Normal 41 11" xfId="3961"/>
    <cellStyle name="Normal 41 11 2" xfId="7419"/>
    <cellStyle name="Normal 41 11 2 2" xfId="15900"/>
    <cellStyle name="Normal 41 11 2 3" xfId="22414"/>
    <cellStyle name="Normal 41 11 2 4" xfId="28803"/>
    <cellStyle name="Normal 41 11 3" xfId="12455"/>
    <cellStyle name="Normal 41 11 4" xfId="19002"/>
    <cellStyle name="Normal 41 11 5" xfId="25399"/>
    <cellStyle name="Normal 41 12" xfId="4126"/>
    <cellStyle name="Normal 41 12 2" xfId="7579"/>
    <cellStyle name="Normal 41 12 2 2" xfId="16060"/>
    <cellStyle name="Normal 41 12 2 3" xfId="22574"/>
    <cellStyle name="Normal 41 12 2 4" xfId="28963"/>
    <cellStyle name="Normal 41 12 3" xfId="12619"/>
    <cellStyle name="Normal 41 12 4" xfId="19163"/>
    <cellStyle name="Normal 41 12 5" xfId="25559"/>
    <cellStyle name="Normal 41 13" xfId="4288"/>
    <cellStyle name="Normal 41 13 2" xfId="7736"/>
    <cellStyle name="Normal 41 13 2 2" xfId="16217"/>
    <cellStyle name="Normal 41 13 2 3" xfId="22731"/>
    <cellStyle name="Normal 41 13 2 4" xfId="29120"/>
    <cellStyle name="Normal 41 13 3" xfId="12780"/>
    <cellStyle name="Normal 41 13 4" xfId="19321"/>
    <cellStyle name="Normal 41 13 5" xfId="25716"/>
    <cellStyle name="Normal 41 14" xfId="4448"/>
    <cellStyle name="Normal 41 14 2" xfId="7891"/>
    <cellStyle name="Normal 41 14 2 2" xfId="16372"/>
    <cellStyle name="Normal 41 14 2 3" xfId="22886"/>
    <cellStyle name="Normal 41 14 2 4" xfId="29275"/>
    <cellStyle name="Normal 41 14 3" xfId="12939"/>
    <cellStyle name="Normal 41 14 4" xfId="19477"/>
    <cellStyle name="Normal 41 14 5" xfId="25871"/>
    <cellStyle name="Normal 41 15" xfId="4608"/>
    <cellStyle name="Normal 41 15 2" xfId="8046"/>
    <cellStyle name="Normal 41 15 2 2" xfId="16527"/>
    <cellStyle name="Normal 41 15 2 3" xfId="23041"/>
    <cellStyle name="Normal 41 15 2 4" xfId="29430"/>
    <cellStyle name="Normal 41 15 3" xfId="13099"/>
    <cellStyle name="Normal 41 15 4" xfId="19633"/>
    <cellStyle name="Normal 41 15 5" xfId="26026"/>
    <cellStyle name="Normal 41 16" xfId="4768"/>
    <cellStyle name="Normal 41 16 2" xfId="8201"/>
    <cellStyle name="Normal 41 16 2 2" xfId="16682"/>
    <cellStyle name="Normal 41 16 2 3" xfId="23196"/>
    <cellStyle name="Normal 41 16 2 4" xfId="29585"/>
    <cellStyle name="Normal 41 16 3" xfId="13258"/>
    <cellStyle name="Normal 41 16 4" xfId="19789"/>
    <cellStyle name="Normal 41 16 5" xfId="26181"/>
    <cellStyle name="Normal 41 17" xfId="4926"/>
    <cellStyle name="Normal 41 17 2" xfId="8354"/>
    <cellStyle name="Normal 41 17 2 2" xfId="16835"/>
    <cellStyle name="Normal 41 17 2 3" xfId="23349"/>
    <cellStyle name="Normal 41 17 2 4" xfId="29738"/>
    <cellStyle name="Normal 41 17 3" xfId="13415"/>
    <cellStyle name="Normal 41 17 4" xfId="19943"/>
    <cellStyle name="Normal 41 17 5" xfId="26334"/>
    <cellStyle name="Normal 41 18" xfId="5061"/>
    <cellStyle name="Normal 41 18 2" xfId="8484"/>
    <cellStyle name="Normal 41 18 2 2" xfId="16965"/>
    <cellStyle name="Normal 41 18 2 3" xfId="23479"/>
    <cellStyle name="Normal 41 18 2 4" xfId="29868"/>
    <cellStyle name="Normal 41 18 3" xfId="13549"/>
    <cellStyle name="Normal 41 18 4" xfId="20074"/>
    <cellStyle name="Normal 41 18 5" xfId="26464"/>
    <cellStyle name="Normal 41 19" xfId="5259"/>
    <cellStyle name="Normal 41 19 2" xfId="13740"/>
    <cellStyle name="Normal 41 19 3" xfId="20257"/>
    <cellStyle name="Normal 41 19 4" xfId="26646"/>
    <cellStyle name="Normal 41 2" xfId="1863"/>
    <cellStyle name="Normal 41 2 2" xfId="5459"/>
    <cellStyle name="Normal 41 2 2 2" xfId="13940"/>
    <cellStyle name="Normal 41 2 2 3" xfId="20454"/>
    <cellStyle name="Normal 41 2 2 4" xfId="26843"/>
    <cellStyle name="Normal 41 2 3" xfId="10433"/>
    <cellStyle name="Normal 41 2 4" xfId="9579"/>
    <cellStyle name="Normal 41 2 5" xfId="10141"/>
    <cellStyle name="Normal 41 20" xfId="10006"/>
    <cellStyle name="Normal 41 21" xfId="17390"/>
    <cellStyle name="Normal 41 22" xfId="23829"/>
    <cellStyle name="Normal 41 3" xfId="2183"/>
    <cellStyle name="Normal 41 3 2" xfId="5753"/>
    <cellStyle name="Normal 41 3 2 2" xfId="14234"/>
    <cellStyle name="Normal 41 3 2 3" xfId="20748"/>
    <cellStyle name="Normal 41 3 2 4" xfId="27137"/>
    <cellStyle name="Normal 41 3 3" xfId="10739"/>
    <cellStyle name="Normal 41 3 4" xfId="17130"/>
    <cellStyle name="Normal 41 3 5" xfId="23607"/>
    <cellStyle name="Normal 41 4" xfId="2763"/>
    <cellStyle name="Normal 41 4 2" xfId="6264"/>
    <cellStyle name="Normal 41 4 2 2" xfId="14745"/>
    <cellStyle name="Normal 41 4 2 3" xfId="21259"/>
    <cellStyle name="Normal 41 4 2 4" xfId="27648"/>
    <cellStyle name="Normal 41 4 3" xfId="11273"/>
    <cellStyle name="Normal 41 4 4" xfId="17842"/>
    <cellStyle name="Normal 41 4 5" xfId="24244"/>
    <cellStyle name="Normal 41 5" xfId="2937"/>
    <cellStyle name="Normal 41 5 2" xfId="6431"/>
    <cellStyle name="Normal 41 5 2 2" xfId="14912"/>
    <cellStyle name="Normal 41 5 2 3" xfId="21426"/>
    <cellStyle name="Normal 41 5 2 4" xfId="27815"/>
    <cellStyle name="Normal 41 5 3" xfId="11443"/>
    <cellStyle name="Normal 41 5 4" xfId="18009"/>
    <cellStyle name="Normal 41 5 5" xfId="24411"/>
    <cellStyle name="Normal 41 6" xfId="3111"/>
    <cellStyle name="Normal 41 6 2" xfId="6598"/>
    <cellStyle name="Normal 41 6 2 2" xfId="15079"/>
    <cellStyle name="Normal 41 6 2 3" xfId="21593"/>
    <cellStyle name="Normal 41 6 2 4" xfId="27982"/>
    <cellStyle name="Normal 41 6 3" xfId="11613"/>
    <cellStyle name="Normal 41 6 4" xfId="18176"/>
    <cellStyle name="Normal 41 6 5" xfId="24578"/>
    <cellStyle name="Normal 41 7" xfId="3284"/>
    <cellStyle name="Normal 41 7 2" xfId="6765"/>
    <cellStyle name="Normal 41 7 2 2" xfId="15246"/>
    <cellStyle name="Normal 41 7 2 3" xfId="21760"/>
    <cellStyle name="Normal 41 7 2 4" xfId="28149"/>
    <cellStyle name="Normal 41 7 3" xfId="11784"/>
    <cellStyle name="Normal 41 7 4" xfId="18343"/>
    <cellStyle name="Normal 41 7 5" xfId="24745"/>
    <cellStyle name="Normal 41 8" xfId="3455"/>
    <cellStyle name="Normal 41 8 2" xfId="6930"/>
    <cellStyle name="Normal 41 8 2 2" xfId="15411"/>
    <cellStyle name="Normal 41 8 2 3" xfId="21925"/>
    <cellStyle name="Normal 41 8 2 4" xfId="28314"/>
    <cellStyle name="Normal 41 8 3" xfId="11952"/>
    <cellStyle name="Normal 41 8 4" xfId="18508"/>
    <cellStyle name="Normal 41 8 5" xfId="24910"/>
    <cellStyle name="Normal 41 9" xfId="3625"/>
    <cellStyle name="Normal 41 9 2" xfId="7094"/>
    <cellStyle name="Normal 41 9 2 2" xfId="15575"/>
    <cellStyle name="Normal 41 9 2 3" xfId="22089"/>
    <cellStyle name="Normal 41 9 2 4" xfId="28478"/>
    <cellStyle name="Normal 41 9 3" xfId="12120"/>
    <cellStyle name="Normal 41 9 4" xfId="18673"/>
    <cellStyle name="Normal 41 9 5" xfId="25074"/>
    <cellStyle name="Normal 42" xfId="1227"/>
    <cellStyle name="Normal 42 10" xfId="3793"/>
    <cellStyle name="Normal 42 10 2" xfId="7256"/>
    <cellStyle name="Normal 42 10 2 2" xfId="15737"/>
    <cellStyle name="Normal 42 10 2 3" xfId="22251"/>
    <cellStyle name="Normal 42 10 2 4" xfId="28640"/>
    <cellStyle name="Normal 42 10 3" xfId="12288"/>
    <cellStyle name="Normal 42 10 4" xfId="18838"/>
    <cellStyle name="Normal 42 10 5" xfId="25236"/>
    <cellStyle name="Normal 42 11" xfId="3960"/>
    <cellStyle name="Normal 42 11 2" xfId="7418"/>
    <cellStyle name="Normal 42 11 2 2" xfId="15899"/>
    <cellStyle name="Normal 42 11 2 3" xfId="22413"/>
    <cellStyle name="Normal 42 11 2 4" xfId="28802"/>
    <cellStyle name="Normal 42 11 3" xfId="12454"/>
    <cellStyle name="Normal 42 11 4" xfId="19001"/>
    <cellStyle name="Normal 42 11 5" xfId="25398"/>
    <cellStyle name="Normal 42 12" xfId="4125"/>
    <cellStyle name="Normal 42 12 2" xfId="7578"/>
    <cellStyle name="Normal 42 12 2 2" xfId="16059"/>
    <cellStyle name="Normal 42 12 2 3" xfId="22573"/>
    <cellStyle name="Normal 42 12 2 4" xfId="28962"/>
    <cellStyle name="Normal 42 12 3" xfId="12618"/>
    <cellStyle name="Normal 42 12 4" xfId="19162"/>
    <cellStyle name="Normal 42 12 5" xfId="25558"/>
    <cellStyle name="Normal 42 13" xfId="4287"/>
    <cellStyle name="Normal 42 13 2" xfId="7735"/>
    <cellStyle name="Normal 42 13 2 2" xfId="16216"/>
    <cellStyle name="Normal 42 13 2 3" xfId="22730"/>
    <cellStyle name="Normal 42 13 2 4" xfId="29119"/>
    <cellStyle name="Normal 42 13 3" xfId="12779"/>
    <cellStyle name="Normal 42 13 4" xfId="19320"/>
    <cellStyle name="Normal 42 13 5" xfId="25715"/>
    <cellStyle name="Normal 42 14" xfId="4447"/>
    <cellStyle name="Normal 42 14 2" xfId="7890"/>
    <cellStyle name="Normal 42 14 2 2" xfId="16371"/>
    <cellStyle name="Normal 42 14 2 3" xfId="22885"/>
    <cellStyle name="Normal 42 14 2 4" xfId="29274"/>
    <cellStyle name="Normal 42 14 3" xfId="12938"/>
    <cellStyle name="Normal 42 14 4" xfId="19476"/>
    <cellStyle name="Normal 42 14 5" xfId="25870"/>
    <cellStyle name="Normal 42 15" xfId="4607"/>
    <cellStyle name="Normal 42 15 2" xfId="8045"/>
    <cellStyle name="Normal 42 15 2 2" xfId="16526"/>
    <cellStyle name="Normal 42 15 2 3" xfId="23040"/>
    <cellStyle name="Normal 42 15 2 4" xfId="29429"/>
    <cellStyle name="Normal 42 15 3" xfId="13098"/>
    <cellStyle name="Normal 42 15 4" xfId="19632"/>
    <cellStyle name="Normal 42 15 5" xfId="26025"/>
    <cellStyle name="Normal 42 16" xfId="4767"/>
    <cellStyle name="Normal 42 16 2" xfId="8200"/>
    <cellStyle name="Normal 42 16 2 2" xfId="16681"/>
    <cellStyle name="Normal 42 16 2 3" xfId="23195"/>
    <cellStyle name="Normal 42 16 2 4" xfId="29584"/>
    <cellStyle name="Normal 42 16 3" xfId="13257"/>
    <cellStyle name="Normal 42 16 4" xfId="19788"/>
    <cellStyle name="Normal 42 16 5" xfId="26180"/>
    <cellStyle name="Normal 42 17" xfId="4925"/>
    <cellStyle name="Normal 42 17 2" xfId="8353"/>
    <cellStyle name="Normal 42 17 2 2" xfId="16834"/>
    <cellStyle name="Normal 42 17 2 3" xfId="23348"/>
    <cellStyle name="Normal 42 17 2 4" xfId="29737"/>
    <cellStyle name="Normal 42 17 3" xfId="13414"/>
    <cellStyle name="Normal 42 17 4" xfId="19942"/>
    <cellStyle name="Normal 42 17 5" xfId="26333"/>
    <cellStyle name="Normal 42 18" xfId="5060"/>
    <cellStyle name="Normal 42 18 2" xfId="8483"/>
    <cellStyle name="Normal 42 18 2 2" xfId="16964"/>
    <cellStyle name="Normal 42 18 2 3" xfId="23478"/>
    <cellStyle name="Normal 42 18 2 4" xfId="29867"/>
    <cellStyle name="Normal 42 18 3" xfId="13548"/>
    <cellStyle name="Normal 42 18 4" xfId="20073"/>
    <cellStyle name="Normal 42 18 5" xfId="26463"/>
    <cellStyle name="Normal 42 19" xfId="5260"/>
    <cellStyle name="Normal 42 19 2" xfId="13741"/>
    <cellStyle name="Normal 42 19 3" xfId="20258"/>
    <cellStyle name="Normal 42 19 4" xfId="26647"/>
    <cellStyle name="Normal 42 2" xfId="1864"/>
    <cellStyle name="Normal 42 2 2" xfId="5460"/>
    <cellStyle name="Normal 42 2 2 2" xfId="13941"/>
    <cellStyle name="Normal 42 2 2 3" xfId="20455"/>
    <cellStyle name="Normal 42 2 2 4" xfId="26844"/>
    <cellStyle name="Normal 42 2 3" xfId="10434"/>
    <cellStyle name="Normal 42 2 4" xfId="9578"/>
    <cellStyle name="Normal 42 2 5" xfId="10142"/>
    <cellStyle name="Normal 42 20" xfId="10007"/>
    <cellStyle name="Normal 42 21" xfId="17399"/>
    <cellStyle name="Normal 42 22" xfId="23838"/>
    <cellStyle name="Normal 42 3" xfId="2184"/>
    <cellStyle name="Normal 42 3 2" xfId="5754"/>
    <cellStyle name="Normal 42 3 2 2" xfId="14235"/>
    <cellStyle name="Normal 42 3 2 3" xfId="20749"/>
    <cellStyle name="Normal 42 3 2 4" xfId="27138"/>
    <cellStyle name="Normal 42 3 3" xfId="10740"/>
    <cellStyle name="Normal 42 3 4" xfId="17131"/>
    <cellStyle name="Normal 42 3 5" xfId="23608"/>
    <cellStyle name="Normal 42 4" xfId="2762"/>
    <cellStyle name="Normal 42 4 2" xfId="6263"/>
    <cellStyle name="Normal 42 4 2 2" xfId="14744"/>
    <cellStyle name="Normal 42 4 2 3" xfId="21258"/>
    <cellStyle name="Normal 42 4 2 4" xfId="27647"/>
    <cellStyle name="Normal 42 4 3" xfId="11272"/>
    <cellStyle name="Normal 42 4 4" xfId="17841"/>
    <cellStyle name="Normal 42 4 5" xfId="24243"/>
    <cellStyle name="Normal 42 5" xfId="2936"/>
    <cellStyle name="Normal 42 5 2" xfId="6430"/>
    <cellStyle name="Normal 42 5 2 2" xfId="14911"/>
    <cellStyle name="Normal 42 5 2 3" xfId="21425"/>
    <cellStyle name="Normal 42 5 2 4" xfId="27814"/>
    <cellStyle name="Normal 42 5 3" xfId="11442"/>
    <cellStyle name="Normal 42 5 4" xfId="18008"/>
    <cellStyle name="Normal 42 5 5" xfId="24410"/>
    <cellStyle name="Normal 42 6" xfId="3110"/>
    <cellStyle name="Normal 42 6 2" xfId="6597"/>
    <cellStyle name="Normal 42 6 2 2" xfId="15078"/>
    <cellStyle name="Normal 42 6 2 3" xfId="21592"/>
    <cellStyle name="Normal 42 6 2 4" xfId="27981"/>
    <cellStyle name="Normal 42 6 3" xfId="11612"/>
    <cellStyle name="Normal 42 6 4" xfId="18175"/>
    <cellStyle name="Normal 42 6 5" xfId="24577"/>
    <cellStyle name="Normal 42 7" xfId="3283"/>
    <cellStyle name="Normal 42 7 2" xfId="6764"/>
    <cellStyle name="Normal 42 7 2 2" xfId="15245"/>
    <cellStyle name="Normal 42 7 2 3" xfId="21759"/>
    <cellStyle name="Normal 42 7 2 4" xfId="28148"/>
    <cellStyle name="Normal 42 7 3" xfId="11783"/>
    <cellStyle name="Normal 42 7 4" xfId="18342"/>
    <cellStyle name="Normal 42 7 5" xfId="24744"/>
    <cellStyle name="Normal 42 8" xfId="3454"/>
    <cellStyle name="Normal 42 8 2" xfId="6929"/>
    <cellStyle name="Normal 42 8 2 2" xfId="15410"/>
    <cellStyle name="Normal 42 8 2 3" xfId="21924"/>
    <cellStyle name="Normal 42 8 2 4" xfId="28313"/>
    <cellStyle name="Normal 42 8 3" xfId="11951"/>
    <cellStyle name="Normal 42 8 4" xfId="18507"/>
    <cellStyle name="Normal 42 8 5" xfId="24909"/>
    <cellStyle name="Normal 42 9" xfId="3624"/>
    <cellStyle name="Normal 42 9 2" xfId="7093"/>
    <cellStyle name="Normal 42 9 2 2" xfId="15574"/>
    <cellStyle name="Normal 42 9 2 3" xfId="22088"/>
    <cellStyle name="Normal 42 9 2 4" xfId="28477"/>
    <cellStyle name="Normal 42 9 3" xfId="12119"/>
    <cellStyle name="Normal 42 9 4" xfId="18672"/>
    <cellStyle name="Normal 42 9 5" xfId="25073"/>
    <cellStyle name="Normal 43" xfId="1228"/>
    <cellStyle name="Normal 43 10" xfId="3792"/>
    <cellStyle name="Normal 43 10 2" xfId="7255"/>
    <cellStyle name="Normal 43 10 2 2" xfId="15736"/>
    <cellStyle name="Normal 43 10 2 3" xfId="22250"/>
    <cellStyle name="Normal 43 10 2 4" xfId="28639"/>
    <cellStyle name="Normal 43 10 3" xfId="12287"/>
    <cellStyle name="Normal 43 10 4" xfId="18837"/>
    <cellStyle name="Normal 43 10 5" xfId="25235"/>
    <cellStyle name="Normal 43 11" xfId="3959"/>
    <cellStyle name="Normal 43 11 2" xfId="7417"/>
    <cellStyle name="Normal 43 11 2 2" xfId="15898"/>
    <cellStyle name="Normal 43 11 2 3" xfId="22412"/>
    <cellStyle name="Normal 43 11 2 4" xfId="28801"/>
    <cellStyle name="Normal 43 11 3" xfId="12453"/>
    <cellStyle name="Normal 43 11 4" xfId="19000"/>
    <cellStyle name="Normal 43 11 5" xfId="25397"/>
    <cellStyle name="Normal 43 12" xfId="4124"/>
    <cellStyle name="Normal 43 12 2" xfId="7577"/>
    <cellStyle name="Normal 43 12 2 2" xfId="16058"/>
    <cellStyle name="Normal 43 12 2 3" xfId="22572"/>
    <cellStyle name="Normal 43 12 2 4" xfId="28961"/>
    <cellStyle name="Normal 43 12 3" xfId="12617"/>
    <cellStyle name="Normal 43 12 4" xfId="19161"/>
    <cellStyle name="Normal 43 12 5" xfId="25557"/>
    <cellStyle name="Normal 43 13" xfId="4286"/>
    <cellStyle name="Normal 43 13 2" xfId="7734"/>
    <cellStyle name="Normal 43 13 2 2" xfId="16215"/>
    <cellStyle name="Normal 43 13 2 3" xfId="22729"/>
    <cellStyle name="Normal 43 13 2 4" xfId="29118"/>
    <cellStyle name="Normal 43 13 3" xfId="12778"/>
    <cellStyle name="Normal 43 13 4" xfId="19319"/>
    <cellStyle name="Normal 43 13 5" xfId="25714"/>
    <cellStyle name="Normal 43 14" xfId="4446"/>
    <cellStyle name="Normal 43 14 2" xfId="7889"/>
    <cellStyle name="Normal 43 14 2 2" xfId="16370"/>
    <cellStyle name="Normal 43 14 2 3" xfId="22884"/>
    <cellStyle name="Normal 43 14 2 4" xfId="29273"/>
    <cellStyle name="Normal 43 14 3" xfId="12937"/>
    <cellStyle name="Normal 43 14 4" xfId="19475"/>
    <cellStyle name="Normal 43 14 5" xfId="25869"/>
    <cellStyle name="Normal 43 15" xfId="4606"/>
    <cellStyle name="Normal 43 15 2" xfId="8044"/>
    <cellStyle name="Normal 43 15 2 2" xfId="16525"/>
    <cellStyle name="Normal 43 15 2 3" xfId="23039"/>
    <cellStyle name="Normal 43 15 2 4" xfId="29428"/>
    <cellStyle name="Normal 43 15 3" xfId="13097"/>
    <cellStyle name="Normal 43 15 4" xfId="19631"/>
    <cellStyle name="Normal 43 15 5" xfId="26024"/>
    <cellStyle name="Normal 43 16" xfId="4766"/>
    <cellStyle name="Normal 43 16 2" xfId="8199"/>
    <cellStyle name="Normal 43 16 2 2" xfId="16680"/>
    <cellStyle name="Normal 43 16 2 3" xfId="23194"/>
    <cellStyle name="Normal 43 16 2 4" xfId="29583"/>
    <cellStyle name="Normal 43 16 3" xfId="13256"/>
    <cellStyle name="Normal 43 16 4" xfId="19787"/>
    <cellStyle name="Normal 43 16 5" xfId="26179"/>
    <cellStyle name="Normal 43 17" xfId="4924"/>
    <cellStyle name="Normal 43 17 2" xfId="8352"/>
    <cellStyle name="Normal 43 17 2 2" xfId="16833"/>
    <cellStyle name="Normal 43 17 2 3" xfId="23347"/>
    <cellStyle name="Normal 43 17 2 4" xfId="29736"/>
    <cellStyle name="Normal 43 17 3" xfId="13413"/>
    <cellStyle name="Normal 43 17 4" xfId="19941"/>
    <cellStyle name="Normal 43 17 5" xfId="26332"/>
    <cellStyle name="Normal 43 18" xfId="5059"/>
    <cellStyle name="Normal 43 18 2" xfId="8482"/>
    <cellStyle name="Normal 43 18 2 2" xfId="16963"/>
    <cellStyle name="Normal 43 18 2 3" xfId="23477"/>
    <cellStyle name="Normal 43 18 2 4" xfId="29866"/>
    <cellStyle name="Normal 43 18 3" xfId="13547"/>
    <cellStyle name="Normal 43 18 4" xfId="20072"/>
    <cellStyle name="Normal 43 18 5" xfId="26462"/>
    <cellStyle name="Normal 43 19" xfId="5261"/>
    <cellStyle name="Normal 43 19 2" xfId="13742"/>
    <cellStyle name="Normal 43 19 3" xfId="20259"/>
    <cellStyle name="Normal 43 19 4" xfId="26648"/>
    <cellStyle name="Normal 43 2" xfId="1865"/>
    <cellStyle name="Normal 43 2 2" xfId="5461"/>
    <cellStyle name="Normal 43 2 2 2" xfId="13942"/>
    <cellStyle name="Normal 43 2 2 3" xfId="20456"/>
    <cellStyle name="Normal 43 2 2 4" xfId="26845"/>
    <cellStyle name="Normal 43 2 3" xfId="10435"/>
    <cellStyle name="Normal 43 2 4" xfId="9577"/>
    <cellStyle name="Normal 43 2 5" xfId="10143"/>
    <cellStyle name="Normal 43 20" xfId="10008"/>
    <cellStyle name="Normal 43 21" xfId="9722"/>
    <cellStyle name="Normal 43 22" xfId="11621"/>
    <cellStyle name="Normal 43 3" xfId="2185"/>
    <cellStyle name="Normal 43 3 2" xfId="5755"/>
    <cellStyle name="Normal 43 3 2 2" xfId="14236"/>
    <cellStyle name="Normal 43 3 2 3" xfId="20750"/>
    <cellStyle name="Normal 43 3 2 4" xfId="27139"/>
    <cellStyle name="Normal 43 3 3" xfId="10741"/>
    <cellStyle name="Normal 43 3 4" xfId="17132"/>
    <cellStyle name="Normal 43 3 5" xfId="23609"/>
    <cellStyle name="Normal 43 4" xfId="2761"/>
    <cellStyle name="Normal 43 4 2" xfId="6262"/>
    <cellStyle name="Normal 43 4 2 2" xfId="14743"/>
    <cellStyle name="Normal 43 4 2 3" xfId="21257"/>
    <cellStyle name="Normal 43 4 2 4" xfId="27646"/>
    <cellStyle name="Normal 43 4 3" xfId="11271"/>
    <cellStyle name="Normal 43 4 4" xfId="17840"/>
    <cellStyle name="Normal 43 4 5" xfId="24242"/>
    <cellStyle name="Normal 43 5" xfId="2935"/>
    <cellStyle name="Normal 43 5 2" xfId="6429"/>
    <cellStyle name="Normal 43 5 2 2" xfId="14910"/>
    <cellStyle name="Normal 43 5 2 3" xfId="21424"/>
    <cellStyle name="Normal 43 5 2 4" xfId="27813"/>
    <cellStyle name="Normal 43 5 3" xfId="11441"/>
    <cellStyle name="Normal 43 5 4" xfId="18007"/>
    <cellStyle name="Normal 43 5 5" xfId="24409"/>
    <cellStyle name="Normal 43 6" xfId="3109"/>
    <cellStyle name="Normal 43 6 2" xfId="6596"/>
    <cellStyle name="Normal 43 6 2 2" xfId="15077"/>
    <cellStyle name="Normal 43 6 2 3" xfId="21591"/>
    <cellStyle name="Normal 43 6 2 4" xfId="27980"/>
    <cellStyle name="Normal 43 6 3" xfId="11611"/>
    <cellStyle name="Normal 43 6 4" xfId="18174"/>
    <cellStyle name="Normal 43 6 5" xfId="24576"/>
    <cellStyle name="Normal 43 7" xfId="3282"/>
    <cellStyle name="Normal 43 7 2" xfId="6763"/>
    <cellStyle name="Normal 43 7 2 2" xfId="15244"/>
    <cellStyle name="Normal 43 7 2 3" xfId="21758"/>
    <cellStyle name="Normal 43 7 2 4" xfId="28147"/>
    <cellStyle name="Normal 43 7 3" xfId="11782"/>
    <cellStyle name="Normal 43 7 4" xfId="18341"/>
    <cellStyle name="Normal 43 7 5" xfId="24743"/>
    <cellStyle name="Normal 43 8" xfId="3453"/>
    <cellStyle name="Normal 43 8 2" xfId="6928"/>
    <cellStyle name="Normal 43 8 2 2" xfId="15409"/>
    <cellStyle name="Normal 43 8 2 3" xfId="21923"/>
    <cellStyle name="Normal 43 8 2 4" xfId="28312"/>
    <cellStyle name="Normal 43 8 3" xfId="11950"/>
    <cellStyle name="Normal 43 8 4" xfId="18506"/>
    <cellStyle name="Normal 43 8 5" xfId="24908"/>
    <cellStyle name="Normal 43 9" xfId="3623"/>
    <cellStyle name="Normal 43 9 2" xfId="7092"/>
    <cellStyle name="Normal 43 9 2 2" xfId="15573"/>
    <cellStyle name="Normal 43 9 2 3" xfId="22087"/>
    <cellStyle name="Normal 43 9 2 4" xfId="28476"/>
    <cellStyle name="Normal 43 9 3" xfId="12118"/>
    <cellStyle name="Normal 43 9 4" xfId="18671"/>
    <cellStyle name="Normal 43 9 5" xfId="25072"/>
    <cellStyle name="Normal 44" xfId="1229"/>
    <cellStyle name="Normal 44 10" xfId="3791"/>
    <cellStyle name="Normal 44 10 2" xfId="7254"/>
    <cellStyle name="Normal 44 10 2 2" xfId="15735"/>
    <cellStyle name="Normal 44 10 2 3" xfId="22249"/>
    <cellStyle name="Normal 44 10 2 4" xfId="28638"/>
    <cellStyle name="Normal 44 10 3" xfId="12286"/>
    <cellStyle name="Normal 44 10 4" xfId="18836"/>
    <cellStyle name="Normal 44 10 5" xfId="25234"/>
    <cellStyle name="Normal 44 11" xfId="3958"/>
    <cellStyle name="Normal 44 11 2" xfId="7416"/>
    <cellStyle name="Normal 44 11 2 2" xfId="15897"/>
    <cellStyle name="Normal 44 11 2 3" xfId="22411"/>
    <cellStyle name="Normal 44 11 2 4" xfId="28800"/>
    <cellStyle name="Normal 44 11 3" xfId="12452"/>
    <cellStyle name="Normal 44 11 4" xfId="18999"/>
    <cellStyle name="Normal 44 11 5" xfId="25396"/>
    <cellStyle name="Normal 44 12" xfId="4123"/>
    <cellStyle name="Normal 44 12 2" xfId="7576"/>
    <cellStyle name="Normal 44 12 2 2" xfId="16057"/>
    <cellStyle name="Normal 44 12 2 3" xfId="22571"/>
    <cellStyle name="Normal 44 12 2 4" xfId="28960"/>
    <cellStyle name="Normal 44 12 3" xfId="12616"/>
    <cellStyle name="Normal 44 12 4" xfId="19160"/>
    <cellStyle name="Normal 44 12 5" xfId="25556"/>
    <cellStyle name="Normal 44 13" xfId="4285"/>
    <cellStyle name="Normal 44 13 2" xfId="7733"/>
    <cellStyle name="Normal 44 13 2 2" xfId="16214"/>
    <cellStyle name="Normal 44 13 2 3" xfId="22728"/>
    <cellStyle name="Normal 44 13 2 4" xfId="29117"/>
    <cellStyle name="Normal 44 13 3" xfId="12777"/>
    <cellStyle name="Normal 44 13 4" xfId="19318"/>
    <cellStyle name="Normal 44 13 5" xfId="25713"/>
    <cellStyle name="Normal 44 14" xfId="4445"/>
    <cellStyle name="Normal 44 14 2" xfId="7888"/>
    <cellStyle name="Normal 44 14 2 2" xfId="16369"/>
    <cellStyle name="Normal 44 14 2 3" xfId="22883"/>
    <cellStyle name="Normal 44 14 2 4" xfId="29272"/>
    <cellStyle name="Normal 44 14 3" xfId="12936"/>
    <cellStyle name="Normal 44 14 4" xfId="19474"/>
    <cellStyle name="Normal 44 14 5" xfId="25868"/>
    <cellStyle name="Normal 44 15" xfId="4605"/>
    <cellStyle name="Normal 44 15 2" xfId="8043"/>
    <cellStyle name="Normal 44 15 2 2" xfId="16524"/>
    <cellStyle name="Normal 44 15 2 3" xfId="23038"/>
    <cellStyle name="Normal 44 15 2 4" xfId="29427"/>
    <cellStyle name="Normal 44 15 3" xfId="13096"/>
    <cellStyle name="Normal 44 15 4" xfId="19630"/>
    <cellStyle name="Normal 44 15 5" xfId="26023"/>
    <cellStyle name="Normal 44 16" xfId="4765"/>
    <cellStyle name="Normal 44 16 2" xfId="8198"/>
    <cellStyle name="Normal 44 16 2 2" xfId="16679"/>
    <cellStyle name="Normal 44 16 2 3" xfId="23193"/>
    <cellStyle name="Normal 44 16 2 4" xfId="29582"/>
    <cellStyle name="Normal 44 16 3" xfId="13255"/>
    <cellStyle name="Normal 44 16 4" xfId="19786"/>
    <cellStyle name="Normal 44 16 5" xfId="26178"/>
    <cellStyle name="Normal 44 17" xfId="4923"/>
    <cellStyle name="Normal 44 17 2" xfId="8351"/>
    <cellStyle name="Normal 44 17 2 2" xfId="16832"/>
    <cellStyle name="Normal 44 17 2 3" xfId="23346"/>
    <cellStyle name="Normal 44 17 2 4" xfId="29735"/>
    <cellStyle name="Normal 44 17 3" xfId="13412"/>
    <cellStyle name="Normal 44 17 4" xfId="19940"/>
    <cellStyle name="Normal 44 17 5" xfId="26331"/>
    <cellStyle name="Normal 44 18" xfId="5058"/>
    <cellStyle name="Normal 44 18 2" xfId="8481"/>
    <cellStyle name="Normal 44 18 2 2" xfId="16962"/>
    <cellStyle name="Normal 44 18 2 3" xfId="23476"/>
    <cellStyle name="Normal 44 18 2 4" xfId="29865"/>
    <cellStyle name="Normal 44 18 3" xfId="13546"/>
    <cellStyle name="Normal 44 18 4" xfId="20071"/>
    <cellStyle name="Normal 44 18 5" xfId="26461"/>
    <cellStyle name="Normal 44 19" xfId="5262"/>
    <cellStyle name="Normal 44 19 2" xfId="13743"/>
    <cellStyle name="Normal 44 19 3" xfId="20260"/>
    <cellStyle name="Normal 44 19 4" xfId="26649"/>
    <cellStyle name="Normal 44 2" xfId="1866"/>
    <cellStyle name="Normal 44 2 2" xfId="5462"/>
    <cellStyle name="Normal 44 2 2 2" xfId="13943"/>
    <cellStyle name="Normal 44 2 2 3" xfId="20457"/>
    <cellStyle name="Normal 44 2 2 4" xfId="26846"/>
    <cellStyle name="Normal 44 2 3" xfId="10436"/>
    <cellStyle name="Normal 44 2 4" xfId="9576"/>
    <cellStyle name="Normal 44 2 5" xfId="10144"/>
    <cellStyle name="Normal 44 20" xfId="10009"/>
    <cellStyle name="Normal 44 21" xfId="17422"/>
    <cellStyle name="Normal 44 22" xfId="23859"/>
    <cellStyle name="Normal 44 3" xfId="2186"/>
    <cellStyle name="Normal 44 3 2" xfId="5756"/>
    <cellStyle name="Normal 44 3 2 2" xfId="14237"/>
    <cellStyle name="Normal 44 3 2 3" xfId="20751"/>
    <cellStyle name="Normal 44 3 2 4" xfId="27140"/>
    <cellStyle name="Normal 44 3 3" xfId="10742"/>
    <cellStyle name="Normal 44 3 4" xfId="17133"/>
    <cellStyle name="Normal 44 3 5" xfId="23610"/>
    <cellStyle name="Normal 44 4" xfId="2760"/>
    <cellStyle name="Normal 44 4 2" xfId="6261"/>
    <cellStyle name="Normal 44 4 2 2" xfId="14742"/>
    <cellStyle name="Normal 44 4 2 3" xfId="21256"/>
    <cellStyle name="Normal 44 4 2 4" xfId="27645"/>
    <cellStyle name="Normal 44 4 3" xfId="11270"/>
    <cellStyle name="Normal 44 4 4" xfId="17839"/>
    <cellStyle name="Normal 44 4 5" xfId="24241"/>
    <cellStyle name="Normal 44 5" xfId="2934"/>
    <cellStyle name="Normal 44 5 2" xfId="6428"/>
    <cellStyle name="Normal 44 5 2 2" xfId="14909"/>
    <cellStyle name="Normal 44 5 2 3" xfId="21423"/>
    <cellStyle name="Normal 44 5 2 4" xfId="27812"/>
    <cellStyle name="Normal 44 5 3" xfId="11440"/>
    <cellStyle name="Normal 44 5 4" xfId="18006"/>
    <cellStyle name="Normal 44 5 5" xfId="24408"/>
    <cellStyle name="Normal 44 6" xfId="3108"/>
    <cellStyle name="Normal 44 6 2" xfId="6595"/>
    <cellStyle name="Normal 44 6 2 2" xfId="15076"/>
    <cellStyle name="Normal 44 6 2 3" xfId="21590"/>
    <cellStyle name="Normal 44 6 2 4" xfId="27979"/>
    <cellStyle name="Normal 44 6 3" xfId="11610"/>
    <cellStyle name="Normal 44 6 4" xfId="18173"/>
    <cellStyle name="Normal 44 6 5" xfId="24575"/>
    <cellStyle name="Normal 44 7" xfId="3281"/>
    <cellStyle name="Normal 44 7 2" xfId="6762"/>
    <cellStyle name="Normal 44 7 2 2" xfId="15243"/>
    <cellStyle name="Normal 44 7 2 3" xfId="21757"/>
    <cellStyle name="Normal 44 7 2 4" xfId="28146"/>
    <cellStyle name="Normal 44 7 3" xfId="11781"/>
    <cellStyle name="Normal 44 7 4" xfId="18340"/>
    <cellStyle name="Normal 44 7 5" xfId="24742"/>
    <cellStyle name="Normal 44 8" xfId="3452"/>
    <cellStyle name="Normal 44 8 2" xfId="6927"/>
    <cellStyle name="Normal 44 8 2 2" xfId="15408"/>
    <cellStyle name="Normal 44 8 2 3" xfId="21922"/>
    <cellStyle name="Normal 44 8 2 4" xfId="28311"/>
    <cellStyle name="Normal 44 8 3" xfId="11949"/>
    <cellStyle name="Normal 44 8 4" xfId="18505"/>
    <cellStyle name="Normal 44 8 5" xfId="24907"/>
    <cellStyle name="Normal 44 9" xfId="3622"/>
    <cellStyle name="Normal 44 9 2" xfId="7091"/>
    <cellStyle name="Normal 44 9 2 2" xfId="15572"/>
    <cellStyle name="Normal 44 9 2 3" xfId="22086"/>
    <cellStyle name="Normal 44 9 2 4" xfId="28475"/>
    <cellStyle name="Normal 44 9 3" xfId="12117"/>
    <cellStyle name="Normal 44 9 4" xfId="18670"/>
    <cellStyle name="Normal 44 9 5" xfId="25071"/>
    <cellStyle name="Normal 45" xfId="1230"/>
    <cellStyle name="Normal 45 10" xfId="3790"/>
    <cellStyle name="Normal 45 10 2" xfId="7253"/>
    <cellStyle name="Normal 45 10 2 2" xfId="15734"/>
    <cellStyle name="Normal 45 10 2 3" xfId="22248"/>
    <cellStyle name="Normal 45 10 2 4" xfId="28637"/>
    <cellStyle name="Normal 45 10 3" xfId="12285"/>
    <cellStyle name="Normal 45 10 4" xfId="18835"/>
    <cellStyle name="Normal 45 10 5" xfId="25233"/>
    <cellStyle name="Normal 45 11" xfId="3957"/>
    <cellStyle name="Normal 45 11 2" xfId="7415"/>
    <cellStyle name="Normal 45 11 2 2" xfId="15896"/>
    <cellStyle name="Normal 45 11 2 3" xfId="22410"/>
    <cellStyle name="Normal 45 11 2 4" xfId="28799"/>
    <cellStyle name="Normal 45 11 3" xfId="12451"/>
    <cellStyle name="Normal 45 11 4" xfId="18998"/>
    <cellStyle name="Normal 45 11 5" xfId="25395"/>
    <cellStyle name="Normal 45 12" xfId="4122"/>
    <cellStyle name="Normal 45 12 2" xfId="7575"/>
    <cellStyle name="Normal 45 12 2 2" xfId="16056"/>
    <cellStyle name="Normal 45 12 2 3" xfId="22570"/>
    <cellStyle name="Normal 45 12 2 4" xfId="28959"/>
    <cellStyle name="Normal 45 12 3" xfId="12615"/>
    <cellStyle name="Normal 45 12 4" xfId="19159"/>
    <cellStyle name="Normal 45 12 5" xfId="25555"/>
    <cellStyle name="Normal 45 13" xfId="4284"/>
    <cellStyle name="Normal 45 13 2" xfId="7732"/>
    <cellStyle name="Normal 45 13 2 2" xfId="16213"/>
    <cellStyle name="Normal 45 13 2 3" xfId="22727"/>
    <cellStyle name="Normal 45 13 2 4" xfId="29116"/>
    <cellStyle name="Normal 45 13 3" xfId="12776"/>
    <cellStyle name="Normal 45 13 4" xfId="19317"/>
    <cellStyle name="Normal 45 13 5" xfId="25712"/>
    <cellStyle name="Normal 45 14" xfId="4444"/>
    <cellStyle name="Normal 45 14 2" xfId="7887"/>
    <cellStyle name="Normal 45 14 2 2" xfId="16368"/>
    <cellStyle name="Normal 45 14 2 3" xfId="22882"/>
    <cellStyle name="Normal 45 14 2 4" xfId="29271"/>
    <cellStyle name="Normal 45 14 3" xfId="12935"/>
    <cellStyle name="Normal 45 14 4" xfId="19473"/>
    <cellStyle name="Normal 45 14 5" xfId="25867"/>
    <cellStyle name="Normal 45 15" xfId="4604"/>
    <cellStyle name="Normal 45 15 2" xfId="8042"/>
    <cellStyle name="Normal 45 15 2 2" xfId="16523"/>
    <cellStyle name="Normal 45 15 2 3" xfId="23037"/>
    <cellStyle name="Normal 45 15 2 4" xfId="29426"/>
    <cellStyle name="Normal 45 15 3" xfId="13095"/>
    <cellStyle name="Normal 45 15 4" xfId="19629"/>
    <cellStyle name="Normal 45 15 5" xfId="26022"/>
    <cellStyle name="Normal 45 16" xfId="4764"/>
    <cellStyle name="Normal 45 16 2" xfId="8197"/>
    <cellStyle name="Normal 45 16 2 2" xfId="16678"/>
    <cellStyle name="Normal 45 16 2 3" xfId="23192"/>
    <cellStyle name="Normal 45 16 2 4" xfId="29581"/>
    <cellStyle name="Normal 45 16 3" xfId="13254"/>
    <cellStyle name="Normal 45 16 4" xfId="19785"/>
    <cellStyle name="Normal 45 16 5" xfId="26177"/>
    <cellStyle name="Normal 45 17" xfId="4922"/>
    <cellStyle name="Normal 45 17 2" xfId="8350"/>
    <cellStyle name="Normal 45 17 2 2" xfId="16831"/>
    <cellStyle name="Normal 45 17 2 3" xfId="23345"/>
    <cellStyle name="Normal 45 17 2 4" xfId="29734"/>
    <cellStyle name="Normal 45 17 3" xfId="13411"/>
    <cellStyle name="Normal 45 17 4" xfId="19939"/>
    <cellStyle name="Normal 45 17 5" xfId="26330"/>
    <cellStyle name="Normal 45 18" xfId="5057"/>
    <cellStyle name="Normal 45 18 2" xfId="8480"/>
    <cellStyle name="Normal 45 18 2 2" xfId="16961"/>
    <cellStyle name="Normal 45 18 2 3" xfId="23475"/>
    <cellStyle name="Normal 45 18 2 4" xfId="29864"/>
    <cellStyle name="Normal 45 18 3" xfId="13545"/>
    <cellStyle name="Normal 45 18 4" xfId="20070"/>
    <cellStyle name="Normal 45 18 5" xfId="26460"/>
    <cellStyle name="Normal 45 19" xfId="5263"/>
    <cellStyle name="Normal 45 19 2" xfId="13744"/>
    <cellStyle name="Normal 45 19 3" xfId="20261"/>
    <cellStyle name="Normal 45 19 4" xfId="26650"/>
    <cellStyle name="Normal 45 2" xfId="1867"/>
    <cellStyle name="Normal 45 2 2" xfId="5463"/>
    <cellStyle name="Normal 45 2 2 2" xfId="13944"/>
    <cellStyle name="Normal 45 2 2 3" xfId="20458"/>
    <cellStyle name="Normal 45 2 2 4" xfId="26847"/>
    <cellStyle name="Normal 45 2 3" xfId="10437"/>
    <cellStyle name="Normal 45 2 4" xfId="9575"/>
    <cellStyle name="Normal 45 2 5" xfId="10145"/>
    <cellStyle name="Normal 45 20" xfId="10010"/>
    <cellStyle name="Normal 45 21" xfId="17436"/>
    <cellStyle name="Normal 45 22" xfId="23871"/>
    <cellStyle name="Normal 45 3" xfId="2187"/>
    <cellStyle name="Normal 45 3 2" xfId="5757"/>
    <cellStyle name="Normal 45 3 2 2" xfId="14238"/>
    <cellStyle name="Normal 45 3 2 3" xfId="20752"/>
    <cellStyle name="Normal 45 3 2 4" xfId="27141"/>
    <cellStyle name="Normal 45 3 3" xfId="10743"/>
    <cellStyle name="Normal 45 3 4" xfId="17134"/>
    <cellStyle name="Normal 45 3 5" xfId="23611"/>
    <cellStyle name="Normal 45 4" xfId="2759"/>
    <cellStyle name="Normal 45 4 2" xfId="6260"/>
    <cellStyle name="Normal 45 4 2 2" xfId="14741"/>
    <cellStyle name="Normal 45 4 2 3" xfId="21255"/>
    <cellStyle name="Normal 45 4 2 4" xfId="27644"/>
    <cellStyle name="Normal 45 4 3" xfId="11269"/>
    <cellStyle name="Normal 45 4 4" xfId="17838"/>
    <cellStyle name="Normal 45 4 5" xfId="24240"/>
    <cellStyle name="Normal 45 5" xfId="2933"/>
    <cellStyle name="Normal 45 5 2" xfId="6427"/>
    <cellStyle name="Normal 45 5 2 2" xfId="14908"/>
    <cellStyle name="Normal 45 5 2 3" xfId="21422"/>
    <cellStyle name="Normal 45 5 2 4" xfId="27811"/>
    <cellStyle name="Normal 45 5 3" xfId="11439"/>
    <cellStyle name="Normal 45 5 4" xfId="18005"/>
    <cellStyle name="Normal 45 5 5" xfId="24407"/>
    <cellStyle name="Normal 45 6" xfId="3107"/>
    <cellStyle name="Normal 45 6 2" xfId="6594"/>
    <cellStyle name="Normal 45 6 2 2" xfId="15075"/>
    <cellStyle name="Normal 45 6 2 3" xfId="21589"/>
    <cellStyle name="Normal 45 6 2 4" xfId="27978"/>
    <cellStyle name="Normal 45 6 3" xfId="11609"/>
    <cellStyle name="Normal 45 6 4" xfId="18172"/>
    <cellStyle name="Normal 45 6 5" xfId="24574"/>
    <cellStyle name="Normal 45 7" xfId="3280"/>
    <cellStyle name="Normal 45 7 2" xfId="6761"/>
    <cellStyle name="Normal 45 7 2 2" xfId="15242"/>
    <cellStyle name="Normal 45 7 2 3" xfId="21756"/>
    <cellStyle name="Normal 45 7 2 4" xfId="28145"/>
    <cellStyle name="Normal 45 7 3" xfId="11780"/>
    <cellStyle name="Normal 45 7 4" xfId="18339"/>
    <cellStyle name="Normal 45 7 5" xfId="24741"/>
    <cellStyle name="Normal 45 8" xfId="3451"/>
    <cellStyle name="Normal 45 8 2" xfId="6926"/>
    <cellStyle name="Normal 45 8 2 2" xfId="15407"/>
    <cellStyle name="Normal 45 8 2 3" xfId="21921"/>
    <cellStyle name="Normal 45 8 2 4" xfId="28310"/>
    <cellStyle name="Normal 45 8 3" xfId="11948"/>
    <cellStyle name="Normal 45 8 4" xfId="18504"/>
    <cellStyle name="Normal 45 8 5" xfId="24906"/>
    <cellStyle name="Normal 45 9" xfId="3621"/>
    <cellStyle name="Normal 45 9 2" xfId="7090"/>
    <cellStyle name="Normal 45 9 2 2" xfId="15571"/>
    <cellStyle name="Normal 45 9 2 3" xfId="22085"/>
    <cellStyle name="Normal 45 9 2 4" xfId="28474"/>
    <cellStyle name="Normal 45 9 3" xfId="12116"/>
    <cellStyle name="Normal 45 9 4" xfId="18669"/>
    <cellStyle name="Normal 45 9 5" xfId="25070"/>
    <cellStyle name="Normal 46" xfId="1231"/>
    <cellStyle name="Normal 46 10" xfId="3789"/>
    <cellStyle name="Normal 46 10 2" xfId="7252"/>
    <cellStyle name="Normal 46 10 2 2" xfId="15733"/>
    <cellStyle name="Normal 46 10 2 3" xfId="22247"/>
    <cellStyle name="Normal 46 10 2 4" xfId="28636"/>
    <cellStyle name="Normal 46 10 3" xfId="12284"/>
    <cellStyle name="Normal 46 10 4" xfId="18834"/>
    <cellStyle name="Normal 46 10 5" xfId="25232"/>
    <cellStyle name="Normal 46 11" xfId="3956"/>
    <cellStyle name="Normal 46 11 2" xfId="7414"/>
    <cellStyle name="Normal 46 11 2 2" xfId="15895"/>
    <cellStyle name="Normal 46 11 2 3" xfId="22409"/>
    <cellStyle name="Normal 46 11 2 4" xfId="28798"/>
    <cellStyle name="Normal 46 11 3" xfId="12450"/>
    <cellStyle name="Normal 46 11 4" xfId="18997"/>
    <cellStyle name="Normal 46 11 5" xfId="25394"/>
    <cellStyle name="Normal 46 12" xfId="4121"/>
    <cellStyle name="Normal 46 12 2" xfId="7574"/>
    <cellStyle name="Normal 46 12 2 2" xfId="16055"/>
    <cellStyle name="Normal 46 12 2 3" xfId="22569"/>
    <cellStyle name="Normal 46 12 2 4" xfId="28958"/>
    <cellStyle name="Normal 46 12 3" xfId="12614"/>
    <cellStyle name="Normal 46 12 4" xfId="19158"/>
    <cellStyle name="Normal 46 12 5" xfId="25554"/>
    <cellStyle name="Normal 46 13" xfId="4283"/>
    <cellStyle name="Normal 46 13 2" xfId="7731"/>
    <cellStyle name="Normal 46 13 2 2" xfId="16212"/>
    <cellStyle name="Normal 46 13 2 3" xfId="22726"/>
    <cellStyle name="Normal 46 13 2 4" xfId="29115"/>
    <cellStyle name="Normal 46 13 3" xfId="12775"/>
    <cellStyle name="Normal 46 13 4" xfId="19316"/>
    <cellStyle name="Normal 46 13 5" xfId="25711"/>
    <cellStyle name="Normal 46 14" xfId="4443"/>
    <cellStyle name="Normal 46 14 2" xfId="7886"/>
    <cellStyle name="Normal 46 14 2 2" xfId="16367"/>
    <cellStyle name="Normal 46 14 2 3" xfId="22881"/>
    <cellStyle name="Normal 46 14 2 4" xfId="29270"/>
    <cellStyle name="Normal 46 14 3" xfId="12934"/>
    <cellStyle name="Normal 46 14 4" xfId="19472"/>
    <cellStyle name="Normal 46 14 5" xfId="25866"/>
    <cellStyle name="Normal 46 15" xfId="4603"/>
    <cellStyle name="Normal 46 15 2" xfId="8041"/>
    <cellStyle name="Normal 46 15 2 2" xfId="16522"/>
    <cellStyle name="Normal 46 15 2 3" xfId="23036"/>
    <cellStyle name="Normal 46 15 2 4" xfId="29425"/>
    <cellStyle name="Normal 46 15 3" xfId="13094"/>
    <cellStyle name="Normal 46 15 4" xfId="19628"/>
    <cellStyle name="Normal 46 15 5" xfId="26021"/>
    <cellStyle name="Normal 46 16" xfId="4763"/>
    <cellStyle name="Normal 46 16 2" xfId="8196"/>
    <cellStyle name="Normal 46 16 2 2" xfId="16677"/>
    <cellStyle name="Normal 46 16 2 3" xfId="23191"/>
    <cellStyle name="Normal 46 16 2 4" xfId="29580"/>
    <cellStyle name="Normal 46 16 3" xfId="13253"/>
    <cellStyle name="Normal 46 16 4" xfId="19784"/>
    <cellStyle name="Normal 46 16 5" xfId="26176"/>
    <cellStyle name="Normal 46 17" xfId="4921"/>
    <cellStyle name="Normal 46 17 2" xfId="8349"/>
    <cellStyle name="Normal 46 17 2 2" xfId="16830"/>
    <cellStyle name="Normal 46 17 2 3" xfId="23344"/>
    <cellStyle name="Normal 46 17 2 4" xfId="29733"/>
    <cellStyle name="Normal 46 17 3" xfId="13410"/>
    <cellStyle name="Normal 46 17 4" xfId="19938"/>
    <cellStyle name="Normal 46 17 5" xfId="26329"/>
    <cellStyle name="Normal 46 18" xfId="5056"/>
    <cellStyle name="Normal 46 18 2" xfId="8479"/>
    <cellStyle name="Normal 46 18 2 2" xfId="16960"/>
    <cellStyle name="Normal 46 18 2 3" xfId="23474"/>
    <cellStyle name="Normal 46 18 2 4" xfId="29863"/>
    <cellStyle name="Normal 46 18 3" xfId="13544"/>
    <cellStyle name="Normal 46 18 4" xfId="20069"/>
    <cellStyle name="Normal 46 18 5" xfId="26459"/>
    <cellStyle name="Normal 46 19" xfId="5264"/>
    <cellStyle name="Normal 46 19 2" xfId="13745"/>
    <cellStyle name="Normal 46 19 3" xfId="20262"/>
    <cellStyle name="Normal 46 19 4" xfId="26651"/>
    <cellStyle name="Normal 46 2" xfId="1868"/>
    <cellStyle name="Normal 46 2 2" xfId="5464"/>
    <cellStyle name="Normal 46 2 2 2" xfId="13945"/>
    <cellStyle name="Normal 46 2 2 3" xfId="20459"/>
    <cellStyle name="Normal 46 2 2 4" xfId="26848"/>
    <cellStyle name="Normal 46 2 3" xfId="10438"/>
    <cellStyle name="Normal 46 2 4" xfId="9574"/>
    <cellStyle name="Normal 46 2 5" xfId="10146"/>
    <cellStyle name="Normal 46 20" xfId="10011"/>
    <cellStyle name="Normal 46 21" xfId="17087"/>
    <cellStyle name="Normal 46 22" xfId="23564"/>
    <cellStyle name="Normal 46 3" xfId="2188"/>
    <cellStyle name="Normal 46 3 2" xfId="5758"/>
    <cellStyle name="Normal 46 3 2 2" xfId="14239"/>
    <cellStyle name="Normal 46 3 2 3" xfId="20753"/>
    <cellStyle name="Normal 46 3 2 4" xfId="27142"/>
    <cellStyle name="Normal 46 3 3" xfId="10744"/>
    <cellStyle name="Normal 46 3 4" xfId="17135"/>
    <cellStyle name="Normal 46 3 5" xfId="23612"/>
    <cellStyle name="Normal 46 4" xfId="2758"/>
    <cellStyle name="Normal 46 4 2" xfId="6259"/>
    <cellStyle name="Normal 46 4 2 2" xfId="14740"/>
    <cellStyle name="Normal 46 4 2 3" xfId="21254"/>
    <cellStyle name="Normal 46 4 2 4" xfId="27643"/>
    <cellStyle name="Normal 46 4 3" xfId="11268"/>
    <cellStyle name="Normal 46 4 4" xfId="17837"/>
    <cellStyle name="Normal 46 4 5" xfId="24239"/>
    <cellStyle name="Normal 46 5" xfId="2932"/>
    <cellStyle name="Normal 46 5 2" xfId="6426"/>
    <cellStyle name="Normal 46 5 2 2" xfId="14907"/>
    <cellStyle name="Normal 46 5 2 3" xfId="21421"/>
    <cellStyle name="Normal 46 5 2 4" xfId="27810"/>
    <cellStyle name="Normal 46 5 3" xfId="11438"/>
    <cellStyle name="Normal 46 5 4" xfId="18004"/>
    <cellStyle name="Normal 46 5 5" xfId="24406"/>
    <cellStyle name="Normal 46 6" xfId="3106"/>
    <cellStyle name="Normal 46 6 2" xfId="6593"/>
    <cellStyle name="Normal 46 6 2 2" xfId="15074"/>
    <cellStyle name="Normal 46 6 2 3" xfId="21588"/>
    <cellStyle name="Normal 46 6 2 4" xfId="27977"/>
    <cellStyle name="Normal 46 6 3" xfId="11608"/>
    <cellStyle name="Normal 46 6 4" xfId="18171"/>
    <cellStyle name="Normal 46 6 5" xfId="24573"/>
    <cellStyle name="Normal 46 7" xfId="3279"/>
    <cellStyle name="Normal 46 7 2" xfId="6760"/>
    <cellStyle name="Normal 46 7 2 2" xfId="15241"/>
    <cellStyle name="Normal 46 7 2 3" xfId="21755"/>
    <cellStyle name="Normal 46 7 2 4" xfId="28144"/>
    <cellStyle name="Normal 46 7 3" xfId="11779"/>
    <cellStyle name="Normal 46 7 4" xfId="18338"/>
    <cellStyle name="Normal 46 7 5" xfId="24740"/>
    <cellStyle name="Normal 46 8" xfId="3450"/>
    <cellStyle name="Normal 46 8 2" xfId="6925"/>
    <cellStyle name="Normal 46 8 2 2" xfId="15406"/>
    <cellStyle name="Normal 46 8 2 3" xfId="21920"/>
    <cellStyle name="Normal 46 8 2 4" xfId="28309"/>
    <cellStyle name="Normal 46 8 3" xfId="11947"/>
    <cellStyle name="Normal 46 8 4" xfId="18503"/>
    <cellStyle name="Normal 46 8 5" xfId="24905"/>
    <cellStyle name="Normal 46 9" xfId="3620"/>
    <cellStyle name="Normal 46 9 2" xfId="7089"/>
    <cellStyle name="Normal 46 9 2 2" xfId="15570"/>
    <cellStyle name="Normal 46 9 2 3" xfId="22084"/>
    <cellStyle name="Normal 46 9 2 4" xfId="28473"/>
    <cellStyle name="Normal 46 9 3" xfId="12115"/>
    <cellStyle name="Normal 46 9 4" xfId="18668"/>
    <cellStyle name="Normal 46 9 5" xfId="25069"/>
    <cellStyle name="Normal 47" xfId="1232"/>
    <cellStyle name="Normal 47 10" xfId="3788"/>
    <cellStyle name="Normal 47 10 2" xfId="7251"/>
    <cellStyle name="Normal 47 10 2 2" xfId="15732"/>
    <cellStyle name="Normal 47 10 2 3" xfId="22246"/>
    <cellStyle name="Normal 47 10 2 4" xfId="28635"/>
    <cellStyle name="Normal 47 10 3" xfId="12283"/>
    <cellStyle name="Normal 47 10 4" xfId="18833"/>
    <cellStyle name="Normal 47 10 5" xfId="25231"/>
    <cellStyle name="Normal 47 11" xfId="3955"/>
    <cellStyle name="Normal 47 11 2" xfId="7413"/>
    <cellStyle name="Normal 47 11 2 2" xfId="15894"/>
    <cellStyle name="Normal 47 11 2 3" xfId="22408"/>
    <cellStyle name="Normal 47 11 2 4" xfId="28797"/>
    <cellStyle name="Normal 47 11 3" xfId="12449"/>
    <cellStyle name="Normal 47 11 4" xfId="18996"/>
    <cellStyle name="Normal 47 11 5" xfId="25393"/>
    <cellStyle name="Normal 47 12" xfId="4120"/>
    <cellStyle name="Normal 47 12 2" xfId="7573"/>
    <cellStyle name="Normal 47 12 2 2" xfId="16054"/>
    <cellStyle name="Normal 47 12 2 3" xfId="22568"/>
    <cellStyle name="Normal 47 12 2 4" xfId="28957"/>
    <cellStyle name="Normal 47 12 3" xfId="12613"/>
    <cellStyle name="Normal 47 12 4" xfId="19157"/>
    <cellStyle name="Normal 47 12 5" xfId="25553"/>
    <cellStyle name="Normal 47 13" xfId="4282"/>
    <cellStyle name="Normal 47 13 2" xfId="7730"/>
    <cellStyle name="Normal 47 13 2 2" xfId="16211"/>
    <cellStyle name="Normal 47 13 2 3" xfId="22725"/>
    <cellStyle name="Normal 47 13 2 4" xfId="29114"/>
    <cellStyle name="Normal 47 13 3" xfId="12774"/>
    <cellStyle name="Normal 47 13 4" xfId="19315"/>
    <cellStyle name="Normal 47 13 5" xfId="25710"/>
    <cellStyle name="Normal 47 14" xfId="4442"/>
    <cellStyle name="Normal 47 14 2" xfId="7885"/>
    <cellStyle name="Normal 47 14 2 2" xfId="16366"/>
    <cellStyle name="Normal 47 14 2 3" xfId="22880"/>
    <cellStyle name="Normal 47 14 2 4" xfId="29269"/>
    <cellStyle name="Normal 47 14 3" xfId="12933"/>
    <cellStyle name="Normal 47 14 4" xfId="19471"/>
    <cellStyle name="Normal 47 14 5" xfId="25865"/>
    <cellStyle name="Normal 47 15" xfId="4602"/>
    <cellStyle name="Normal 47 15 2" xfId="8040"/>
    <cellStyle name="Normal 47 15 2 2" xfId="16521"/>
    <cellStyle name="Normal 47 15 2 3" xfId="23035"/>
    <cellStyle name="Normal 47 15 2 4" xfId="29424"/>
    <cellStyle name="Normal 47 15 3" xfId="13093"/>
    <cellStyle name="Normal 47 15 4" xfId="19627"/>
    <cellStyle name="Normal 47 15 5" xfId="26020"/>
    <cellStyle name="Normal 47 16" xfId="4762"/>
    <cellStyle name="Normal 47 16 2" xfId="8195"/>
    <cellStyle name="Normal 47 16 2 2" xfId="16676"/>
    <cellStyle name="Normal 47 16 2 3" xfId="23190"/>
    <cellStyle name="Normal 47 16 2 4" xfId="29579"/>
    <cellStyle name="Normal 47 16 3" xfId="13252"/>
    <cellStyle name="Normal 47 16 4" xfId="19783"/>
    <cellStyle name="Normal 47 16 5" xfId="26175"/>
    <cellStyle name="Normal 47 17" xfId="4920"/>
    <cellStyle name="Normal 47 17 2" xfId="8348"/>
    <cellStyle name="Normal 47 17 2 2" xfId="16829"/>
    <cellStyle name="Normal 47 17 2 3" xfId="23343"/>
    <cellStyle name="Normal 47 17 2 4" xfId="29732"/>
    <cellStyle name="Normal 47 17 3" xfId="13409"/>
    <cellStyle name="Normal 47 17 4" xfId="19937"/>
    <cellStyle name="Normal 47 17 5" xfId="26328"/>
    <cellStyle name="Normal 47 18" xfId="5055"/>
    <cellStyle name="Normal 47 18 2" xfId="8478"/>
    <cellStyle name="Normal 47 18 2 2" xfId="16959"/>
    <cellStyle name="Normal 47 18 2 3" xfId="23473"/>
    <cellStyle name="Normal 47 18 2 4" xfId="29862"/>
    <cellStyle name="Normal 47 18 3" xfId="13543"/>
    <cellStyle name="Normal 47 18 4" xfId="20068"/>
    <cellStyle name="Normal 47 18 5" xfId="26458"/>
    <cellStyle name="Normal 47 19" xfId="5265"/>
    <cellStyle name="Normal 47 19 2" xfId="13746"/>
    <cellStyle name="Normal 47 19 3" xfId="20263"/>
    <cellStyle name="Normal 47 19 4" xfId="26652"/>
    <cellStyle name="Normal 47 2" xfId="1869"/>
    <cellStyle name="Normal 47 2 2" xfId="5465"/>
    <cellStyle name="Normal 47 2 2 2" xfId="13946"/>
    <cellStyle name="Normal 47 2 2 3" xfId="20460"/>
    <cellStyle name="Normal 47 2 2 4" xfId="26849"/>
    <cellStyle name="Normal 47 2 3" xfId="10439"/>
    <cellStyle name="Normal 47 2 4" xfId="9573"/>
    <cellStyle name="Normal 47 2 5" xfId="10147"/>
    <cellStyle name="Normal 47 20" xfId="10012"/>
    <cellStyle name="Normal 47 21" xfId="17446"/>
    <cellStyle name="Normal 47 22" xfId="23879"/>
    <cellStyle name="Normal 47 3" xfId="2189"/>
    <cellStyle name="Normal 47 3 2" xfId="5759"/>
    <cellStyle name="Normal 47 3 2 2" xfId="14240"/>
    <cellStyle name="Normal 47 3 2 3" xfId="20754"/>
    <cellStyle name="Normal 47 3 2 4" xfId="27143"/>
    <cellStyle name="Normal 47 3 3" xfId="10745"/>
    <cellStyle name="Normal 47 3 4" xfId="17136"/>
    <cellStyle name="Normal 47 3 5" xfId="23613"/>
    <cellStyle name="Normal 47 4" xfId="2757"/>
    <cellStyle name="Normal 47 4 2" xfId="6258"/>
    <cellStyle name="Normal 47 4 2 2" xfId="14739"/>
    <cellStyle name="Normal 47 4 2 3" xfId="21253"/>
    <cellStyle name="Normal 47 4 2 4" xfId="27642"/>
    <cellStyle name="Normal 47 4 3" xfId="11267"/>
    <cellStyle name="Normal 47 4 4" xfId="17836"/>
    <cellStyle name="Normal 47 4 5" xfId="24238"/>
    <cellStyle name="Normal 47 5" xfId="2931"/>
    <cellStyle name="Normal 47 5 2" xfId="6425"/>
    <cellStyle name="Normal 47 5 2 2" xfId="14906"/>
    <cellStyle name="Normal 47 5 2 3" xfId="21420"/>
    <cellStyle name="Normal 47 5 2 4" xfId="27809"/>
    <cellStyle name="Normal 47 5 3" xfId="11437"/>
    <cellStyle name="Normal 47 5 4" xfId="18003"/>
    <cellStyle name="Normal 47 5 5" xfId="24405"/>
    <cellStyle name="Normal 47 6" xfId="3105"/>
    <cellStyle name="Normal 47 6 2" xfId="6592"/>
    <cellStyle name="Normal 47 6 2 2" xfId="15073"/>
    <cellStyle name="Normal 47 6 2 3" xfId="21587"/>
    <cellStyle name="Normal 47 6 2 4" xfId="27976"/>
    <cellStyle name="Normal 47 6 3" xfId="11607"/>
    <cellStyle name="Normal 47 6 4" xfId="18170"/>
    <cellStyle name="Normal 47 6 5" xfId="24572"/>
    <cellStyle name="Normal 47 7" xfId="3278"/>
    <cellStyle name="Normal 47 7 2" xfId="6759"/>
    <cellStyle name="Normal 47 7 2 2" xfId="15240"/>
    <cellStyle name="Normal 47 7 2 3" xfId="21754"/>
    <cellStyle name="Normal 47 7 2 4" xfId="28143"/>
    <cellStyle name="Normal 47 7 3" xfId="11778"/>
    <cellStyle name="Normal 47 7 4" xfId="18337"/>
    <cellStyle name="Normal 47 7 5" xfId="24739"/>
    <cellStyle name="Normal 47 8" xfId="3449"/>
    <cellStyle name="Normal 47 8 2" xfId="6924"/>
    <cellStyle name="Normal 47 8 2 2" xfId="15405"/>
    <cellStyle name="Normal 47 8 2 3" xfId="21919"/>
    <cellStyle name="Normal 47 8 2 4" xfId="28308"/>
    <cellStyle name="Normal 47 8 3" xfId="11946"/>
    <cellStyle name="Normal 47 8 4" xfId="18502"/>
    <cellStyle name="Normal 47 8 5" xfId="24904"/>
    <cellStyle name="Normal 47 9" xfId="3619"/>
    <cellStyle name="Normal 47 9 2" xfId="7088"/>
    <cellStyle name="Normal 47 9 2 2" xfId="15569"/>
    <cellStyle name="Normal 47 9 2 3" xfId="22083"/>
    <cellStyle name="Normal 47 9 2 4" xfId="28472"/>
    <cellStyle name="Normal 47 9 3" xfId="12114"/>
    <cellStyle name="Normal 47 9 4" xfId="18667"/>
    <cellStyle name="Normal 47 9 5" xfId="25068"/>
    <cellStyle name="Normal 48" xfId="1233"/>
    <cellStyle name="Normal 48 10" xfId="3787"/>
    <cellStyle name="Normal 48 10 2" xfId="7250"/>
    <cellStyle name="Normal 48 10 2 2" xfId="15731"/>
    <cellStyle name="Normal 48 10 2 3" xfId="22245"/>
    <cellStyle name="Normal 48 10 2 4" xfId="28634"/>
    <cellStyle name="Normal 48 10 3" xfId="12282"/>
    <cellStyle name="Normal 48 10 4" xfId="18832"/>
    <cellStyle name="Normal 48 10 5" xfId="25230"/>
    <cellStyle name="Normal 48 11" xfId="3954"/>
    <cellStyle name="Normal 48 11 2" xfId="7412"/>
    <cellStyle name="Normal 48 11 2 2" xfId="15893"/>
    <cellStyle name="Normal 48 11 2 3" xfId="22407"/>
    <cellStyle name="Normal 48 11 2 4" xfId="28796"/>
    <cellStyle name="Normal 48 11 3" xfId="12448"/>
    <cellStyle name="Normal 48 11 4" xfId="18995"/>
    <cellStyle name="Normal 48 11 5" xfId="25392"/>
    <cellStyle name="Normal 48 12" xfId="4119"/>
    <cellStyle name="Normal 48 12 2" xfId="7572"/>
    <cellStyle name="Normal 48 12 2 2" xfId="16053"/>
    <cellStyle name="Normal 48 12 2 3" xfId="22567"/>
    <cellStyle name="Normal 48 12 2 4" xfId="28956"/>
    <cellStyle name="Normal 48 12 3" xfId="12612"/>
    <cellStyle name="Normal 48 12 4" xfId="19156"/>
    <cellStyle name="Normal 48 12 5" xfId="25552"/>
    <cellStyle name="Normal 48 13" xfId="4281"/>
    <cellStyle name="Normal 48 13 2" xfId="7729"/>
    <cellStyle name="Normal 48 13 2 2" xfId="16210"/>
    <cellStyle name="Normal 48 13 2 3" xfId="22724"/>
    <cellStyle name="Normal 48 13 2 4" xfId="29113"/>
    <cellStyle name="Normal 48 13 3" xfId="12773"/>
    <cellStyle name="Normal 48 13 4" xfId="19314"/>
    <cellStyle name="Normal 48 13 5" xfId="25709"/>
    <cellStyle name="Normal 48 14" xfId="4441"/>
    <cellStyle name="Normal 48 14 2" xfId="7884"/>
    <cellStyle name="Normal 48 14 2 2" xfId="16365"/>
    <cellStyle name="Normal 48 14 2 3" xfId="22879"/>
    <cellStyle name="Normal 48 14 2 4" xfId="29268"/>
    <cellStyle name="Normal 48 14 3" xfId="12932"/>
    <cellStyle name="Normal 48 14 4" xfId="19470"/>
    <cellStyle name="Normal 48 14 5" xfId="25864"/>
    <cellStyle name="Normal 48 15" xfId="4601"/>
    <cellStyle name="Normal 48 15 2" xfId="8039"/>
    <cellStyle name="Normal 48 15 2 2" xfId="16520"/>
    <cellStyle name="Normal 48 15 2 3" xfId="23034"/>
    <cellStyle name="Normal 48 15 2 4" xfId="29423"/>
    <cellStyle name="Normal 48 15 3" xfId="13092"/>
    <cellStyle name="Normal 48 15 4" xfId="19626"/>
    <cellStyle name="Normal 48 15 5" xfId="26019"/>
    <cellStyle name="Normal 48 16" xfId="4761"/>
    <cellStyle name="Normal 48 16 2" xfId="8194"/>
    <cellStyle name="Normal 48 16 2 2" xfId="16675"/>
    <cellStyle name="Normal 48 16 2 3" xfId="23189"/>
    <cellStyle name="Normal 48 16 2 4" xfId="29578"/>
    <cellStyle name="Normal 48 16 3" xfId="13251"/>
    <cellStyle name="Normal 48 16 4" xfId="19782"/>
    <cellStyle name="Normal 48 16 5" xfId="26174"/>
    <cellStyle name="Normal 48 17" xfId="4919"/>
    <cellStyle name="Normal 48 17 2" xfId="8347"/>
    <cellStyle name="Normal 48 17 2 2" xfId="16828"/>
    <cellStyle name="Normal 48 17 2 3" xfId="23342"/>
    <cellStyle name="Normal 48 17 2 4" xfId="29731"/>
    <cellStyle name="Normal 48 17 3" xfId="13408"/>
    <cellStyle name="Normal 48 17 4" xfId="19936"/>
    <cellStyle name="Normal 48 17 5" xfId="26327"/>
    <cellStyle name="Normal 48 18" xfId="5054"/>
    <cellStyle name="Normal 48 18 2" xfId="8477"/>
    <cellStyle name="Normal 48 18 2 2" xfId="16958"/>
    <cellStyle name="Normal 48 18 2 3" xfId="23472"/>
    <cellStyle name="Normal 48 18 2 4" xfId="29861"/>
    <cellStyle name="Normal 48 18 3" xfId="13542"/>
    <cellStyle name="Normal 48 18 4" xfId="20067"/>
    <cellStyle name="Normal 48 18 5" xfId="26457"/>
    <cellStyle name="Normal 48 19" xfId="5266"/>
    <cellStyle name="Normal 48 19 2" xfId="13747"/>
    <cellStyle name="Normal 48 19 3" xfId="20264"/>
    <cellStyle name="Normal 48 19 4" xfId="26653"/>
    <cellStyle name="Normal 48 2" xfId="1870"/>
    <cellStyle name="Normal 48 2 2" xfId="5466"/>
    <cellStyle name="Normal 48 2 2 2" xfId="13947"/>
    <cellStyle name="Normal 48 2 2 3" xfId="20461"/>
    <cellStyle name="Normal 48 2 2 4" xfId="26850"/>
    <cellStyle name="Normal 48 2 3" xfId="10440"/>
    <cellStyle name="Normal 48 2 4" xfId="9572"/>
    <cellStyle name="Normal 48 2 5" xfId="10148"/>
    <cellStyle name="Normal 48 20" xfId="10013"/>
    <cellStyle name="Normal 48 21" xfId="17457"/>
    <cellStyle name="Normal 48 22" xfId="23887"/>
    <cellStyle name="Normal 48 3" xfId="2190"/>
    <cellStyle name="Normal 48 3 2" xfId="5760"/>
    <cellStyle name="Normal 48 3 2 2" xfId="14241"/>
    <cellStyle name="Normal 48 3 2 3" xfId="20755"/>
    <cellStyle name="Normal 48 3 2 4" xfId="27144"/>
    <cellStyle name="Normal 48 3 3" xfId="10746"/>
    <cellStyle name="Normal 48 3 4" xfId="17137"/>
    <cellStyle name="Normal 48 3 5" xfId="23614"/>
    <cellStyle name="Normal 48 4" xfId="2756"/>
    <cellStyle name="Normal 48 4 2" xfId="6257"/>
    <cellStyle name="Normal 48 4 2 2" xfId="14738"/>
    <cellStyle name="Normal 48 4 2 3" xfId="21252"/>
    <cellStyle name="Normal 48 4 2 4" xfId="27641"/>
    <cellStyle name="Normal 48 4 3" xfId="11266"/>
    <cellStyle name="Normal 48 4 4" xfId="17835"/>
    <cellStyle name="Normal 48 4 5" xfId="24237"/>
    <cellStyle name="Normal 48 5" xfId="2930"/>
    <cellStyle name="Normal 48 5 2" xfId="6424"/>
    <cellStyle name="Normal 48 5 2 2" xfId="14905"/>
    <cellStyle name="Normal 48 5 2 3" xfId="21419"/>
    <cellStyle name="Normal 48 5 2 4" xfId="27808"/>
    <cellStyle name="Normal 48 5 3" xfId="11436"/>
    <cellStyle name="Normal 48 5 4" xfId="18002"/>
    <cellStyle name="Normal 48 5 5" xfId="24404"/>
    <cellStyle name="Normal 48 6" xfId="3104"/>
    <cellStyle name="Normal 48 6 2" xfId="6591"/>
    <cellStyle name="Normal 48 6 2 2" xfId="15072"/>
    <cellStyle name="Normal 48 6 2 3" xfId="21586"/>
    <cellStyle name="Normal 48 6 2 4" xfId="27975"/>
    <cellStyle name="Normal 48 6 3" xfId="11606"/>
    <cellStyle name="Normal 48 6 4" xfId="18169"/>
    <cellStyle name="Normal 48 6 5" xfId="24571"/>
    <cellStyle name="Normal 48 7" xfId="3277"/>
    <cellStyle name="Normal 48 7 2" xfId="6758"/>
    <cellStyle name="Normal 48 7 2 2" xfId="15239"/>
    <cellStyle name="Normal 48 7 2 3" xfId="21753"/>
    <cellStyle name="Normal 48 7 2 4" xfId="28142"/>
    <cellStyle name="Normal 48 7 3" xfId="11777"/>
    <cellStyle name="Normal 48 7 4" xfId="18336"/>
    <cellStyle name="Normal 48 7 5" xfId="24738"/>
    <cellStyle name="Normal 48 8" xfId="3448"/>
    <cellStyle name="Normal 48 8 2" xfId="6923"/>
    <cellStyle name="Normal 48 8 2 2" xfId="15404"/>
    <cellStyle name="Normal 48 8 2 3" xfId="21918"/>
    <cellStyle name="Normal 48 8 2 4" xfId="28307"/>
    <cellStyle name="Normal 48 8 3" xfId="11945"/>
    <cellStyle name="Normal 48 8 4" xfId="18501"/>
    <cellStyle name="Normal 48 8 5" xfId="24903"/>
    <cellStyle name="Normal 48 9" xfId="3618"/>
    <cellStyle name="Normal 48 9 2" xfId="7087"/>
    <cellStyle name="Normal 48 9 2 2" xfId="15568"/>
    <cellStyle name="Normal 48 9 2 3" xfId="22082"/>
    <cellStyle name="Normal 48 9 2 4" xfId="28471"/>
    <cellStyle name="Normal 48 9 3" xfId="12113"/>
    <cellStyle name="Normal 48 9 4" xfId="18666"/>
    <cellStyle name="Normal 48 9 5" xfId="25067"/>
    <cellStyle name="Normal 49" xfId="1234"/>
    <cellStyle name="Normal 49 10" xfId="3786"/>
    <cellStyle name="Normal 49 10 2" xfId="7249"/>
    <cellStyle name="Normal 49 10 2 2" xfId="15730"/>
    <cellStyle name="Normal 49 10 2 3" xfId="22244"/>
    <cellStyle name="Normal 49 10 2 4" xfId="28633"/>
    <cellStyle name="Normal 49 10 3" xfId="12281"/>
    <cellStyle name="Normal 49 10 4" xfId="18831"/>
    <cellStyle name="Normal 49 10 5" xfId="25229"/>
    <cellStyle name="Normal 49 11" xfId="3953"/>
    <cellStyle name="Normal 49 11 2" xfId="7411"/>
    <cellStyle name="Normal 49 11 2 2" xfId="15892"/>
    <cellStyle name="Normal 49 11 2 3" xfId="22406"/>
    <cellStyle name="Normal 49 11 2 4" xfId="28795"/>
    <cellStyle name="Normal 49 11 3" xfId="12447"/>
    <cellStyle name="Normal 49 11 4" xfId="18994"/>
    <cellStyle name="Normal 49 11 5" xfId="25391"/>
    <cellStyle name="Normal 49 12" xfId="4118"/>
    <cellStyle name="Normal 49 12 2" xfId="7571"/>
    <cellStyle name="Normal 49 12 2 2" xfId="16052"/>
    <cellStyle name="Normal 49 12 2 3" xfId="22566"/>
    <cellStyle name="Normal 49 12 2 4" xfId="28955"/>
    <cellStyle name="Normal 49 12 3" xfId="12611"/>
    <cellStyle name="Normal 49 12 4" xfId="19155"/>
    <cellStyle name="Normal 49 12 5" xfId="25551"/>
    <cellStyle name="Normal 49 13" xfId="4280"/>
    <cellStyle name="Normal 49 13 2" xfId="7728"/>
    <cellStyle name="Normal 49 13 2 2" xfId="16209"/>
    <cellStyle name="Normal 49 13 2 3" xfId="22723"/>
    <cellStyle name="Normal 49 13 2 4" xfId="29112"/>
    <cellStyle name="Normal 49 13 3" xfId="12772"/>
    <cellStyle name="Normal 49 13 4" xfId="19313"/>
    <cellStyle name="Normal 49 13 5" xfId="25708"/>
    <cellStyle name="Normal 49 14" xfId="4440"/>
    <cellStyle name="Normal 49 14 2" xfId="7883"/>
    <cellStyle name="Normal 49 14 2 2" xfId="16364"/>
    <cellStyle name="Normal 49 14 2 3" xfId="22878"/>
    <cellStyle name="Normal 49 14 2 4" xfId="29267"/>
    <cellStyle name="Normal 49 14 3" xfId="12931"/>
    <cellStyle name="Normal 49 14 4" xfId="19469"/>
    <cellStyle name="Normal 49 14 5" xfId="25863"/>
    <cellStyle name="Normal 49 15" xfId="4600"/>
    <cellStyle name="Normal 49 15 2" xfId="8038"/>
    <cellStyle name="Normal 49 15 2 2" xfId="16519"/>
    <cellStyle name="Normal 49 15 2 3" xfId="23033"/>
    <cellStyle name="Normal 49 15 2 4" xfId="29422"/>
    <cellStyle name="Normal 49 15 3" xfId="13091"/>
    <cellStyle name="Normal 49 15 4" xfId="19625"/>
    <cellStyle name="Normal 49 15 5" xfId="26018"/>
    <cellStyle name="Normal 49 16" xfId="4760"/>
    <cellStyle name="Normal 49 16 2" xfId="8193"/>
    <cellStyle name="Normal 49 16 2 2" xfId="16674"/>
    <cellStyle name="Normal 49 16 2 3" xfId="23188"/>
    <cellStyle name="Normal 49 16 2 4" xfId="29577"/>
    <cellStyle name="Normal 49 16 3" xfId="13250"/>
    <cellStyle name="Normal 49 16 4" xfId="19781"/>
    <cellStyle name="Normal 49 16 5" xfId="26173"/>
    <cellStyle name="Normal 49 17" xfId="4918"/>
    <cellStyle name="Normal 49 17 2" xfId="8346"/>
    <cellStyle name="Normal 49 17 2 2" xfId="16827"/>
    <cellStyle name="Normal 49 17 2 3" xfId="23341"/>
    <cellStyle name="Normal 49 17 2 4" xfId="29730"/>
    <cellStyle name="Normal 49 17 3" xfId="13407"/>
    <cellStyle name="Normal 49 17 4" xfId="19935"/>
    <cellStyle name="Normal 49 17 5" xfId="26326"/>
    <cellStyle name="Normal 49 18" xfId="5053"/>
    <cellStyle name="Normal 49 18 2" xfId="8476"/>
    <cellStyle name="Normal 49 18 2 2" xfId="16957"/>
    <cellStyle name="Normal 49 18 2 3" xfId="23471"/>
    <cellStyle name="Normal 49 18 2 4" xfId="29860"/>
    <cellStyle name="Normal 49 18 3" xfId="13541"/>
    <cellStyle name="Normal 49 18 4" xfId="20066"/>
    <cellStyle name="Normal 49 18 5" xfId="26456"/>
    <cellStyle name="Normal 49 19" xfId="5267"/>
    <cellStyle name="Normal 49 19 2" xfId="13748"/>
    <cellStyle name="Normal 49 19 3" xfId="20265"/>
    <cellStyle name="Normal 49 19 4" xfId="26654"/>
    <cellStyle name="Normal 49 2" xfId="1871"/>
    <cellStyle name="Normal 49 2 2" xfId="5467"/>
    <cellStyle name="Normal 49 2 2 2" xfId="13948"/>
    <cellStyle name="Normal 49 2 2 3" xfId="20462"/>
    <cellStyle name="Normal 49 2 2 4" xfId="26851"/>
    <cellStyle name="Normal 49 2 3" xfId="10441"/>
    <cellStyle name="Normal 49 2 4" xfId="9571"/>
    <cellStyle name="Normal 49 2 5" xfId="10149"/>
    <cellStyle name="Normal 49 20" xfId="10014"/>
    <cellStyle name="Normal 49 21" xfId="17470"/>
    <cellStyle name="Normal 49 22" xfId="23897"/>
    <cellStyle name="Normal 49 3" xfId="2191"/>
    <cellStyle name="Normal 49 3 2" xfId="5761"/>
    <cellStyle name="Normal 49 3 2 2" xfId="14242"/>
    <cellStyle name="Normal 49 3 2 3" xfId="20756"/>
    <cellStyle name="Normal 49 3 2 4" xfId="27145"/>
    <cellStyle name="Normal 49 3 3" xfId="10747"/>
    <cellStyle name="Normal 49 3 4" xfId="17138"/>
    <cellStyle name="Normal 49 3 5" xfId="23615"/>
    <cellStyle name="Normal 49 4" xfId="2755"/>
    <cellStyle name="Normal 49 4 2" xfId="6256"/>
    <cellStyle name="Normal 49 4 2 2" xfId="14737"/>
    <cellStyle name="Normal 49 4 2 3" xfId="21251"/>
    <cellStyle name="Normal 49 4 2 4" xfId="27640"/>
    <cellStyle name="Normal 49 4 3" xfId="11265"/>
    <cellStyle name="Normal 49 4 4" xfId="17834"/>
    <cellStyle name="Normal 49 4 5" xfId="24236"/>
    <cellStyle name="Normal 49 5" xfId="2929"/>
    <cellStyle name="Normal 49 5 2" xfId="6423"/>
    <cellStyle name="Normal 49 5 2 2" xfId="14904"/>
    <cellStyle name="Normal 49 5 2 3" xfId="21418"/>
    <cellStyle name="Normal 49 5 2 4" xfId="27807"/>
    <cellStyle name="Normal 49 5 3" xfId="11435"/>
    <cellStyle name="Normal 49 5 4" xfId="18001"/>
    <cellStyle name="Normal 49 5 5" xfId="24403"/>
    <cellStyle name="Normal 49 6" xfId="3103"/>
    <cellStyle name="Normal 49 6 2" xfId="6590"/>
    <cellStyle name="Normal 49 6 2 2" xfId="15071"/>
    <cellStyle name="Normal 49 6 2 3" xfId="21585"/>
    <cellStyle name="Normal 49 6 2 4" xfId="27974"/>
    <cellStyle name="Normal 49 6 3" xfId="11605"/>
    <cellStyle name="Normal 49 6 4" xfId="18168"/>
    <cellStyle name="Normal 49 6 5" xfId="24570"/>
    <cellStyle name="Normal 49 7" xfId="3276"/>
    <cellStyle name="Normal 49 7 2" xfId="6757"/>
    <cellStyle name="Normal 49 7 2 2" xfId="15238"/>
    <cellStyle name="Normal 49 7 2 3" xfId="21752"/>
    <cellStyle name="Normal 49 7 2 4" xfId="28141"/>
    <cellStyle name="Normal 49 7 3" xfId="11776"/>
    <cellStyle name="Normal 49 7 4" xfId="18335"/>
    <cellStyle name="Normal 49 7 5" xfId="24737"/>
    <cellStyle name="Normal 49 8" xfId="3447"/>
    <cellStyle name="Normal 49 8 2" xfId="6922"/>
    <cellStyle name="Normal 49 8 2 2" xfId="15403"/>
    <cellStyle name="Normal 49 8 2 3" xfId="21917"/>
    <cellStyle name="Normal 49 8 2 4" xfId="28306"/>
    <cellStyle name="Normal 49 8 3" xfId="11944"/>
    <cellStyle name="Normal 49 8 4" xfId="18500"/>
    <cellStyle name="Normal 49 8 5" xfId="24902"/>
    <cellStyle name="Normal 49 9" xfId="3617"/>
    <cellStyle name="Normal 49 9 2" xfId="7086"/>
    <cellStyle name="Normal 49 9 2 2" xfId="15567"/>
    <cellStyle name="Normal 49 9 2 3" xfId="22081"/>
    <cellStyle name="Normal 49 9 2 4" xfId="28470"/>
    <cellStyle name="Normal 49 9 3" xfId="12112"/>
    <cellStyle name="Normal 49 9 4" xfId="18665"/>
    <cellStyle name="Normal 49 9 5" xfId="25066"/>
    <cellStyle name="Normal 5" xfId="1235"/>
    <cellStyle name="Normal 5 10" xfId="1236"/>
    <cellStyle name="Normal 5 11" xfId="1237"/>
    <cellStyle name="Normal 5 12" xfId="1238"/>
    <cellStyle name="Normal 5 13" xfId="1239"/>
    <cellStyle name="Normal 5 14" xfId="1240"/>
    <cellStyle name="Normal 5 15" xfId="1241"/>
    <cellStyle name="Normal 5 16" xfId="1242"/>
    <cellStyle name="Normal 5 17" xfId="1243"/>
    <cellStyle name="Normal 5 18" xfId="1244"/>
    <cellStyle name="Normal 5 19" xfId="1245"/>
    <cellStyle name="Normal 5 2" xfId="1246"/>
    <cellStyle name="Normal 5 2 10" xfId="8648"/>
    <cellStyle name="Normal 5 2 11" xfId="8647"/>
    <cellStyle name="Normal 5 2 12" xfId="9323"/>
    <cellStyle name="Normal 5 2 13" xfId="9303"/>
    <cellStyle name="Normal 5 2 14" xfId="9280"/>
    <cellStyle name="Normal 5 2 15" xfId="9257"/>
    <cellStyle name="Normal 5 2 16" xfId="9235"/>
    <cellStyle name="Normal 5 2 17" xfId="8646"/>
    <cellStyle name="Normal 5 2 18" xfId="9214"/>
    <cellStyle name="Normal 5 2 19" xfId="9191"/>
    <cellStyle name="Normal 5 2 2" xfId="1247"/>
    <cellStyle name="Normal 5 2 2 2" xfId="1248"/>
    <cellStyle name="Normal 5 2 2 2 2" xfId="1249"/>
    <cellStyle name="Normal 5 2 20" xfId="9110"/>
    <cellStyle name="Normal 5 2 21" xfId="9086"/>
    <cellStyle name="Normal 5 2 22" xfId="9065"/>
    <cellStyle name="Normal 5 2 3" xfId="1250"/>
    <cellStyle name="Normal 5 2 4" xfId="1251"/>
    <cellStyle name="Normal 5 2 5" xfId="1252"/>
    <cellStyle name="Normal 5 2 6" xfId="1253"/>
    <cellStyle name="Normal 5 2 7" xfId="1254"/>
    <cellStyle name="Normal 5 2 8" xfId="1255"/>
    <cellStyle name="Normal 5 2 9" xfId="8649"/>
    <cellStyle name="Normal 5 2 9 2" xfId="8645"/>
    <cellStyle name="Normal 5 20" xfId="1256"/>
    <cellStyle name="Normal 5 21" xfId="1257"/>
    <cellStyle name="Normal 5 22" xfId="1258"/>
    <cellStyle name="Normal 5 23" xfId="1259"/>
    <cellStyle name="Normal 5 24" xfId="1260"/>
    <cellStyle name="Normal 5 25" xfId="1261"/>
    <cellStyle name="Normal 5 26" xfId="1262"/>
    <cellStyle name="Normal 5 27" xfId="1872"/>
    <cellStyle name="Normal 5 27 2" xfId="5468"/>
    <cellStyle name="Normal 5 27 2 2" xfId="13949"/>
    <cellStyle name="Normal 5 27 2 3" xfId="20463"/>
    <cellStyle name="Normal 5 27 2 4" xfId="26852"/>
    <cellStyle name="Normal 5 27 3" xfId="10442"/>
    <cellStyle name="Normal 5 27 4" xfId="9570"/>
    <cellStyle name="Normal 5 27 5" xfId="10150"/>
    <cellStyle name="Normal 5 28" xfId="2192"/>
    <cellStyle name="Normal 5 28 2" xfId="5762"/>
    <cellStyle name="Normal 5 28 2 2" xfId="14243"/>
    <cellStyle name="Normal 5 28 2 3" xfId="20757"/>
    <cellStyle name="Normal 5 28 2 4" xfId="27146"/>
    <cellStyle name="Normal 5 28 3" xfId="10748"/>
    <cellStyle name="Normal 5 28 4" xfId="17139"/>
    <cellStyle name="Normal 5 28 5" xfId="23616"/>
    <cellStyle name="Normal 5 29" xfId="2754"/>
    <cellStyle name="Normal 5 29 2" xfId="6255"/>
    <cellStyle name="Normal 5 29 2 2" xfId="14736"/>
    <cellStyle name="Normal 5 29 2 3" xfId="21250"/>
    <cellStyle name="Normal 5 29 2 4" xfId="27639"/>
    <cellStyle name="Normal 5 29 3" xfId="11264"/>
    <cellStyle name="Normal 5 29 4" xfId="17833"/>
    <cellStyle name="Normal 5 29 5" xfId="24235"/>
    <cellStyle name="Normal 5 3" xfId="1263"/>
    <cellStyle name="Normal 5 3 10" xfId="3778"/>
    <cellStyle name="Normal 5 3 10 2" xfId="7241"/>
    <cellStyle name="Normal 5 3 10 2 2" xfId="15722"/>
    <cellStyle name="Normal 5 3 10 2 3" xfId="22236"/>
    <cellStyle name="Normal 5 3 10 2 4" xfId="28625"/>
    <cellStyle name="Normal 5 3 10 3" xfId="12273"/>
    <cellStyle name="Normal 5 3 10 4" xfId="18823"/>
    <cellStyle name="Normal 5 3 10 5" xfId="25221"/>
    <cellStyle name="Normal 5 3 11" xfId="3945"/>
    <cellStyle name="Normal 5 3 11 2" xfId="7403"/>
    <cellStyle name="Normal 5 3 11 2 2" xfId="15884"/>
    <cellStyle name="Normal 5 3 11 2 3" xfId="22398"/>
    <cellStyle name="Normal 5 3 11 2 4" xfId="28787"/>
    <cellStyle name="Normal 5 3 11 3" xfId="12439"/>
    <cellStyle name="Normal 5 3 11 4" xfId="18986"/>
    <cellStyle name="Normal 5 3 11 5" xfId="25383"/>
    <cellStyle name="Normal 5 3 12" xfId="4110"/>
    <cellStyle name="Normal 5 3 12 2" xfId="7563"/>
    <cellStyle name="Normal 5 3 12 2 2" xfId="16044"/>
    <cellStyle name="Normal 5 3 12 2 3" xfId="22558"/>
    <cellStyle name="Normal 5 3 12 2 4" xfId="28947"/>
    <cellStyle name="Normal 5 3 12 3" xfId="12603"/>
    <cellStyle name="Normal 5 3 12 4" xfId="19147"/>
    <cellStyle name="Normal 5 3 12 5" xfId="25543"/>
    <cellStyle name="Normal 5 3 13" xfId="4275"/>
    <cellStyle name="Normal 5 3 13 2" xfId="7723"/>
    <cellStyle name="Normal 5 3 13 2 2" xfId="16204"/>
    <cellStyle name="Normal 5 3 13 2 3" xfId="22718"/>
    <cellStyle name="Normal 5 3 13 2 4" xfId="29107"/>
    <cellStyle name="Normal 5 3 13 3" xfId="12767"/>
    <cellStyle name="Normal 5 3 13 4" xfId="19308"/>
    <cellStyle name="Normal 5 3 13 5" xfId="25703"/>
    <cellStyle name="Normal 5 3 14" xfId="4435"/>
    <cellStyle name="Normal 5 3 14 2" xfId="7878"/>
    <cellStyle name="Normal 5 3 14 2 2" xfId="16359"/>
    <cellStyle name="Normal 5 3 14 2 3" xfId="22873"/>
    <cellStyle name="Normal 5 3 14 2 4" xfId="29262"/>
    <cellStyle name="Normal 5 3 14 3" xfId="12926"/>
    <cellStyle name="Normal 5 3 14 4" xfId="19464"/>
    <cellStyle name="Normal 5 3 14 5" xfId="25858"/>
    <cellStyle name="Normal 5 3 15" xfId="4595"/>
    <cellStyle name="Normal 5 3 15 2" xfId="8033"/>
    <cellStyle name="Normal 5 3 15 2 2" xfId="16514"/>
    <cellStyle name="Normal 5 3 15 2 3" xfId="23028"/>
    <cellStyle name="Normal 5 3 15 2 4" xfId="29417"/>
    <cellStyle name="Normal 5 3 15 3" xfId="13086"/>
    <cellStyle name="Normal 5 3 15 4" xfId="19620"/>
    <cellStyle name="Normal 5 3 15 5" xfId="26013"/>
    <cellStyle name="Normal 5 3 16" xfId="4755"/>
    <cellStyle name="Normal 5 3 16 2" xfId="8188"/>
    <cellStyle name="Normal 5 3 16 2 2" xfId="16669"/>
    <cellStyle name="Normal 5 3 16 2 3" xfId="23183"/>
    <cellStyle name="Normal 5 3 16 2 4" xfId="29572"/>
    <cellStyle name="Normal 5 3 16 3" xfId="13245"/>
    <cellStyle name="Normal 5 3 16 4" xfId="19776"/>
    <cellStyle name="Normal 5 3 16 5" xfId="26168"/>
    <cellStyle name="Normal 5 3 17" xfId="4914"/>
    <cellStyle name="Normal 5 3 17 2" xfId="8342"/>
    <cellStyle name="Normal 5 3 17 2 2" xfId="16823"/>
    <cellStyle name="Normal 5 3 17 2 3" xfId="23337"/>
    <cellStyle name="Normal 5 3 17 2 4" xfId="29726"/>
    <cellStyle name="Normal 5 3 17 3" xfId="13403"/>
    <cellStyle name="Normal 5 3 17 4" xfId="19931"/>
    <cellStyle name="Normal 5 3 17 5" xfId="26322"/>
    <cellStyle name="Normal 5 3 18" xfId="5051"/>
    <cellStyle name="Normal 5 3 18 2" xfId="8474"/>
    <cellStyle name="Normal 5 3 18 2 2" xfId="16955"/>
    <cellStyle name="Normal 5 3 18 2 3" xfId="23469"/>
    <cellStyle name="Normal 5 3 18 2 4" xfId="29858"/>
    <cellStyle name="Normal 5 3 18 3" xfId="13539"/>
    <cellStyle name="Normal 5 3 18 4" xfId="20064"/>
    <cellStyle name="Normal 5 3 18 5" xfId="26454"/>
    <cellStyle name="Normal 5 3 19" xfId="5269"/>
    <cellStyle name="Normal 5 3 19 2" xfId="13750"/>
    <cellStyle name="Normal 5 3 19 3" xfId="20267"/>
    <cellStyle name="Normal 5 3 19 4" xfId="26656"/>
    <cellStyle name="Normal 5 3 2" xfId="1873"/>
    <cellStyle name="Normal 5 3 2 2" xfId="5469"/>
    <cellStyle name="Normal 5 3 2 2 2" xfId="13950"/>
    <cellStyle name="Normal 5 3 2 2 3" xfId="20464"/>
    <cellStyle name="Normal 5 3 2 2 4" xfId="26853"/>
    <cellStyle name="Normal 5 3 2 3" xfId="10443"/>
    <cellStyle name="Normal 5 3 2 4" xfId="9569"/>
    <cellStyle name="Normal 5 3 2 5" xfId="10151"/>
    <cellStyle name="Normal 5 3 20" xfId="10025"/>
    <cellStyle name="Normal 5 3 21" xfId="9710"/>
    <cellStyle name="Normal 5 3 22" xfId="10016"/>
    <cellStyle name="Normal 5 3 3" xfId="2200"/>
    <cellStyle name="Normal 5 3 3 2" xfId="5770"/>
    <cellStyle name="Normal 5 3 3 2 2" xfId="14251"/>
    <cellStyle name="Normal 5 3 3 2 3" xfId="20765"/>
    <cellStyle name="Normal 5 3 3 2 4" xfId="27154"/>
    <cellStyle name="Normal 5 3 3 3" xfId="10756"/>
    <cellStyle name="Normal 5 3 3 4" xfId="17147"/>
    <cellStyle name="Normal 5 3 3 5" xfId="23623"/>
    <cellStyle name="Normal 5 3 4" xfId="2746"/>
    <cellStyle name="Normal 5 3 4 2" xfId="6247"/>
    <cellStyle name="Normal 5 3 4 2 2" xfId="14728"/>
    <cellStyle name="Normal 5 3 4 2 3" xfId="21242"/>
    <cellStyle name="Normal 5 3 4 2 4" xfId="27631"/>
    <cellStyle name="Normal 5 3 4 3" xfId="11256"/>
    <cellStyle name="Normal 5 3 4 4" xfId="17825"/>
    <cellStyle name="Normal 5 3 4 5" xfId="24227"/>
    <cellStyle name="Normal 5 3 5" xfId="2920"/>
    <cellStyle name="Normal 5 3 5 2" xfId="6414"/>
    <cellStyle name="Normal 5 3 5 2 2" xfId="14895"/>
    <cellStyle name="Normal 5 3 5 2 3" xfId="21409"/>
    <cellStyle name="Normal 5 3 5 2 4" xfId="27798"/>
    <cellStyle name="Normal 5 3 5 3" xfId="11426"/>
    <cellStyle name="Normal 5 3 5 4" xfId="17992"/>
    <cellStyle name="Normal 5 3 5 5" xfId="24394"/>
    <cellStyle name="Normal 5 3 6" xfId="3094"/>
    <cellStyle name="Normal 5 3 6 2" xfId="6581"/>
    <cellStyle name="Normal 5 3 6 2 2" xfId="15062"/>
    <cellStyle name="Normal 5 3 6 2 3" xfId="21576"/>
    <cellStyle name="Normal 5 3 6 2 4" xfId="27965"/>
    <cellStyle name="Normal 5 3 6 3" xfId="11596"/>
    <cellStyle name="Normal 5 3 6 4" xfId="18159"/>
    <cellStyle name="Normal 5 3 6 5" xfId="24561"/>
    <cellStyle name="Normal 5 3 7" xfId="3267"/>
    <cellStyle name="Normal 5 3 7 2" xfId="6748"/>
    <cellStyle name="Normal 5 3 7 2 2" xfId="15229"/>
    <cellStyle name="Normal 5 3 7 2 3" xfId="21743"/>
    <cellStyle name="Normal 5 3 7 2 4" xfId="28132"/>
    <cellStyle name="Normal 5 3 7 3" xfId="11767"/>
    <cellStyle name="Normal 5 3 7 4" xfId="18326"/>
    <cellStyle name="Normal 5 3 7 5" xfId="24728"/>
    <cellStyle name="Normal 5 3 8" xfId="3438"/>
    <cellStyle name="Normal 5 3 8 2" xfId="6913"/>
    <cellStyle name="Normal 5 3 8 2 2" xfId="15394"/>
    <cellStyle name="Normal 5 3 8 2 3" xfId="21908"/>
    <cellStyle name="Normal 5 3 8 2 4" xfId="28297"/>
    <cellStyle name="Normal 5 3 8 3" xfId="11935"/>
    <cellStyle name="Normal 5 3 8 4" xfId="18491"/>
    <cellStyle name="Normal 5 3 8 5" xfId="24893"/>
    <cellStyle name="Normal 5 3 9" xfId="3608"/>
    <cellStyle name="Normal 5 3 9 2" xfId="7077"/>
    <cellStyle name="Normal 5 3 9 2 2" xfId="15558"/>
    <cellStyle name="Normal 5 3 9 2 3" xfId="22072"/>
    <cellStyle name="Normal 5 3 9 2 4" xfId="28461"/>
    <cellStyle name="Normal 5 3 9 3" xfId="12103"/>
    <cellStyle name="Normal 5 3 9 4" xfId="18656"/>
    <cellStyle name="Normal 5 3 9 5" xfId="25057"/>
    <cellStyle name="Normal 5 30" xfId="2928"/>
    <cellStyle name="Normal 5 30 2" xfId="6422"/>
    <cellStyle name="Normal 5 30 2 2" xfId="14903"/>
    <cellStyle name="Normal 5 30 2 3" xfId="21417"/>
    <cellStyle name="Normal 5 30 2 4" xfId="27806"/>
    <cellStyle name="Normal 5 30 3" xfId="11434"/>
    <cellStyle name="Normal 5 30 4" xfId="18000"/>
    <cellStyle name="Normal 5 30 5" xfId="24402"/>
    <cellStyle name="Normal 5 31" xfId="3102"/>
    <cellStyle name="Normal 5 31 2" xfId="6589"/>
    <cellStyle name="Normal 5 31 2 2" xfId="9151"/>
    <cellStyle name="Normal 5 31 2 3" xfId="15070"/>
    <cellStyle name="Normal 5 31 2 4" xfId="21584"/>
    <cellStyle name="Normal 5 31 2 5" xfId="27973"/>
    <cellStyle name="Normal 5 31 3" xfId="11604"/>
    <cellStyle name="Normal 5 31 4" xfId="18167"/>
    <cellStyle name="Normal 5 31 5" xfId="24569"/>
    <cellStyle name="Normal 5 32" xfId="3275"/>
    <cellStyle name="Normal 5 32 2" xfId="6756"/>
    <cellStyle name="Normal 5 32 2 2" xfId="15237"/>
    <cellStyle name="Normal 5 32 2 3" xfId="21751"/>
    <cellStyle name="Normal 5 32 2 4" xfId="28140"/>
    <cellStyle name="Normal 5 32 3" xfId="11775"/>
    <cellStyle name="Normal 5 32 4" xfId="18334"/>
    <cellStyle name="Normal 5 32 5" xfId="24736"/>
    <cellStyle name="Normal 5 33" xfId="3446"/>
    <cellStyle name="Normal 5 33 2" xfId="6921"/>
    <cellStyle name="Normal 5 33 2 2" xfId="15402"/>
    <cellStyle name="Normal 5 33 2 3" xfId="21916"/>
    <cellStyle name="Normal 5 33 2 4" xfId="28305"/>
    <cellStyle name="Normal 5 33 3" xfId="11943"/>
    <cellStyle name="Normal 5 33 4" xfId="18499"/>
    <cellStyle name="Normal 5 33 5" xfId="24901"/>
    <cellStyle name="Normal 5 34" xfId="3616"/>
    <cellStyle name="Normal 5 34 2" xfId="7085"/>
    <cellStyle name="Normal 5 34 2 2" xfId="15566"/>
    <cellStyle name="Normal 5 34 2 3" xfId="22080"/>
    <cellStyle name="Normal 5 34 2 4" xfId="28469"/>
    <cellStyle name="Normal 5 34 3" xfId="12111"/>
    <cellStyle name="Normal 5 34 4" xfId="18664"/>
    <cellStyle name="Normal 5 34 5" xfId="25065"/>
    <cellStyle name="Normal 5 35" xfId="3785"/>
    <cellStyle name="Normal 5 35 2" xfId="7248"/>
    <cellStyle name="Normal 5 35 2 2" xfId="15729"/>
    <cellStyle name="Normal 5 35 2 3" xfId="22243"/>
    <cellStyle name="Normal 5 35 2 4" xfId="28632"/>
    <cellStyle name="Normal 5 35 3" xfId="12280"/>
    <cellStyle name="Normal 5 35 4" xfId="18830"/>
    <cellStyle name="Normal 5 35 5" xfId="25228"/>
    <cellStyle name="Normal 5 36" xfId="3952"/>
    <cellStyle name="Normal 5 36 2" xfId="7410"/>
    <cellStyle name="Normal 5 36 2 2" xfId="15891"/>
    <cellStyle name="Normal 5 36 2 3" xfId="22405"/>
    <cellStyle name="Normal 5 36 2 4" xfId="28794"/>
    <cellStyle name="Normal 5 36 3" xfId="12446"/>
    <cellStyle name="Normal 5 36 4" xfId="18993"/>
    <cellStyle name="Normal 5 36 5" xfId="25390"/>
    <cellStyle name="Normal 5 37" xfId="4117"/>
    <cellStyle name="Normal 5 37 2" xfId="7570"/>
    <cellStyle name="Normal 5 37 2 2" xfId="16051"/>
    <cellStyle name="Normal 5 37 2 3" xfId="22565"/>
    <cellStyle name="Normal 5 37 2 4" xfId="28954"/>
    <cellStyle name="Normal 5 37 3" xfId="12610"/>
    <cellStyle name="Normal 5 37 4" xfId="19154"/>
    <cellStyle name="Normal 5 37 5" xfId="25550"/>
    <cellStyle name="Normal 5 38" xfId="4279"/>
    <cellStyle name="Normal 5 38 2" xfId="7727"/>
    <cellStyle name="Normal 5 38 2 2" xfId="16208"/>
    <cellStyle name="Normal 5 38 2 3" xfId="22722"/>
    <cellStyle name="Normal 5 38 2 4" xfId="29111"/>
    <cellStyle name="Normal 5 38 3" xfId="12771"/>
    <cellStyle name="Normal 5 38 4" xfId="19312"/>
    <cellStyle name="Normal 5 38 5" xfId="25707"/>
    <cellStyle name="Normal 5 39" xfId="4439"/>
    <cellStyle name="Normal 5 39 2" xfId="7882"/>
    <cellStyle name="Normal 5 39 2 2" xfId="16363"/>
    <cellStyle name="Normal 5 39 2 3" xfId="22877"/>
    <cellStyle name="Normal 5 39 2 4" xfId="29266"/>
    <cellStyle name="Normal 5 39 3" xfId="12930"/>
    <cellStyle name="Normal 5 39 4" xfId="19468"/>
    <cellStyle name="Normal 5 39 5" xfId="25862"/>
    <cellStyle name="Normal 5 4" xfId="1264"/>
    <cellStyle name="Normal 5 40" xfId="4599"/>
    <cellStyle name="Normal 5 40 2" xfId="8037"/>
    <cellStyle name="Normal 5 40 2 2" xfId="16518"/>
    <cellStyle name="Normal 5 40 2 3" xfId="23032"/>
    <cellStyle name="Normal 5 40 2 4" xfId="29421"/>
    <cellStyle name="Normal 5 40 3" xfId="13090"/>
    <cellStyle name="Normal 5 40 4" xfId="19624"/>
    <cellStyle name="Normal 5 40 5" xfId="26017"/>
    <cellStyle name="Normal 5 41" xfId="4759"/>
    <cellStyle name="Normal 5 41 2" xfId="8192"/>
    <cellStyle name="Normal 5 41 2 2" xfId="16673"/>
    <cellStyle name="Normal 5 41 2 3" xfId="23187"/>
    <cellStyle name="Normal 5 41 2 4" xfId="29576"/>
    <cellStyle name="Normal 5 41 3" xfId="13249"/>
    <cellStyle name="Normal 5 41 4" xfId="19780"/>
    <cellStyle name="Normal 5 41 5" xfId="26172"/>
    <cellStyle name="Normal 5 42" xfId="4917"/>
    <cellStyle name="Normal 5 42 2" xfId="8345"/>
    <cellStyle name="Normal 5 42 2 2" xfId="16826"/>
    <cellStyle name="Normal 5 42 2 3" xfId="23340"/>
    <cellStyle name="Normal 5 42 2 4" xfId="29729"/>
    <cellStyle name="Normal 5 42 3" xfId="13406"/>
    <cellStyle name="Normal 5 42 4" xfId="19934"/>
    <cellStyle name="Normal 5 42 5" xfId="26325"/>
    <cellStyle name="Normal 5 43" xfId="5052"/>
    <cellStyle name="Normal 5 43 2" xfId="8475"/>
    <cellStyle name="Normal 5 43 2 2" xfId="16956"/>
    <cellStyle name="Normal 5 43 2 3" xfId="23470"/>
    <cellStyle name="Normal 5 43 2 4" xfId="29859"/>
    <cellStyle name="Normal 5 43 3" xfId="13540"/>
    <cellStyle name="Normal 5 43 4" xfId="20065"/>
    <cellStyle name="Normal 5 43 5" xfId="26455"/>
    <cellStyle name="Normal 5 44" xfId="5268"/>
    <cellStyle name="Normal 5 44 2" xfId="9150"/>
    <cellStyle name="Normal 5 44 3" xfId="13749"/>
    <cellStyle name="Normal 5 44 4" xfId="20266"/>
    <cellStyle name="Normal 5 44 5" xfId="26655"/>
    <cellStyle name="Normal 5 45" xfId="10015"/>
    <cellStyle name="Normal 5 46" xfId="17482"/>
    <cellStyle name="Normal 5 47" xfId="23907"/>
    <cellStyle name="Normal 5 5" xfId="1265"/>
    <cellStyle name="Normal 5 6" xfId="1266"/>
    <cellStyle name="Normal 5 7" xfId="1267"/>
    <cellStyle name="Normal 5 8" xfId="1268"/>
    <cellStyle name="Normal 5 9" xfId="1269"/>
    <cellStyle name="Normal 50" xfId="1270"/>
    <cellStyle name="Normal 50 10" xfId="3775"/>
    <cellStyle name="Normal 50 10 2" xfId="7238"/>
    <cellStyle name="Normal 50 10 2 2" xfId="15719"/>
    <cellStyle name="Normal 50 10 2 3" xfId="22233"/>
    <cellStyle name="Normal 50 10 2 4" xfId="28622"/>
    <cellStyle name="Normal 50 10 3" xfId="12270"/>
    <cellStyle name="Normal 50 10 4" xfId="18820"/>
    <cellStyle name="Normal 50 10 5" xfId="25218"/>
    <cellStyle name="Normal 50 11" xfId="3943"/>
    <cellStyle name="Normal 50 11 2" xfId="7401"/>
    <cellStyle name="Normal 50 11 2 2" xfId="15882"/>
    <cellStyle name="Normal 50 11 2 3" xfId="22396"/>
    <cellStyle name="Normal 50 11 2 4" xfId="28785"/>
    <cellStyle name="Normal 50 11 3" xfId="12437"/>
    <cellStyle name="Normal 50 11 4" xfId="18984"/>
    <cellStyle name="Normal 50 11 5" xfId="25381"/>
    <cellStyle name="Normal 50 12" xfId="4108"/>
    <cellStyle name="Normal 50 12 2" xfId="7561"/>
    <cellStyle name="Normal 50 12 2 2" xfId="16042"/>
    <cellStyle name="Normal 50 12 2 3" xfId="22556"/>
    <cellStyle name="Normal 50 12 2 4" xfId="28945"/>
    <cellStyle name="Normal 50 12 3" xfId="12601"/>
    <cellStyle name="Normal 50 12 4" xfId="19145"/>
    <cellStyle name="Normal 50 12 5" xfId="25541"/>
    <cellStyle name="Normal 50 13" xfId="4273"/>
    <cellStyle name="Normal 50 13 2" xfId="7721"/>
    <cellStyle name="Normal 50 13 2 2" xfId="16202"/>
    <cellStyle name="Normal 50 13 2 3" xfId="22716"/>
    <cellStyle name="Normal 50 13 2 4" xfId="29105"/>
    <cellStyle name="Normal 50 13 3" xfId="12765"/>
    <cellStyle name="Normal 50 13 4" xfId="19306"/>
    <cellStyle name="Normal 50 13 5" xfId="25701"/>
    <cellStyle name="Normal 50 14" xfId="4433"/>
    <cellStyle name="Normal 50 14 2" xfId="7876"/>
    <cellStyle name="Normal 50 14 2 2" xfId="16357"/>
    <cellStyle name="Normal 50 14 2 3" xfId="22871"/>
    <cellStyle name="Normal 50 14 2 4" xfId="29260"/>
    <cellStyle name="Normal 50 14 3" xfId="12924"/>
    <cellStyle name="Normal 50 14 4" xfId="19462"/>
    <cellStyle name="Normal 50 14 5" xfId="25856"/>
    <cellStyle name="Normal 50 15" xfId="4593"/>
    <cellStyle name="Normal 50 15 2" xfId="8031"/>
    <cellStyle name="Normal 50 15 2 2" xfId="16512"/>
    <cellStyle name="Normal 50 15 2 3" xfId="23026"/>
    <cellStyle name="Normal 50 15 2 4" xfId="29415"/>
    <cellStyle name="Normal 50 15 3" xfId="13084"/>
    <cellStyle name="Normal 50 15 4" xfId="19618"/>
    <cellStyle name="Normal 50 15 5" xfId="26011"/>
    <cellStyle name="Normal 50 16" xfId="4753"/>
    <cellStyle name="Normal 50 16 2" xfId="8186"/>
    <cellStyle name="Normal 50 16 2 2" xfId="16667"/>
    <cellStyle name="Normal 50 16 2 3" xfId="23181"/>
    <cellStyle name="Normal 50 16 2 4" xfId="29570"/>
    <cellStyle name="Normal 50 16 3" xfId="13243"/>
    <cellStyle name="Normal 50 16 4" xfId="19774"/>
    <cellStyle name="Normal 50 16 5" xfId="26166"/>
    <cellStyle name="Normal 50 17" xfId="4912"/>
    <cellStyle name="Normal 50 17 2" xfId="8340"/>
    <cellStyle name="Normal 50 17 2 2" xfId="16821"/>
    <cellStyle name="Normal 50 17 2 3" xfId="23335"/>
    <cellStyle name="Normal 50 17 2 4" xfId="29724"/>
    <cellStyle name="Normal 50 17 3" xfId="13401"/>
    <cellStyle name="Normal 50 17 4" xfId="19929"/>
    <cellStyle name="Normal 50 17 5" xfId="26320"/>
    <cellStyle name="Normal 50 18" xfId="5050"/>
    <cellStyle name="Normal 50 18 2" xfId="8473"/>
    <cellStyle name="Normal 50 18 2 2" xfId="16954"/>
    <cellStyle name="Normal 50 18 2 3" xfId="23468"/>
    <cellStyle name="Normal 50 18 2 4" xfId="29857"/>
    <cellStyle name="Normal 50 18 3" xfId="13538"/>
    <cellStyle name="Normal 50 18 4" xfId="20063"/>
    <cellStyle name="Normal 50 18 5" xfId="26453"/>
    <cellStyle name="Normal 50 19" xfId="5270"/>
    <cellStyle name="Normal 50 19 2" xfId="13751"/>
    <cellStyle name="Normal 50 19 3" xfId="20268"/>
    <cellStyle name="Normal 50 19 4" xfId="26657"/>
    <cellStyle name="Normal 50 2" xfId="1874"/>
    <cellStyle name="Normal 50 2 2" xfId="5470"/>
    <cellStyle name="Normal 50 2 2 2" xfId="13951"/>
    <cellStyle name="Normal 50 2 2 3" xfId="20465"/>
    <cellStyle name="Normal 50 2 2 4" xfId="26854"/>
    <cellStyle name="Normal 50 2 3" xfId="10444"/>
    <cellStyle name="Normal 50 2 4" xfId="9568"/>
    <cellStyle name="Normal 50 2 5" xfId="10152"/>
    <cellStyle name="Normal 50 20" xfId="10031"/>
    <cellStyle name="Normal 50 21" xfId="9709"/>
    <cellStyle name="Normal 50 22" xfId="10017"/>
    <cellStyle name="Normal 50 3" xfId="2203"/>
    <cellStyle name="Normal 50 3 2" xfId="5773"/>
    <cellStyle name="Normal 50 3 2 2" xfId="14254"/>
    <cellStyle name="Normal 50 3 2 3" xfId="20768"/>
    <cellStyle name="Normal 50 3 2 4" xfId="27157"/>
    <cellStyle name="Normal 50 3 3" xfId="10759"/>
    <cellStyle name="Normal 50 3 4" xfId="17150"/>
    <cellStyle name="Normal 50 3 5" xfId="23626"/>
    <cellStyle name="Normal 50 4" xfId="2743"/>
    <cellStyle name="Normal 50 4 2" xfId="6244"/>
    <cellStyle name="Normal 50 4 2 2" xfId="14725"/>
    <cellStyle name="Normal 50 4 2 3" xfId="21239"/>
    <cellStyle name="Normal 50 4 2 4" xfId="27628"/>
    <cellStyle name="Normal 50 4 3" xfId="11253"/>
    <cellStyle name="Normal 50 4 4" xfId="17822"/>
    <cellStyle name="Normal 50 4 5" xfId="24224"/>
    <cellStyle name="Normal 50 5" xfId="2917"/>
    <cellStyle name="Normal 50 5 2" xfId="6411"/>
    <cellStyle name="Normal 50 5 2 2" xfId="14892"/>
    <cellStyle name="Normal 50 5 2 3" xfId="21406"/>
    <cellStyle name="Normal 50 5 2 4" xfId="27795"/>
    <cellStyle name="Normal 50 5 3" xfId="11423"/>
    <cellStyle name="Normal 50 5 4" xfId="17989"/>
    <cellStyle name="Normal 50 5 5" xfId="24391"/>
    <cellStyle name="Normal 50 6" xfId="3091"/>
    <cellStyle name="Normal 50 6 2" xfId="6578"/>
    <cellStyle name="Normal 50 6 2 2" xfId="15059"/>
    <cellStyle name="Normal 50 6 2 3" xfId="21573"/>
    <cellStyle name="Normal 50 6 2 4" xfId="27962"/>
    <cellStyle name="Normal 50 6 3" xfId="11593"/>
    <cellStyle name="Normal 50 6 4" xfId="18156"/>
    <cellStyle name="Normal 50 6 5" xfId="24558"/>
    <cellStyle name="Normal 50 7" xfId="3264"/>
    <cellStyle name="Normal 50 7 2" xfId="6745"/>
    <cellStyle name="Normal 50 7 2 2" xfId="15226"/>
    <cellStyle name="Normal 50 7 2 3" xfId="21740"/>
    <cellStyle name="Normal 50 7 2 4" xfId="28129"/>
    <cellStyle name="Normal 50 7 3" xfId="11764"/>
    <cellStyle name="Normal 50 7 4" xfId="18323"/>
    <cellStyle name="Normal 50 7 5" xfId="24725"/>
    <cellStyle name="Normal 50 8" xfId="3435"/>
    <cellStyle name="Normal 50 8 2" xfId="6910"/>
    <cellStyle name="Normal 50 8 2 2" xfId="15391"/>
    <cellStyle name="Normal 50 8 2 3" xfId="21905"/>
    <cellStyle name="Normal 50 8 2 4" xfId="28294"/>
    <cellStyle name="Normal 50 8 3" xfId="11932"/>
    <cellStyle name="Normal 50 8 4" xfId="18488"/>
    <cellStyle name="Normal 50 8 5" xfId="24890"/>
    <cellStyle name="Normal 50 9" xfId="3605"/>
    <cellStyle name="Normal 50 9 2" xfId="7074"/>
    <cellStyle name="Normal 50 9 2 2" xfId="15555"/>
    <cellStyle name="Normal 50 9 2 3" xfId="22069"/>
    <cellStyle name="Normal 50 9 2 4" xfId="28458"/>
    <cellStyle name="Normal 50 9 3" xfId="12100"/>
    <cellStyle name="Normal 50 9 4" xfId="18653"/>
    <cellStyle name="Normal 50 9 5" xfId="25054"/>
    <cellStyle name="Normal 51" xfId="1271"/>
    <cellStyle name="Normal 51 10" xfId="3774"/>
    <cellStyle name="Normal 51 10 2" xfId="7237"/>
    <cellStyle name="Normal 51 10 2 2" xfId="15718"/>
    <cellStyle name="Normal 51 10 2 3" xfId="22232"/>
    <cellStyle name="Normal 51 10 2 4" xfId="28621"/>
    <cellStyle name="Normal 51 10 3" xfId="12269"/>
    <cellStyle name="Normal 51 10 4" xfId="18819"/>
    <cellStyle name="Normal 51 10 5" xfId="25217"/>
    <cellStyle name="Normal 51 11" xfId="3942"/>
    <cellStyle name="Normal 51 11 2" xfId="7400"/>
    <cellStyle name="Normal 51 11 2 2" xfId="15881"/>
    <cellStyle name="Normal 51 11 2 3" xfId="22395"/>
    <cellStyle name="Normal 51 11 2 4" xfId="28784"/>
    <cellStyle name="Normal 51 11 3" xfId="12436"/>
    <cellStyle name="Normal 51 11 4" xfId="18983"/>
    <cellStyle name="Normal 51 11 5" xfId="25380"/>
    <cellStyle name="Normal 51 12" xfId="4107"/>
    <cellStyle name="Normal 51 12 2" xfId="7560"/>
    <cellStyle name="Normal 51 12 2 2" xfId="16041"/>
    <cellStyle name="Normal 51 12 2 3" xfId="22555"/>
    <cellStyle name="Normal 51 12 2 4" xfId="28944"/>
    <cellStyle name="Normal 51 12 3" xfId="12600"/>
    <cellStyle name="Normal 51 12 4" xfId="19144"/>
    <cellStyle name="Normal 51 12 5" xfId="25540"/>
    <cellStyle name="Normal 51 13" xfId="4272"/>
    <cellStyle name="Normal 51 13 2" xfId="7720"/>
    <cellStyle name="Normal 51 13 2 2" xfId="16201"/>
    <cellStyle name="Normal 51 13 2 3" xfId="22715"/>
    <cellStyle name="Normal 51 13 2 4" xfId="29104"/>
    <cellStyle name="Normal 51 13 3" xfId="12764"/>
    <cellStyle name="Normal 51 13 4" xfId="19305"/>
    <cellStyle name="Normal 51 13 5" xfId="25700"/>
    <cellStyle name="Normal 51 14" xfId="4432"/>
    <cellStyle name="Normal 51 14 2" xfId="7875"/>
    <cellStyle name="Normal 51 14 2 2" xfId="16356"/>
    <cellStyle name="Normal 51 14 2 3" xfId="22870"/>
    <cellStyle name="Normal 51 14 2 4" xfId="29259"/>
    <cellStyle name="Normal 51 14 3" xfId="12923"/>
    <cellStyle name="Normal 51 14 4" xfId="19461"/>
    <cellStyle name="Normal 51 14 5" xfId="25855"/>
    <cellStyle name="Normal 51 15" xfId="4592"/>
    <cellStyle name="Normal 51 15 2" xfId="8030"/>
    <cellStyle name="Normal 51 15 2 2" xfId="16511"/>
    <cellStyle name="Normal 51 15 2 3" xfId="23025"/>
    <cellStyle name="Normal 51 15 2 4" xfId="29414"/>
    <cellStyle name="Normal 51 15 3" xfId="13083"/>
    <cellStyle name="Normal 51 15 4" xfId="19617"/>
    <cellStyle name="Normal 51 15 5" xfId="26010"/>
    <cellStyle name="Normal 51 16" xfId="4752"/>
    <cellStyle name="Normal 51 16 2" xfId="8185"/>
    <cellStyle name="Normal 51 16 2 2" xfId="16666"/>
    <cellStyle name="Normal 51 16 2 3" xfId="23180"/>
    <cellStyle name="Normal 51 16 2 4" xfId="29569"/>
    <cellStyle name="Normal 51 16 3" xfId="13242"/>
    <cellStyle name="Normal 51 16 4" xfId="19773"/>
    <cellStyle name="Normal 51 16 5" xfId="26165"/>
    <cellStyle name="Normal 51 17" xfId="4911"/>
    <cellStyle name="Normal 51 17 2" xfId="8339"/>
    <cellStyle name="Normal 51 17 2 2" xfId="16820"/>
    <cellStyle name="Normal 51 17 2 3" xfId="23334"/>
    <cellStyle name="Normal 51 17 2 4" xfId="29723"/>
    <cellStyle name="Normal 51 17 3" xfId="13400"/>
    <cellStyle name="Normal 51 17 4" xfId="19928"/>
    <cellStyle name="Normal 51 17 5" xfId="26319"/>
    <cellStyle name="Normal 51 18" xfId="5049"/>
    <cellStyle name="Normal 51 18 2" xfId="8472"/>
    <cellStyle name="Normal 51 18 2 2" xfId="16953"/>
    <cellStyle name="Normal 51 18 2 3" xfId="23467"/>
    <cellStyle name="Normal 51 18 2 4" xfId="29856"/>
    <cellStyle name="Normal 51 18 3" xfId="13537"/>
    <cellStyle name="Normal 51 18 4" xfId="20062"/>
    <cellStyle name="Normal 51 18 5" xfId="26452"/>
    <cellStyle name="Normal 51 19" xfId="5271"/>
    <cellStyle name="Normal 51 19 2" xfId="13752"/>
    <cellStyle name="Normal 51 19 3" xfId="20269"/>
    <cellStyle name="Normal 51 19 4" xfId="26658"/>
    <cellStyle name="Normal 51 2" xfId="1875"/>
    <cellStyle name="Normal 51 2 2" xfId="5471"/>
    <cellStyle name="Normal 51 2 2 2" xfId="13952"/>
    <cellStyle name="Normal 51 2 2 3" xfId="20466"/>
    <cellStyle name="Normal 51 2 2 4" xfId="26855"/>
    <cellStyle name="Normal 51 2 3" xfId="10445"/>
    <cellStyle name="Normal 51 2 4" xfId="9567"/>
    <cellStyle name="Normal 51 2 5" xfId="10153"/>
    <cellStyle name="Normal 51 20" xfId="10032"/>
    <cellStyle name="Normal 51 21" xfId="9708"/>
    <cellStyle name="Normal 51 22" xfId="10018"/>
    <cellStyle name="Normal 51 3" xfId="2204"/>
    <cellStyle name="Normal 51 3 2" xfId="5774"/>
    <cellStyle name="Normal 51 3 2 2" xfId="14255"/>
    <cellStyle name="Normal 51 3 2 3" xfId="20769"/>
    <cellStyle name="Normal 51 3 2 4" xfId="27158"/>
    <cellStyle name="Normal 51 3 3" xfId="10760"/>
    <cellStyle name="Normal 51 3 4" xfId="17151"/>
    <cellStyle name="Normal 51 3 5" xfId="23627"/>
    <cellStyle name="Normal 51 4" xfId="2742"/>
    <cellStyle name="Normal 51 4 2" xfId="6243"/>
    <cellStyle name="Normal 51 4 2 2" xfId="14724"/>
    <cellStyle name="Normal 51 4 2 3" xfId="21238"/>
    <cellStyle name="Normal 51 4 2 4" xfId="27627"/>
    <cellStyle name="Normal 51 4 3" xfId="11252"/>
    <cellStyle name="Normal 51 4 4" xfId="17821"/>
    <cellStyle name="Normal 51 4 5" xfId="24223"/>
    <cellStyle name="Normal 51 5" xfId="2916"/>
    <cellStyle name="Normal 51 5 2" xfId="6410"/>
    <cellStyle name="Normal 51 5 2 2" xfId="14891"/>
    <cellStyle name="Normal 51 5 2 3" xfId="21405"/>
    <cellStyle name="Normal 51 5 2 4" xfId="27794"/>
    <cellStyle name="Normal 51 5 3" xfId="11422"/>
    <cellStyle name="Normal 51 5 4" xfId="17988"/>
    <cellStyle name="Normal 51 5 5" xfId="24390"/>
    <cellStyle name="Normal 51 6" xfId="3090"/>
    <cellStyle name="Normal 51 6 2" xfId="6577"/>
    <cellStyle name="Normal 51 6 2 2" xfId="15058"/>
    <cellStyle name="Normal 51 6 2 3" xfId="21572"/>
    <cellStyle name="Normal 51 6 2 4" xfId="27961"/>
    <cellStyle name="Normal 51 6 3" xfId="11592"/>
    <cellStyle name="Normal 51 6 4" xfId="18155"/>
    <cellStyle name="Normal 51 6 5" xfId="24557"/>
    <cellStyle name="Normal 51 7" xfId="3263"/>
    <cellStyle name="Normal 51 7 2" xfId="6744"/>
    <cellStyle name="Normal 51 7 2 2" xfId="15225"/>
    <cellStyle name="Normal 51 7 2 3" xfId="21739"/>
    <cellStyle name="Normal 51 7 2 4" xfId="28128"/>
    <cellStyle name="Normal 51 7 3" xfId="11763"/>
    <cellStyle name="Normal 51 7 4" xfId="18322"/>
    <cellStyle name="Normal 51 7 5" xfId="24724"/>
    <cellStyle name="Normal 51 8" xfId="3434"/>
    <cellStyle name="Normal 51 8 2" xfId="6909"/>
    <cellStyle name="Normal 51 8 2 2" xfId="15390"/>
    <cellStyle name="Normal 51 8 2 3" xfId="21904"/>
    <cellStyle name="Normal 51 8 2 4" xfId="28293"/>
    <cellStyle name="Normal 51 8 3" xfId="11931"/>
    <cellStyle name="Normal 51 8 4" xfId="18487"/>
    <cellStyle name="Normal 51 8 5" xfId="24889"/>
    <cellStyle name="Normal 51 9" xfId="3604"/>
    <cellStyle name="Normal 51 9 2" xfId="7073"/>
    <cellStyle name="Normal 51 9 2 2" xfId="15554"/>
    <cellStyle name="Normal 51 9 2 3" xfId="22068"/>
    <cellStyle name="Normal 51 9 2 4" xfId="28457"/>
    <cellStyle name="Normal 51 9 3" xfId="12099"/>
    <cellStyle name="Normal 51 9 4" xfId="18652"/>
    <cellStyle name="Normal 51 9 5" xfId="25053"/>
    <cellStyle name="Normal 52" xfId="1272"/>
    <cellStyle name="Normal 52 10" xfId="3773"/>
    <cellStyle name="Normal 52 10 2" xfId="7236"/>
    <cellStyle name="Normal 52 10 2 2" xfId="15717"/>
    <cellStyle name="Normal 52 10 2 3" xfId="22231"/>
    <cellStyle name="Normal 52 10 2 4" xfId="28620"/>
    <cellStyle name="Normal 52 10 3" xfId="12268"/>
    <cellStyle name="Normal 52 10 4" xfId="18818"/>
    <cellStyle name="Normal 52 10 5" xfId="25216"/>
    <cellStyle name="Normal 52 11" xfId="3941"/>
    <cellStyle name="Normal 52 11 2" xfId="7399"/>
    <cellStyle name="Normal 52 11 2 2" xfId="15880"/>
    <cellStyle name="Normal 52 11 2 3" xfId="22394"/>
    <cellStyle name="Normal 52 11 2 4" xfId="28783"/>
    <cellStyle name="Normal 52 11 3" xfId="12435"/>
    <cellStyle name="Normal 52 11 4" xfId="18982"/>
    <cellStyle name="Normal 52 11 5" xfId="25379"/>
    <cellStyle name="Normal 52 12" xfId="4106"/>
    <cellStyle name="Normal 52 12 2" xfId="7559"/>
    <cellStyle name="Normal 52 12 2 2" xfId="16040"/>
    <cellStyle name="Normal 52 12 2 3" xfId="22554"/>
    <cellStyle name="Normal 52 12 2 4" xfId="28943"/>
    <cellStyle name="Normal 52 12 3" xfId="12599"/>
    <cellStyle name="Normal 52 12 4" xfId="19143"/>
    <cellStyle name="Normal 52 12 5" xfId="25539"/>
    <cellStyle name="Normal 52 13" xfId="4271"/>
    <cellStyle name="Normal 52 13 2" xfId="7719"/>
    <cellStyle name="Normal 52 13 2 2" xfId="16200"/>
    <cellStyle name="Normal 52 13 2 3" xfId="22714"/>
    <cellStyle name="Normal 52 13 2 4" xfId="29103"/>
    <cellStyle name="Normal 52 13 3" xfId="12763"/>
    <cellStyle name="Normal 52 13 4" xfId="19304"/>
    <cellStyle name="Normal 52 13 5" xfId="25699"/>
    <cellStyle name="Normal 52 14" xfId="4431"/>
    <cellStyle name="Normal 52 14 2" xfId="7874"/>
    <cellStyle name="Normal 52 14 2 2" xfId="16355"/>
    <cellStyle name="Normal 52 14 2 3" xfId="22869"/>
    <cellStyle name="Normal 52 14 2 4" xfId="29258"/>
    <cellStyle name="Normal 52 14 3" xfId="12922"/>
    <cellStyle name="Normal 52 14 4" xfId="19460"/>
    <cellStyle name="Normal 52 14 5" xfId="25854"/>
    <cellStyle name="Normal 52 15" xfId="4591"/>
    <cellStyle name="Normal 52 15 2" xfId="8029"/>
    <cellStyle name="Normal 52 15 2 2" xfId="16510"/>
    <cellStyle name="Normal 52 15 2 3" xfId="23024"/>
    <cellStyle name="Normal 52 15 2 4" xfId="29413"/>
    <cellStyle name="Normal 52 15 3" xfId="13082"/>
    <cellStyle name="Normal 52 15 4" xfId="19616"/>
    <cellStyle name="Normal 52 15 5" xfId="26009"/>
    <cellStyle name="Normal 52 16" xfId="4751"/>
    <cellStyle name="Normal 52 16 2" xfId="8184"/>
    <cellStyle name="Normal 52 16 2 2" xfId="16665"/>
    <cellStyle name="Normal 52 16 2 3" xfId="23179"/>
    <cellStyle name="Normal 52 16 2 4" xfId="29568"/>
    <cellStyle name="Normal 52 16 3" xfId="13241"/>
    <cellStyle name="Normal 52 16 4" xfId="19772"/>
    <cellStyle name="Normal 52 16 5" xfId="26164"/>
    <cellStyle name="Normal 52 17" xfId="4910"/>
    <cellStyle name="Normal 52 17 2" xfId="8338"/>
    <cellStyle name="Normal 52 17 2 2" xfId="16819"/>
    <cellStyle name="Normal 52 17 2 3" xfId="23333"/>
    <cellStyle name="Normal 52 17 2 4" xfId="29722"/>
    <cellStyle name="Normal 52 17 3" xfId="13399"/>
    <cellStyle name="Normal 52 17 4" xfId="19927"/>
    <cellStyle name="Normal 52 17 5" xfId="26318"/>
    <cellStyle name="Normal 52 18" xfId="5048"/>
    <cellStyle name="Normal 52 18 2" xfId="8471"/>
    <cellStyle name="Normal 52 18 2 2" xfId="16952"/>
    <cellStyle name="Normal 52 18 2 3" xfId="23466"/>
    <cellStyle name="Normal 52 18 2 4" xfId="29855"/>
    <cellStyle name="Normal 52 18 3" xfId="13536"/>
    <cellStyle name="Normal 52 18 4" xfId="20061"/>
    <cellStyle name="Normal 52 18 5" xfId="26451"/>
    <cellStyle name="Normal 52 19" xfId="5272"/>
    <cellStyle name="Normal 52 19 2" xfId="13753"/>
    <cellStyle name="Normal 52 19 3" xfId="20270"/>
    <cellStyle name="Normal 52 19 4" xfId="26659"/>
    <cellStyle name="Normal 52 2" xfId="1876"/>
    <cellStyle name="Normal 52 2 2" xfId="5472"/>
    <cellStyle name="Normal 52 2 2 2" xfId="13953"/>
    <cellStyle name="Normal 52 2 2 3" xfId="20467"/>
    <cellStyle name="Normal 52 2 2 4" xfId="26856"/>
    <cellStyle name="Normal 52 2 3" xfId="10446"/>
    <cellStyle name="Normal 52 2 4" xfId="9566"/>
    <cellStyle name="Normal 52 2 5" xfId="10154"/>
    <cellStyle name="Normal 52 20" xfId="10033"/>
    <cellStyle name="Normal 52 21" xfId="9707"/>
    <cellStyle name="Normal 52 22" xfId="10019"/>
    <cellStyle name="Normal 52 3" xfId="2205"/>
    <cellStyle name="Normal 52 3 2" xfId="5775"/>
    <cellStyle name="Normal 52 3 2 2" xfId="14256"/>
    <cellStyle name="Normal 52 3 2 3" xfId="20770"/>
    <cellStyle name="Normal 52 3 2 4" xfId="27159"/>
    <cellStyle name="Normal 52 3 3" xfId="10761"/>
    <cellStyle name="Normal 52 3 4" xfId="17152"/>
    <cellStyle name="Normal 52 3 5" xfId="23628"/>
    <cellStyle name="Normal 52 4" xfId="2741"/>
    <cellStyle name="Normal 52 4 2" xfId="6242"/>
    <cellStyle name="Normal 52 4 2 2" xfId="14723"/>
    <cellStyle name="Normal 52 4 2 3" xfId="21237"/>
    <cellStyle name="Normal 52 4 2 4" xfId="27626"/>
    <cellStyle name="Normal 52 4 3" xfId="11251"/>
    <cellStyle name="Normal 52 4 4" xfId="17820"/>
    <cellStyle name="Normal 52 4 5" xfId="24222"/>
    <cellStyle name="Normal 52 5" xfId="2915"/>
    <cellStyle name="Normal 52 5 2" xfId="6409"/>
    <cellStyle name="Normal 52 5 2 2" xfId="14890"/>
    <cellStyle name="Normal 52 5 2 3" xfId="21404"/>
    <cellStyle name="Normal 52 5 2 4" xfId="27793"/>
    <cellStyle name="Normal 52 5 3" xfId="11421"/>
    <cellStyle name="Normal 52 5 4" xfId="17987"/>
    <cellStyle name="Normal 52 5 5" xfId="24389"/>
    <cellStyle name="Normal 52 6" xfId="3089"/>
    <cellStyle name="Normal 52 6 2" xfId="6576"/>
    <cellStyle name="Normal 52 6 2 2" xfId="15057"/>
    <cellStyle name="Normal 52 6 2 3" xfId="21571"/>
    <cellStyle name="Normal 52 6 2 4" xfId="27960"/>
    <cellStyle name="Normal 52 6 3" xfId="11591"/>
    <cellStyle name="Normal 52 6 4" xfId="18154"/>
    <cellStyle name="Normal 52 6 5" xfId="24556"/>
    <cellStyle name="Normal 52 7" xfId="3262"/>
    <cellStyle name="Normal 52 7 2" xfId="6743"/>
    <cellStyle name="Normal 52 7 2 2" xfId="15224"/>
    <cellStyle name="Normal 52 7 2 3" xfId="21738"/>
    <cellStyle name="Normal 52 7 2 4" xfId="28127"/>
    <cellStyle name="Normal 52 7 3" xfId="11762"/>
    <cellStyle name="Normal 52 7 4" xfId="18321"/>
    <cellStyle name="Normal 52 7 5" xfId="24723"/>
    <cellStyle name="Normal 52 8" xfId="3433"/>
    <cellStyle name="Normal 52 8 2" xfId="6908"/>
    <cellStyle name="Normal 52 8 2 2" xfId="15389"/>
    <cellStyle name="Normal 52 8 2 3" xfId="21903"/>
    <cellStyle name="Normal 52 8 2 4" xfId="28292"/>
    <cellStyle name="Normal 52 8 3" xfId="11930"/>
    <cellStyle name="Normal 52 8 4" xfId="18486"/>
    <cellStyle name="Normal 52 8 5" xfId="24888"/>
    <cellStyle name="Normal 52 9" xfId="3603"/>
    <cellStyle name="Normal 52 9 2" xfId="7072"/>
    <cellStyle name="Normal 52 9 2 2" xfId="15553"/>
    <cellStyle name="Normal 52 9 2 3" xfId="22067"/>
    <cellStyle name="Normal 52 9 2 4" xfId="28456"/>
    <cellStyle name="Normal 52 9 3" xfId="12098"/>
    <cellStyle name="Normal 52 9 4" xfId="18651"/>
    <cellStyle name="Normal 52 9 5" xfId="25052"/>
    <cellStyle name="Normal 53" xfId="1273"/>
    <cellStyle name="Normal 53 10" xfId="3772"/>
    <cellStyle name="Normal 53 10 2" xfId="7235"/>
    <cellStyle name="Normal 53 10 2 2" xfId="15716"/>
    <cellStyle name="Normal 53 10 2 3" xfId="22230"/>
    <cellStyle name="Normal 53 10 2 4" xfId="28619"/>
    <cellStyle name="Normal 53 10 3" xfId="12267"/>
    <cellStyle name="Normal 53 10 4" xfId="18817"/>
    <cellStyle name="Normal 53 10 5" xfId="25215"/>
    <cellStyle name="Normal 53 11" xfId="3940"/>
    <cellStyle name="Normal 53 11 2" xfId="7398"/>
    <cellStyle name="Normal 53 11 2 2" xfId="15879"/>
    <cellStyle name="Normal 53 11 2 3" xfId="22393"/>
    <cellStyle name="Normal 53 11 2 4" xfId="28782"/>
    <cellStyle name="Normal 53 11 3" xfId="12434"/>
    <cellStyle name="Normal 53 11 4" xfId="18981"/>
    <cellStyle name="Normal 53 11 5" xfId="25378"/>
    <cellStyle name="Normal 53 12" xfId="4105"/>
    <cellStyle name="Normal 53 12 2" xfId="7558"/>
    <cellStyle name="Normal 53 12 2 2" xfId="16039"/>
    <cellStyle name="Normal 53 12 2 3" xfId="22553"/>
    <cellStyle name="Normal 53 12 2 4" xfId="28942"/>
    <cellStyle name="Normal 53 12 3" xfId="12598"/>
    <cellStyle name="Normal 53 12 4" xfId="19142"/>
    <cellStyle name="Normal 53 12 5" xfId="25538"/>
    <cellStyle name="Normal 53 13" xfId="4270"/>
    <cellStyle name="Normal 53 13 2" xfId="7718"/>
    <cellStyle name="Normal 53 13 2 2" xfId="16199"/>
    <cellStyle name="Normal 53 13 2 3" xfId="22713"/>
    <cellStyle name="Normal 53 13 2 4" xfId="29102"/>
    <cellStyle name="Normal 53 13 3" xfId="12762"/>
    <cellStyle name="Normal 53 13 4" xfId="19303"/>
    <cellStyle name="Normal 53 13 5" xfId="25698"/>
    <cellStyle name="Normal 53 14" xfId="4430"/>
    <cellStyle name="Normal 53 14 2" xfId="7873"/>
    <cellStyle name="Normal 53 14 2 2" xfId="16354"/>
    <cellStyle name="Normal 53 14 2 3" xfId="22868"/>
    <cellStyle name="Normal 53 14 2 4" xfId="29257"/>
    <cellStyle name="Normal 53 14 3" xfId="12921"/>
    <cellStyle name="Normal 53 14 4" xfId="19459"/>
    <cellStyle name="Normal 53 14 5" xfId="25853"/>
    <cellStyle name="Normal 53 15" xfId="4590"/>
    <cellStyle name="Normal 53 15 2" xfId="8028"/>
    <cellStyle name="Normal 53 15 2 2" xfId="16509"/>
    <cellStyle name="Normal 53 15 2 3" xfId="23023"/>
    <cellStyle name="Normal 53 15 2 4" xfId="29412"/>
    <cellStyle name="Normal 53 15 3" xfId="13081"/>
    <cellStyle name="Normal 53 15 4" xfId="19615"/>
    <cellStyle name="Normal 53 15 5" xfId="26008"/>
    <cellStyle name="Normal 53 16" xfId="4750"/>
    <cellStyle name="Normal 53 16 2" xfId="8183"/>
    <cellStyle name="Normal 53 16 2 2" xfId="16664"/>
    <cellStyle name="Normal 53 16 2 3" xfId="23178"/>
    <cellStyle name="Normal 53 16 2 4" xfId="29567"/>
    <cellStyle name="Normal 53 16 3" xfId="13240"/>
    <cellStyle name="Normal 53 16 4" xfId="19771"/>
    <cellStyle name="Normal 53 16 5" xfId="26163"/>
    <cellStyle name="Normal 53 17" xfId="4909"/>
    <cellStyle name="Normal 53 17 2" xfId="8337"/>
    <cellStyle name="Normal 53 17 2 2" xfId="16818"/>
    <cellStyle name="Normal 53 17 2 3" xfId="23332"/>
    <cellStyle name="Normal 53 17 2 4" xfId="29721"/>
    <cellStyle name="Normal 53 17 3" xfId="13398"/>
    <cellStyle name="Normal 53 17 4" xfId="19926"/>
    <cellStyle name="Normal 53 17 5" xfId="26317"/>
    <cellStyle name="Normal 53 18" xfId="5047"/>
    <cellStyle name="Normal 53 18 2" xfId="8470"/>
    <cellStyle name="Normal 53 18 2 2" xfId="16951"/>
    <cellStyle name="Normal 53 18 2 3" xfId="23465"/>
    <cellStyle name="Normal 53 18 2 4" xfId="29854"/>
    <cellStyle name="Normal 53 18 3" xfId="13535"/>
    <cellStyle name="Normal 53 18 4" xfId="20060"/>
    <cellStyle name="Normal 53 18 5" xfId="26450"/>
    <cellStyle name="Normal 53 19" xfId="5273"/>
    <cellStyle name="Normal 53 19 2" xfId="13754"/>
    <cellStyle name="Normal 53 19 3" xfId="20271"/>
    <cellStyle name="Normal 53 19 4" xfId="26660"/>
    <cellStyle name="Normal 53 2" xfId="1877"/>
    <cellStyle name="Normal 53 2 2" xfId="5473"/>
    <cellStyle name="Normal 53 2 2 2" xfId="13954"/>
    <cellStyle name="Normal 53 2 2 3" xfId="20468"/>
    <cellStyle name="Normal 53 2 2 4" xfId="26857"/>
    <cellStyle name="Normal 53 2 3" xfId="10447"/>
    <cellStyle name="Normal 53 2 4" xfId="9565"/>
    <cellStyle name="Normal 53 2 5" xfId="10155"/>
    <cellStyle name="Normal 53 20" xfId="10034"/>
    <cellStyle name="Normal 53 21" xfId="9706"/>
    <cellStyle name="Normal 53 22" xfId="10020"/>
    <cellStyle name="Normal 53 3" xfId="2206"/>
    <cellStyle name="Normal 53 3 2" xfId="5776"/>
    <cellStyle name="Normal 53 3 2 2" xfId="14257"/>
    <cellStyle name="Normal 53 3 2 3" xfId="20771"/>
    <cellStyle name="Normal 53 3 2 4" xfId="27160"/>
    <cellStyle name="Normal 53 3 3" xfId="10762"/>
    <cellStyle name="Normal 53 3 4" xfId="17153"/>
    <cellStyle name="Normal 53 3 5" xfId="23629"/>
    <cellStyle name="Normal 53 4" xfId="2740"/>
    <cellStyle name="Normal 53 4 2" xfId="6241"/>
    <cellStyle name="Normal 53 4 2 2" xfId="14722"/>
    <cellStyle name="Normal 53 4 2 3" xfId="21236"/>
    <cellStyle name="Normal 53 4 2 4" xfId="27625"/>
    <cellStyle name="Normal 53 4 3" xfId="11250"/>
    <cellStyle name="Normal 53 4 4" xfId="17819"/>
    <cellStyle name="Normal 53 4 5" xfId="24221"/>
    <cellStyle name="Normal 53 5" xfId="2914"/>
    <cellStyle name="Normal 53 5 2" xfId="6408"/>
    <cellStyle name="Normal 53 5 2 2" xfId="14889"/>
    <cellStyle name="Normal 53 5 2 3" xfId="21403"/>
    <cellStyle name="Normal 53 5 2 4" xfId="27792"/>
    <cellStyle name="Normal 53 5 3" xfId="11420"/>
    <cellStyle name="Normal 53 5 4" xfId="17986"/>
    <cellStyle name="Normal 53 5 5" xfId="24388"/>
    <cellStyle name="Normal 53 6" xfId="3088"/>
    <cellStyle name="Normal 53 6 2" xfId="6575"/>
    <cellStyle name="Normal 53 6 2 2" xfId="15056"/>
    <cellStyle name="Normal 53 6 2 3" xfId="21570"/>
    <cellStyle name="Normal 53 6 2 4" xfId="27959"/>
    <cellStyle name="Normal 53 6 3" xfId="11590"/>
    <cellStyle name="Normal 53 6 4" xfId="18153"/>
    <cellStyle name="Normal 53 6 5" xfId="24555"/>
    <cellStyle name="Normal 53 7" xfId="3261"/>
    <cellStyle name="Normal 53 7 2" xfId="6742"/>
    <cellStyle name="Normal 53 7 2 2" xfId="15223"/>
    <cellStyle name="Normal 53 7 2 3" xfId="21737"/>
    <cellStyle name="Normal 53 7 2 4" xfId="28126"/>
    <cellStyle name="Normal 53 7 3" xfId="11761"/>
    <cellStyle name="Normal 53 7 4" xfId="18320"/>
    <cellStyle name="Normal 53 7 5" xfId="24722"/>
    <cellStyle name="Normal 53 8" xfId="3432"/>
    <cellStyle name="Normal 53 8 2" xfId="6907"/>
    <cellStyle name="Normal 53 8 2 2" xfId="15388"/>
    <cellStyle name="Normal 53 8 2 3" xfId="21902"/>
    <cellStyle name="Normal 53 8 2 4" xfId="28291"/>
    <cellStyle name="Normal 53 8 3" xfId="11929"/>
    <cellStyle name="Normal 53 8 4" xfId="18485"/>
    <cellStyle name="Normal 53 8 5" xfId="24887"/>
    <cellStyle name="Normal 53 9" xfId="3602"/>
    <cellStyle name="Normal 53 9 2" xfId="7071"/>
    <cellStyle name="Normal 53 9 2 2" xfId="15552"/>
    <cellStyle name="Normal 53 9 2 3" xfId="22066"/>
    <cellStyle name="Normal 53 9 2 4" xfId="28455"/>
    <cellStyle name="Normal 53 9 3" xfId="12097"/>
    <cellStyle name="Normal 53 9 4" xfId="18650"/>
    <cellStyle name="Normal 53 9 5" xfId="25051"/>
    <cellStyle name="Normal 54" xfId="1274"/>
    <cellStyle name="Normal 54 10" xfId="3771"/>
    <cellStyle name="Normal 54 10 2" xfId="7234"/>
    <cellStyle name="Normal 54 10 2 2" xfId="15715"/>
    <cellStyle name="Normal 54 10 2 3" xfId="22229"/>
    <cellStyle name="Normal 54 10 2 4" xfId="28618"/>
    <cellStyle name="Normal 54 10 3" xfId="12266"/>
    <cellStyle name="Normal 54 10 4" xfId="18816"/>
    <cellStyle name="Normal 54 10 5" xfId="25214"/>
    <cellStyle name="Normal 54 11" xfId="3939"/>
    <cellStyle name="Normal 54 11 2" xfId="7397"/>
    <cellStyle name="Normal 54 11 2 2" xfId="15878"/>
    <cellStyle name="Normal 54 11 2 3" xfId="22392"/>
    <cellStyle name="Normal 54 11 2 4" xfId="28781"/>
    <cellStyle name="Normal 54 11 3" xfId="12433"/>
    <cellStyle name="Normal 54 11 4" xfId="18980"/>
    <cellStyle name="Normal 54 11 5" xfId="25377"/>
    <cellStyle name="Normal 54 12" xfId="4104"/>
    <cellStyle name="Normal 54 12 2" xfId="7557"/>
    <cellStyle name="Normal 54 12 2 2" xfId="16038"/>
    <cellStyle name="Normal 54 12 2 3" xfId="22552"/>
    <cellStyle name="Normal 54 12 2 4" xfId="28941"/>
    <cellStyle name="Normal 54 12 3" xfId="12597"/>
    <cellStyle name="Normal 54 12 4" xfId="19141"/>
    <cellStyle name="Normal 54 12 5" xfId="25537"/>
    <cellStyle name="Normal 54 13" xfId="4269"/>
    <cellStyle name="Normal 54 13 2" xfId="7717"/>
    <cellStyle name="Normal 54 13 2 2" xfId="16198"/>
    <cellStyle name="Normal 54 13 2 3" xfId="22712"/>
    <cellStyle name="Normal 54 13 2 4" xfId="29101"/>
    <cellStyle name="Normal 54 13 3" xfId="12761"/>
    <cellStyle name="Normal 54 13 4" xfId="19302"/>
    <cellStyle name="Normal 54 13 5" xfId="25697"/>
    <cellStyle name="Normal 54 14" xfId="4429"/>
    <cellStyle name="Normal 54 14 2" xfId="7872"/>
    <cellStyle name="Normal 54 14 2 2" xfId="16353"/>
    <cellStyle name="Normal 54 14 2 3" xfId="22867"/>
    <cellStyle name="Normal 54 14 2 4" xfId="29256"/>
    <cellStyle name="Normal 54 14 3" xfId="12920"/>
    <cellStyle name="Normal 54 14 4" xfId="19458"/>
    <cellStyle name="Normal 54 14 5" xfId="25852"/>
    <cellStyle name="Normal 54 15" xfId="4589"/>
    <cellStyle name="Normal 54 15 2" xfId="8027"/>
    <cellStyle name="Normal 54 15 2 2" xfId="16508"/>
    <cellStyle name="Normal 54 15 2 3" xfId="23022"/>
    <cellStyle name="Normal 54 15 2 4" xfId="29411"/>
    <cellStyle name="Normal 54 15 3" xfId="13080"/>
    <cellStyle name="Normal 54 15 4" xfId="19614"/>
    <cellStyle name="Normal 54 15 5" xfId="26007"/>
    <cellStyle name="Normal 54 16" xfId="4749"/>
    <cellStyle name="Normal 54 16 2" xfId="8182"/>
    <cellStyle name="Normal 54 16 2 2" xfId="16663"/>
    <cellStyle name="Normal 54 16 2 3" xfId="23177"/>
    <cellStyle name="Normal 54 16 2 4" xfId="29566"/>
    <cellStyle name="Normal 54 16 3" xfId="13239"/>
    <cellStyle name="Normal 54 16 4" xfId="19770"/>
    <cellStyle name="Normal 54 16 5" xfId="26162"/>
    <cellStyle name="Normal 54 17" xfId="4908"/>
    <cellStyle name="Normal 54 17 2" xfId="8336"/>
    <cellStyle name="Normal 54 17 2 2" xfId="16817"/>
    <cellStyle name="Normal 54 17 2 3" xfId="23331"/>
    <cellStyle name="Normal 54 17 2 4" xfId="29720"/>
    <cellStyle name="Normal 54 17 3" xfId="13397"/>
    <cellStyle name="Normal 54 17 4" xfId="19925"/>
    <cellStyle name="Normal 54 17 5" xfId="26316"/>
    <cellStyle name="Normal 54 18" xfId="5046"/>
    <cellStyle name="Normal 54 18 2" xfId="8469"/>
    <cellStyle name="Normal 54 18 2 2" xfId="16950"/>
    <cellStyle name="Normal 54 18 2 3" xfId="23464"/>
    <cellStyle name="Normal 54 18 2 4" xfId="29853"/>
    <cellStyle name="Normal 54 18 3" xfId="13534"/>
    <cellStyle name="Normal 54 18 4" xfId="20059"/>
    <cellStyle name="Normal 54 18 5" xfId="26449"/>
    <cellStyle name="Normal 54 19" xfId="5274"/>
    <cellStyle name="Normal 54 19 2" xfId="13755"/>
    <cellStyle name="Normal 54 19 3" xfId="20272"/>
    <cellStyle name="Normal 54 19 4" xfId="26661"/>
    <cellStyle name="Normal 54 2" xfId="1878"/>
    <cellStyle name="Normal 54 2 2" xfId="5474"/>
    <cellStyle name="Normal 54 2 2 2" xfId="13955"/>
    <cellStyle name="Normal 54 2 2 3" xfId="20469"/>
    <cellStyle name="Normal 54 2 2 4" xfId="26858"/>
    <cellStyle name="Normal 54 2 3" xfId="10448"/>
    <cellStyle name="Normal 54 2 4" xfId="9564"/>
    <cellStyle name="Normal 54 2 5" xfId="10156"/>
    <cellStyle name="Normal 54 20" xfId="10035"/>
    <cellStyle name="Normal 54 21" xfId="9705"/>
    <cellStyle name="Normal 54 22" xfId="17083"/>
    <cellStyle name="Normal 54 3" xfId="2207"/>
    <cellStyle name="Normal 54 3 2" xfId="5777"/>
    <cellStyle name="Normal 54 3 2 2" xfId="14258"/>
    <cellStyle name="Normal 54 3 2 3" xfId="20772"/>
    <cellStyle name="Normal 54 3 2 4" xfId="27161"/>
    <cellStyle name="Normal 54 3 3" xfId="10763"/>
    <cellStyle name="Normal 54 3 4" xfId="17154"/>
    <cellStyle name="Normal 54 3 5" xfId="23630"/>
    <cellStyle name="Normal 54 4" xfId="2739"/>
    <cellStyle name="Normal 54 4 2" xfId="6240"/>
    <cellStyle name="Normal 54 4 2 2" xfId="14721"/>
    <cellStyle name="Normal 54 4 2 3" xfId="21235"/>
    <cellStyle name="Normal 54 4 2 4" xfId="27624"/>
    <cellStyle name="Normal 54 4 3" xfId="11249"/>
    <cellStyle name="Normal 54 4 4" xfId="17818"/>
    <cellStyle name="Normal 54 4 5" xfId="24220"/>
    <cellStyle name="Normal 54 5" xfId="2913"/>
    <cellStyle name="Normal 54 5 2" xfId="6407"/>
    <cellStyle name="Normal 54 5 2 2" xfId="14888"/>
    <cellStyle name="Normal 54 5 2 3" xfId="21402"/>
    <cellStyle name="Normal 54 5 2 4" xfId="27791"/>
    <cellStyle name="Normal 54 5 3" xfId="11419"/>
    <cellStyle name="Normal 54 5 4" xfId="17985"/>
    <cellStyle name="Normal 54 5 5" xfId="24387"/>
    <cellStyle name="Normal 54 6" xfId="3087"/>
    <cellStyle name="Normal 54 6 2" xfId="6574"/>
    <cellStyle name="Normal 54 6 2 2" xfId="15055"/>
    <cellStyle name="Normal 54 6 2 3" xfId="21569"/>
    <cellStyle name="Normal 54 6 2 4" xfId="27958"/>
    <cellStyle name="Normal 54 6 3" xfId="11589"/>
    <cellStyle name="Normal 54 6 4" xfId="18152"/>
    <cellStyle name="Normal 54 6 5" xfId="24554"/>
    <cellStyle name="Normal 54 7" xfId="3260"/>
    <cellStyle name="Normal 54 7 2" xfId="6741"/>
    <cellStyle name="Normal 54 7 2 2" xfId="15222"/>
    <cellStyle name="Normal 54 7 2 3" xfId="21736"/>
    <cellStyle name="Normal 54 7 2 4" xfId="28125"/>
    <cellStyle name="Normal 54 7 3" xfId="11760"/>
    <cellStyle name="Normal 54 7 4" xfId="18319"/>
    <cellStyle name="Normal 54 7 5" xfId="24721"/>
    <cellStyle name="Normal 54 8" xfId="3431"/>
    <cellStyle name="Normal 54 8 2" xfId="6906"/>
    <cellStyle name="Normal 54 8 2 2" xfId="15387"/>
    <cellStyle name="Normal 54 8 2 3" xfId="21901"/>
    <cellStyle name="Normal 54 8 2 4" xfId="28290"/>
    <cellStyle name="Normal 54 8 3" xfId="11928"/>
    <cellStyle name="Normal 54 8 4" xfId="18484"/>
    <cellStyle name="Normal 54 8 5" xfId="24886"/>
    <cellStyle name="Normal 54 9" xfId="3601"/>
    <cellStyle name="Normal 54 9 2" xfId="7070"/>
    <cellStyle name="Normal 54 9 2 2" xfId="15551"/>
    <cellStyle name="Normal 54 9 2 3" xfId="22065"/>
    <cellStyle name="Normal 54 9 2 4" xfId="28454"/>
    <cellStyle name="Normal 54 9 3" xfId="12096"/>
    <cellStyle name="Normal 54 9 4" xfId="18649"/>
    <cellStyle name="Normal 54 9 5" xfId="25050"/>
    <cellStyle name="Normal 55" xfId="1275"/>
    <cellStyle name="Normal 55 10" xfId="3770"/>
    <cellStyle name="Normal 55 10 2" xfId="7233"/>
    <cellStyle name="Normal 55 10 2 2" xfId="15714"/>
    <cellStyle name="Normal 55 10 2 3" xfId="22228"/>
    <cellStyle name="Normal 55 10 2 4" xfId="28617"/>
    <cellStyle name="Normal 55 10 3" xfId="12265"/>
    <cellStyle name="Normal 55 10 4" xfId="18815"/>
    <cellStyle name="Normal 55 10 5" xfId="25213"/>
    <cellStyle name="Normal 55 11" xfId="3938"/>
    <cellStyle name="Normal 55 11 2" xfId="7396"/>
    <cellStyle name="Normal 55 11 2 2" xfId="15877"/>
    <cellStyle name="Normal 55 11 2 3" xfId="22391"/>
    <cellStyle name="Normal 55 11 2 4" xfId="28780"/>
    <cellStyle name="Normal 55 11 3" xfId="12432"/>
    <cellStyle name="Normal 55 11 4" xfId="18979"/>
    <cellStyle name="Normal 55 11 5" xfId="25376"/>
    <cellStyle name="Normal 55 12" xfId="4103"/>
    <cellStyle name="Normal 55 12 2" xfId="7556"/>
    <cellStyle name="Normal 55 12 2 2" xfId="16037"/>
    <cellStyle name="Normal 55 12 2 3" xfId="22551"/>
    <cellStyle name="Normal 55 12 2 4" xfId="28940"/>
    <cellStyle name="Normal 55 12 3" xfId="12596"/>
    <cellStyle name="Normal 55 12 4" xfId="19140"/>
    <cellStyle name="Normal 55 12 5" xfId="25536"/>
    <cellStyle name="Normal 55 13" xfId="4268"/>
    <cellStyle name="Normal 55 13 2" xfId="7716"/>
    <cellStyle name="Normal 55 13 2 2" xfId="16197"/>
    <cellStyle name="Normal 55 13 2 3" xfId="22711"/>
    <cellStyle name="Normal 55 13 2 4" xfId="29100"/>
    <cellStyle name="Normal 55 13 3" xfId="12760"/>
    <cellStyle name="Normal 55 13 4" xfId="19301"/>
    <cellStyle name="Normal 55 13 5" xfId="25696"/>
    <cellStyle name="Normal 55 14" xfId="4428"/>
    <cellStyle name="Normal 55 14 2" xfId="7871"/>
    <cellStyle name="Normal 55 14 2 2" xfId="16352"/>
    <cellStyle name="Normal 55 14 2 3" xfId="22866"/>
    <cellStyle name="Normal 55 14 2 4" xfId="29255"/>
    <cellStyle name="Normal 55 14 3" xfId="12919"/>
    <cellStyle name="Normal 55 14 4" xfId="19457"/>
    <cellStyle name="Normal 55 14 5" xfId="25851"/>
    <cellStyle name="Normal 55 15" xfId="4588"/>
    <cellStyle name="Normal 55 15 2" xfId="8026"/>
    <cellStyle name="Normal 55 15 2 2" xfId="16507"/>
    <cellStyle name="Normal 55 15 2 3" xfId="23021"/>
    <cellStyle name="Normal 55 15 2 4" xfId="29410"/>
    <cellStyle name="Normal 55 15 3" xfId="13079"/>
    <cellStyle name="Normal 55 15 4" xfId="19613"/>
    <cellStyle name="Normal 55 15 5" xfId="26006"/>
    <cellStyle name="Normal 55 16" xfId="4748"/>
    <cellStyle name="Normal 55 16 2" xfId="8181"/>
    <cellStyle name="Normal 55 16 2 2" xfId="16662"/>
    <cellStyle name="Normal 55 16 2 3" xfId="23176"/>
    <cellStyle name="Normal 55 16 2 4" xfId="29565"/>
    <cellStyle name="Normal 55 16 3" xfId="13238"/>
    <cellStyle name="Normal 55 16 4" xfId="19769"/>
    <cellStyle name="Normal 55 16 5" xfId="26161"/>
    <cellStyle name="Normal 55 17" xfId="4907"/>
    <cellStyle name="Normal 55 17 2" xfId="8335"/>
    <cellStyle name="Normal 55 17 2 2" xfId="16816"/>
    <cellStyle name="Normal 55 17 2 3" xfId="23330"/>
    <cellStyle name="Normal 55 17 2 4" xfId="29719"/>
    <cellStyle name="Normal 55 17 3" xfId="13396"/>
    <cellStyle name="Normal 55 17 4" xfId="19924"/>
    <cellStyle name="Normal 55 17 5" xfId="26315"/>
    <cellStyle name="Normal 55 18" xfId="5045"/>
    <cellStyle name="Normal 55 18 2" xfId="8468"/>
    <cellStyle name="Normal 55 18 2 2" xfId="16949"/>
    <cellStyle name="Normal 55 18 2 3" xfId="23463"/>
    <cellStyle name="Normal 55 18 2 4" xfId="29852"/>
    <cellStyle name="Normal 55 18 3" xfId="13533"/>
    <cellStyle name="Normal 55 18 4" xfId="20058"/>
    <cellStyle name="Normal 55 18 5" xfId="26448"/>
    <cellStyle name="Normal 55 19" xfId="5275"/>
    <cellStyle name="Normal 55 19 2" xfId="13756"/>
    <cellStyle name="Normal 55 19 3" xfId="20273"/>
    <cellStyle name="Normal 55 19 4" xfId="26662"/>
    <cellStyle name="Normal 55 2" xfId="1879"/>
    <cellStyle name="Normal 55 2 2" xfId="5475"/>
    <cellStyle name="Normal 55 2 2 2" xfId="13956"/>
    <cellStyle name="Normal 55 2 2 3" xfId="20470"/>
    <cellStyle name="Normal 55 2 2 4" xfId="26859"/>
    <cellStyle name="Normal 55 2 3" xfId="10449"/>
    <cellStyle name="Normal 55 2 4" xfId="9563"/>
    <cellStyle name="Normal 55 2 5" xfId="10157"/>
    <cellStyle name="Normal 55 20" xfId="10036"/>
    <cellStyle name="Normal 55 21" xfId="9704"/>
    <cellStyle name="Normal 55 22" xfId="17082"/>
    <cellStyle name="Normal 55 3" xfId="2208"/>
    <cellStyle name="Normal 55 3 2" xfId="5778"/>
    <cellStyle name="Normal 55 3 2 2" xfId="14259"/>
    <cellStyle name="Normal 55 3 2 3" xfId="20773"/>
    <cellStyle name="Normal 55 3 2 4" xfId="27162"/>
    <cellStyle name="Normal 55 3 3" xfId="10764"/>
    <cellStyle name="Normal 55 3 4" xfId="17155"/>
    <cellStyle name="Normal 55 3 5" xfId="23631"/>
    <cellStyle name="Normal 55 4" xfId="2738"/>
    <cellStyle name="Normal 55 4 2" xfId="6239"/>
    <cellStyle name="Normal 55 4 2 2" xfId="14720"/>
    <cellStyle name="Normal 55 4 2 3" xfId="21234"/>
    <cellStyle name="Normal 55 4 2 4" xfId="27623"/>
    <cellStyle name="Normal 55 4 3" xfId="11248"/>
    <cellStyle name="Normal 55 4 4" xfId="17817"/>
    <cellStyle name="Normal 55 4 5" xfId="24219"/>
    <cellStyle name="Normal 55 5" xfId="2912"/>
    <cellStyle name="Normal 55 5 2" xfId="6406"/>
    <cellStyle name="Normal 55 5 2 2" xfId="14887"/>
    <cellStyle name="Normal 55 5 2 3" xfId="21401"/>
    <cellStyle name="Normal 55 5 2 4" xfId="27790"/>
    <cellStyle name="Normal 55 5 3" xfId="11418"/>
    <cellStyle name="Normal 55 5 4" xfId="17984"/>
    <cellStyle name="Normal 55 5 5" xfId="24386"/>
    <cellStyle name="Normal 55 6" xfId="3086"/>
    <cellStyle name="Normal 55 6 2" xfId="6573"/>
    <cellStyle name="Normal 55 6 2 2" xfId="15054"/>
    <cellStyle name="Normal 55 6 2 3" xfId="21568"/>
    <cellStyle name="Normal 55 6 2 4" xfId="27957"/>
    <cellStyle name="Normal 55 6 3" xfId="11588"/>
    <cellStyle name="Normal 55 6 4" xfId="18151"/>
    <cellStyle name="Normal 55 6 5" xfId="24553"/>
    <cellStyle name="Normal 55 7" xfId="3259"/>
    <cellStyle name="Normal 55 7 2" xfId="6740"/>
    <cellStyle name="Normal 55 7 2 2" xfId="15221"/>
    <cellStyle name="Normal 55 7 2 3" xfId="21735"/>
    <cellStyle name="Normal 55 7 2 4" xfId="28124"/>
    <cellStyle name="Normal 55 7 3" xfId="11759"/>
    <cellStyle name="Normal 55 7 4" xfId="18318"/>
    <cellStyle name="Normal 55 7 5" xfId="24720"/>
    <cellStyle name="Normal 55 8" xfId="3430"/>
    <cellStyle name="Normal 55 8 2" xfId="6905"/>
    <cellStyle name="Normal 55 8 2 2" xfId="15386"/>
    <cellStyle name="Normal 55 8 2 3" xfId="21900"/>
    <cellStyle name="Normal 55 8 2 4" xfId="28289"/>
    <cellStyle name="Normal 55 8 3" xfId="11927"/>
    <cellStyle name="Normal 55 8 4" xfId="18483"/>
    <cellStyle name="Normal 55 8 5" xfId="24885"/>
    <cellStyle name="Normal 55 9" xfId="3600"/>
    <cellStyle name="Normal 55 9 2" xfId="7069"/>
    <cellStyle name="Normal 55 9 2 2" xfId="15550"/>
    <cellStyle name="Normal 55 9 2 3" xfId="22064"/>
    <cellStyle name="Normal 55 9 2 4" xfId="28453"/>
    <cellStyle name="Normal 55 9 3" xfId="12095"/>
    <cellStyle name="Normal 55 9 4" xfId="18648"/>
    <cellStyle name="Normal 55 9 5" xfId="25049"/>
    <cellStyle name="Normal 56" xfId="1276"/>
    <cellStyle name="Normal 56 10" xfId="3769"/>
    <cellStyle name="Normal 56 10 2" xfId="7232"/>
    <cellStyle name="Normal 56 10 2 2" xfId="15713"/>
    <cellStyle name="Normal 56 10 2 3" xfId="22227"/>
    <cellStyle name="Normal 56 10 2 4" xfId="28616"/>
    <cellStyle name="Normal 56 10 3" xfId="12264"/>
    <cellStyle name="Normal 56 10 4" xfId="18814"/>
    <cellStyle name="Normal 56 10 5" xfId="25212"/>
    <cellStyle name="Normal 56 11" xfId="3937"/>
    <cellStyle name="Normal 56 11 2" xfId="7395"/>
    <cellStyle name="Normal 56 11 2 2" xfId="15876"/>
    <cellStyle name="Normal 56 11 2 3" xfId="22390"/>
    <cellStyle name="Normal 56 11 2 4" xfId="28779"/>
    <cellStyle name="Normal 56 11 3" xfId="12431"/>
    <cellStyle name="Normal 56 11 4" xfId="18978"/>
    <cellStyle name="Normal 56 11 5" xfId="25375"/>
    <cellStyle name="Normal 56 12" xfId="4102"/>
    <cellStyle name="Normal 56 12 2" xfId="7555"/>
    <cellStyle name="Normal 56 12 2 2" xfId="16036"/>
    <cellStyle name="Normal 56 12 2 3" xfId="22550"/>
    <cellStyle name="Normal 56 12 2 4" xfId="28939"/>
    <cellStyle name="Normal 56 12 3" xfId="12595"/>
    <cellStyle name="Normal 56 12 4" xfId="19139"/>
    <cellStyle name="Normal 56 12 5" xfId="25535"/>
    <cellStyle name="Normal 56 13" xfId="4267"/>
    <cellStyle name="Normal 56 13 2" xfId="7715"/>
    <cellStyle name="Normal 56 13 2 2" xfId="16196"/>
    <cellStyle name="Normal 56 13 2 3" xfId="22710"/>
    <cellStyle name="Normal 56 13 2 4" xfId="29099"/>
    <cellStyle name="Normal 56 13 3" xfId="12759"/>
    <cellStyle name="Normal 56 13 4" xfId="19300"/>
    <cellStyle name="Normal 56 13 5" xfId="25695"/>
    <cellStyle name="Normal 56 14" xfId="4427"/>
    <cellStyle name="Normal 56 14 2" xfId="7870"/>
    <cellStyle name="Normal 56 14 2 2" xfId="16351"/>
    <cellStyle name="Normal 56 14 2 3" xfId="22865"/>
    <cellStyle name="Normal 56 14 2 4" xfId="29254"/>
    <cellStyle name="Normal 56 14 3" xfId="12918"/>
    <cellStyle name="Normal 56 14 4" xfId="19456"/>
    <cellStyle name="Normal 56 14 5" xfId="25850"/>
    <cellStyle name="Normal 56 15" xfId="4587"/>
    <cellStyle name="Normal 56 15 2" xfId="8025"/>
    <cellStyle name="Normal 56 15 2 2" xfId="16506"/>
    <cellStyle name="Normal 56 15 2 3" xfId="23020"/>
    <cellStyle name="Normal 56 15 2 4" xfId="29409"/>
    <cellStyle name="Normal 56 15 3" xfId="13078"/>
    <cellStyle name="Normal 56 15 4" xfId="19612"/>
    <cellStyle name="Normal 56 15 5" xfId="26005"/>
    <cellStyle name="Normal 56 16" xfId="4747"/>
    <cellStyle name="Normal 56 16 2" xfId="8180"/>
    <cellStyle name="Normal 56 16 2 2" xfId="16661"/>
    <cellStyle name="Normal 56 16 2 3" xfId="23175"/>
    <cellStyle name="Normal 56 16 2 4" xfId="29564"/>
    <cellStyle name="Normal 56 16 3" xfId="13237"/>
    <cellStyle name="Normal 56 16 4" xfId="19768"/>
    <cellStyle name="Normal 56 16 5" xfId="26160"/>
    <cellStyle name="Normal 56 17" xfId="4906"/>
    <cellStyle name="Normal 56 17 2" xfId="8334"/>
    <cellStyle name="Normal 56 17 2 2" xfId="16815"/>
    <cellStyle name="Normal 56 17 2 3" xfId="23329"/>
    <cellStyle name="Normal 56 17 2 4" xfId="29718"/>
    <cellStyle name="Normal 56 17 3" xfId="13395"/>
    <cellStyle name="Normal 56 17 4" xfId="19923"/>
    <cellStyle name="Normal 56 17 5" xfId="26314"/>
    <cellStyle name="Normal 56 18" xfId="5044"/>
    <cellStyle name="Normal 56 18 2" xfId="8467"/>
    <cellStyle name="Normal 56 18 2 2" xfId="16948"/>
    <cellStyle name="Normal 56 18 2 3" xfId="23462"/>
    <cellStyle name="Normal 56 18 2 4" xfId="29851"/>
    <cellStyle name="Normal 56 18 3" xfId="13532"/>
    <cellStyle name="Normal 56 18 4" xfId="20057"/>
    <cellStyle name="Normal 56 18 5" xfId="26447"/>
    <cellStyle name="Normal 56 19" xfId="5276"/>
    <cellStyle name="Normal 56 19 2" xfId="13757"/>
    <cellStyle name="Normal 56 19 3" xfId="20274"/>
    <cellStyle name="Normal 56 19 4" xfId="26663"/>
    <cellStyle name="Normal 56 2" xfId="1880"/>
    <cellStyle name="Normal 56 2 2" xfId="5476"/>
    <cellStyle name="Normal 56 2 2 2" xfId="13957"/>
    <cellStyle name="Normal 56 2 2 3" xfId="20471"/>
    <cellStyle name="Normal 56 2 2 4" xfId="26860"/>
    <cellStyle name="Normal 56 2 3" xfId="10450"/>
    <cellStyle name="Normal 56 2 4" xfId="9562"/>
    <cellStyle name="Normal 56 2 5" xfId="10158"/>
    <cellStyle name="Normal 56 20" xfId="10037"/>
    <cellStyle name="Normal 56 21" xfId="9703"/>
    <cellStyle name="Normal 56 22" xfId="17546"/>
    <cellStyle name="Normal 56 3" xfId="2209"/>
    <cellStyle name="Normal 56 3 2" xfId="5779"/>
    <cellStyle name="Normal 56 3 2 2" xfId="14260"/>
    <cellStyle name="Normal 56 3 2 3" xfId="20774"/>
    <cellStyle name="Normal 56 3 2 4" xfId="27163"/>
    <cellStyle name="Normal 56 3 3" xfId="10765"/>
    <cellStyle name="Normal 56 3 4" xfId="17156"/>
    <cellStyle name="Normal 56 3 5" xfId="23632"/>
    <cellStyle name="Normal 56 4" xfId="2737"/>
    <cellStyle name="Normal 56 4 2" xfId="6238"/>
    <cellStyle name="Normal 56 4 2 2" xfId="14719"/>
    <cellStyle name="Normal 56 4 2 3" xfId="21233"/>
    <cellStyle name="Normal 56 4 2 4" xfId="27622"/>
    <cellStyle name="Normal 56 4 3" xfId="11247"/>
    <cellStyle name="Normal 56 4 4" xfId="17816"/>
    <cellStyle name="Normal 56 4 5" xfId="24218"/>
    <cellStyle name="Normal 56 5" xfId="2911"/>
    <cellStyle name="Normal 56 5 2" xfId="6405"/>
    <cellStyle name="Normal 56 5 2 2" xfId="14886"/>
    <cellStyle name="Normal 56 5 2 3" xfId="21400"/>
    <cellStyle name="Normal 56 5 2 4" xfId="27789"/>
    <cellStyle name="Normal 56 5 3" xfId="11417"/>
    <cellStyle name="Normal 56 5 4" xfId="17983"/>
    <cellStyle name="Normal 56 5 5" xfId="24385"/>
    <cellStyle name="Normal 56 6" xfId="3085"/>
    <cellStyle name="Normal 56 6 2" xfId="6572"/>
    <cellStyle name="Normal 56 6 2 2" xfId="15053"/>
    <cellStyle name="Normal 56 6 2 3" xfId="21567"/>
    <cellStyle name="Normal 56 6 2 4" xfId="27956"/>
    <cellStyle name="Normal 56 6 3" xfId="11587"/>
    <cellStyle name="Normal 56 6 4" xfId="18150"/>
    <cellStyle name="Normal 56 6 5" xfId="24552"/>
    <cellStyle name="Normal 56 7" xfId="3258"/>
    <cellStyle name="Normal 56 7 2" xfId="6739"/>
    <cellStyle name="Normal 56 7 2 2" xfId="15220"/>
    <cellStyle name="Normal 56 7 2 3" xfId="21734"/>
    <cellStyle name="Normal 56 7 2 4" xfId="28123"/>
    <cellStyle name="Normal 56 7 3" xfId="11758"/>
    <cellStyle name="Normal 56 7 4" xfId="18317"/>
    <cellStyle name="Normal 56 7 5" xfId="24719"/>
    <cellStyle name="Normal 56 8" xfId="3429"/>
    <cellStyle name="Normal 56 8 2" xfId="6904"/>
    <cellStyle name="Normal 56 8 2 2" xfId="15385"/>
    <cellStyle name="Normal 56 8 2 3" xfId="21899"/>
    <cellStyle name="Normal 56 8 2 4" xfId="28288"/>
    <cellStyle name="Normal 56 8 3" xfId="11926"/>
    <cellStyle name="Normal 56 8 4" xfId="18482"/>
    <cellStyle name="Normal 56 8 5" xfId="24884"/>
    <cellStyle name="Normal 56 9" xfId="3599"/>
    <cellStyle name="Normal 56 9 2" xfId="7068"/>
    <cellStyle name="Normal 56 9 2 2" xfId="15549"/>
    <cellStyle name="Normal 56 9 2 3" xfId="22063"/>
    <cellStyle name="Normal 56 9 2 4" xfId="28452"/>
    <cellStyle name="Normal 56 9 3" xfId="12094"/>
    <cellStyle name="Normal 56 9 4" xfId="18647"/>
    <cellStyle name="Normal 56 9 5" xfId="25048"/>
    <cellStyle name="Normal 57" xfId="1277"/>
    <cellStyle name="Normal 57 10" xfId="3768"/>
    <cellStyle name="Normal 57 10 2" xfId="7231"/>
    <cellStyle name="Normal 57 10 2 2" xfId="15712"/>
    <cellStyle name="Normal 57 10 2 3" xfId="22226"/>
    <cellStyle name="Normal 57 10 2 4" xfId="28615"/>
    <cellStyle name="Normal 57 10 3" xfId="12263"/>
    <cellStyle name="Normal 57 10 4" xfId="18813"/>
    <cellStyle name="Normal 57 10 5" xfId="25211"/>
    <cellStyle name="Normal 57 11" xfId="3936"/>
    <cellStyle name="Normal 57 11 2" xfId="7394"/>
    <cellStyle name="Normal 57 11 2 2" xfId="15875"/>
    <cellStyle name="Normal 57 11 2 3" xfId="22389"/>
    <cellStyle name="Normal 57 11 2 4" xfId="28778"/>
    <cellStyle name="Normal 57 11 3" xfId="12430"/>
    <cellStyle name="Normal 57 11 4" xfId="18977"/>
    <cellStyle name="Normal 57 11 5" xfId="25374"/>
    <cellStyle name="Normal 57 12" xfId="4101"/>
    <cellStyle name="Normal 57 12 2" xfId="7554"/>
    <cellStyle name="Normal 57 12 2 2" xfId="16035"/>
    <cellStyle name="Normal 57 12 2 3" xfId="22549"/>
    <cellStyle name="Normal 57 12 2 4" xfId="28938"/>
    <cellStyle name="Normal 57 12 3" xfId="12594"/>
    <cellStyle name="Normal 57 12 4" xfId="19138"/>
    <cellStyle name="Normal 57 12 5" xfId="25534"/>
    <cellStyle name="Normal 57 13" xfId="4266"/>
    <cellStyle name="Normal 57 13 2" xfId="7714"/>
    <cellStyle name="Normal 57 13 2 2" xfId="16195"/>
    <cellStyle name="Normal 57 13 2 3" xfId="22709"/>
    <cellStyle name="Normal 57 13 2 4" xfId="29098"/>
    <cellStyle name="Normal 57 13 3" xfId="12758"/>
    <cellStyle name="Normal 57 13 4" xfId="19299"/>
    <cellStyle name="Normal 57 13 5" xfId="25694"/>
    <cellStyle name="Normal 57 14" xfId="4426"/>
    <cellStyle name="Normal 57 14 2" xfId="7869"/>
    <cellStyle name="Normal 57 14 2 2" xfId="16350"/>
    <cellStyle name="Normal 57 14 2 3" xfId="22864"/>
    <cellStyle name="Normal 57 14 2 4" xfId="29253"/>
    <cellStyle name="Normal 57 14 3" xfId="12917"/>
    <cellStyle name="Normal 57 14 4" xfId="19455"/>
    <cellStyle name="Normal 57 14 5" xfId="25849"/>
    <cellStyle name="Normal 57 15" xfId="4586"/>
    <cellStyle name="Normal 57 15 2" xfId="8024"/>
    <cellStyle name="Normal 57 15 2 2" xfId="16505"/>
    <cellStyle name="Normal 57 15 2 3" xfId="23019"/>
    <cellStyle name="Normal 57 15 2 4" xfId="29408"/>
    <cellStyle name="Normal 57 15 3" xfId="13077"/>
    <cellStyle name="Normal 57 15 4" xfId="19611"/>
    <cellStyle name="Normal 57 15 5" xfId="26004"/>
    <cellStyle name="Normal 57 16" xfId="4746"/>
    <cellStyle name="Normal 57 16 2" xfId="8179"/>
    <cellStyle name="Normal 57 16 2 2" xfId="16660"/>
    <cellStyle name="Normal 57 16 2 3" xfId="23174"/>
    <cellStyle name="Normal 57 16 2 4" xfId="29563"/>
    <cellStyle name="Normal 57 16 3" xfId="13236"/>
    <cellStyle name="Normal 57 16 4" xfId="19767"/>
    <cellStyle name="Normal 57 16 5" xfId="26159"/>
    <cellStyle name="Normal 57 17" xfId="4905"/>
    <cellStyle name="Normal 57 17 2" xfId="8333"/>
    <cellStyle name="Normal 57 17 2 2" xfId="16814"/>
    <cellStyle name="Normal 57 17 2 3" xfId="23328"/>
    <cellStyle name="Normal 57 17 2 4" xfId="29717"/>
    <cellStyle name="Normal 57 17 3" xfId="13394"/>
    <cellStyle name="Normal 57 17 4" xfId="19922"/>
    <cellStyle name="Normal 57 17 5" xfId="26313"/>
    <cellStyle name="Normal 57 18" xfId="5043"/>
    <cellStyle name="Normal 57 18 2" xfId="8466"/>
    <cellStyle name="Normal 57 18 2 2" xfId="16947"/>
    <cellStyle name="Normal 57 18 2 3" xfId="23461"/>
    <cellStyle name="Normal 57 18 2 4" xfId="29850"/>
    <cellStyle name="Normal 57 18 3" xfId="13531"/>
    <cellStyle name="Normal 57 18 4" xfId="20056"/>
    <cellStyle name="Normal 57 18 5" xfId="26446"/>
    <cellStyle name="Normal 57 19" xfId="5277"/>
    <cellStyle name="Normal 57 19 2" xfId="13758"/>
    <cellStyle name="Normal 57 19 3" xfId="20275"/>
    <cellStyle name="Normal 57 19 4" xfId="26664"/>
    <cellStyle name="Normal 57 2" xfId="1881"/>
    <cellStyle name="Normal 57 2 2" xfId="5477"/>
    <cellStyle name="Normal 57 2 2 2" xfId="13958"/>
    <cellStyle name="Normal 57 2 2 3" xfId="20472"/>
    <cellStyle name="Normal 57 2 2 4" xfId="26861"/>
    <cellStyle name="Normal 57 2 3" xfId="10451"/>
    <cellStyle name="Normal 57 2 4" xfId="17029"/>
    <cellStyle name="Normal 57 2 5" xfId="23542"/>
    <cellStyle name="Normal 57 20" xfId="10038"/>
    <cellStyle name="Normal 57 21" xfId="9702"/>
    <cellStyle name="Normal 57 22" xfId="17534"/>
    <cellStyle name="Normal 57 3" xfId="2210"/>
    <cellStyle name="Normal 57 3 2" xfId="5780"/>
    <cellStyle name="Normal 57 3 2 2" xfId="14261"/>
    <cellStyle name="Normal 57 3 2 3" xfId="20775"/>
    <cellStyle name="Normal 57 3 2 4" xfId="27164"/>
    <cellStyle name="Normal 57 3 3" xfId="10766"/>
    <cellStyle name="Normal 57 3 4" xfId="17157"/>
    <cellStyle name="Normal 57 3 5" xfId="23633"/>
    <cellStyle name="Normal 57 4" xfId="2736"/>
    <cellStyle name="Normal 57 4 2" xfId="6237"/>
    <cellStyle name="Normal 57 4 2 2" xfId="14718"/>
    <cellStyle name="Normal 57 4 2 3" xfId="21232"/>
    <cellStyle name="Normal 57 4 2 4" xfId="27621"/>
    <cellStyle name="Normal 57 4 3" xfId="11246"/>
    <cellStyle name="Normal 57 4 4" xfId="17815"/>
    <cellStyle name="Normal 57 4 5" xfId="24217"/>
    <cellStyle name="Normal 57 5" xfId="2910"/>
    <cellStyle name="Normal 57 5 2" xfId="6404"/>
    <cellStyle name="Normal 57 5 2 2" xfId="14885"/>
    <cellStyle name="Normal 57 5 2 3" xfId="21399"/>
    <cellStyle name="Normal 57 5 2 4" xfId="27788"/>
    <cellStyle name="Normal 57 5 3" xfId="11416"/>
    <cellStyle name="Normal 57 5 4" xfId="17982"/>
    <cellStyle name="Normal 57 5 5" xfId="24384"/>
    <cellStyle name="Normal 57 6" xfId="3084"/>
    <cellStyle name="Normal 57 6 2" xfId="6571"/>
    <cellStyle name="Normal 57 6 2 2" xfId="15052"/>
    <cellStyle name="Normal 57 6 2 3" xfId="21566"/>
    <cellStyle name="Normal 57 6 2 4" xfId="27955"/>
    <cellStyle name="Normal 57 6 3" xfId="11586"/>
    <cellStyle name="Normal 57 6 4" xfId="18149"/>
    <cellStyle name="Normal 57 6 5" xfId="24551"/>
    <cellStyle name="Normal 57 7" xfId="3257"/>
    <cellStyle name="Normal 57 7 2" xfId="6738"/>
    <cellStyle name="Normal 57 7 2 2" xfId="15219"/>
    <cellStyle name="Normal 57 7 2 3" xfId="21733"/>
    <cellStyle name="Normal 57 7 2 4" xfId="28122"/>
    <cellStyle name="Normal 57 7 3" xfId="11757"/>
    <cellStyle name="Normal 57 7 4" xfId="18316"/>
    <cellStyle name="Normal 57 7 5" xfId="24718"/>
    <cellStyle name="Normal 57 8" xfId="3428"/>
    <cellStyle name="Normal 57 8 2" xfId="6903"/>
    <cellStyle name="Normal 57 8 2 2" xfId="15384"/>
    <cellStyle name="Normal 57 8 2 3" xfId="21898"/>
    <cellStyle name="Normal 57 8 2 4" xfId="28287"/>
    <cellStyle name="Normal 57 8 3" xfId="11925"/>
    <cellStyle name="Normal 57 8 4" xfId="18481"/>
    <cellStyle name="Normal 57 8 5" xfId="24883"/>
    <cellStyle name="Normal 57 9" xfId="3598"/>
    <cellStyle name="Normal 57 9 2" xfId="7067"/>
    <cellStyle name="Normal 57 9 2 2" xfId="15548"/>
    <cellStyle name="Normal 57 9 2 3" xfId="22062"/>
    <cellStyle name="Normal 57 9 2 4" xfId="28451"/>
    <cellStyle name="Normal 57 9 3" xfId="12093"/>
    <cellStyle name="Normal 57 9 4" xfId="18646"/>
    <cellStyle name="Normal 57 9 5" xfId="25047"/>
    <cellStyle name="Normal 58" xfId="1278"/>
    <cellStyle name="Normal 58 10" xfId="3767"/>
    <cellStyle name="Normal 58 10 2" xfId="7230"/>
    <cellStyle name="Normal 58 10 2 2" xfId="15711"/>
    <cellStyle name="Normal 58 10 2 3" xfId="22225"/>
    <cellStyle name="Normal 58 10 2 4" xfId="28614"/>
    <cellStyle name="Normal 58 10 3" xfId="12262"/>
    <cellStyle name="Normal 58 10 4" xfId="18812"/>
    <cellStyle name="Normal 58 10 5" xfId="25210"/>
    <cellStyle name="Normal 58 11" xfId="3935"/>
    <cellStyle name="Normal 58 11 2" xfId="7393"/>
    <cellStyle name="Normal 58 11 2 2" xfId="15874"/>
    <cellStyle name="Normal 58 11 2 3" xfId="22388"/>
    <cellStyle name="Normal 58 11 2 4" xfId="28777"/>
    <cellStyle name="Normal 58 11 3" xfId="12429"/>
    <cellStyle name="Normal 58 11 4" xfId="18976"/>
    <cellStyle name="Normal 58 11 5" xfId="25373"/>
    <cellStyle name="Normal 58 12" xfId="4100"/>
    <cellStyle name="Normal 58 12 2" xfId="7553"/>
    <cellStyle name="Normal 58 12 2 2" xfId="16034"/>
    <cellStyle name="Normal 58 12 2 3" xfId="22548"/>
    <cellStyle name="Normal 58 12 2 4" xfId="28937"/>
    <cellStyle name="Normal 58 12 3" xfId="12593"/>
    <cellStyle name="Normal 58 12 4" xfId="19137"/>
    <cellStyle name="Normal 58 12 5" xfId="25533"/>
    <cellStyle name="Normal 58 13" xfId="4265"/>
    <cellStyle name="Normal 58 13 2" xfId="7713"/>
    <cellStyle name="Normal 58 13 2 2" xfId="16194"/>
    <cellStyle name="Normal 58 13 2 3" xfId="22708"/>
    <cellStyle name="Normal 58 13 2 4" xfId="29097"/>
    <cellStyle name="Normal 58 13 3" xfId="12757"/>
    <cellStyle name="Normal 58 13 4" xfId="19298"/>
    <cellStyle name="Normal 58 13 5" xfId="25693"/>
    <cellStyle name="Normal 58 14" xfId="4425"/>
    <cellStyle name="Normal 58 14 2" xfId="7868"/>
    <cellStyle name="Normal 58 14 2 2" xfId="16349"/>
    <cellStyle name="Normal 58 14 2 3" xfId="22863"/>
    <cellStyle name="Normal 58 14 2 4" xfId="29252"/>
    <cellStyle name="Normal 58 14 3" xfId="12916"/>
    <cellStyle name="Normal 58 14 4" xfId="19454"/>
    <cellStyle name="Normal 58 14 5" xfId="25848"/>
    <cellStyle name="Normal 58 15" xfId="4585"/>
    <cellStyle name="Normal 58 15 2" xfId="8023"/>
    <cellStyle name="Normal 58 15 2 2" xfId="16504"/>
    <cellStyle name="Normal 58 15 2 3" xfId="23018"/>
    <cellStyle name="Normal 58 15 2 4" xfId="29407"/>
    <cellStyle name="Normal 58 15 3" xfId="13076"/>
    <cellStyle name="Normal 58 15 4" xfId="19610"/>
    <cellStyle name="Normal 58 15 5" xfId="26003"/>
    <cellStyle name="Normal 58 16" xfId="4745"/>
    <cellStyle name="Normal 58 16 2" xfId="8178"/>
    <cellStyle name="Normal 58 16 2 2" xfId="16659"/>
    <cellStyle name="Normal 58 16 2 3" xfId="23173"/>
    <cellStyle name="Normal 58 16 2 4" xfId="29562"/>
    <cellStyle name="Normal 58 16 3" xfId="13235"/>
    <cellStyle name="Normal 58 16 4" xfId="19766"/>
    <cellStyle name="Normal 58 16 5" xfId="26158"/>
    <cellStyle name="Normal 58 17" xfId="4904"/>
    <cellStyle name="Normal 58 17 2" xfId="8332"/>
    <cellStyle name="Normal 58 17 2 2" xfId="16813"/>
    <cellStyle name="Normal 58 17 2 3" xfId="23327"/>
    <cellStyle name="Normal 58 17 2 4" xfId="29716"/>
    <cellStyle name="Normal 58 17 3" xfId="13393"/>
    <cellStyle name="Normal 58 17 4" xfId="19921"/>
    <cellStyle name="Normal 58 17 5" xfId="26312"/>
    <cellStyle name="Normal 58 18" xfId="5042"/>
    <cellStyle name="Normal 58 18 2" xfId="8465"/>
    <cellStyle name="Normal 58 18 2 2" xfId="16946"/>
    <cellStyle name="Normal 58 18 2 3" xfId="23460"/>
    <cellStyle name="Normal 58 18 2 4" xfId="29849"/>
    <cellStyle name="Normal 58 18 3" xfId="13530"/>
    <cellStyle name="Normal 58 18 4" xfId="20055"/>
    <cellStyle name="Normal 58 18 5" xfId="26445"/>
    <cellStyle name="Normal 58 19" xfId="5278"/>
    <cellStyle name="Normal 58 19 2" xfId="13759"/>
    <cellStyle name="Normal 58 19 3" xfId="20276"/>
    <cellStyle name="Normal 58 19 4" xfId="26665"/>
    <cellStyle name="Normal 58 2" xfId="1882"/>
    <cellStyle name="Normal 58 2 2" xfId="5478"/>
    <cellStyle name="Normal 58 2 2 2" xfId="13959"/>
    <cellStyle name="Normal 58 2 2 3" xfId="20473"/>
    <cellStyle name="Normal 58 2 2 4" xfId="26862"/>
    <cellStyle name="Normal 58 2 3" xfId="10452"/>
    <cellStyle name="Normal 58 2 4" xfId="9561"/>
    <cellStyle name="Normal 58 2 5" xfId="10159"/>
    <cellStyle name="Normal 58 20" xfId="10039"/>
    <cellStyle name="Normal 58 21" xfId="9701"/>
    <cellStyle name="Normal 58 22" xfId="17522"/>
    <cellStyle name="Normal 58 3" xfId="2211"/>
    <cellStyle name="Normal 58 3 2" xfId="5781"/>
    <cellStyle name="Normal 58 3 2 2" xfId="14262"/>
    <cellStyle name="Normal 58 3 2 3" xfId="20776"/>
    <cellStyle name="Normal 58 3 2 4" xfId="27165"/>
    <cellStyle name="Normal 58 3 3" xfId="10767"/>
    <cellStyle name="Normal 58 3 4" xfId="17158"/>
    <cellStyle name="Normal 58 3 5" xfId="23634"/>
    <cellStyle name="Normal 58 4" xfId="2735"/>
    <cellStyle name="Normal 58 4 2" xfId="6236"/>
    <cellStyle name="Normal 58 4 2 2" xfId="14717"/>
    <cellStyle name="Normal 58 4 2 3" xfId="21231"/>
    <cellStyle name="Normal 58 4 2 4" xfId="27620"/>
    <cellStyle name="Normal 58 4 3" xfId="11245"/>
    <cellStyle name="Normal 58 4 4" xfId="17814"/>
    <cellStyle name="Normal 58 4 5" xfId="24216"/>
    <cellStyle name="Normal 58 5" xfId="2909"/>
    <cellStyle name="Normal 58 5 2" xfId="6403"/>
    <cellStyle name="Normal 58 5 2 2" xfId="14884"/>
    <cellStyle name="Normal 58 5 2 3" xfId="21398"/>
    <cellStyle name="Normal 58 5 2 4" xfId="27787"/>
    <cellStyle name="Normal 58 5 3" xfId="11415"/>
    <cellStyle name="Normal 58 5 4" xfId="17981"/>
    <cellStyle name="Normal 58 5 5" xfId="24383"/>
    <cellStyle name="Normal 58 6" xfId="3083"/>
    <cellStyle name="Normal 58 6 2" xfId="6570"/>
    <cellStyle name="Normal 58 6 2 2" xfId="15051"/>
    <cellStyle name="Normal 58 6 2 3" xfId="21565"/>
    <cellStyle name="Normal 58 6 2 4" xfId="27954"/>
    <cellStyle name="Normal 58 6 3" xfId="11585"/>
    <cellStyle name="Normal 58 6 4" xfId="18148"/>
    <cellStyle name="Normal 58 6 5" xfId="24550"/>
    <cellStyle name="Normal 58 7" xfId="3256"/>
    <cellStyle name="Normal 58 7 2" xfId="6737"/>
    <cellStyle name="Normal 58 7 2 2" xfId="15218"/>
    <cellStyle name="Normal 58 7 2 3" xfId="21732"/>
    <cellStyle name="Normal 58 7 2 4" xfId="28121"/>
    <cellStyle name="Normal 58 7 3" xfId="11756"/>
    <cellStyle name="Normal 58 7 4" xfId="18315"/>
    <cellStyle name="Normal 58 7 5" xfId="24717"/>
    <cellStyle name="Normal 58 8" xfId="3427"/>
    <cellStyle name="Normal 58 8 2" xfId="6902"/>
    <cellStyle name="Normal 58 8 2 2" xfId="15383"/>
    <cellStyle name="Normal 58 8 2 3" xfId="21897"/>
    <cellStyle name="Normal 58 8 2 4" xfId="28286"/>
    <cellStyle name="Normal 58 8 3" xfId="11924"/>
    <cellStyle name="Normal 58 8 4" xfId="18480"/>
    <cellStyle name="Normal 58 8 5" xfId="24882"/>
    <cellStyle name="Normal 58 9" xfId="3597"/>
    <cellStyle name="Normal 58 9 2" xfId="7066"/>
    <cellStyle name="Normal 58 9 2 2" xfId="15547"/>
    <cellStyle name="Normal 58 9 2 3" xfId="22061"/>
    <cellStyle name="Normal 58 9 2 4" xfId="28450"/>
    <cellStyle name="Normal 58 9 3" xfId="12092"/>
    <cellStyle name="Normal 58 9 4" xfId="18645"/>
    <cellStyle name="Normal 58 9 5" xfId="25046"/>
    <cellStyle name="Normal 59" xfId="1279"/>
    <cellStyle name="Normal 59 10" xfId="3766"/>
    <cellStyle name="Normal 59 10 2" xfId="7229"/>
    <cellStyle name="Normal 59 10 2 2" xfId="15710"/>
    <cellStyle name="Normal 59 10 2 3" xfId="22224"/>
    <cellStyle name="Normal 59 10 2 4" xfId="28613"/>
    <cellStyle name="Normal 59 10 3" xfId="12261"/>
    <cellStyle name="Normal 59 10 4" xfId="18811"/>
    <cellStyle name="Normal 59 10 5" xfId="25209"/>
    <cellStyle name="Normal 59 11" xfId="3934"/>
    <cellStyle name="Normal 59 11 2" xfId="7392"/>
    <cellStyle name="Normal 59 11 2 2" xfId="15873"/>
    <cellStyle name="Normal 59 11 2 3" xfId="22387"/>
    <cellStyle name="Normal 59 11 2 4" xfId="28776"/>
    <cellStyle name="Normal 59 11 3" xfId="12428"/>
    <cellStyle name="Normal 59 11 4" xfId="18975"/>
    <cellStyle name="Normal 59 11 5" xfId="25372"/>
    <cellStyle name="Normal 59 12" xfId="4099"/>
    <cellStyle name="Normal 59 12 2" xfId="7552"/>
    <cellStyle name="Normal 59 12 2 2" xfId="16033"/>
    <cellStyle name="Normal 59 12 2 3" xfId="22547"/>
    <cellStyle name="Normal 59 12 2 4" xfId="28936"/>
    <cellStyle name="Normal 59 12 3" xfId="12592"/>
    <cellStyle name="Normal 59 12 4" xfId="19136"/>
    <cellStyle name="Normal 59 12 5" xfId="25532"/>
    <cellStyle name="Normal 59 13" xfId="4264"/>
    <cellStyle name="Normal 59 13 2" xfId="7712"/>
    <cellStyle name="Normal 59 13 2 2" xfId="16193"/>
    <cellStyle name="Normal 59 13 2 3" xfId="22707"/>
    <cellStyle name="Normal 59 13 2 4" xfId="29096"/>
    <cellStyle name="Normal 59 13 3" xfId="12756"/>
    <cellStyle name="Normal 59 13 4" xfId="19297"/>
    <cellStyle name="Normal 59 13 5" xfId="25692"/>
    <cellStyle name="Normal 59 14" xfId="4424"/>
    <cellStyle name="Normal 59 14 2" xfId="7867"/>
    <cellStyle name="Normal 59 14 2 2" xfId="16348"/>
    <cellStyle name="Normal 59 14 2 3" xfId="22862"/>
    <cellStyle name="Normal 59 14 2 4" xfId="29251"/>
    <cellStyle name="Normal 59 14 3" xfId="12915"/>
    <cellStyle name="Normal 59 14 4" xfId="19453"/>
    <cellStyle name="Normal 59 14 5" xfId="25847"/>
    <cellStyle name="Normal 59 15" xfId="4584"/>
    <cellStyle name="Normal 59 15 2" xfId="8022"/>
    <cellStyle name="Normal 59 15 2 2" xfId="16503"/>
    <cellStyle name="Normal 59 15 2 3" xfId="23017"/>
    <cellStyle name="Normal 59 15 2 4" xfId="29406"/>
    <cellStyle name="Normal 59 15 3" xfId="13075"/>
    <cellStyle name="Normal 59 15 4" xfId="19609"/>
    <cellStyle name="Normal 59 15 5" xfId="26002"/>
    <cellStyle name="Normal 59 16" xfId="4744"/>
    <cellStyle name="Normal 59 16 2" xfId="8177"/>
    <cellStyle name="Normal 59 16 2 2" xfId="16658"/>
    <cellStyle name="Normal 59 16 2 3" xfId="23172"/>
    <cellStyle name="Normal 59 16 2 4" xfId="29561"/>
    <cellStyle name="Normal 59 16 3" xfId="13234"/>
    <cellStyle name="Normal 59 16 4" xfId="19765"/>
    <cellStyle name="Normal 59 16 5" xfId="26157"/>
    <cellStyle name="Normal 59 17" xfId="4903"/>
    <cellStyle name="Normal 59 17 2" xfId="8331"/>
    <cellStyle name="Normal 59 17 2 2" xfId="16812"/>
    <cellStyle name="Normal 59 17 2 3" xfId="23326"/>
    <cellStyle name="Normal 59 17 2 4" xfId="29715"/>
    <cellStyle name="Normal 59 17 3" xfId="13392"/>
    <cellStyle name="Normal 59 17 4" xfId="19920"/>
    <cellStyle name="Normal 59 17 5" xfId="26311"/>
    <cellStyle name="Normal 59 18" xfId="5041"/>
    <cellStyle name="Normal 59 18 2" xfId="8464"/>
    <cellStyle name="Normal 59 18 2 2" xfId="16945"/>
    <cellStyle name="Normal 59 18 2 3" xfId="23459"/>
    <cellStyle name="Normal 59 18 2 4" xfId="29848"/>
    <cellStyle name="Normal 59 18 3" xfId="13529"/>
    <cellStyle name="Normal 59 18 4" xfId="20054"/>
    <cellStyle name="Normal 59 18 5" xfId="26444"/>
    <cellStyle name="Normal 59 19" xfId="5279"/>
    <cellStyle name="Normal 59 19 2" xfId="13760"/>
    <cellStyle name="Normal 59 19 3" xfId="20277"/>
    <cellStyle name="Normal 59 19 4" xfId="26666"/>
    <cellStyle name="Normal 59 2" xfId="1883"/>
    <cellStyle name="Normal 59 2 2" xfId="5479"/>
    <cellStyle name="Normal 59 2 2 2" xfId="13960"/>
    <cellStyle name="Normal 59 2 2 3" xfId="20474"/>
    <cellStyle name="Normal 59 2 2 4" xfId="26863"/>
    <cellStyle name="Normal 59 2 3" xfId="10453"/>
    <cellStyle name="Normal 59 2 4" xfId="9560"/>
    <cellStyle name="Normal 59 2 5" xfId="10160"/>
    <cellStyle name="Normal 59 20" xfId="10040"/>
    <cellStyle name="Normal 59 21" xfId="9700"/>
    <cellStyle name="Normal 59 22" xfId="17510"/>
    <cellStyle name="Normal 59 3" xfId="2212"/>
    <cellStyle name="Normal 59 3 2" xfId="5782"/>
    <cellStyle name="Normal 59 3 2 2" xfId="14263"/>
    <cellStyle name="Normal 59 3 2 3" xfId="20777"/>
    <cellStyle name="Normal 59 3 2 4" xfId="27166"/>
    <cellStyle name="Normal 59 3 3" xfId="10768"/>
    <cellStyle name="Normal 59 3 4" xfId="17159"/>
    <cellStyle name="Normal 59 3 5" xfId="23635"/>
    <cellStyle name="Normal 59 4" xfId="2734"/>
    <cellStyle name="Normal 59 4 2" xfId="6235"/>
    <cellStyle name="Normal 59 4 2 2" xfId="14716"/>
    <cellStyle name="Normal 59 4 2 3" xfId="21230"/>
    <cellStyle name="Normal 59 4 2 4" xfId="27619"/>
    <cellStyle name="Normal 59 4 3" xfId="11244"/>
    <cellStyle name="Normal 59 4 4" xfId="17813"/>
    <cellStyle name="Normal 59 4 5" xfId="24215"/>
    <cellStyle name="Normal 59 5" xfId="2908"/>
    <cellStyle name="Normal 59 5 2" xfId="6402"/>
    <cellStyle name="Normal 59 5 2 2" xfId="14883"/>
    <cellStyle name="Normal 59 5 2 3" xfId="21397"/>
    <cellStyle name="Normal 59 5 2 4" xfId="27786"/>
    <cellStyle name="Normal 59 5 3" xfId="11414"/>
    <cellStyle name="Normal 59 5 4" xfId="17980"/>
    <cellStyle name="Normal 59 5 5" xfId="24382"/>
    <cellStyle name="Normal 59 6" xfId="3082"/>
    <cellStyle name="Normal 59 6 2" xfId="6569"/>
    <cellStyle name="Normal 59 6 2 2" xfId="15050"/>
    <cellStyle name="Normal 59 6 2 3" xfId="21564"/>
    <cellStyle name="Normal 59 6 2 4" xfId="27953"/>
    <cellStyle name="Normal 59 6 3" xfId="11584"/>
    <cellStyle name="Normal 59 6 4" xfId="18147"/>
    <cellStyle name="Normal 59 6 5" xfId="24549"/>
    <cellStyle name="Normal 59 7" xfId="3255"/>
    <cellStyle name="Normal 59 7 2" xfId="6736"/>
    <cellStyle name="Normal 59 7 2 2" xfId="15217"/>
    <cellStyle name="Normal 59 7 2 3" xfId="21731"/>
    <cellStyle name="Normal 59 7 2 4" xfId="28120"/>
    <cellStyle name="Normal 59 7 3" xfId="11755"/>
    <cellStyle name="Normal 59 7 4" xfId="18314"/>
    <cellStyle name="Normal 59 7 5" xfId="24716"/>
    <cellStyle name="Normal 59 8" xfId="3426"/>
    <cellStyle name="Normal 59 8 2" xfId="6901"/>
    <cellStyle name="Normal 59 8 2 2" xfId="15382"/>
    <cellStyle name="Normal 59 8 2 3" xfId="21896"/>
    <cellStyle name="Normal 59 8 2 4" xfId="28285"/>
    <cellStyle name="Normal 59 8 3" xfId="11923"/>
    <cellStyle name="Normal 59 8 4" xfId="18479"/>
    <cellStyle name="Normal 59 8 5" xfId="24881"/>
    <cellStyle name="Normal 59 9" xfId="3596"/>
    <cellStyle name="Normal 59 9 2" xfId="7065"/>
    <cellStyle name="Normal 59 9 2 2" xfId="15546"/>
    <cellStyle name="Normal 59 9 2 3" xfId="22060"/>
    <cellStyle name="Normal 59 9 2 4" xfId="28449"/>
    <cellStyle name="Normal 59 9 3" xfId="12091"/>
    <cellStyle name="Normal 59 9 4" xfId="18644"/>
    <cellStyle name="Normal 59 9 5" xfId="25045"/>
    <cellStyle name="Normal 6" xfId="1280"/>
    <cellStyle name="Normal 6 10" xfId="1281"/>
    <cellStyle name="Normal 6 11" xfId="1282"/>
    <cellStyle name="Normal 6 12" xfId="1283"/>
    <cellStyle name="Normal 6 13" xfId="1284"/>
    <cellStyle name="Normal 6 14" xfId="1285"/>
    <cellStyle name="Normal 6 15" xfId="1286"/>
    <cellStyle name="Normal 6 16" xfId="1287"/>
    <cellStyle name="Normal 6 17" xfId="1288"/>
    <cellStyle name="Normal 6 18" xfId="1289"/>
    <cellStyle name="Normal 6 19" xfId="1290"/>
    <cellStyle name="Normal 6 2" xfId="1291"/>
    <cellStyle name="Normal 6 2 10" xfId="2213"/>
    <cellStyle name="Normal 6 2 10 2" xfId="5783"/>
    <cellStyle name="Normal 6 2 10 2 2" xfId="14264"/>
    <cellStyle name="Normal 6 2 10 2 3" xfId="20778"/>
    <cellStyle name="Normal 6 2 10 2 4" xfId="27167"/>
    <cellStyle name="Normal 6 2 10 3" xfId="10769"/>
    <cellStyle name="Normal 6 2 10 4" xfId="17160"/>
    <cellStyle name="Normal 6 2 10 5" xfId="23636"/>
    <cellStyle name="Normal 6 2 11" xfId="2733"/>
    <cellStyle name="Normal 6 2 11 2" xfId="6234"/>
    <cellStyle name="Normal 6 2 11 2 2" xfId="14715"/>
    <cellStyle name="Normal 6 2 11 2 3" xfId="21229"/>
    <cellStyle name="Normal 6 2 11 2 4" xfId="27618"/>
    <cellStyle name="Normal 6 2 11 3" xfId="11243"/>
    <cellStyle name="Normal 6 2 11 4" xfId="17812"/>
    <cellStyle name="Normal 6 2 11 5" xfId="24214"/>
    <cellStyle name="Normal 6 2 12" xfId="2907"/>
    <cellStyle name="Normal 6 2 12 2" xfId="6401"/>
    <cellStyle name="Normal 6 2 12 2 2" xfId="14882"/>
    <cellStyle name="Normal 6 2 12 2 3" xfId="21396"/>
    <cellStyle name="Normal 6 2 12 2 4" xfId="27785"/>
    <cellStyle name="Normal 6 2 12 3" xfId="11413"/>
    <cellStyle name="Normal 6 2 12 4" xfId="17979"/>
    <cellStyle name="Normal 6 2 12 5" xfId="24381"/>
    <cellStyle name="Normal 6 2 13" xfId="3081"/>
    <cellStyle name="Normal 6 2 13 2" xfId="6568"/>
    <cellStyle name="Normal 6 2 13 2 2" xfId="15049"/>
    <cellStyle name="Normal 6 2 13 2 3" xfId="21563"/>
    <cellStyle name="Normal 6 2 13 2 4" xfId="27952"/>
    <cellStyle name="Normal 6 2 13 3" xfId="11583"/>
    <cellStyle name="Normal 6 2 13 4" xfId="18146"/>
    <cellStyle name="Normal 6 2 13 5" xfId="24548"/>
    <cellStyle name="Normal 6 2 14" xfId="3254"/>
    <cellStyle name="Normal 6 2 14 2" xfId="6735"/>
    <cellStyle name="Normal 6 2 14 2 2" xfId="15216"/>
    <cellStyle name="Normal 6 2 14 2 3" xfId="21730"/>
    <cellStyle name="Normal 6 2 14 2 4" xfId="28119"/>
    <cellStyle name="Normal 6 2 14 3" xfId="11754"/>
    <cellStyle name="Normal 6 2 14 4" xfId="18313"/>
    <cellStyle name="Normal 6 2 14 5" xfId="24715"/>
    <cellStyle name="Normal 6 2 15" xfId="3425"/>
    <cellStyle name="Normal 6 2 15 2" xfId="6900"/>
    <cellStyle name="Normal 6 2 15 2 2" xfId="15381"/>
    <cellStyle name="Normal 6 2 15 2 3" xfId="21895"/>
    <cellStyle name="Normal 6 2 15 2 4" xfId="28284"/>
    <cellStyle name="Normal 6 2 15 3" xfId="11922"/>
    <cellStyle name="Normal 6 2 15 4" xfId="18478"/>
    <cellStyle name="Normal 6 2 15 5" xfId="24880"/>
    <cellStyle name="Normal 6 2 16" xfId="3595"/>
    <cellStyle name="Normal 6 2 16 2" xfId="7064"/>
    <cellStyle name="Normal 6 2 16 2 2" xfId="15545"/>
    <cellStyle name="Normal 6 2 16 2 3" xfId="22059"/>
    <cellStyle name="Normal 6 2 16 2 4" xfId="28448"/>
    <cellStyle name="Normal 6 2 16 3" xfId="12090"/>
    <cellStyle name="Normal 6 2 16 4" xfId="18643"/>
    <cellStyle name="Normal 6 2 16 5" xfId="25044"/>
    <cellStyle name="Normal 6 2 17" xfId="3765"/>
    <cellStyle name="Normal 6 2 17 2" xfId="7228"/>
    <cellStyle name="Normal 6 2 17 2 2" xfId="15709"/>
    <cellStyle name="Normal 6 2 17 2 3" xfId="22223"/>
    <cellStyle name="Normal 6 2 17 2 4" xfId="28612"/>
    <cellStyle name="Normal 6 2 17 3" xfId="12260"/>
    <cellStyle name="Normal 6 2 17 4" xfId="18810"/>
    <cellStyle name="Normal 6 2 17 5" xfId="25208"/>
    <cellStyle name="Normal 6 2 18" xfId="3933"/>
    <cellStyle name="Normal 6 2 18 2" xfId="7391"/>
    <cellStyle name="Normal 6 2 18 2 2" xfId="15872"/>
    <cellStyle name="Normal 6 2 18 2 3" xfId="22386"/>
    <cellStyle name="Normal 6 2 18 2 4" xfId="28775"/>
    <cellStyle name="Normal 6 2 18 3" xfId="12427"/>
    <cellStyle name="Normal 6 2 18 4" xfId="18974"/>
    <cellStyle name="Normal 6 2 18 5" xfId="25371"/>
    <cellStyle name="Normal 6 2 19" xfId="4098"/>
    <cellStyle name="Normal 6 2 19 2" xfId="7551"/>
    <cellStyle name="Normal 6 2 19 2 2" xfId="16032"/>
    <cellStyle name="Normal 6 2 19 2 3" xfId="22546"/>
    <cellStyle name="Normal 6 2 19 2 4" xfId="28935"/>
    <cellStyle name="Normal 6 2 19 3" xfId="12591"/>
    <cellStyle name="Normal 6 2 19 4" xfId="19135"/>
    <cellStyle name="Normal 6 2 19 5" xfId="25531"/>
    <cellStyle name="Normal 6 2 2" xfId="1292"/>
    <cellStyle name="Normal 6 2 2 2" xfId="1293"/>
    <cellStyle name="Normal 6 2 2 2 10" xfId="3593"/>
    <cellStyle name="Normal 6 2 2 2 10 2" xfId="7062"/>
    <cellStyle name="Normal 6 2 2 2 10 2 2" xfId="15543"/>
    <cellStyle name="Normal 6 2 2 2 10 2 3" xfId="22057"/>
    <cellStyle name="Normal 6 2 2 2 10 2 4" xfId="28446"/>
    <cellStyle name="Normal 6 2 2 2 10 3" xfId="12088"/>
    <cellStyle name="Normal 6 2 2 2 10 4" xfId="18641"/>
    <cellStyle name="Normal 6 2 2 2 10 5" xfId="25042"/>
    <cellStyle name="Normal 6 2 2 2 11" xfId="3763"/>
    <cellStyle name="Normal 6 2 2 2 11 2" xfId="7226"/>
    <cellStyle name="Normal 6 2 2 2 11 2 2" xfId="15707"/>
    <cellStyle name="Normal 6 2 2 2 11 2 3" xfId="22221"/>
    <cellStyle name="Normal 6 2 2 2 11 2 4" xfId="28610"/>
    <cellStyle name="Normal 6 2 2 2 11 3" xfId="12258"/>
    <cellStyle name="Normal 6 2 2 2 11 4" xfId="18808"/>
    <cellStyle name="Normal 6 2 2 2 11 5" xfId="25206"/>
    <cellStyle name="Normal 6 2 2 2 12" xfId="3931"/>
    <cellStyle name="Normal 6 2 2 2 12 2" xfId="7389"/>
    <cellStyle name="Normal 6 2 2 2 12 2 2" xfId="15870"/>
    <cellStyle name="Normal 6 2 2 2 12 2 3" xfId="22384"/>
    <cellStyle name="Normal 6 2 2 2 12 2 4" xfId="28773"/>
    <cellStyle name="Normal 6 2 2 2 12 3" xfId="12425"/>
    <cellStyle name="Normal 6 2 2 2 12 4" xfId="18972"/>
    <cellStyle name="Normal 6 2 2 2 12 5" xfId="25369"/>
    <cellStyle name="Normal 6 2 2 2 13" xfId="4096"/>
    <cellStyle name="Normal 6 2 2 2 13 2" xfId="7549"/>
    <cellStyle name="Normal 6 2 2 2 13 2 2" xfId="16030"/>
    <cellStyle name="Normal 6 2 2 2 13 2 3" xfId="22544"/>
    <cellStyle name="Normal 6 2 2 2 13 2 4" xfId="28933"/>
    <cellStyle name="Normal 6 2 2 2 13 3" xfId="12589"/>
    <cellStyle name="Normal 6 2 2 2 13 4" xfId="19133"/>
    <cellStyle name="Normal 6 2 2 2 13 5" xfId="25529"/>
    <cellStyle name="Normal 6 2 2 2 14" xfId="4261"/>
    <cellStyle name="Normal 6 2 2 2 14 2" xfId="7709"/>
    <cellStyle name="Normal 6 2 2 2 14 2 2" xfId="16190"/>
    <cellStyle name="Normal 6 2 2 2 14 2 3" xfId="22704"/>
    <cellStyle name="Normal 6 2 2 2 14 2 4" xfId="29093"/>
    <cellStyle name="Normal 6 2 2 2 14 3" xfId="12753"/>
    <cellStyle name="Normal 6 2 2 2 14 4" xfId="19294"/>
    <cellStyle name="Normal 6 2 2 2 14 5" xfId="25689"/>
    <cellStyle name="Normal 6 2 2 2 15" xfId="4421"/>
    <cellStyle name="Normal 6 2 2 2 15 2" xfId="7864"/>
    <cellStyle name="Normal 6 2 2 2 15 2 2" xfId="16345"/>
    <cellStyle name="Normal 6 2 2 2 15 2 3" xfId="22859"/>
    <cellStyle name="Normal 6 2 2 2 15 2 4" xfId="29248"/>
    <cellStyle name="Normal 6 2 2 2 15 3" xfId="12912"/>
    <cellStyle name="Normal 6 2 2 2 15 4" xfId="19450"/>
    <cellStyle name="Normal 6 2 2 2 15 5" xfId="25844"/>
    <cellStyle name="Normal 6 2 2 2 16" xfId="4581"/>
    <cellStyle name="Normal 6 2 2 2 16 2" xfId="8019"/>
    <cellStyle name="Normal 6 2 2 2 16 2 2" xfId="16500"/>
    <cellStyle name="Normal 6 2 2 2 16 2 3" xfId="23014"/>
    <cellStyle name="Normal 6 2 2 2 16 2 4" xfId="29403"/>
    <cellStyle name="Normal 6 2 2 2 16 3" xfId="13072"/>
    <cellStyle name="Normal 6 2 2 2 16 4" xfId="19606"/>
    <cellStyle name="Normal 6 2 2 2 16 5" xfId="25999"/>
    <cellStyle name="Normal 6 2 2 2 17" xfId="4741"/>
    <cellStyle name="Normal 6 2 2 2 17 2" xfId="8174"/>
    <cellStyle name="Normal 6 2 2 2 17 2 2" xfId="16655"/>
    <cellStyle name="Normal 6 2 2 2 17 2 3" xfId="23169"/>
    <cellStyle name="Normal 6 2 2 2 17 2 4" xfId="29558"/>
    <cellStyle name="Normal 6 2 2 2 17 3" xfId="13231"/>
    <cellStyle name="Normal 6 2 2 2 17 4" xfId="19762"/>
    <cellStyle name="Normal 6 2 2 2 17 5" xfId="26154"/>
    <cellStyle name="Normal 6 2 2 2 18" xfId="4900"/>
    <cellStyle name="Normal 6 2 2 2 18 2" xfId="8328"/>
    <cellStyle name="Normal 6 2 2 2 18 2 2" xfId="16809"/>
    <cellStyle name="Normal 6 2 2 2 18 2 3" xfId="23323"/>
    <cellStyle name="Normal 6 2 2 2 18 2 4" xfId="29712"/>
    <cellStyle name="Normal 6 2 2 2 18 3" xfId="13389"/>
    <cellStyle name="Normal 6 2 2 2 18 4" xfId="19917"/>
    <cellStyle name="Normal 6 2 2 2 18 5" xfId="26308"/>
    <cellStyle name="Normal 6 2 2 2 19" xfId="5039"/>
    <cellStyle name="Normal 6 2 2 2 19 2" xfId="8462"/>
    <cellStyle name="Normal 6 2 2 2 19 2 2" xfId="16943"/>
    <cellStyle name="Normal 6 2 2 2 19 2 3" xfId="23457"/>
    <cellStyle name="Normal 6 2 2 2 19 2 4" xfId="29846"/>
    <cellStyle name="Normal 6 2 2 2 19 3" xfId="13527"/>
    <cellStyle name="Normal 6 2 2 2 19 4" xfId="20052"/>
    <cellStyle name="Normal 6 2 2 2 19 5" xfId="26442"/>
    <cellStyle name="Normal 6 2 2 2 2" xfId="1294"/>
    <cellStyle name="Normal 6 2 2 2 20" xfId="5281"/>
    <cellStyle name="Normal 6 2 2 2 20 2" xfId="13762"/>
    <cellStyle name="Normal 6 2 2 2 20 3" xfId="20279"/>
    <cellStyle name="Normal 6 2 2 2 20 4" xfId="26668"/>
    <cellStyle name="Normal 6 2 2 2 21" xfId="10048"/>
    <cellStyle name="Normal 6 2 2 2 22" xfId="9698"/>
    <cellStyle name="Normal 6 2 2 2 23" xfId="10021"/>
    <cellStyle name="Normal 6 2 2 2 3" xfId="1885"/>
    <cellStyle name="Normal 6 2 2 2 3 2" xfId="5481"/>
    <cellStyle name="Normal 6 2 2 2 3 2 2" xfId="13962"/>
    <cellStyle name="Normal 6 2 2 2 3 2 3" xfId="20476"/>
    <cellStyle name="Normal 6 2 2 2 3 2 4" xfId="26865"/>
    <cellStyle name="Normal 6 2 2 2 3 3" xfId="10455"/>
    <cellStyle name="Normal 6 2 2 2 3 4" xfId="9558"/>
    <cellStyle name="Normal 6 2 2 2 3 5" xfId="10162"/>
    <cellStyle name="Normal 6 2 2 2 4" xfId="2215"/>
    <cellStyle name="Normal 6 2 2 2 4 2" xfId="5785"/>
    <cellStyle name="Normal 6 2 2 2 4 2 2" xfId="14266"/>
    <cellStyle name="Normal 6 2 2 2 4 2 3" xfId="20780"/>
    <cellStyle name="Normal 6 2 2 2 4 2 4" xfId="27169"/>
    <cellStyle name="Normal 6 2 2 2 4 3" xfId="10771"/>
    <cellStyle name="Normal 6 2 2 2 4 4" xfId="9353"/>
    <cellStyle name="Normal 6 2 2 2 4 5" xfId="17039"/>
    <cellStyle name="Normal 6 2 2 2 5" xfId="2731"/>
    <cellStyle name="Normal 6 2 2 2 5 2" xfId="6232"/>
    <cellStyle name="Normal 6 2 2 2 5 2 2" xfId="14713"/>
    <cellStyle name="Normal 6 2 2 2 5 2 3" xfId="21227"/>
    <cellStyle name="Normal 6 2 2 2 5 2 4" xfId="27616"/>
    <cellStyle name="Normal 6 2 2 2 5 3" xfId="11241"/>
    <cellStyle name="Normal 6 2 2 2 5 4" xfId="17810"/>
    <cellStyle name="Normal 6 2 2 2 5 5" xfId="24212"/>
    <cellStyle name="Normal 6 2 2 2 6" xfId="2905"/>
    <cellStyle name="Normal 6 2 2 2 6 2" xfId="6399"/>
    <cellStyle name="Normal 6 2 2 2 6 2 2" xfId="14880"/>
    <cellStyle name="Normal 6 2 2 2 6 2 3" xfId="21394"/>
    <cellStyle name="Normal 6 2 2 2 6 2 4" xfId="27783"/>
    <cellStyle name="Normal 6 2 2 2 6 3" xfId="11411"/>
    <cellStyle name="Normal 6 2 2 2 6 4" xfId="17977"/>
    <cellStyle name="Normal 6 2 2 2 6 5" xfId="24379"/>
    <cellStyle name="Normal 6 2 2 2 7" xfId="3079"/>
    <cellStyle name="Normal 6 2 2 2 7 2" xfId="6566"/>
    <cellStyle name="Normal 6 2 2 2 7 2 2" xfId="15047"/>
    <cellStyle name="Normal 6 2 2 2 7 2 3" xfId="21561"/>
    <cellStyle name="Normal 6 2 2 2 7 2 4" xfId="27950"/>
    <cellStyle name="Normal 6 2 2 2 7 3" xfId="11581"/>
    <cellStyle name="Normal 6 2 2 2 7 4" xfId="18144"/>
    <cellStyle name="Normal 6 2 2 2 7 5" xfId="24546"/>
    <cellStyle name="Normal 6 2 2 2 8" xfId="3252"/>
    <cellStyle name="Normal 6 2 2 2 8 2" xfId="6733"/>
    <cellStyle name="Normal 6 2 2 2 8 2 2" xfId="15214"/>
    <cellStyle name="Normal 6 2 2 2 8 2 3" xfId="21728"/>
    <cellStyle name="Normal 6 2 2 2 8 2 4" xfId="28117"/>
    <cellStyle name="Normal 6 2 2 2 8 3" xfId="11752"/>
    <cellStyle name="Normal 6 2 2 2 8 4" xfId="18311"/>
    <cellStyle name="Normal 6 2 2 2 8 5" xfId="24713"/>
    <cellStyle name="Normal 6 2 2 2 9" xfId="3423"/>
    <cellStyle name="Normal 6 2 2 2 9 2" xfId="6898"/>
    <cellStyle name="Normal 6 2 2 2 9 2 2" xfId="15379"/>
    <cellStyle name="Normal 6 2 2 2 9 2 3" xfId="21893"/>
    <cellStyle name="Normal 6 2 2 2 9 2 4" xfId="28282"/>
    <cellStyle name="Normal 6 2 2 2 9 3" xfId="11920"/>
    <cellStyle name="Normal 6 2 2 2 9 4" xfId="18476"/>
    <cellStyle name="Normal 6 2 2 2 9 5" xfId="24878"/>
    <cellStyle name="Normal 6 2 20" xfId="4263"/>
    <cellStyle name="Normal 6 2 20 2" xfId="7711"/>
    <cellStyle name="Normal 6 2 20 2 2" xfId="16192"/>
    <cellStyle name="Normal 6 2 20 2 3" xfId="22706"/>
    <cellStyle name="Normal 6 2 20 2 4" xfId="29095"/>
    <cellStyle name="Normal 6 2 20 3" xfId="12755"/>
    <cellStyle name="Normal 6 2 20 4" xfId="19296"/>
    <cellStyle name="Normal 6 2 20 5" xfId="25691"/>
    <cellStyle name="Normal 6 2 21" xfId="4423"/>
    <cellStyle name="Normal 6 2 21 2" xfId="7866"/>
    <cellStyle name="Normal 6 2 21 2 2" xfId="16347"/>
    <cellStyle name="Normal 6 2 21 2 3" xfId="22861"/>
    <cellStyle name="Normal 6 2 21 2 4" xfId="29250"/>
    <cellStyle name="Normal 6 2 21 3" xfId="12914"/>
    <cellStyle name="Normal 6 2 21 4" xfId="19452"/>
    <cellStyle name="Normal 6 2 21 5" xfId="25846"/>
    <cellStyle name="Normal 6 2 22" xfId="4583"/>
    <cellStyle name="Normal 6 2 22 2" xfId="8021"/>
    <cellStyle name="Normal 6 2 22 2 2" xfId="16502"/>
    <cellStyle name="Normal 6 2 22 2 3" xfId="23016"/>
    <cellStyle name="Normal 6 2 22 2 4" xfId="29405"/>
    <cellStyle name="Normal 6 2 22 3" xfId="13074"/>
    <cellStyle name="Normal 6 2 22 4" xfId="19608"/>
    <cellStyle name="Normal 6 2 22 5" xfId="26001"/>
    <cellStyle name="Normal 6 2 23" xfId="4743"/>
    <cellStyle name="Normal 6 2 23 2" xfId="8176"/>
    <cellStyle name="Normal 6 2 23 2 2" xfId="16657"/>
    <cellStyle name="Normal 6 2 23 2 3" xfId="23171"/>
    <cellStyle name="Normal 6 2 23 2 4" xfId="29560"/>
    <cellStyle name="Normal 6 2 23 3" xfId="13233"/>
    <cellStyle name="Normal 6 2 23 4" xfId="19764"/>
    <cellStyle name="Normal 6 2 23 5" xfId="26156"/>
    <cellStyle name="Normal 6 2 24" xfId="4902"/>
    <cellStyle name="Normal 6 2 24 2" xfId="8330"/>
    <cellStyle name="Normal 6 2 24 2 2" xfId="16811"/>
    <cellStyle name="Normal 6 2 24 2 3" xfId="23325"/>
    <cellStyle name="Normal 6 2 24 2 4" xfId="29714"/>
    <cellStyle name="Normal 6 2 24 3" xfId="13391"/>
    <cellStyle name="Normal 6 2 24 4" xfId="19919"/>
    <cellStyle name="Normal 6 2 24 5" xfId="26310"/>
    <cellStyle name="Normal 6 2 25" xfId="5040"/>
    <cellStyle name="Normal 6 2 25 2" xfId="8463"/>
    <cellStyle name="Normal 6 2 25 2 2" xfId="16944"/>
    <cellStyle name="Normal 6 2 25 2 3" xfId="23458"/>
    <cellStyle name="Normal 6 2 25 2 4" xfId="29847"/>
    <cellStyle name="Normal 6 2 25 3" xfId="13528"/>
    <cellStyle name="Normal 6 2 25 4" xfId="20053"/>
    <cellStyle name="Normal 6 2 25 5" xfId="26443"/>
    <cellStyle name="Normal 6 2 26" xfId="5280"/>
    <cellStyle name="Normal 6 2 26 2" xfId="8644"/>
    <cellStyle name="Normal 6 2 26 3" xfId="13761"/>
    <cellStyle name="Normal 6 2 26 4" xfId="20278"/>
    <cellStyle name="Normal 6 2 26 5" xfId="26667"/>
    <cellStyle name="Normal 6 2 27" xfId="10047"/>
    <cellStyle name="Normal 6 2 28" xfId="9699"/>
    <cellStyle name="Normal 6 2 29" xfId="17400"/>
    <cellStyle name="Normal 6 2 3" xfId="1295"/>
    <cellStyle name="Normal 6 2 4" xfId="1296"/>
    <cellStyle name="Normal 6 2 5" xfId="1297"/>
    <cellStyle name="Normal 6 2 6" xfId="1298"/>
    <cellStyle name="Normal 6 2 7" xfId="1299"/>
    <cellStyle name="Normal 6 2 8" xfId="1300"/>
    <cellStyle name="Normal 6 2 9" xfId="1884"/>
    <cellStyle name="Normal 6 2 9 2" xfId="5480"/>
    <cellStyle name="Normal 6 2 9 2 2" xfId="13961"/>
    <cellStyle name="Normal 6 2 9 2 3" xfId="20475"/>
    <cellStyle name="Normal 6 2 9 2 4" xfId="26864"/>
    <cellStyle name="Normal 6 2 9 3" xfId="10454"/>
    <cellStyle name="Normal 6 2 9 4" xfId="9559"/>
    <cellStyle name="Normal 6 2 9 5" xfId="10161"/>
    <cellStyle name="Normal 6 20" xfId="1301"/>
    <cellStyle name="Normal 6 21" xfId="1302"/>
    <cellStyle name="Normal 6 22" xfId="1303"/>
    <cellStyle name="Normal 6 23" xfId="1304"/>
    <cellStyle name="Normal 6 24" xfId="1305"/>
    <cellStyle name="Normal 6 25" xfId="1306"/>
    <cellStyle name="Normal 6 26" xfId="1307"/>
    <cellStyle name="Normal 6 27" xfId="8643"/>
    <cellStyle name="Normal 6 3" xfId="1308"/>
    <cellStyle name="Normal 6 4" xfId="1309"/>
    <cellStyle name="Normal 6 5" xfId="1310"/>
    <cellStyle name="Normal 6 6" xfId="1311"/>
    <cellStyle name="Normal 6 7" xfId="1312"/>
    <cellStyle name="Normal 6 8" xfId="1313"/>
    <cellStyle name="Normal 6 9" xfId="1314"/>
    <cellStyle name="Normal 6_10. Category-wise Arrears 09-11" xfId="1315"/>
    <cellStyle name="Normal 60" xfId="1316"/>
    <cellStyle name="Normal 60 10" xfId="3754"/>
    <cellStyle name="Normal 60 10 2" xfId="7217"/>
    <cellStyle name="Normal 60 10 2 2" xfId="15698"/>
    <cellStyle name="Normal 60 10 2 3" xfId="22212"/>
    <cellStyle name="Normal 60 10 2 4" xfId="28601"/>
    <cellStyle name="Normal 60 10 3" xfId="12249"/>
    <cellStyle name="Normal 60 10 4" xfId="18799"/>
    <cellStyle name="Normal 60 10 5" xfId="25197"/>
    <cellStyle name="Normal 60 11" xfId="3922"/>
    <cellStyle name="Normal 60 11 2" xfId="7380"/>
    <cellStyle name="Normal 60 11 2 2" xfId="15861"/>
    <cellStyle name="Normal 60 11 2 3" xfId="22375"/>
    <cellStyle name="Normal 60 11 2 4" xfId="28764"/>
    <cellStyle name="Normal 60 11 3" xfId="12416"/>
    <cellStyle name="Normal 60 11 4" xfId="18963"/>
    <cellStyle name="Normal 60 11 5" xfId="25360"/>
    <cellStyle name="Normal 60 12" xfId="4087"/>
    <cellStyle name="Normal 60 12 2" xfId="7540"/>
    <cellStyle name="Normal 60 12 2 2" xfId="16021"/>
    <cellStyle name="Normal 60 12 2 3" xfId="22535"/>
    <cellStyle name="Normal 60 12 2 4" xfId="28924"/>
    <cellStyle name="Normal 60 12 3" xfId="12580"/>
    <cellStyle name="Normal 60 12 4" xfId="19124"/>
    <cellStyle name="Normal 60 12 5" xfId="25520"/>
    <cellStyle name="Normal 60 13" xfId="4252"/>
    <cellStyle name="Normal 60 13 2" xfId="7700"/>
    <cellStyle name="Normal 60 13 2 2" xfId="16181"/>
    <cellStyle name="Normal 60 13 2 3" xfId="22695"/>
    <cellStyle name="Normal 60 13 2 4" xfId="29084"/>
    <cellStyle name="Normal 60 13 3" xfId="12744"/>
    <cellStyle name="Normal 60 13 4" xfId="19285"/>
    <cellStyle name="Normal 60 13 5" xfId="25680"/>
    <cellStyle name="Normal 60 14" xfId="4412"/>
    <cellStyle name="Normal 60 14 2" xfId="7855"/>
    <cellStyle name="Normal 60 14 2 2" xfId="16336"/>
    <cellStyle name="Normal 60 14 2 3" xfId="22850"/>
    <cellStyle name="Normal 60 14 2 4" xfId="29239"/>
    <cellStyle name="Normal 60 14 3" xfId="12903"/>
    <cellStyle name="Normal 60 14 4" xfId="19441"/>
    <cellStyle name="Normal 60 14 5" xfId="25835"/>
    <cellStyle name="Normal 60 15" xfId="4572"/>
    <cellStyle name="Normal 60 15 2" xfId="8010"/>
    <cellStyle name="Normal 60 15 2 2" xfId="16491"/>
    <cellStyle name="Normal 60 15 2 3" xfId="23005"/>
    <cellStyle name="Normal 60 15 2 4" xfId="29394"/>
    <cellStyle name="Normal 60 15 3" xfId="13063"/>
    <cellStyle name="Normal 60 15 4" xfId="19597"/>
    <cellStyle name="Normal 60 15 5" xfId="25990"/>
    <cellStyle name="Normal 60 16" xfId="4732"/>
    <cellStyle name="Normal 60 16 2" xfId="8165"/>
    <cellStyle name="Normal 60 16 2 2" xfId="16646"/>
    <cellStyle name="Normal 60 16 2 3" xfId="23160"/>
    <cellStyle name="Normal 60 16 2 4" xfId="29549"/>
    <cellStyle name="Normal 60 16 3" xfId="13222"/>
    <cellStyle name="Normal 60 16 4" xfId="19753"/>
    <cellStyle name="Normal 60 16 5" xfId="26145"/>
    <cellStyle name="Normal 60 17" xfId="4891"/>
    <cellStyle name="Normal 60 17 2" xfId="8319"/>
    <cellStyle name="Normal 60 17 2 2" xfId="16800"/>
    <cellStyle name="Normal 60 17 2 3" xfId="23314"/>
    <cellStyle name="Normal 60 17 2 4" xfId="29703"/>
    <cellStyle name="Normal 60 17 3" xfId="13380"/>
    <cellStyle name="Normal 60 17 4" xfId="19908"/>
    <cellStyle name="Normal 60 17 5" xfId="26299"/>
    <cellStyle name="Normal 60 18" xfId="5038"/>
    <cellStyle name="Normal 60 18 2" xfId="8461"/>
    <cellStyle name="Normal 60 18 2 2" xfId="16942"/>
    <cellStyle name="Normal 60 18 2 3" xfId="23456"/>
    <cellStyle name="Normal 60 18 2 4" xfId="29845"/>
    <cellStyle name="Normal 60 18 3" xfId="13526"/>
    <cellStyle name="Normal 60 18 4" xfId="20051"/>
    <cellStyle name="Normal 60 18 5" xfId="26441"/>
    <cellStyle name="Normal 60 19" xfId="5282"/>
    <cellStyle name="Normal 60 19 2" xfId="13763"/>
    <cellStyle name="Normal 60 19 3" xfId="20280"/>
    <cellStyle name="Normal 60 19 4" xfId="26669"/>
    <cellStyle name="Normal 60 2" xfId="1886"/>
    <cellStyle name="Normal 60 2 2" xfId="5482"/>
    <cellStyle name="Normal 60 2 2 2" xfId="13963"/>
    <cellStyle name="Normal 60 2 2 3" xfId="20477"/>
    <cellStyle name="Normal 60 2 2 4" xfId="26866"/>
    <cellStyle name="Normal 60 2 3" xfId="10456"/>
    <cellStyle name="Normal 60 2 4" xfId="9557"/>
    <cellStyle name="Normal 60 2 5" xfId="10163"/>
    <cellStyle name="Normal 60 20" xfId="10050"/>
    <cellStyle name="Normal 60 21" xfId="17435"/>
    <cellStyle name="Normal 60 22" xfId="23870"/>
    <cellStyle name="Normal 60 3" xfId="2224"/>
    <cellStyle name="Normal 60 3 2" xfId="5794"/>
    <cellStyle name="Normal 60 3 2 2" xfId="14275"/>
    <cellStyle name="Normal 60 3 2 3" xfId="20789"/>
    <cellStyle name="Normal 60 3 2 4" xfId="27178"/>
    <cellStyle name="Normal 60 3 3" xfId="10780"/>
    <cellStyle name="Normal 60 3 4" xfId="17452"/>
    <cellStyle name="Normal 60 3 5" xfId="23882"/>
    <cellStyle name="Normal 60 4" xfId="2722"/>
    <cellStyle name="Normal 60 4 2" xfId="6223"/>
    <cellStyle name="Normal 60 4 2 2" xfId="14704"/>
    <cellStyle name="Normal 60 4 2 3" xfId="21218"/>
    <cellStyle name="Normal 60 4 2 4" xfId="27607"/>
    <cellStyle name="Normal 60 4 3" xfId="11232"/>
    <cellStyle name="Normal 60 4 4" xfId="17801"/>
    <cellStyle name="Normal 60 4 5" xfId="24203"/>
    <cellStyle name="Normal 60 5" xfId="2896"/>
    <cellStyle name="Normal 60 5 2" xfId="6390"/>
    <cellStyle name="Normal 60 5 2 2" xfId="14871"/>
    <cellStyle name="Normal 60 5 2 3" xfId="21385"/>
    <cellStyle name="Normal 60 5 2 4" xfId="27774"/>
    <cellStyle name="Normal 60 5 3" xfId="11402"/>
    <cellStyle name="Normal 60 5 4" xfId="17968"/>
    <cellStyle name="Normal 60 5 5" xfId="24370"/>
    <cellStyle name="Normal 60 6" xfId="3070"/>
    <cellStyle name="Normal 60 6 2" xfId="6557"/>
    <cellStyle name="Normal 60 6 2 2" xfId="15038"/>
    <cellStyle name="Normal 60 6 2 3" xfId="21552"/>
    <cellStyle name="Normal 60 6 2 4" xfId="27941"/>
    <cellStyle name="Normal 60 6 3" xfId="11572"/>
    <cellStyle name="Normal 60 6 4" xfId="18135"/>
    <cellStyle name="Normal 60 6 5" xfId="24537"/>
    <cellStyle name="Normal 60 7" xfId="3243"/>
    <cellStyle name="Normal 60 7 2" xfId="6724"/>
    <cellStyle name="Normal 60 7 2 2" xfId="15205"/>
    <cellStyle name="Normal 60 7 2 3" xfId="21719"/>
    <cellStyle name="Normal 60 7 2 4" xfId="28108"/>
    <cellStyle name="Normal 60 7 3" xfId="11743"/>
    <cellStyle name="Normal 60 7 4" xfId="18302"/>
    <cellStyle name="Normal 60 7 5" xfId="24704"/>
    <cellStyle name="Normal 60 8" xfId="3414"/>
    <cellStyle name="Normal 60 8 2" xfId="6889"/>
    <cellStyle name="Normal 60 8 2 2" xfId="15370"/>
    <cellStyle name="Normal 60 8 2 3" xfId="21884"/>
    <cellStyle name="Normal 60 8 2 4" xfId="28273"/>
    <cellStyle name="Normal 60 8 3" xfId="11911"/>
    <cellStyle name="Normal 60 8 4" xfId="18467"/>
    <cellStyle name="Normal 60 8 5" xfId="24869"/>
    <cellStyle name="Normal 60 9" xfId="3584"/>
    <cellStyle name="Normal 60 9 2" xfId="7053"/>
    <cellStyle name="Normal 60 9 2 2" xfId="15534"/>
    <cellStyle name="Normal 60 9 2 3" xfId="22048"/>
    <cellStyle name="Normal 60 9 2 4" xfId="28437"/>
    <cellStyle name="Normal 60 9 3" xfId="12079"/>
    <cellStyle name="Normal 60 9 4" xfId="18632"/>
    <cellStyle name="Normal 60 9 5" xfId="25033"/>
    <cellStyle name="Normal 61" xfId="1317"/>
    <cellStyle name="Normal 61 10" xfId="3753"/>
    <cellStyle name="Normal 61 10 2" xfId="7216"/>
    <cellStyle name="Normal 61 10 2 2" xfId="15697"/>
    <cellStyle name="Normal 61 10 2 3" xfId="22211"/>
    <cellStyle name="Normal 61 10 2 4" xfId="28600"/>
    <cellStyle name="Normal 61 10 3" xfId="12248"/>
    <cellStyle name="Normal 61 10 4" xfId="18798"/>
    <cellStyle name="Normal 61 10 5" xfId="25196"/>
    <cellStyle name="Normal 61 11" xfId="3921"/>
    <cellStyle name="Normal 61 11 2" xfId="7379"/>
    <cellStyle name="Normal 61 11 2 2" xfId="15860"/>
    <cellStyle name="Normal 61 11 2 3" xfId="22374"/>
    <cellStyle name="Normal 61 11 2 4" xfId="28763"/>
    <cellStyle name="Normal 61 11 3" xfId="12415"/>
    <cellStyle name="Normal 61 11 4" xfId="18962"/>
    <cellStyle name="Normal 61 11 5" xfId="25359"/>
    <cellStyle name="Normal 61 12" xfId="4086"/>
    <cellStyle name="Normal 61 12 2" xfId="7539"/>
    <cellStyle name="Normal 61 12 2 2" xfId="16020"/>
    <cellStyle name="Normal 61 12 2 3" xfId="22534"/>
    <cellStyle name="Normal 61 12 2 4" xfId="28923"/>
    <cellStyle name="Normal 61 12 3" xfId="12579"/>
    <cellStyle name="Normal 61 12 4" xfId="19123"/>
    <cellStyle name="Normal 61 12 5" xfId="25519"/>
    <cellStyle name="Normal 61 13" xfId="4251"/>
    <cellStyle name="Normal 61 13 2" xfId="7699"/>
    <cellStyle name="Normal 61 13 2 2" xfId="16180"/>
    <cellStyle name="Normal 61 13 2 3" xfId="22694"/>
    <cellStyle name="Normal 61 13 2 4" xfId="29083"/>
    <cellStyle name="Normal 61 13 3" xfId="12743"/>
    <cellStyle name="Normal 61 13 4" xfId="19284"/>
    <cellStyle name="Normal 61 13 5" xfId="25679"/>
    <cellStyle name="Normal 61 14" xfId="4411"/>
    <cellStyle name="Normal 61 14 2" xfId="7854"/>
    <cellStyle name="Normal 61 14 2 2" xfId="16335"/>
    <cellStyle name="Normal 61 14 2 3" xfId="22849"/>
    <cellStyle name="Normal 61 14 2 4" xfId="29238"/>
    <cellStyle name="Normal 61 14 3" xfId="12902"/>
    <cellStyle name="Normal 61 14 4" xfId="19440"/>
    <cellStyle name="Normal 61 14 5" xfId="25834"/>
    <cellStyle name="Normal 61 15" xfId="4571"/>
    <cellStyle name="Normal 61 15 2" xfId="8009"/>
    <cellStyle name="Normal 61 15 2 2" xfId="16490"/>
    <cellStyle name="Normal 61 15 2 3" xfId="23004"/>
    <cellStyle name="Normal 61 15 2 4" xfId="29393"/>
    <cellStyle name="Normal 61 15 3" xfId="13062"/>
    <cellStyle name="Normal 61 15 4" xfId="19596"/>
    <cellStyle name="Normal 61 15 5" xfId="25989"/>
    <cellStyle name="Normal 61 16" xfId="4731"/>
    <cellStyle name="Normal 61 16 2" xfId="8164"/>
    <cellStyle name="Normal 61 16 2 2" xfId="16645"/>
    <cellStyle name="Normal 61 16 2 3" xfId="23159"/>
    <cellStyle name="Normal 61 16 2 4" xfId="29548"/>
    <cellStyle name="Normal 61 16 3" xfId="13221"/>
    <cellStyle name="Normal 61 16 4" xfId="19752"/>
    <cellStyle name="Normal 61 16 5" xfId="26144"/>
    <cellStyle name="Normal 61 17" xfId="4890"/>
    <cellStyle name="Normal 61 17 2" xfId="8318"/>
    <cellStyle name="Normal 61 17 2 2" xfId="16799"/>
    <cellStyle name="Normal 61 17 2 3" xfId="23313"/>
    <cellStyle name="Normal 61 17 2 4" xfId="29702"/>
    <cellStyle name="Normal 61 17 3" xfId="13379"/>
    <cellStyle name="Normal 61 17 4" xfId="19907"/>
    <cellStyle name="Normal 61 17 5" xfId="26298"/>
    <cellStyle name="Normal 61 18" xfId="5037"/>
    <cellStyle name="Normal 61 18 2" xfId="8460"/>
    <cellStyle name="Normal 61 18 2 2" xfId="16941"/>
    <cellStyle name="Normal 61 18 2 3" xfId="23455"/>
    <cellStyle name="Normal 61 18 2 4" xfId="29844"/>
    <cellStyle name="Normal 61 18 3" xfId="13525"/>
    <cellStyle name="Normal 61 18 4" xfId="20050"/>
    <cellStyle name="Normal 61 18 5" xfId="26440"/>
    <cellStyle name="Normal 61 19" xfId="5283"/>
    <cellStyle name="Normal 61 19 2" xfId="13764"/>
    <cellStyle name="Normal 61 19 3" xfId="20281"/>
    <cellStyle name="Normal 61 19 4" xfId="26670"/>
    <cellStyle name="Normal 61 2" xfId="1887"/>
    <cellStyle name="Normal 61 2 2" xfId="5483"/>
    <cellStyle name="Normal 61 2 2 2" xfId="13964"/>
    <cellStyle name="Normal 61 2 2 3" xfId="20478"/>
    <cellStyle name="Normal 61 2 2 4" xfId="26867"/>
    <cellStyle name="Normal 61 2 3" xfId="10457"/>
    <cellStyle name="Normal 61 2 4" xfId="9556"/>
    <cellStyle name="Normal 61 2 5" xfId="10164"/>
    <cellStyle name="Normal 61 20" xfId="10051"/>
    <cellStyle name="Normal 61 21" xfId="17088"/>
    <cellStyle name="Normal 61 22" xfId="23565"/>
    <cellStyle name="Normal 61 3" xfId="2225"/>
    <cellStyle name="Normal 61 3 2" xfId="5795"/>
    <cellStyle name="Normal 61 3 2 2" xfId="14276"/>
    <cellStyle name="Normal 61 3 2 3" xfId="20790"/>
    <cellStyle name="Normal 61 3 2 4" xfId="27179"/>
    <cellStyle name="Normal 61 3 3" xfId="10781"/>
    <cellStyle name="Normal 61 3 4" xfId="17463"/>
    <cellStyle name="Normal 61 3 5" xfId="23890"/>
    <cellStyle name="Normal 61 4" xfId="2721"/>
    <cellStyle name="Normal 61 4 2" xfId="6222"/>
    <cellStyle name="Normal 61 4 2 2" xfId="14703"/>
    <cellStyle name="Normal 61 4 2 3" xfId="21217"/>
    <cellStyle name="Normal 61 4 2 4" xfId="27606"/>
    <cellStyle name="Normal 61 4 3" xfId="11231"/>
    <cellStyle name="Normal 61 4 4" xfId="17800"/>
    <cellStyle name="Normal 61 4 5" xfId="24202"/>
    <cellStyle name="Normal 61 5" xfId="2895"/>
    <cellStyle name="Normal 61 5 2" xfId="6389"/>
    <cellStyle name="Normal 61 5 2 2" xfId="14870"/>
    <cellStyle name="Normal 61 5 2 3" xfId="21384"/>
    <cellStyle name="Normal 61 5 2 4" xfId="27773"/>
    <cellStyle name="Normal 61 5 3" xfId="11401"/>
    <cellStyle name="Normal 61 5 4" xfId="17967"/>
    <cellStyle name="Normal 61 5 5" xfId="24369"/>
    <cellStyle name="Normal 61 6" xfId="3069"/>
    <cellStyle name="Normal 61 6 2" xfId="6556"/>
    <cellStyle name="Normal 61 6 2 2" xfId="15037"/>
    <cellStyle name="Normal 61 6 2 3" xfId="21551"/>
    <cellStyle name="Normal 61 6 2 4" xfId="27940"/>
    <cellStyle name="Normal 61 6 3" xfId="11571"/>
    <cellStyle name="Normal 61 6 4" xfId="18134"/>
    <cellStyle name="Normal 61 6 5" xfId="24536"/>
    <cellStyle name="Normal 61 7" xfId="3242"/>
    <cellStyle name="Normal 61 7 2" xfId="6723"/>
    <cellStyle name="Normal 61 7 2 2" xfId="15204"/>
    <cellStyle name="Normal 61 7 2 3" xfId="21718"/>
    <cellStyle name="Normal 61 7 2 4" xfId="28107"/>
    <cellStyle name="Normal 61 7 3" xfId="11742"/>
    <cellStyle name="Normal 61 7 4" xfId="18301"/>
    <cellStyle name="Normal 61 7 5" xfId="24703"/>
    <cellStyle name="Normal 61 8" xfId="3413"/>
    <cellStyle name="Normal 61 8 2" xfId="6888"/>
    <cellStyle name="Normal 61 8 2 2" xfId="15369"/>
    <cellStyle name="Normal 61 8 2 3" xfId="21883"/>
    <cellStyle name="Normal 61 8 2 4" xfId="28272"/>
    <cellStyle name="Normal 61 8 3" xfId="11910"/>
    <cellStyle name="Normal 61 8 4" xfId="18466"/>
    <cellStyle name="Normal 61 8 5" xfId="24868"/>
    <cellStyle name="Normal 61 9" xfId="3583"/>
    <cellStyle name="Normal 61 9 2" xfId="7052"/>
    <cellStyle name="Normal 61 9 2 2" xfId="15533"/>
    <cellStyle name="Normal 61 9 2 3" xfId="22047"/>
    <cellStyle name="Normal 61 9 2 4" xfId="28436"/>
    <cellStyle name="Normal 61 9 3" xfId="12078"/>
    <cellStyle name="Normal 61 9 4" xfId="18631"/>
    <cellStyle name="Normal 61 9 5" xfId="25032"/>
    <cellStyle name="Normal 62" xfId="1318"/>
    <cellStyle name="Normal 62 10" xfId="3752"/>
    <cellStyle name="Normal 62 10 2" xfId="7215"/>
    <cellStyle name="Normal 62 10 2 2" xfId="15696"/>
    <cellStyle name="Normal 62 10 2 3" xfId="22210"/>
    <cellStyle name="Normal 62 10 2 4" xfId="28599"/>
    <cellStyle name="Normal 62 10 3" xfId="12247"/>
    <cellStyle name="Normal 62 10 4" xfId="18797"/>
    <cellStyle name="Normal 62 10 5" xfId="25195"/>
    <cellStyle name="Normal 62 11" xfId="3920"/>
    <cellStyle name="Normal 62 11 2" xfId="7378"/>
    <cellStyle name="Normal 62 11 2 2" xfId="15859"/>
    <cellStyle name="Normal 62 11 2 3" xfId="22373"/>
    <cellStyle name="Normal 62 11 2 4" xfId="28762"/>
    <cellStyle name="Normal 62 11 3" xfId="12414"/>
    <cellStyle name="Normal 62 11 4" xfId="18961"/>
    <cellStyle name="Normal 62 11 5" xfId="25358"/>
    <cellStyle name="Normal 62 12" xfId="4085"/>
    <cellStyle name="Normal 62 12 2" xfId="7538"/>
    <cellStyle name="Normal 62 12 2 2" xfId="16019"/>
    <cellStyle name="Normal 62 12 2 3" xfId="22533"/>
    <cellStyle name="Normal 62 12 2 4" xfId="28922"/>
    <cellStyle name="Normal 62 12 3" xfId="12578"/>
    <cellStyle name="Normal 62 12 4" xfId="19122"/>
    <cellStyle name="Normal 62 12 5" xfId="25518"/>
    <cellStyle name="Normal 62 13" xfId="4250"/>
    <cellStyle name="Normal 62 13 2" xfId="7698"/>
    <cellStyle name="Normal 62 13 2 2" xfId="16179"/>
    <cellStyle name="Normal 62 13 2 3" xfId="22693"/>
    <cellStyle name="Normal 62 13 2 4" xfId="29082"/>
    <cellStyle name="Normal 62 13 3" xfId="12742"/>
    <cellStyle name="Normal 62 13 4" xfId="19283"/>
    <cellStyle name="Normal 62 13 5" xfId="25678"/>
    <cellStyle name="Normal 62 14" xfId="4410"/>
    <cellStyle name="Normal 62 14 2" xfId="7853"/>
    <cellStyle name="Normal 62 14 2 2" xfId="16334"/>
    <cellStyle name="Normal 62 14 2 3" xfId="22848"/>
    <cellStyle name="Normal 62 14 2 4" xfId="29237"/>
    <cellStyle name="Normal 62 14 3" xfId="12901"/>
    <cellStyle name="Normal 62 14 4" xfId="19439"/>
    <cellStyle name="Normal 62 14 5" xfId="25833"/>
    <cellStyle name="Normal 62 15" xfId="4570"/>
    <cellStyle name="Normal 62 15 2" xfId="8008"/>
    <cellStyle name="Normal 62 15 2 2" xfId="16489"/>
    <cellStyle name="Normal 62 15 2 3" xfId="23003"/>
    <cellStyle name="Normal 62 15 2 4" xfId="29392"/>
    <cellStyle name="Normal 62 15 3" xfId="13061"/>
    <cellStyle name="Normal 62 15 4" xfId="19595"/>
    <cellStyle name="Normal 62 15 5" xfId="25988"/>
    <cellStyle name="Normal 62 16" xfId="4730"/>
    <cellStyle name="Normal 62 16 2" xfId="8163"/>
    <cellStyle name="Normal 62 16 2 2" xfId="16644"/>
    <cellStyle name="Normal 62 16 2 3" xfId="23158"/>
    <cellStyle name="Normal 62 16 2 4" xfId="29547"/>
    <cellStyle name="Normal 62 16 3" xfId="13220"/>
    <cellStyle name="Normal 62 16 4" xfId="19751"/>
    <cellStyle name="Normal 62 16 5" xfId="26143"/>
    <cellStyle name="Normal 62 17" xfId="4889"/>
    <cellStyle name="Normal 62 17 2" xfId="8317"/>
    <cellStyle name="Normal 62 17 2 2" xfId="16798"/>
    <cellStyle name="Normal 62 17 2 3" xfId="23312"/>
    <cellStyle name="Normal 62 17 2 4" xfId="29701"/>
    <cellStyle name="Normal 62 17 3" xfId="13378"/>
    <cellStyle name="Normal 62 17 4" xfId="19906"/>
    <cellStyle name="Normal 62 17 5" xfId="26297"/>
    <cellStyle name="Normal 62 18" xfId="5036"/>
    <cellStyle name="Normal 62 18 2" xfId="8459"/>
    <cellStyle name="Normal 62 18 2 2" xfId="16940"/>
    <cellStyle name="Normal 62 18 2 3" xfId="23454"/>
    <cellStyle name="Normal 62 18 2 4" xfId="29843"/>
    <cellStyle name="Normal 62 18 3" xfId="13524"/>
    <cellStyle name="Normal 62 18 4" xfId="20049"/>
    <cellStyle name="Normal 62 18 5" xfId="26439"/>
    <cellStyle name="Normal 62 19" xfId="5284"/>
    <cellStyle name="Normal 62 19 2" xfId="13765"/>
    <cellStyle name="Normal 62 19 3" xfId="20282"/>
    <cellStyle name="Normal 62 19 4" xfId="26671"/>
    <cellStyle name="Normal 62 2" xfId="1888"/>
    <cellStyle name="Normal 62 2 2" xfId="5484"/>
    <cellStyle name="Normal 62 2 2 2" xfId="13965"/>
    <cellStyle name="Normal 62 2 2 3" xfId="20479"/>
    <cellStyle name="Normal 62 2 2 4" xfId="26868"/>
    <cellStyle name="Normal 62 2 3" xfId="10458"/>
    <cellStyle name="Normal 62 2 4" xfId="9555"/>
    <cellStyle name="Normal 62 2 5" xfId="10165"/>
    <cellStyle name="Normal 62 20" xfId="10052"/>
    <cellStyle name="Normal 62 21" xfId="9697"/>
    <cellStyle name="Normal 62 22" xfId="17081"/>
    <cellStyle name="Normal 62 3" xfId="2226"/>
    <cellStyle name="Normal 62 3 2" xfId="5796"/>
    <cellStyle name="Normal 62 3 2 2" xfId="14277"/>
    <cellStyle name="Normal 62 3 2 3" xfId="20791"/>
    <cellStyle name="Normal 62 3 2 4" xfId="27180"/>
    <cellStyle name="Normal 62 3 3" xfId="10782"/>
    <cellStyle name="Normal 62 3 4" xfId="17475"/>
    <cellStyle name="Normal 62 3 5" xfId="23900"/>
    <cellStyle name="Normal 62 4" xfId="2720"/>
    <cellStyle name="Normal 62 4 2" xfId="6221"/>
    <cellStyle name="Normal 62 4 2 2" xfId="14702"/>
    <cellStyle name="Normal 62 4 2 3" xfId="21216"/>
    <cellStyle name="Normal 62 4 2 4" xfId="27605"/>
    <cellStyle name="Normal 62 4 3" xfId="11230"/>
    <cellStyle name="Normal 62 4 4" xfId="17799"/>
    <cellStyle name="Normal 62 4 5" xfId="24201"/>
    <cellStyle name="Normal 62 5" xfId="2894"/>
    <cellStyle name="Normal 62 5 2" xfId="6388"/>
    <cellStyle name="Normal 62 5 2 2" xfId="14869"/>
    <cellStyle name="Normal 62 5 2 3" xfId="21383"/>
    <cellStyle name="Normal 62 5 2 4" xfId="27772"/>
    <cellStyle name="Normal 62 5 3" xfId="11400"/>
    <cellStyle name="Normal 62 5 4" xfId="17966"/>
    <cellStyle name="Normal 62 5 5" xfId="24368"/>
    <cellStyle name="Normal 62 6" xfId="3068"/>
    <cellStyle name="Normal 62 6 2" xfId="6555"/>
    <cellStyle name="Normal 62 6 2 2" xfId="15036"/>
    <cellStyle name="Normal 62 6 2 3" xfId="21550"/>
    <cellStyle name="Normal 62 6 2 4" xfId="27939"/>
    <cellStyle name="Normal 62 6 3" xfId="11570"/>
    <cellStyle name="Normal 62 6 4" xfId="18133"/>
    <cellStyle name="Normal 62 6 5" xfId="24535"/>
    <cellStyle name="Normal 62 7" xfId="3241"/>
    <cellStyle name="Normal 62 7 2" xfId="6722"/>
    <cellStyle name="Normal 62 7 2 2" xfId="15203"/>
    <cellStyle name="Normal 62 7 2 3" xfId="21717"/>
    <cellStyle name="Normal 62 7 2 4" xfId="28106"/>
    <cellStyle name="Normal 62 7 3" xfId="11741"/>
    <cellStyle name="Normal 62 7 4" xfId="18300"/>
    <cellStyle name="Normal 62 7 5" xfId="24702"/>
    <cellStyle name="Normal 62 8" xfId="3412"/>
    <cellStyle name="Normal 62 8 2" xfId="6887"/>
    <cellStyle name="Normal 62 8 2 2" xfId="15368"/>
    <cellStyle name="Normal 62 8 2 3" xfId="21882"/>
    <cellStyle name="Normal 62 8 2 4" xfId="28271"/>
    <cellStyle name="Normal 62 8 3" xfId="11909"/>
    <cellStyle name="Normal 62 8 4" xfId="18465"/>
    <cellStyle name="Normal 62 8 5" xfId="24867"/>
    <cellStyle name="Normal 62 9" xfId="3582"/>
    <cellStyle name="Normal 62 9 2" xfId="7051"/>
    <cellStyle name="Normal 62 9 2 2" xfId="15532"/>
    <cellStyle name="Normal 62 9 2 3" xfId="22046"/>
    <cellStyle name="Normal 62 9 2 4" xfId="28435"/>
    <cellStyle name="Normal 62 9 3" xfId="12077"/>
    <cellStyle name="Normal 62 9 4" xfId="18630"/>
    <cellStyle name="Normal 62 9 5" xfId="25031"/>
    <cellStyle name="Normal 63" xfId="1319"/>
    <cellStyle name="Normal 63 10" xfId="3751"/>
    <cellStyle name="Normal 63 10 2" xfId="7214"/>
    <cellStyle name="Normal 63 10 2 2" xfId="15695"/>
    <cellStyle name="Normal 63 10 2 3" xfId="22209"/>
    <cellStyle name="Normal 63 10 2 4" xfId="28598"/>
    <cellStyle name="Normal 63 10 3" xfId="12246"/>
    <cellStyle name="Normal 63 10 4" xfId="18796"/>
    <cellStyle name="Normal 63 10 5" xfId="25194"/>
    <cellStyle name="Normal 63 11" xfId="3919"/>
    <cellStyle name="Normal 63 11 2" xfId="7377"/>
    <cellStyle name="Normal 63 11 2 2" xfId="15858"/>
    <cellStyle name="Normal 63 11 2 3" xfId="22372"/>
    <cellStyle name="Normal 63 11 2 4" xfId="28761"/>
    <cellStyle name="Normal 63 11 3" xfId="12413"/>
    <cellStyle name="Normal 63 11 4" xfId="18960"/>
    <cellStyle name="Normal 63 11 5" xfId="25357"/>
    <cellStyle name="Normal 63 12" xfId="4084"/>
    <cellStyle name="Normal 63 12 2" xfId="7537"/>
    <cellStyle name="Normal 63 12 2 2" xfId="16018"/>
    <cellStyle name="Normal 63 12 2 3" xfId="22532"/>
    <cellStyle name="Normal 63 12 2 4" xfId="28921"/>
    <cellStyle name="Normal 63 12 3" xfId="12577"/>
    <cellStyle name="Normal 63 12 4" xfId="19121"/>
    <cellStyle name="Normal 63 12 5" xfId="25517"/>
    <cellStyle name="Normal 63 13" xfId="4249"/>
    <cellStyle name="Normal 63 13 2" xfId="7697"/>
    <cellStyle name="Normal 63 13 2 2" xfId="16178"/>
    <cellStyle name="Normal 63 13 2 3" xfId="22692"/>
    <cellStyle name="Normal 63 13 2 4" xfId="29081"/>
    <cellStyle name="Normal 63 13 3" xfId="12741"/>
    <cellStyle name="Normal 63 13 4" xfId="19282"/>
    <cellStyle name="Normal 63 13 5" xfId="25677"/>
    <cellStyle name="Normal 63 14" xfId="4409"/>
    <cellStyle name="Normal 63 14 2" xfId="7852"/>
    <cellStyle name="Normal 63 14 2 2" xfId="16333"/>
    <cellStyle name="Normal 63 14 2 3" xfId="22847"/>
    <cellStyle name="Normal 63 14 2 4" xfId="29236"/>
    <cellStyle name="Normal 63 14 3" xfId="12900"/>
    <cellStyle name="Normal 63 14 4" xfId="19438"/>
    <cellStyle name="Normal 63 14 5" xfId="25832"/>
    <cellStyle name="Normal 63 15" xfId="4569"/>
    <cellStyle name="Normal 63 15 2" xfId="8007"/>
    <cellStyle name="Normal 63 15 2 2" xfId="16488"/>
    <cellStyle name="Normal 63 15 2 3" xfId="23002"/>
    <cellStyle name="Normal 63 15 2 4" xfId="29391"/>
    <cellStyle name="Normal 63 15 3" xfId="13060"/>
    <cellStyle name="Normal 63 15 4" xfId="19594"/>
    <cellStyle name="Normal 63 15 5" xfId="25987"/>
    <cellStyle name="Normal 63 16" xfId="4729"/>
    <cellStyle name="Normal 63 16 2" xfId="8162"/>
    <cellStyle name="Normal 63 16 2 2" xfId="16643"/>
    <cellStyle name="Normal 63 16 2 3" xfId="23157"/>
    <cellStyle name="Normal 63 16 2 4" xfId="29546"/>
    <cellStyle name="Normal 63 16 3" xfId="13219"/>
    <cellStyle name="Normal 63 16 4" xfId="19750"/>
    <cellStyle name="Normal 63 16 5" xfId="26142"/>
    <cellStyle name="Normal 63 17" xfId="4888"/>
    <cellStyle name="Normal 63 17 2" xfId="8316"/>
    <cellStyle name="Normal 63 17 2 2" xfId="16797"/>
    <cellStyle name="Normal 63 17 2 3" xfId="23311"/>
    <cellStyle name="Normal 63 17 2 4" xfId="29700"/>
    <cellStyle name="Normal 63 17 3" xfId="13377"/>
    <cellStyle name="Normal 63 17 4" xfId="19905"/>
    <cellStyle name="Normal 63 17 5" xfId="26296"/>
    <cellStyle name="Normal 63 18" xfId="5035"/>
    <cellStyle name="Normal 63 18 2" xfId="8458"/>
    <cellStyle name="Normal 63 18 2 2" xfId="16939"/>
    <cellStyle name="Normal 63 18 2 3" xfId="23453"/>
    <cellStyle name="Normal 63 18 2 4" xfId="29842"/>
    <cellStyle name="Normal 63 18 3" xfId="13523"/>
    <cellStyle name="Normal 63 18 4" xfId="20048"/>
    <cellStyle name="Normal 63 18 5" xfId="26438"/>
    <cellStyle name="Normal 63 19" xfId="5285"/>
    <cellStyle name="Normal 63 19 2" xfId="13766"/>
    <cellStyle name="Normal 63 19 3" xfId="20283"/>
    <cellStyle name="Normal 63 19 4" xfId="26672"/>
    <cellStyle name="Normal 63 2" xfId="1889"/>
    <cellStyle name="Normal 63 2 2" xfId="5485"/>
    <cellStyle name="Normal 63 2 2 2" xfId="13966"/>
    <cellStyle name="Normal 63 2 2 3" xfId="20480"/>
    <cellStyle name="Normal 63 2 2 4" xfId="26869"/>
    <cellStyle name="Normal 63 2 3" xfId="10459"/>
    <cellStyle name="Normal 63 2 4" xfId="9554"/>
    <cellStyle name="Normal 63 2 5" xfId="10166"/>
    <cellStyle name="Normal 63 20" xfId="10053"/>
    <cellStyle name="Normal 63 21" xfId="9696"/>
    <cellStyle name="Normal 63 22" xfId="10022"/>
    <cellStyle name="Normal 63 3" xfId="2227"/>
    <cellStyle name="Normal 63 3 2" xfId="5797"/>
    <cellStyle name="Normal 63 3 2 2" xfId="14278"/>
    <cellStyle name="Normal 63 3 2 3" xfId="20792"/>
    <cellStyle name="Normal 63 3 2 4" xfId="27181"/>
    <cellStyle name="Normal 63 3 3" xfId="10783"/>
    <cellStyle name="Normal 63 3 4" xfId="17488"/>
    <cellStyle name="Normal 63 3 5" xfId="23910"/>
    <cellStyle name="Normal 63 4" xfId="2719"/>
    <cellStyle name="Normal 63 4 2" xfId="6220"/>
    <cellStyle name="Normal 63 4 2 2" xfId="14701"/>
    <cellStyle name="Normal 63 4 2 3" xfId="21215"/>
    <cellStyle name="Normal 63 4 2 4" xfId="27604"/>
    <cellStyle name="Normal 63 4 3" xfId="11229"/>
    <cellStyle name="Normal 63 4 4" xfId="17798"/>
    <cellStyle name="Normal 63 4 5" xfId="24200"/>
    <cellStyle name="Normal 63 5" xfId="2893"/>
    <cellStyle name="Normal 63 5 2" xfId="6387"/>
    <cellStyle name="Normal 63 5 2 2" xfId="14868"/>
    <cellStyle name="Normal 63 5 2 3" xfId="21382"/>
    <cellStyle name="Normal 63 5 2 4" xfId="27771"/>
    <cellStyle name="Normal 63 5 3" xfId="11399"/>
    <cellStyle name="Normal 63 5 4" xfId="17965"/>
    <cellStyle name="Normal 63 5 5" xfId="24367"/>
    <cellStyle name="Normal 63 6" xfId="3067"/>
    <cellStyle name="Normal 63 6 2" xfId="6554"/>
    <cellStyle name="Normal 63 6 2 2" xfId="15035"/>
    <cellStyle name="Normal 63 6 2 3" xfId="21549"/>
    <cellStyle name="Normal 63 6 2 4" xfId="27938"/>
    <cellStyle name="Normal 63 6 3" xfId="11569"/>
    <cellStyle name="Normal 63 6 4" xfId="18132"/>
    <cellStyle name="Normal 63 6 5" xfId="24534"/>
    <cellStyle name="Normal 63 7" xfId="3240"/>
    <cellStyle name="Normal 63 7 2" xfId="6721"/>
    <cellStyle name="Normal 63 7 2 2" xfId="15202"/>
    <cellStyle name="Normal 63 7 2 3" xfId="21716"/>
    <cellStyle name="Normal 63 7 2 4" xfId="28105"/>
    <cellStyle name="Normal 63 7 3" xfId="11740"/>
    <cellStyle name="Normal 63 7 4" xfId="18299"/>
    <cellStyle name="Normal 63 7 5" xfId="24701"/>
    <cellStyle name="Normal 63 8" xfId="3411"/>
    <cellStyle name="Normal 63 8 2" xfId="6886"/>
    <cellStyle name="Normal 63 8 2 2" xfId="15367"/>
    <cellStyle name="Normal 63 8 2 3" xfId="21881"/>
    <cellStyle name="Normal 63 8 2 4" xfId="28270"/>
    <cellStyle name="Normal 63 8 3" xfId="11908"/>
    <cellStyle name="Normal 63 8 4" xfId="18464"/>
    <cellStyle name="Normal 63 8 5" xfId="24866"/>
    <cellStyle name="Normal 63 9" xfId="3581"/>
    <cellStyle name="Normal 63 9 2" xfId="7050"/>
    <cellStyle name="Normal 63 9 2 2" xfId="15531"/>
    <cellStyle name="Normal 63 9 2 3" xfId="22045"/>
    <cellStyle name="Normal 63 9 2 4" xfId="28434"/>
    <cellStyle name="Normal 63 9 3" xfId="12076"/>
    <cellStyle name="Normal 63 9 4" xfId="18629"/>
    <cellStyle name="Normal 63 9 5" xfId="25030"/>
    <cellStyle name="Normal 64" xfId="1320"/>
    <cellStyle name="Normal 64 10" xfId="3410"/>
    <cellStyle name="Normal 64 10 2" xfId="6885"/>
    <cellStyle name="Normal 64 10 2 2" xfId="15366"/>
    <cellStyle name="Normal 64 10 2 3" xfId="21880"/>
    <cellStyle name="Normal 64 10 2 4" xfId="28269"/>
    <cellStyle name="Normal 64 10 3" xfId="11907"/>
    <cellStyle name="Normal 64 10 4" xfId="18463"/>
    <cellStyle name="Normal 64 10 5" xfId="24865"/>
    <cellStyle name="Normal 64 11" xfId="3580"/>
    <cellStyle name="Normal 64 11 2" xfId="7049"/>
    <cellStyle name="Normal 64 11 2 2" xfId="15530"/>
    <cellStyle name="Normal 64 11 2 3" xfId="22044"/>
    <cellStyle name="Normal 64 11 2 4" xfId="28433"/>
    <cellStyle name="Normal 64 11 3" xfId="12075"/>
    <cellStyle name="Normal 64 11 4" xfId="18628"/>
    <cellStyle name="Normal 64 11 5" xfId="25029"/>
    <cellStyle name="Normal 64 12" xfId="3750"/>
    <cellStyle name="Normal 64 12 2" xfId="7213"/>
    <cellStyle name="Normal 64 12 2 2" xfId="15694"/>
    <cellStyle name="Normal 64 12 2 3" xfId="22208"/>
    <cellStyle name="Normal 64 12 2 4" xfId="28597"/>
    <cellStyle name="Normal 64 12 3" xfId="12245"/>
    <cellStyle name="Normal 64 12 4" xfId="18795"/>
    <cellStyle name="Normal 64 12 5" xfId="25193"/>
    <cellStyle name="Normal 64 13" xfId="3918"/>
    <cellStyle name="Normal 64 13 2" xfId="7376"/>
    <cellStyle name="Normal 64 13 2 2" xfId="15857"/>
    <cellStyle name="Normal 64 13 2 3" xfId="22371"/>
    <cellStyle name="Normal 64 13 2 4" xfId="28760"/>
    <cellStyle name="Normal 64 13 3" xfId="12412"/>
    <cellStyle name="Normal 64 13 4" xfId="18959"/>
    <cellStyle name="Normal 64 13 5" xfId="25356"/>
    <cellStyle name="Normal 64 14" xfId="4083"/>
    <cellStyle name="Normal 64 14 2" xfId="7536"/>
    <cellStyle name="Normal 64 14 2 2" xfId="16017"/>
    <cellStyle name="Normal 64 14 2 3" xfId="22531"/>
    <cellStyle name="Normal 64 14 2 4" xfId="28920"/>
    <cellStyle name="Normal 64 14 3" xfId="12576"/>
    <cellStyle name="Normal 64 14 4" xfId="19120"/>
    <cellStyle name="Normal 64 14 5" xfId="25516"/>
    <cellStyle name="Normal 64 15" xfId="4248"/>
    <cellStyle name="Normal 64 15 2" xfId="7696"/>
    <cellStyle name="Normal 64 15 2 2" xfId="16177"/>
    <cellStyle name="Normal 64 15 2 3" xfId="22691"/>
    <cellStyle name="Normal 64 15 2 4" xfId="29080"/>
    <cellStyle name="Normal 64 15 3" xfId="12740"/>
    <cellStyle name="Normal 64 15 4" xfId="19281"/>
    <cellStyle name="Normal 64 15 5" xfId="25676"/>
    <cellStyle name="Normal 64 16" xfId="4408"/>
    <cellStyle name="Normal 64 16 2" xfId="7851"/>
    <cellStyle name="Normal 64 16 2 2" xfId="16332"/>
    <cellStyle name="Normal 64 16 2 3" xfId="22846"/>
    <cellStyle name="Normal 64 16 2 4" xfId="29235"/>
    <cellStyle name="Normal 64 16 3" xfId="12899"/>
    <cellStyle name="Normal 64 16 4" xfId="19437"/>
    <cellStyle name="Normal 64 16 5" xfId="25831"/>
    <cellStyle name="Normal 64 17" xfId="4568"/>
    <cellStyle name="Normal 64 17 2" xfId="8006"/>
    <cellStyle name="Normal 64 17 2 2" xfId="16487"/>
    <cellStyle name="Normal 64 17 2 3" xfId="23001"/>
    <cellStyle name="Normal 64 17 2 4" xfId="29390"/>
    <cellStyle name="Normal 64 17 3" xfId="13059"/>
    <cellStyle name="Normal 64 17 4" xfId="19593"/>
    <cellStyle name="Normal 64 17 5" xfId="25986"/>
    <cellStyle name="Normal 64 18" xfId="4728"/>
    <cellStyle name="Normal 64 18 2" xfId="8161"/>
    <cellStyle name="Normal 64 18 2 2" xfId="16642"/>
    <cellStyle name="Normal 64 18 2 3" xfId="23156"/>
    <cellStyle name="Normal 64 18 2 4" xfId="29545"/>
    <cellStyle name="Normal 64 18 3" xfId="13218"/>
    <cellStyle name="Normal 64 18 4" xfId="19749"/>
    <cellStyle name="Normal 64 18 5" xfId="26141"/>
    <cellStyle name="Normal 64 19" xfId="4887"/>
    <cellStyle name="Normal 64 19 2" xfId="8315"/>
    <cellStyle name="Normal 64 19 2 2" xfId="16796"/>
    <cellStyle name="Normal 64 19 2 3" xfId="23310"/>
    <cellStyle name="Normal 64 19 2 4" xfId="29699"/>
    <cellStyle name="Normal 64 19 3" xfId="13376"/>
    <cellStyle name="Normal 64 19 4" xfId="19904"/>
    <cellStyle name="Normal 64 19 5" xfId="26295"/>
    <cellStyle name="Normal 64 2" xfId="1321"/>
    <cellStyle name="Normal 64 20" xfId="5034"/>
    <cellStyle name="Normal 64 20 2" xfId="8457"/>
    <cellStyle name="Normal 64 20 2 2" xfId="16938"/>
    <cellStyle name="Normal 64 20 2 3" xfId="23452"/>
    <cellStyle name="Normal 64 20 2 4" xfId="29841"/>
    <cellStyle name="Normal 64 20 3" xfId="13522"/>
    <cellStyle name="Normal 64 20 4" xfId="20047"/>
    <cellStyle name="Normal 64 20 5" xfId="26437"/>
    <cellStyle name="Normal 64 21" xfId="5286"/>
    <cellStyle name="Normal 64 21 2" xfId="13767"/>
    <cellStyle name="Normal 64 21 3" xfId="20284"/>
    <cellStyle name="Normal 64 21 4" xfId="26673"/>
    <cellStyle name="Normal 64 22" xfId="10054"/>
    <cellStyle name="Normal 64 23" xfId="9695"/>
    <cellStyle name="Normal 64 24" xfId="10023"/>
    <cellStyle name="Normal 64 3" xfId="1322"/>
    <cellStyle name="Normal 64 4" xfId="1890"/>
    <cellStyle name="Normal 64 4 2" xfId="5486"/>
    <cellStyle name="Normal 64 4 2 2" xfId="13967"/>
    <cellStyle name="Normal 64 4 2 3" xfId="20481"/>
    <cellStyle name="Normal 64 4 2 4" xfId="26870"/>
    <cellStyle name="Normal 64 4 3" xfId="10460"/>
    <cellStyle name="Normal 64 4 4" xfId="9553"/>
    <cellStyle name="Normal 64 4 5" xfId="10167"/>
    <cellStyle name="Normal 64 5" xfId="2228"/>
    <cellStyle name="Normal 64 5 2" xfId="5798"/>
    <cellStyle name="Normal 64 5 2 2" xfId="14279"/>
    <cellStyle name="Normal 64 5 2 3" xfId="20793"/>
    <cellStyle name="Normal 64 5 2 4" xfId="27182"/>
    <cellStyle name="Normal 64 5 3" xfId="10784"/>
    <cellStyle name="Normal 64 5 4" xfId="17164"/>
    <cellStyle name="Normal 64 5 5" xfId="23640"/>
    <cellStyle name="Normal 64 6" xfId="2718"/>
    <cellStyle name="Normal 64 6 2" xfId="6219"/>
    <cellStyle name="Normal 64 6 2 2" xfId="14700"/>
    <cellStyle name="Normal 64 6 2 3" xfId="21214"/>
    <cellStyle name="Normal 64 6 2 4" xfId="27603"/>
    <cellStyle name="Normal 64 6 3" xfId="11228"/>
    <cellStyle name="Normal 64 6 4" xfId="17797"/>
    <cellStyle name="Normal 64 6 5" xfId="24199"/>
    <cellStyle name="Normal 64 7" xfId="2892"/>
    <cellStyle name="Normal 64 7 2" xfId="6386"/>
    <cellStyle name="Normal 64 7 2 2" xfId="14867"/>
    <cellStyle name="Normal 64 7 2 3" xfId="21381"/>
    <cellStyle name="Normal 64 7 2 4" xfId="27770"/>
    <cellStyle name="Normal 64 7 3" xfId="11398"/>
    <cellStyle name="Normal 64 7 4" xfId="17964"/>
    <cellStyle name="Normal 64 7 5" xfId="24366"/>
    <cellStyle name="Normal 64 8" xfId="3066"/>
    <cellStyle name="Normal 64 8 2" xfId="6553"/>
    <cellStyle name="Normal 64 8 2 2" xfId="15034"/>
    <cellStyle name="Normal 64 8 2 3" xfId="21548"/>
    <cellStyle name="Normal 64 8 2 4" xfId="27937"/>
    <cellStyle name="Normal 64 8 3" xfId="11568"/>
    <cellStyle name="Normal 64 8 4" xfId="18131"/>
    <cellStyle name="Normal 64 8 5" xfId="24533"/>
    <cellStyle name="Normal 64 9" xfId="3239"/>
    <cellStyle name="Normal 64 9 2" xfId="6720"/>
    <cellStyle name="Normal 64 9 2 2" xfId="15201"/>
    <cellStyle name="Normal 64 9 2 3" xfId="21715"/>
    <cellStyle name="Normal 64 9 2 4" xfId="28104"/>
    <cellStyle name="Normal 64 9 3" xfId="11739"/>
    <cellStyle name="Normal 64 9 4" xfId="18298"/>
    <cellStyle name="Normal 64 9 5" xfId="24700"/>
    <cellStyle name="Normal 65" xfId="1323"/>
    <cellStyle name="Normal 65 10" xfId="3749"/>
    <cellStyle name="Normal 65 10 2" xfId="7212"/>
    <cellStyle name="Normal 65 10 2 2" xfId="15693"/>
    <cellStyle name="Normal 65 10 2 3" xfId="22207"/>
    <cellStyle name="Normal 65 10 2 4" xfId="28596"/>
    <cellStyle name="Normal 65 10 3" xfId="12244"/>
    <cellStyle name="Normal 65 10 4" xfId="18794"/>
    <cellStyle name="Normal 65 10 5" xfId="25192"/>
    <cellStyle name="Normal 65 11" xfId="3917"/>
    <cellStyle name="Normal 65 11 2" xfId="7375"/>
    <cellStyle name="Normal 65 11 2 2" xfId="15856"/>
    <cellStyle name="Normal 65 11 2 3" xfId="22370"/>
    <cellStyle name="Normal 65 11 2 4" xfId="28759"/>
    <cellStyle name="Normal 65 11 3" xfId="12411"/>
    <cellStyle name="Normal 65 11 4" xfId="18958"/>
    <cellStyle name="Normal 65 11 5" xfId="25355"/>
    <cellStyle name="Normal 65 12" xfId="4082"/>
    <cellStyle name="Normal 65 12 2" xfId="7535"/>
    <cellStyle name="Normal 65 12 2 2" xfId="16016"/>
    <cellStyle name="Normal 65 12 2 3" xfId="22530"/>
    <cellStyle name="Normal 65 12 2 4" xfId="28919"/>
    <cellStyle name="Normal 65 12 3" xfId="12575"/>
    <cellStyle name="Normal 65 12 4" xfId="19119"/>
    <cellStyle name="Normal 65 12 5" xfId="25515"/>
    <cellStyle name="Normal 65 13" xfId="4247"/>
    <cellStyle name="Normal 65 13 2" xfId="7695"/>
    <cellStyle name="Normal 65 13 2 2" xfId="16176"/>
    <cellStyle name="Normal 65 13 2 3" xfId="22690"/>
    <cellStyle name="Normal 65 13 2 4" xfId="29079"/>
    <cellStyle name="Normal 65 13 3" xfId="12739"/>
    <cellStyle name="Normal 65 13 4" xfId="19280"/>
    <cellStyle name="Normal 65 13 5" xfId="25675"/>
    <cellStyle name="Normal 65 14" xfId="4407"/>
    <cellStyle name="Normal 65 14 2" xfId="7850"/>
    <cellStyle name="Normal 65 14 2 2" xfId="16331"/>
    <cellStyle name="Normal 65 14 2 3" xfId="22845"/>
    <cellStyle name="Normal 65 14 2 4" xfId="29234"/>
    <cellStyle name="Normal 65 14 3" xfId="12898"/>
    <cellStyle name="Normal 65 14 4" xfId="19436"/>
    <cellStyle name="Normal 65 14 5" xfId="25830"/>
    <cellStyle name="Normal 65 15" xfId="4567"/>
    <cellStyle name="Normal 65 15 2" xfId="8005"/>
    <cellStyle name="Normal 65 15 2 2" xfId="16486"/>
    <cellStyle name="Normal 65 15 2 3" xfId="23000"/>
    <cellStyle name="Normal 65 15 2 4" xfId="29389"/>
    <cellStyle name="Normal 65 15 3" xfId="13058"/>
    <cellStyle name="Normal 65 15 4" xfId="19592"/>
    <cellStyle name="Normal 65 15 5" xfId="25985"/>
    <cellStyle name="Normal 65 16" xfId="4727"/>
    <cellStyle name="Normal 65 16 2" xfId="8160"/>
    <cellStyle name="Normal 65 16 2 2" xfId="16641"/>
    <cellStyle name="Normal 65 16 2 3" xfId="23155"/>
    <cellStyle name="Normal 65 16 2 4" xfId="29544"/>
    <cellStyle name="Normal 65 16 3" xfId="13217"/>
    <cellStyle name="Normal 65 16 4" xfId="19748"/>
    <cellStyle name="Normal 65 16 5" xfId="26140"/>
    <cellStyle name="Normal 65 17" xfId="4886"/>
    <cellStyle name="Normal 65 17 2" xfId="8314"/>
    <cellStyle name="Normal 65 17 2 2" xfId="16795"/>
    <cellStyle name="Normal 65 17 2 3" xfId="23309"/>
    <cellStyle name="Normal 65 17 2 4" xfId="29698"/>
    <cellStyle name="Normal 65 17 3" xfId="13375"/>
    <cellStyle name="Normal 65 17 4" xfId="19903"/>
    <cellStyle name="Normal 65 17 5" xfId="26294"/>
    <cellStyle name="Normal 65 18" xfId="5033"/>
    <cellStyle name="Normal 65 18 2" xfId="8456"/>
    <cellStyle name="Normal 65 18 2 2" xfId="16937"/>
    <cellStyle name="Normal 65 18 2 3" xfId="23451"/>
    <cellStyle name="Normal 65 18 2 4" xfId="29840"/>
    <cellStyle name="Normal 65 18 3" xfId="13521"/>
    <cellStyle name="Normal 65 18 4" xfId="20046"/>
    <cellStyle name="Normal 65 18 5" xfId="26436"/>
    <cellStyle name="Normal 65 19" xfId="5287"/>
    <cellStyle name="Normal 65 19 2" xfId="13768"/>
    <cellStyle name="Normal 65 19 3" xfId="20285"/>
    <cellStyle name="Normal 65 19 4" xfId="26674"/>
    <cellStyle name="Normal 65 2" xfId="1891"/>
    <cellStyle name="Normal 65 2 2" xfId="5487"/>
    <cellStyle name="Normal 65 2 2 2" xfId="13968"/>
    <cellStyle name="Normal 65 2 2 3" xfId="20482"/>
    <cellStyle name="Normal 65 2 2 4" xfId="26871"/>
    <cellStyle name="Normal 65 2 3" xfId="10461"/>
    <cellStyle name="Normal 65 2 4" xfId="17466"/>
    <cellStyle name="Normal 65 2 5" xfId="23893"/>
    <cellStyle name="Normal 65 20" xfId="10055"/>
    <cellStyle name="Normal 65 21" xfId="17508"/>
    <cellStyle name="Normal 65 22" xfId="23926"/>
    <cellStyle name="Normal 65 3" xfId="2229"/>
    <cellStyle name="Normal 65 3 2" xfId="5799"/>
    <cellStyle name="Normal 65 3 2 2" xfId="14280"/>
    <cellStyle name="Normal 65 3 2 3" xfId="20794"/>
    <cellStyle name="Normal 65 3 2 4" xfId="27183"/>
    <cellStyle name="Normal 65 3 3" xfId="10785"/>
    <cellStyle name="Normal 65 3 4" xfId="17501"/>
    <cellStyle name="Normal 65 3 5" xfId="23919"/>
    <cellStyle name="Normal 65 4" xfId="2717"/>
    <cellStyle name="Normal 65 4 2" xfId="6218"/>
    <cellStyle name="Normal 65 4 2 2" xfId="14699"/>
    <cellStyle name="Normal 65 4 2 3" xfId="21213"/>
    <cellStyle name="Normal 65 4 2 4" xfId="27602"/>
    <cellStyle name="Normal 65 4 3" xfId="11227"/>
    <cellStyle name="Normal 65 4 4" xfId="17796"/>
    <cellStyle name="Normal 65 4 5" xfId="24198"/>
    <cellStyle name="Normal 65 5" xfId="2891"/>
    <cellStyle name="Normal 65 5 2" xfId="6385"/>
    <cellStyle name="Normal 65 5 2 2" xfId="14866"/>
    <cellStyle name="Normal 65 5 2 3" xfId="21380"/>
    <cellStyle name="Normal 65 5 2 4" xfId="27769"/>
    <cellStyle name="Normal 65 5 3" xfId="11397"/>
    <cellStyle name="Normal 65 5 4" xfId="17963"/>
    <cellStyle name="Normal 65 5 5" xfId="24365"/>
    <cellStyle name="Normal 65 6" xfId="3065"/>
    <cellStyle name="Normal 65 6 2" xfId="6552"/>
    <cellStyle name="Normal 65 6 2 2" xfId="15033"/>
    <cellStyle name="Normal 65 6 2 3" xfId="21547"/>
    <cellStyle name="Normal 65 6 2 4" xfId="27936"/>
    <cellStyle name="Normal 65 6 3" xfId="11567"/>
    <cellStyle name="Normal 65 6 4" xfId="18130"/>
    <cellStyle name="Normal 65 6 5" xfId="24532"/>
    <cellStyle name="Normal 65 7" xfId="3238"/>
    <cellStyle name="Normal 65 7 2" xfId="6719"/>
    <cellStyle name="Normal 65 7 2 2" xfId="15200"/>
    <cellStyle name="Normal 65 7 2 3" xfId="21714"/>
    <cellStyle name="Normal 65 7 2 4" xfId="28103"/>
    <cellStyle name="Normal 65 7 3" xfId="11738"/>
    <cellStyle name="Normal 65 7 4" xfId="18297"/>
    <cellStyle name="Normal 65 7 5" xfId="24699"/>
    <cellStyle name="Normal 65 8" xfId="3409"/>
    <cellStyle name="Normal 65 8 2" xfId="6884"/>
    <cellStyle name="Normal 65 8 2 2" xfId="15365"/>
    <cellStyle name="Normal 65 8 2 3" xfId="21879"/>
    <cellStyle name="Normal 65 8 2 4" xfId="28268"/>
    <cellStyle name="Normal 65 8 3" xfId="11906"/>
    <cellStyle name="Normal 65 8 4" xfId="18462"/>
    <cellStyle name="Normal 65 8 5" xfId="24864"/>
    <cellStyle name="Normal 65 9" xfId="3579"/>
    <cellStyle name="Normal 65 9 2" xfId="7048"/>
    <cellStyle name="Normal 65 9 2 2" xfId="15529"/>
    <cellStyle name="Normal 65 9 2 3" xfId="22043"/>
    <cellStyle name="Normal 65 9 2 4" xfId="28432"/>
    <cellStyle name="Normal 65 9 3" xfId="12074"/>
    <cellStyle name="Normal 65 9 4" xfId="18627"/>
    <cellStyle name="Normal 65 9 5" xfId="25028"/>
    <cellStyle name="Normal 66" xfId="1324"/>
    <cellStyle name="Normal 66 10" xfId="3748"/>
    <cellStyle name="Normal 66 10 2" xfId="7211"/>
    <cellStyle name="Normal 66 10 2 2" xfId="15692"/>
    <cellStyle name="Normal 66 10 2 3" xfId="22206"/>
    <cellStyle name="Normal 66 10 2 4" xfId="28595"/>
    <cellStyle name="Normal 66 10 3" xfId="12243"/>
    <cellStyle name="Normal 66 10 4" xfId="18793"/>
    <cellStyle name="Normal 66 10 5" xfId="25191"/>
    <cellStyle name="Normal 66 11" xfId="3916"/>
    <cellStyle name="Normal 66 11 2" xfId="7374"/>
    <cellStyle name="Normal 66 11 2 2" xfId="15855"/>
    <cellStyle name="Normal 66 11 2 3" xfId="22369"/>
    <cellStyle name="Normal 66 11 2 4" xfId="28758"/>
    <cellStyle name="Normal 66 11 3" xfId="12410"/>
    <cellStyle name="Normal 66 11 4" xfId="18957"/>
    <cellStyle name="Normal 66 11 5" xfId="25354"/>
    <cellStyle name="Normal 66 12" xfId="4081"/>
    <cellStyle name="Normal 66 12 2" xfId="7534"/>
    <cellStyle name="Normal 66 12 2 2" xfId="16015"/>
    <cellStyle name="Normal 66 12 2 3" xfId="22529"/>
    <cellStyle name="Normal 66 12 2 4" xfId="28918"/>
    <cellStyle name="Normal 66 12 3" xfId="12574"/>
    <cellStyle name="Normal 66 12 4" xfId="19118"/>
    <cellStyle name="Normal 66 12 5" xfId="25514"/>
    <cellStyle name="Normal 66 13" xfId="4246"/>
    <cellStyle name="Normal 66 13 2" xfId="7694"/>
    <cellStyle name="Normal 66 13 2 2" xfId="16175"/>
    <cellStyle name="Normal 66 13 2 3" xfId="22689"/>
    <cellStyle name="Normal 66 13 2 4" xfId="29078"/>
    <cellStyle name="Normal 66 13 3" xfId="12738"/>
    <cellStyle name="Normal 66 13 4" xfId="19279"/>
    <cellStyle name="Normal 66 13 5" xfId="25674"/>
    <cellStyle name="Normal 66 14" xfId="4406"/>
    <cellStyle name="Normal 66 14 2" xfId="7849"/>
    <cellStyle name="Normal 66 14 2 2" xfId="16330"/>
    <cellStyle name="Normal 66 14 2 3" xfId="22844"/>
    <cellStyle name="Normal 66 14 2 4" xfId="29233"/>
    <cellStyle name="Normal 66 14 3" xfId="12897"/>
    <cellStyle name="Normal 66 14 4" xfId="19435"/>
    <cellStyle name="Normal 66 14 5" xfId="25829"/>
    <cellStyle name="Normal 66 15" xfId="4566"/>
    <cellStyle name="Normal 66 15 2" xfId="8004"/>
    <cellStyle name="Normal 66 15 2 2" xfId="16485"/>
    <cellStyle name="Normal 66 15 2 3" xfId="22999"/>
    <cellStyle name="Normal 66 15 2 4" xfId="29388"/>
    <cellStyle name="Normal 66 15 3" xfId="13057"/>
    <cellStyle name="Normal 66 15 4" xfId="19591"/>
    <cellStyle name="Normal 66 15 5" xfId="25984"/>
    <cellStyle name="Normal 66 16" xfId="4726"/>
    <cellStyle name="Normal 66 16 2" xfId="8159"/>
    <cellStyle name="Normal 66 16 2 2" xfId="16640"/>
    <cellStyle name="Normal 66 16 2 3" xfId="23154"/>
    <cellStyle name="Normal 66 16 2 4" xfId="29543"/>
    <cellStyle name="Normal 66 16 3" xfId="13216"/>
    <cellStyle name="Normal 66 16 4" xfId="19747"/>
    <cellStyle name="Normal 66 16 5" xfId="26139"/>
    <cellStyle name="Normal 66 17" xfId="4885"/>
    <cellStyle name="Normal 66 17 2" xfId="8313"/>
    <cellStyle name="Normal 66 17 2 2" xfId="16794"/>
    <cellStyle name="Normal 66 17 2 3" xfId="23308"/>
    <cellStyle name="Normal 66 17 2 4" xfId="29697"/>
    <cellStyle name="Normal 66 17 3" xfId="13374"/>
    <cellStyle name="Normal 66 17 4" xfId="19902"/>
    <cellStyle name="Normal 66 17 5" xfId="26293"/>
    <cellStyle name="Normal 66 18" xfId="5032"/>
    <cellStyle name="Normal 66 18 2" xfId="8455"/>
    <cellStyle name="Normal 66 18 2 2" xfId="16936"/>
    <cellStyle name="Normal 66 18 2 3" xfId="23450"/>
    <cellStyle name="Normal 66 18 2 4" xfId="29839"/>
    <cellStyle name="Normal 66 18 3" xfId="13520"/>
    <cellStyle name="Normal 66 18 4" xfId="20045"/>
    <cellStyle name="Normal 66 18 5" xfId="26435"/>
    <cellStyle name="Normal 66 19" xfId="5288"/>
    <cellStyle name="Normal 66 19 2" xfId="13769"/>
    <cellStyle name="Normal 66 19 3" xfId="20286"/>
    <cellStyle name="Normal 66 19 4" xfId="26675"/>
    <cellStyle name="Normal 66 2" xfId="1892"/>
    <cellStyle name="Normal 66 2 2" xfId="5488"/>
    <cellStyle name="Normal 66 2 2 2" xfId="13969"/>
    <cellStyle name="Normal 66 2 2 3" xfId="20483"/>
    <cellStyle name="Normal 66 2 2 4" xfId="26872"/>
    <cellStyle name="Normal 66 2 3" xfId="10462"/>
    <cellStyle name="Normal 66 2 4" xfId="17477"/>
    <cellStyle name="Normal 66 2 5" xfId="23902"/>
    <cellStyle name="Normal 66 20" xfId="10056"/>
    <cellStyle name="Normal 66 21" xfId="17517"/>
    <cellStyle name="Normal 66 22" xfId="23933"/>
    <cellStyle name="Normal 66 3" xfId="2230"/>
    <cellStyle name="Normal 66 3 2" xfId="5800"/>
    <cellStyle name="Normal 66 3 2 2" xfId="14281"/>
    <cellStyle name="Normal 66 3 2 3" xfId="20795"/>
    <cellStyle name="Normal 66 3 2 4" xfId="27184"/>
    <cellStyle name="Normal 66 3 3" xfId="10786"/>
    <cellStyle name="Normal 66 3 4" xfId="17512"/>
    <cellStyle name="Normal 66 3 5" xfId="23928"/>
    <cellStyle name="Normal 66 4" xfId="2716"/>
    <cellStyle name="Normal 66 4 2" xfId="6217"/>
    <cellStyle name="Normal 66 4 2 2" xfId="14698"/>
    <cellStyle name="Normal 66 4 2 3" xfId="21212"/>
    <cellStyle name="Normal 66 4 2 4" xfId="27601"/>
    <cellStyle name="Normal 66 4 3" xfId="11226"/>
    <cellStyle name="Normal 66 4 4" xfId="17795"/>
    <cellStyle name="Normal 66 4 5" xfId="24197"/>
    <cellStyle name="Normal 66 5" xfId="2890"/>
    <cellStyle name="Normal 66 5 2" xfId="6384"/>
    <cellStyle name="Normal 66 5 2 2" xfId="14865"/>
    <cellStyle name="Normal 66 5 2 3" xfId="21379"/>
    <cellStyle name="Normal 66 5 2 4" xfId="27768"/>
    <cellStyle name="Normal 66 5 3" xfId="11396"/>
    <cellStyle name="Normal 66 5 4" xfId="17962"/>
    <cellStyle name="Normal 66 5 5" xfId="24364"/>
    <cellStyle name="Normal 66 6" xfId="3064"/>
    <cellStyle name="Normal 66 6 2" xfId="6551"/>
    <cellStyle name="Normal 66 6 2 2" xfId="15032"/>
    <cellStyle name="Normal 66 6 2 3" xfId="21546"/>
    <cellStyle name="Normal 66 6 2 4" xfId="27935"/>
    <cellStyle name="Normal 66 6 3" xfId="11566"/>
    <cellStyle name="Normal 66 6 4" xfId="18129"/>
    <cellStyle name="Normal 66 6 5" xfId="24531"/>
    <cellStyle name="Normal 66 7" xfId="3237"/>
    <cellStyle name="Normal 66 7 2" xfId="6718"/>
    <cellStyle name="Normal 66 7 2 2" xfId="15199"/>
    <cellStyle name="Normal 66 7 2 3" xfId="21713"/>
    <cellStyle name="Normal 66 7 2 4" xfId="28102"/>
    <cellStyle name="Normal 66 7 3" xfId="11737"/>
    <cellStyle name="Normal 66 7 4" xfId="18296"/>
    <cellStyle name="Normal 66 7 5" xfId="24698"/>
    <cellStyle name="Normal 66 8" xfId="3408"/>
    <cellStyle name="Normal 66 8 2" xfId="6883"/>
    <cellStyle name="Normal 66 8 2 2" xfId="15364"/>
    <cellStyle name="Normal 66 8 2 3" xfId="21878"/>
    <cellStyle name="Normal 66 8 2 4" xfId="28267"/>
    <cellStyle name="Normal 66 8 3" xfId="11905"/>
    <cellStyle name="Normal 66 8 4" xfId="18461"/>
    <cellStyle name="Normal 66 8 5" xfId="24863"/>
    <cellStyle name="Normal 66 9" xfId="3578"/>
    <cellStyle name="Normal 66 9 2" xfId="7047"/>
    <cellStyle name="Normal 66 9 2 2" xfId="15528"/>
    <cellStyle name="Normal 66 9 2 3" xfId="22042"/>
    <cellStyle name="Normal 66 9 2 4" xfId="28431"/>
    <cellStyle name="Normal 66 9 3" xfId="12073"/>
    <cellStyle name="Normal 66 9 4" xfId="18626"/>
    <cellStyle name="Normal 66 9 5" xfId="25027"/>
    <cellStyle name="Normal 67" xfId="1325"/>
    <cellStyle name="Normal 67 10" xfId="3747"/>
    <cellStyle name="Normal 67 10 2" xfId="7210"/>
    <cellStyle name="Normal 67 10 2 2" xfId="15691"/>
    <cellStyle name="Normal 67 10 2 3" xfId="22205"/>
    <cellStyle name="Normal 67 10 2 4" xfId="28594"/>
    <cellStyle name="Normal 67 10 3" xfId="12242"/>
    <cellStyle name="Normal 67 10 4" xfId="18792"/>
    <cellStyle name="Normal 67 10 5" xfId="25190"/>
    <cellStyle name="Normal 67 11" xfId="3915"/>
    <cellStyle name="Normal 67 11 2" xfId="7373"/>
    <cellStyle name="Normal 67 11 2 2" xfId="15854"/>
    <cellStyle name="Normal 67 11 2 3" xfId="22368"/>
    <cellStyle name="Normal 67 11 2 4" xfId="28757"/>
    <cellStyle name="Normal 67 11 3" xfId="12409"/>
    <cellStyle name="Normal 67 11 4" xfId="18956"/>
    <cellStyle name="Normal 67 11 5" xfId="25353"/>
    <cellStyle name="Normal 67 12" xfId="4080"/>
    <cellStyle name="Normal 67 12 2" xfId="7533"/>
    <cellStyle name="Normal 67 12 2 2" xfId="16014"/>
    <cellStyle name="Normal 67 12 2 3" xfId="22528"/>
    <cellStyle name="Normal 67 12 2 4" xfId="28917"/>
    <cellStyle name="Normal 67 12 3" xfId="12573"/>
    <cellStyle name="Normal 67 12 4" xfId="19117"/>
    <cellStyle name="Normal 67 12 5" xfId="25513"/>
    <cellStyle name="Normal 67 13" xfId="4245"/>
    <cellStyle name="Normal 67 13 2" xfId="7693"/>
    <cellStyle name="Normal 67 13 2 2" xfId="16174"/>
    <cellStyle name="Normal 67 13 2 3" xfId="22688"/>
    <cellStyle name="Normal 67 13 2 4" xfId="29077"/>
    <cellStyle name="Normal 67 13 3" xfId="12737"/>
    <cellStyle name="Normal 67 13 4" xfId="19278"/>
    <cellStyle name="Normal 67 13 5" xfId="25673"/>
    <cellStyle name="Normal 67 14" xfId="4405"/>
    <cellStyle name="Normal 67 14 2" xfId="7848"/>
    <cellStyle name="Normal 67 14 2 2" xfId="16329"/>
    <cellStyle name="Normal 67 14 2 3" xfId="22843"/>
    <cellStyle name="Normal 67 14 2 4" xfId="29232"/>
    <cellStyle name="Normal 67 14 3" xfId="12896"/>
    <cellStyle name="Normal 67 14 4" xfId="19434"/>
    <cellStyle name="Normal 67 14 5" xfId="25828"/>
    <cellStyle name="Normal 67 15" xfId="4565"/>
    <cellStyle name="Normal 67 15 2" xfId="8003"/>
    <cellStyle name="Normal 67 15 2 2" xfId="16484"/>
    <cellStyle name="Normal 67 15 2 3" xfId="22998"/>
    <cellStyle name="Normal 67 15 2 4" xfId="29387"/>
    <cellStyle name="Normal 67 15 3" xfId="13056"/>
    <cellStyle name="Normal 67 15 4" xfId="19590"/>
    <cellStyle name="Normal 67 15 5" xfId="25983"/>
    <cellStyle name="Normal 67 16" xfId="4725"/>
    <cellStyle name="Normal 67 16 2" xfId="8158"/>
    <cellStyle name="Normal 67 16 2 2" xfId="16639"/>
    <cellStyle name="Normal 67 16 2 3" xfId="23153"/>
    <cellStyle name="Normal 67 16 2 4" xfId="29542"/>
    <cellStyle name="Normal 67 16 3" xfId="13215"/>
    <cellStyle name="Normal 67 16 4" xfId="19746"/>
    <cellStyle name="Normal 67 16 5" xfId="26138"/>
    <cellStyle name="Normal 67 17" xfId="4884"/>
    <cellStyle name="Normal 67 17 2" xfId="8312"/>
    <cellStyle name="Normal 67 17 2 2" xfId="16793"/>
    <cellStyle name="Normal 67 17 2 3" xfId="23307"/>
    <cellStyle name="Normal 67 17 2 4" xfId="29696"/>
    <cellStyle name="Normal 67 17 3" xfId="13373"/>
    <cellStyle name="Normal 67 17 4" xfId="19901"/>
    <cellStyle name="Normal 67 17 5" xfId="26292"/>
    <cellStyle name="Normal 67 18" xfId="5031"/>
    <cellStyle name="Normal 67 18 2" xfId="8454"/>
    <cellStyle name="Normal 67 18 2 2" xfId="16935"/>
    <cellStyle name="Normal 67 18 2 3" xfId="23449"/>
    <cellStyle name="Normal 67 18 2 4" xfId="29838"/>
    <cellStyle name="Normal 67 18 3" xfId="13519"/>
    <cellStyle name="Normal 67 18 4" xfId="20044"/>
    <cellStyle name="Normal 67 18 5" xfId="26434"/>
    <cellStyle name="Normal 67 19" xfId="5289"/>
    <cellStyle name="Normal 67 19 2" xfId="13770"/>
    <cellStyle name="Normal 67 19 3" xfId="20287"/>
    <cellStyle name="Normal 67 19 4" xfId="26676"/>
    <cellStyle name="Normal 67 2" xfId="1893"/>
    <cellStyle name="Normal 67 2 2" xfId="5489"/>
    <cellStyle name="Normal 67 2 2 2" xfId="13970"/>
    <cellStyle name="Normal 67 2 2 3" xfId="20484"/>
    <cellStyle name="Normal 67 2 2 4" xfId="26873"/>
    <cellStyle name="Normal 67 2 3" xfId="10463"/>
    <cellStyle name="Normal 67 2 4" xfId="17491"/>
    <cellStyle name="Normal 67 2 5" xfId="23913"/>
    <cellStyle name="Normal 67 20" xfId="10057"/>
    <cellStyle name="Normal 67 21" xfId="17531"/>
    <cellStyle name="Normal 67 22" xfId="23943"/>
    <cellStyle name="Normal 67 3" xfId="2231"/>
    <cellStyle name="Normal 67 3 2" xfId="5801"/>
    <cellStyle name="Normal 67 3 2 2" xfId="14282"/>
    <cellStyle name="Normal 67 3 2 3" xfId="20796"/>
    <cellStyle name="Normal 67 3 2 4" xfId="27185"/>
    <cellStyle name="Normal 67 3 3" xfId="10787"/>
    <cellStyle name="Normal 67 3 4" xfId="17524"/>
    <cellStyle name="Normal 67 3 5" xfId="23936"/>
    <cellStyle name="Normal 67 4" xfId="2715"/>
    <cellStyle name="Normal 67 4 2" xfId="6216"/>
    <cellStyle name="Normal 67 4 2 2" xfId="14697"/>
    <cellStyle name="Normal 67 4 2 3" xfId="21211"/>
    <cellStyle name="Normal 67 4 2 4" xfId="27600"/>
    <cellStyle name="Normal 67 4 3" xfId="11225"/>
    <cellStyle name="Normal 67 4 4" xfId="17794"/>
    <cellStyle name="Normal 67 4 5" xfId="24196"/>
    <cellStyle name="Normal 67 5" xfId="2889"/>
    <cellStyle name="Normal 67 5 2" xfId="6383"/>
    <cellStyle name="Normal 67 5 2 2" xfId="14864"/>
    <cellStyle name="Normal 67 5 2 3" xfId="21378"/>
    <cellStyle name="Normal 67 5 2 4" xfId="27767"/>
    <cellStyle name="Normal 67 5 3" xfId="11395"/>
    <cellStyle name="Normal 67 5 4" xfId="17961"/>
    <cellStyle name="Normal 67 5 5" xfId="24363"/>
    <cellStyle name="Normal 67 6" xfId="3063"/>
    <cellStyle name="Normal 67 6 2" xfId="6550"/>
    <cellStyle name="Normal 67 6 2 2" xfId="15031"/>
    <cellStyle name="Normal 67 6 2 3" xfId="21545"/>
    <cellStyle name="Normal 67 6 2 4" xfId="27934"/>
    <cellStyle name="Normal 67 6 3" xfId="11565"/>
    <cellStyle name="Normal 67 6 4" xfId="18128"/>
    <cellStyle name="Normal 67 6 5" xfId="24530"/>
    <cellStyle name="Normal 67 7" xfId="3236"/>
    <cellStyle name="Normal 67 7 2" xfId="6717"/>
    <cellStyle name="Normal 67 7 2 2" xfId="15198"/>
    <cellStyle name="Normal 67 7 2 3" xfId="21712"/>
    <cellStyle name="Normal 67 7 2 4" xfId="28101"/>
    <cellStyle name="Normal 67 7 3" xfId="11736"/>
    <cellStyle name="Normal 67 7 4" xfId="18295"/>
    <cellStyle name="Normal 67 7 5" xfId="24697"/>
    <cellStyle name="Normal 67 8" xfId="3407"/>
    <cellStyle name="Normal 67 8 2" xfId="6882"/>
    <cellStyle name="Normal 67 8 2 2" xfId="15363"/>
    <cellStyle name="Normal 67 8 2 3" xfId="21877"/>
    <cellStyle name="Normal 67 8 2 4" xfId="28266"/>
    <cellStyle name="Normal 67 8 3" xfId="11904"/>
    <cellStyle name="Normal 67 8 4" xfId="18460"/>
    <cellStyle name="Normal 67 8 5" xfId="24862"/>
    <cellStyle name="Normal 67 9" xfId="3577"/>
    <cellStyle name="Normal 67 9 2" xfId="7046"/>
    <cellStyle name="Normal 67 9 2 2" xfId="15527"/>
    <cellStyle name="Normal 67 9 2 3" xfId="22041"/>
    <cellStyle name="Normal 67 9 2 4" xfId="28430"/>
    <cellStyle name="Normal 67 9 3" xfId="12072"/>
    <cellStyle name="Normal 67 9 4" xfId="18625"/>
    <cellStyle name="Normal 67 9 5" xfId="25026"/>
    <cellStyle name="Normal 68" xfId="1326"/>
    <cellStyle name="Normal 68 10" xfId="3746"/>
    <cellStyle name="Normal 68 10 2" xfId="7209"/>
    <cellStyle name="Normal 68 10 2 2" xfId="15690"/>
    <cellStyle name="Normal 68 10 2 3" xfId="22204"/>
    <cellStyle name="Normal 68 10 2 4" xfId="28593"/>
    <cellStyle name="Normal 68 10 3" xfId="12241"/>
    <cellStyle name="Normal 68 10 4" xfId="18791"/>
    <cellStyle name="Normal 68 10 5" xfId="25189"/>
    <cellStyle name="Normal 68 11" xfId="3914"/>
    <cellStyle name="Normal 68 11 2" xfId="7372"/>
    <cellStyle name="Normal 68 11 2 2" xfId="15853"/>
    <cellStyle name="Normal 68 11 2 3" xfId="22367"/>
    <cellStyle name="Normal 68 11 2 4" xfId="28756"/>
    <cellStyle name="Normal 68 11 3" xfId="12408"/>
    <cellStyle name="Normal 68 11 4" xfId="18955"/>
    <cellStyle name="Normal 68 11 5" xfId="25352"/>
    <cellStyle name="Normal 68 12" xfId="4079"/>
    <cellStyle name="Normal 68 12 2" xfId="7532"/>
    <cellStyle name="Normal 68 12 2 2" xfId="16013"/>
    <cellStyle name="Normal 68 12 2 3" xfId="22527"/>
    <cellStyle name="Normal 68 12 2 4" xfId="28916"/>
    <cellStyle name="Normal 68 12 3" xfId="12572"/>
    <cellStyle name="Normal 68 12 4" xfId="19116"/>
    <cellStyle name="Normal 68 12 5" xfId="25512"/>
    <cellStyle name="Normal 68 13" xfId="4244"/>
    <cellStyle name="Normal 68 13 2" xfId="7692"/>
    <cellStyle name="Normal 68 13 2 2" xfId="16173"/>
    <cellStyle name="Normal 68 13 2 3" xfId="22687"/>
    <cellStyle name="Normal 68 13 2 4" xfId="29076"/>
    <cellStyle name="Normal 68 13 3" xfId="12736"/>
    <cellStyle name="Normal 68 13 4" xfId="19277"/>
    <cellStyle name="Normal 68 13 5" xfId="25672"/>
    <cellStyle name="Normal 68 14" xfId="4404"/>
    <cellStyle name="Normal 68 14 2" xfId="7847"/>
    <cellStyle name="Normal 68 14 2 2" xfId="16328"/>
    <cellStyle name="Normal 68 14 2 3" xfId="22842"/>
    <cellStyle name="Normal 68 14 2 4" xfId="29231"/>
    <cellStyle name="Normal 68 14 3" xfId="12895"/>
    <cellStyle name="Normal 68 14 4" xfId="19433"/>
    <cellStyle name="Normal 68 14 5" xfId="25827"/>
    <cellStyle name="Normal 68 15" xfId="4564"/>
    <cellStyle name="Normal 68 15 2" xfId="8002"/>
    <cellStyle name="Normal 68 15 2 2" xfId="16483"/>
    <cellStyle name="Normal 68 15 2 3" xfId="22997"/>
    <cellStyle name="Normal 68 15 2 4" xfId="29386"/>
    <cellStyle name="Normal 68 15 3" xfId="13055"/>
    <cellStyle name="Normal 68 15 4" xfId="19589"/>
    <cellStyle name="Normal 68 15 5" xfId="25982"/>
    <cellStyle name="Normal 68 16" xfId="4724"/>
    <cellStyle name="Normal 68 16 2" xfId="8157"/>
    <cellStyle name="Normal 68 16 2 2" xfId="16638"/>
    <cellStyle name="Normal 68 16 2 3" xfId="23152"/>
    <cellStyle name="Normal 68 16 2 4" xfId="29541"/>
    <cellStyle name="Normal 68 16 3" xfId="13214"/>
    <cellStyle name="Normal 68 16 4" xfId="19745"/>
    <cellStyle name="Normal 68 16 5" xfId="26137"/>
    <cellStyle name="Normal 68 17" xfId="4883"/>
    <cellStyle name="Normal 68 17 2" xfId="8311"/>
    <cellStyle name="Normal 68 17 2 2" xfId="16792"/>
    <cellStyle name="Normal 68 17 2 3" xfId="23306"/>
    <cellStyle name="Normal 68 17 2 4" xfId="29695"/>
    <cellStyle name="Normal 68 17 3" xfId="13372"/>
    <cellStyle name="Normal 68 17 4" xfId="19900"/>
    <cellStyle name="Normal 68 17 5" xfId="26291"/>
    <cellStyle name="Normal 68 18" xfId="5030"/>
    <cellStyle name="Normal 68 18 2" xfId="8453"/>
    <cellStyle name="Normal 68 18 2 2" xfId="16934"/>
    <cellStyle name="Normal 68 18 2 3" xfId="23448"/>
    <cellStyle name="Normal 68 18 2 4" xfId="29837"/>
    <cellStyle name="Normal 68 18 3" xfId="13518"/>
    <cellStyle name="Normal 68 18 4" xfId="20043"/>
    <cellStyle name="Normal 68 18 5" xfId="26433"/>
    <cellStyle name="Normal 68 19" xfId="5290"/>
    <cellStyle name="Normal 68 19 2" xfId="13771"/>
    <cellStyle name="Normal 68 19 3" xfId="20288"/>
    <cellStyle name="Normal 68 19 4" xfId="26677"/>
    <cellStyle name="Normal 68 2" xfId="1894"/>
    <cellStyle name="Normal 68 2 2" xfId="5490"/>
    <cellStyle name="Normal 68 2 2 2" xfId="13971"/>
    <cellStyle name="Normal 68 2 2 3" xfId="20485"/>
    <cellStyle name="Normal 68 2 2 4" xfId="26874"/>
    <cellStyle name="Normal 68 2 3" xfId="10464"/>
    <cellStyle name="Normal 68 2 4" xfId="17505"/>
    <cellStyle name="Normal 68 2 5" xfId="23923"/>
    <cellStyle name="Normal 68 20" xfId="10058"/>
    <cellStyle name="Normal 68 21" xfId="17544"/>
    <cellStyle name="Normal 68 22" xfId="23954"/>
    <cellStyle name="Normal 68 3" xfId="2232"/>
    <cellStyle name="Normal 68 3 2" xfId="5802"/>
    <cellStyle name="Normal 68 3 2 2" xfId="14283"/>
    <cellStyle name="Normal 68 3 2 3" xfId="20797"/>
    <cellStyle name="Normal 68 3 2 4" xfId="27186"/>
    <cellStyle name="Normal 68 3 3" xfId="10788"/>
    <cellStyle name="Normal 68 3 4" xfId="9352"/>
    <cellStyle name="Normal 68 3 5" xfId="17321"/>
    <cellStyle name="Normal 68 4" xfId="2714"/>
    <cellStyle name="Normal 68 4 2" xfId="6215"/>
    <cellStyle name="Normal 68 4 2 2" xfId="14696"/>
    <cellStyle name="Normal 68 4 2 3" xfId="21210"/>
    <cellStyle name="Normal 68 4 2 4" xfId="27599"/>
    <cellStyle name="Normal 68 4 3" xfId="11224"/>
    <cellStyle name="Normal 68 4 4" xfId="17793"/>
    <cellStyle name="Normal 68 4 5" xfId="24195"/>
    <cellStyle name="Normal 68 5" xfId="2888"/>
    <cellStyle name="Normal 68 5 2" xfId="6382"/>
    <cellStyle name="Normal 68 5 2 2" xfId="14863"/>
    <cellStyle name="Normal 68 5 2 3" xfId="21377"/>
    <cellStyle name="Normal 68 5 2 4" xfId="27766"/>
    <cellStyle name="Normal 68 5 3" xfId="11394"/>
    <cellStyle name="Normal 68 5 4" xfId="17960"/>
    <cellStyle name="Normal 68 5 5" xfId="24362"/>
    <cellStyle name="Normal 68 6" xfId="3062"/>
    <cellStyle name="Normal 68 6 2" xfId="6549"/>
    <cellStyle name="Normal 68 6 2 2" xfId="15030"/>
    <cellStyle name="Normal 68 6 2 3" xfId="21544"/>
    <cellStyle name="Normal 68 6 2 4" xfId="27933"/>
    <cellStyle name="Normal 68 6 3" xfId="11564"/>
    <cellStyle name="Normal 68 6 4" xfId="18127"/>
    <cellStyle name="Normal 68 6 5" xfId="24529"/>
    <cellStyle name="Normal 68 7" xfId="3235"/>
    <cellStyle name="Normal 68 7 2" xfId="6716"/>
    <cellStyle name="Normal 68 7 2 2" xfId="15197"/>
    <cellStyle name="Normal 68 7 2 3" xfId="21711"/>
    <cellStyle name="Normal 68 7 2 4" xfId="28100"/>
    <cellStyle name="Normal 68 7 3" xfId="11735"/>
    <cellStyle name="Normal 68 7 4" xfId="18294"/>
    <cellStyle name="Normal 68 7 5" xfId="24696"/>
    <cellStyle name="Normal 68 8" xfId="3406"/>
    <cellStyle name="Normal 68 8 2" xfId="6881"/>
    <cellStyle name="Normal 68 8 2 2" xfId="15362"/>
    <cellStyle name="Normal 68 8 2 3" xfId="21876"/>
    <cellStyle name="Normal 68 8 2 4" xfId="28265"/>
    <cellStyle name="Normal 68 8 3" xfId="11903"/>
    <cellStyle name="Normal 68 8 4" xfId="18459"/>
    <cellStyle name="Normal 68 8 5" xfId="24861"/>
    <cellStyle name="Normal 68 9" xfId="3576"/>
    <cellStyle name="Normal 68 9 2" xfId="7045"/>
    <cellStyle name="Normal 68 9 2 2" xfId="15526"/>
    <cellStyle name="Normal 68 9 2 3" xfId="22040"/>
    <cellStyle name="Normal 68 9 2 4" xfId="28429"/>
    <cellStyle name="Normal 68 9 3" xfId="12071"/>
    <cellStyle name="Normal 68 9 4" xfId="18624"/>
    <cellStyle name="Normal 68 9 5" xfId="25025"/>
    <cellStyle name="Normal 69" xfId="1327"/>
    <cellStyle name="Normal 69 10" xfId="3745"/>
    <cellStyle name="Normal 69 10 2" xfId="7208"/>
    <cellStyle name="Normal 69 10 2 2" xfId="15689"/>
    <cellStyle name="Normal 69 10 2 3" xfId="22203"/>
    <cellStyle name="Normal 69 10 2 4" xfId="28592"/>
    <cellStyle name="Normal 69 10 3" xfId="12240"/>
    <cellStyle name="Normal 69 10 4" xfId="18790"/>
    <cellStyle name="Normal 69 10 5" xfId="25188"/>
    <cellStyle name="Normal 69 11" xfId="3913"/>
    <cellStyle name="Normal 69 11 2" xfId="7371"/>
    <cellStyle name="Normal 69 11 2 2" xfId="15852"/>
    <cellStyle name="Normal 69 11 2 3" xfId="22366"/>
    <cellStyle name="Normal 69 11 2 4" xfId="28755"/>
    <cellStyle name="Normal 69 11 3" xfId="12407"/>
    <cellStyle name="Normal 69 11 4" xfId="18954"/>
    <cellStyle name="Normal 69 11 5" xfId="25351"/>
    <cellStyle name="Normal 69 12" xfId="4078"/>
    <cellStyle name="Normal 69 12 2" xfId="7531"/>
    <cellStyle name="Normal 69 12 2 2" xfId="16012"/>
    <cellStyle name="Normal 69 12 2 3" xfId="22526"/>
    <cellStyle name="Normal 69 12 2 4" xfId="28915"/>
    <cellStyle name="Normal 69 12 3" xfId="12571"/>
    <cellStyle name="Normal 69 12 4" xfId="19115"/>
    <cellStyle name="Normal 69 12 5" xfId="25511"/>
    <cellStyle name="Normal 69 13" xfId="4243"/>
    <cellStyle name="Normal 69 13 2" xfId="7691"/>
    <cellStyle name="Normal 69 13 2 2" xfId="16172"/>
    <cellStyle name="Normal 69 13 2 3" xfId="22686"/>
    <cellStyle name="Normal 69 13 2 4" xfId="29075"/>
    <cellStyle name="Normal 69 13 3" xfId="12735"/>
    <cellStyle name="Normal 69 13 4" xfId="19276"/>
    <cellStyle name="Normal 69 13 5" xfId="25671"/>
    <cellStyle name="Normal 69 14" xfId="4403"/>
    <cellStyle name="Normal 69 14 2" xfId="7846"/>
    <cellStyle name="Normal 69 14 2 2" xfId="16327"/>
    <cellStyle name="Normal 69 14 2 3" xfId="22841"/>
    <cellStyle name="Normal 69 14 2 4" xfId="29230"/>
    <cellStyle name="Normal 69 14 3" xfId="12894"/>
    <cellStyle name="Normal 69 14 4" xfId="19432"/>
    <cellStyle name="Normal 69 14 5" xfId="25826"/>
    <cellStyle name="Normal 69 15" xfId="4563"/>
    <cellStyle name="Normal 69 15 2" xfId="8001"/>
    <cellStyle name="Normal 69 15 2 2" xfId="16482"/>
    <cellStyle name="Normal 69 15 2 3" xfId="22996"/>
    <cellStyle name="Normal 69 15 2 4" xfId="29385"/>
    <cellStyle name="Normal 69 15 3" xfId="13054"/>
    <cellStyle name="Normal 69 15 4" xfId="19588"/>
    <cellStyle name="Normal 69 15 5" xfId="25981"/>
    <cellStyle name="Normal 69 16" xfId="4723"/>
    <cellStyle name="Normal 69 16 2" xfId="8156"/>
    <cellStyle name="Normal 69 16 2 2" xfId="16637"/>
    <cellStyle name="Normal 69 16 2 3" xfId="23151"/>
    <cellStyle name="Normal 69 16 2 4" xfId="29540"/>
    <cellStyle name="Normal 69 16 3" xfId="13213"/>
    <cellStyle name="Normal 69 16 4" xfId="19744"/>
    <cellStyle name="Normal 69 16 5" xfId="26136"/>
    <cellStyle name="Normal 69 17" xfId="4882"/>
    <cellStyle name="Normal 69 17 2" xfId="8310"/>
    <cellStyle name="Normal 69 17 2 2" xfId="16791"/>
    <cellStyle name="Normal 69 17 2 3" xfId="23305"/>
    <cellStyle name="Normal 69 17 2 4" xfId="29694"/>
    <cellStyle name="Normal 69 17 3" xfId="13371"/>
    <cellStyle name="Normal 69 17 4" xfId="19899"/>
    <cellStyle name="Normal 69 17 5" xfId="26290"/>
    <cellStyle name="Normal 69 18" xfId="5029"/>
    <cellStyle name="Normal 69 18 2" xfId="8452"/>
    <cellStyle name="Normal 69 18 2 2" xfId="16933"/>
    <cellStyle name="Normal 69 18 2 3" xfId="23447"/>
    <cellStyle name="Normal 69 18 2 4" xfId="29836"/>
    <cellStyle name="Normal 69 18 3" xfId="13517"/>
    <cellStyle name="Normal 69 18 4" xfId="20042"/>
    <cellStyle name="Normal 69 18 5" xfId="26432"/>
    <cellStyle name="Normal 69 19" xfId="5291"/>
    <cellStyle name="Normal 69 19 2" xfId="13772"/>
    <cellStyle name="Normal 69 19 3" xfId="20289"/>
    <cellStyle name="Normal 69 19 4" xfId="26678"/>
    <cellStyle name="Normal 69 2" xfId="1895"/>
    <cellStyle name="Normal 69 2 2" xfId="5491"/>
    <cellStyle name="Normal 69 2 2 2" xfId="13972"/>
    <cellStyle name="Normal 69 2 2 3" xfId="20486"/>
    <cellStyle name="Normal 69 2 2 4" xfId="26875"/>
    <cellStyle name="Normal 69 2 3" xfId="10465"/>
    <cellStyle name="Normal 69 2 4" xfId="17514"/>
    <cellStyle name="Normal 69 2 5" xfId="23930"/>
    <cellStyle name="Normal 69 20" xfId="10059"/>
    <cellStyle name="Normal 69 21" xfId="9694"/>
    <cellStyle name="Normal 69 22" xfId="10024"/>
    <cellStyle name="Normal 69 3" xfId="2233"/>
    <cellStyle name="Normal 69 3 2" xfId="5803"/>
    <cellStyle name="Normal 69 3 2 2" xfId="14284"/>
    <cellStyle name="Normal 69 3 2 3" xfId="20798"/>
    <cellStyle name="Normal 69 3 2 4" xfId="27187"/>
    <cellStyle name="Normal 69 3 3" xfId="10789"/>
    <cellStyle name="Normal 69 3 4" xfId="17550"/>
    <cellStyle name="Normal 69 3 5" xfId="23958"/>
    <cellStyle name="Normal 69 4" xfId="2713"/>
    <cellStyle name="Normal 69 4 2" xfId="6214"/>
    <cellStyle name="Normal 69 4 2 2" xfId="14695"/>
    <cellStyle name="Normal 69 4 2 3" xfId="21209"/>
    <cellStyle name="Normal 69 4 2 4" xfId="27598"/>
    <cellStyle name="Normal 69 4 3" xfId="11223"/>
    <cellStyle name="Normal 69 4 4" xfId="17792"/>
    <cellStyle name="Normal 69 4 5" xfId="24194"/>
    <cellStyle name="Normal 69 5" xfId="2887"/>
    <cellStyle name="Normal 69 5 2" xfId="6381"/>
    <cellStyle name="Normal 69 5 2 2" xfId="14862"/>
    <cellStyle name="Normal 69 5 2 3" xfId="21376"/>
    <cellStyle name="Normal 69 5 2 4" xfId="27765"/>
    <cellStyle name="Normal 69 5 3" xfId="11393"/>
    <cellStyle name="Normal 69 5 4" xfId="17959"/>
    <cellStyle name="Normal 69 5 5" xfId="24361"/>
    <cellStyle name="Normal 69 6" xfId="3061"/>
    <cellStyle name="Normal 69 6 2" xfId="6548"/>
    <cellStyle name="Normal 69 6 2 2" xfId="15029"/>
    <cellStyle name="Normal 69 6 2 3" xfId="21543"/>
    <cellStyle name="Normal 69 6 2 4" xfId="27932"/>
    <cellStyle name="Normal 69 6 3" xfId="11563"/>
    <cellStyle name="Normal 69 6 4" xfId="18126"/>
    <cellStyle name="Normal 69 6 5" xfId="24528"/>
    <cellStyle name="Normal 69 7" xfId="3234"/>
    <cellStyle name="Normal 69 7 2" xfId="6715"/>
    <cellStyle name="Normal 69 7 2 2" xfId="15196"/>
    <cellStyle name="Normal 69 7 2 3" xfId="21710"/>
    <cellStyle name="Normal 69 7 2 4" xfId="28099"/>
    <cellStyle name="Normal 69 7 3" xfId="11734"/>
    <cellStyle name="Normal 69 7 4" xfId="18293"/>
    <cellStyle name="Normal 69 7 5" xfId="24695"/>
    <cellStyle name="Normal 69 8" xfId="3405"/>
    <cellStyle name="Normal 69 8 2" xfId="6880"/>
    <cellStyle name="Normal 69 8 2 2" xfId="15361"/>
    <cellStyle name="Normal 69 8 2 3" xfId="21875"/>
    <cellStyle name="Normal 69 8 2 4" xfId="28264"/>
    <cellStyle name="Normal 69 8 3" xfId="11902"/>
    <cellStyle name="Normal 69 8 4" xfId="18458"/>
    <cellStyle name="Normal 69 8 5" xfId="24860"/>
    <cellStyle name="Normal 69 9" xfId="3575"/>
    <cellStyle name="Normal 69 9 2" xfId="7044"/>
    <cellStyle name="Normal 69 9 2 2" xfId="15525"/>
    <cellStyle name="Normal 69 9 2 3" xfId="22039"/>
    <cellStyle name="Normal 69 9 2 4" xfId="28428"/>
    <cellStyle name="Normal 69 9 3" xfId="12070"/>
    <cellStyle name="Normal 69 9 4" xfId="18623"/>
    <cellStyle name="Normal 69 9 5" xfId="25024"/>
    <cellStyle name="Normal 7" xfId="1328"/>
    <cellStyle name="Normal 7 10" xfId="1329"/>
    <cellStyle name="Normal 7 11" xfId="1330"/>
    <cellStyle name="Normal 7 12" xfId="1331"/>
    <cellStyle name="Normal 7 13" xfId="1332"/>
    <cellStyle name="Normal 7 14" xfId="1333"/>
    <cellStyle name="Normal 7 15" xfId="1334"/>
    <cellStyle name="Normal 7 16" xfId="1335"/>
    <cellStyle name="Normal 7 17" xfId="1336"/>
    <cellStyle name="Normal 7 18" xfId="1337"/>
    <cellStyle name="Normal 7 19" xfId="1338"/>
    <cellStyle name="Normal 7 2" xfId="1339"/>
    <cellStyle name="Normal 7 2 2" xfId="8999"/>
    <cellStyle name="Normal 7 20" xfId="1340"/>
    <cellStyle name="Normal 7 21" xfId="1341"/>
    <cellStyle name="Normal 7 22" xfId="1342"/>
    <cellStyle name="Normal 7 23" xfId="1343"/>
    <cellStyle name="Normal 7 24" xfId="1344"/>
    <cellStyle name="Normal 7 25" xfId="1345"/>
    <cellStyle name="Normal 7 26" xfId="1346"/>
    <cellStyle name="Normal 7 27" xfId="9256"/>
    <cellStyle name="Normal 7 3" xfId="1347"/>
    <cellStyle name="Normal 7 4" xfId="1348"/>
    <cellStyle name="Normal 7 5" xfId="1349"/>
    <cellStyle name="Normal 7 6" xfId="1350"/>
    <cellStyle name="Normal 7 7" xfId="1351"/>
    <cellStyle name="Normal 7 8" xfId="1352"/>
    <cellStyle name="Normal 7 9" xfId="1353"/>
    <cellStyle name="Normal 70" xfId="1354"/>
    <cellStyle name="Normal 70 10" xfId="3743"/>
    <cellStyle name="Normal 70 10 2" xfId="7206"/>
    <cellStyle name="Normal 70 10 2 2" xfId="15687"/>
    <cellStyle name="Normal 70 10 2 3" xfId="22201"/>
    <cellStyle name="Normal 70 10 2 4" xfId="28590"/>
    <cellStyle name="Normal 70 10 3" xfId="12238"/>
    <cellStyle name="Normal 70 10 4" xfId="18788"/>
    <cellStyle name="Normal 70 10 5" xfId="25186"/>
    <cellStyle name="Normal 70 11" xfId="3911"/>
    <cellStyle name="Normal 70 11 2" xfId="7369"/>
    <cellStyle name="Normal 70 11 2 2" xfId="15850"/>
    <cellStyle name="Normal 70 11 2 3" xfId="22364"/>
    <cellStyle name="Normal 70 11 2 4" xfId="28753"/>
    <cellStyle name="Normal 70 11 3" xfId="12405"/>
    <cellStyle name="Normal 70 11 4" xfId="18952"/>
    <cellStyle name="Normal 70 11 5" xfId="25349"/>
    <cellStyle name="Normal 70 12" xfId="4076"/>
    <cellStyle name="Normal 70 12 2" xfId="7529"/>
    <cellStyle name="Normal 70 12 2 2" xfId="16010"/>
    <cellStyle name="Normal 70 12 2 3" xfId="22524"/>
    <cellStyle name="Normal 70 12 2 4" xfId="28913"/>
    <cellStyle name="Normal 70 12 3" xfId="12569"/>
    <cellStyle name="Normal 70 12 4" xfId="19113"/>
    <cellStyle name="Normal 70 12 5" xfId="25509"/>
    <cellStyle name="Normal 70 13" xfId="4241"/>
    <cellStyle name="Normal 70 13 2" xfId="7689"/>
    <cellStyle name="Normal 70 13 2 2" xfId="16170"/>
    <cellStyle name="Normal 70 13 2 3" xfId="22684"/>
    <cellStyle name="Normal 70 13 2 4" xfId="29073"/>
    <cellStyle name="Normal 70 13 3" xfId="12733"/>
    <cellStyle name="Normal 70 13 4" xfId="19274"/>
    <cellStyle name="Normal 70 13 5" xfId="25669"/>
    <cellStyle name="Normal 70 14" xfId="4401"/>
    <cellStyle name="Normal 70 14 2" xfId="7844"/>
    <cellStyle name="Normal 70 14 2 2" xfId="16325"/>
    <cellStyle name="Normal 70 14 2 3" xfId="22839"/>
    <cellStyle name="Normal 70 14 2 4" xfId="29228"/>
    <cellStyle name="Normal 70 14 3" xfId="12892"/>
    <cellStyle name="Normal 70 14 4" xfId="19430"/>
    <cellStyle name="Normal 70 14 5" xfId="25824"/>
    <cellStyle name="Normal 70 15" xfId="4561"/>
    <cellStyle name="Normal 70 15 2" xfId="7999"/>
    <cellStyle name="Normal 70 15 2 2" xfId="16480"/>
    <cellStyle name="Normal 70 15 2 3" xfId="22994"/>
    <cellStyle name="Normal 70 15 2 4" xfId="29383"/>
    <cellStyle name="Normal 70 15 3" xfId="13052"/>
    <cellStyle name="Normal 70 15 4" xfId="19586"/>
    <cellStyle name="Normal 70 15 5" xfId="25979"/>
    <cellStyle name="Normal 70 16" xfId="4721"/>
    <cellStyle name="Normal 70 16 2" xfId="8154"/>
    <cellStyle name="Normal 70 16 2 2" xfId="16635"/>
    <cellStyle name="Normal 70 16 2 3" xfId="23149"/>
    <cellStyle name="Normal 70 16 2 4" xfId="29538"/>
    <cellStyle name="Normal 70 16 3" xfId="13211"/>
    <cellStyle name="Normal 70 16 4" xfId="19742"/>
    <cellStyle name="Normal 70 16 5" xfId="26134"/>
    <cellStyle name="Normal 70 17" xfId="4880"/>
    <cellStyle name="Normal 70 17 2" xfId="8308"/>
    <cellStyle name="Normal 70 17 2 2" xfId="16789"/>
    <cellStyle name="Normal 70 17 2 3" xfId="23303"/>
    <cellStyle name="Normal 70 17 2 4" xfId="29692"/>
    <cellStyle name="Normal 70 17 3" xfId="13369"/>
    <cellStyle name="Normal 70 17 4" xfId="19897"/>
    <cellStyle name="Normal 70 17 5" xfId="26288"/>
    <cellStyle name="Normal 70 18" xfId="5028"/>
    <cellStyle name="Normal 70 18 2" xfId="8451"/>
    <cellStyle name="Normal 70 18 2 2" xfId="16932"/>
    <cellStyle name="Normal 70 18 2 3" xfId="23446"/>
    <cellStyle name="Normal 70 18 2 4" xfId="29835"/>
    <cellStyle name="Normal 70 18 3" xfId="13516"/>
    <cellStyle name="Normal 70 18 4" xfId="20041"/>
    <cellStyle name="Normal 70 18 5" xfId="26431"/>
    <cellStyle name="Normal 70 19" xfId="5292"/>
    <cellStyle name="Normal 70 19 2" xfId="13773"/>
    <cellStyle name="Normal 70 19 3" xfId="20290"/>
    <cellStyle name="Normal 70 19 4" xfId="26679"/>
    <cellStyle name="Normal 70 2" xfId="1896"/>
    <cellStyle name="Normal 70 2 2" xfId="5492"/>
    <cellStyle name="Normal 70 2 2 2" xfId="13973"/>
    <cellStyle name="Normal 70 2 2 3" xfId="20487"/>
    <cellStyle name="Normal 70 2 2 4" xfId="26876"/>
    <cellStyle name="Normal 70 2 3" xfId="10466"/>
    <cellStyle name="Normal 70 2 4" xfId="17528"/>
    <cellStyle name="Normal 70 2 5" xfId="23940"/>
    <cellStyle name="Normal 70 20" xfId="10060"/>
    <cellStyle name="Normal 70 21" xfId="17421"/>
    <cellStyle name="Normal 70 22" xfId="23858"/>
    <cellStyle name="Normal 70 3" xfId="2236"/>
    <cellStyle name="Normal 70 3 2" xfId="5806"/>
    <cellStyle name="Normal 70 3 2 2" xfId="14287"/>
    <cellStyle name="Normal 70 3 2 3" xfId="20801"/>
    <cellStyle name="Normal 70 3 2 4" xfId="27190"/>
    <cellStyle name="Normal 70 3 3" xfId="10792"/>
    <cellStyle name="Normal 70 3 4" xfId="17166"/>
    <cellStyle name="Normal 70 3 5" xfId="23642"/>
    <cellStyle name="Normal 70 4" xfId="2711"/>
    <cellStyle name="Normal 70 4 2" xfId="6212"/>
    <cellStyle name="Normal 70 4 2 2" xfId="14693"/>
    <cellStyle name="Normal 70 4 2 3" xfId="21207"/>
    <cellStyle name="Normal 70 4 2 4" xfId="27596"/>
    <cellStyle name="Normal 70 4 3" xfId="11221"/>
    <cellStyle name="Normal 70 4 4" xfId="17790"/>
    <cellStyle name="Normal 70 4 5" xfId="24192"/>
    <cellStyle name="Normal 70 5" xfId="2885"/>
    <cellStyle name="Normal 70 5 2" xfId="6379"/>
    <cellStyle name="Normal 70 5 2 2" xfId="14860"/>
    <cellStyle name="Normal 70 5 2 3" xfId="21374"/>
    <cellStyle name="Normal 70 5 2 4" xfId="27763"/>
    <cellStyle name="Normal 70 5 3" xfId="11391"/>
    <cellStyle name="Normal 70 5 4" xfId="17957"/>
    <cellStyle name="Normal 70 5 5" xfId="24359"/>
    <cellStyle name="Normal 70 6" xfId="3059"/>
    <cellStyle name="Normal 70 6 2" xfId="6546"/>
    <cellStyle name="Normal 70 6 2 2" xfId="15027"/>
    <cellStyle name="Normal 70 6 2 3" xfId="21541"/>
    <cellStyle name="Normal 70 6 2 4" xfId="27930"/>
    <cellStyle name="Normal 70 6 3" xfId="11561"/>
    <cellStyle name="Normal 70 6 4" xfId="18124"/>
    <cellStyle name="Normal 70 6 5" xfId="24526"/>
    <cellStyle name="Normal 70 7" xfId="3232"/>
    <cellStyle name="Normal 70 7 2" xfId="6713"/>
    <cellStyle name="Normal 70 7 2 2" xfId="15194"/>
    <cellStyle name="Normal 70 7 2 3" xfId="21708"/>
    <cellStyle name="Normal 70 7 2 4" xfId="28097"/>
    <cellStyle name="Normal 70 7 3" xfId="11732"/>
    <cellStyle name="Normal 70 7 4" xfId="18291"/>
    <cellStyle name="Normal 70 7 5" xfId="24693"/>
    <cellStyle name="Normal 70 8" xfId="3403"/>
    <cellStyle name="Normal 70 8 2" xfId="6878"/>
    <cellStyle name="Normal 70 8 2 2" xfId="15359"/>
    <cellStyle name="Normal 70 8 2 3" xfId="21873"/>
    <cellStyle name="Normal 70 8 2 4" xfId="28262"/>
    <cellStyle name="Normal 70 8 3" xfId="11900"/>
    <cellStyle name="Normal 70 8 4" xfId="18456"/>
    <cellStyle name="Normal 70 8 5" xfId="24858"/>
    <cellStyle name="Normal 70 9" xfId="3573"/>
    <cellStyle name="Normal 70 9 2" xfId="7042"/>
    <cellStyle name="Normal 70 9 2 2" xfId="15523"/>
    <cellStyle name="Normal 70 9 2 3" xfId="22037"/>
    <cellStyle name="Normal 70 9 2 4" xfId="28426"/>
    <cellStyle name="Normal 70 9 3" xfId="12068"/>
    <cellStyle name="Normal 70 9 4" xfId="18621"/>
    <cellStyle name="Normal 70 9 5" xfId="25022"/>
    <cellStyle name="Normal 71" xfId="1355"/>
    <cellStyle name="Normal 71 10" xfId="3742"/>
    <cellStyle name="Normal 71 10 2" xfId="7205"/>
    <cellStyle name="Normal 71 10 2 2" xfId="15686"/>
    <cellStyle name="Normal 71 10 2 3" xfId="22200"/>
    <cellStyle name="Normal 71 10 2 4" xfId="28589"/>
    <cellStyle name="Normal 71 10 3" xfId="12237"/>
    <cellStyle name="Normal 71 10 4" xfId="18787"/>
    <cellStyle name="Normal 71 10 5" xfId="25185"/>
    <cellStyle name="Normal 71 11" xfId="3910"/>
    <cellStyle name="Normal 71 11 2" xfId="7368"/>
    <cellStyle name="Normal 71 11 2 2" xfId="15849"/>
    <cellStyle name="Normal 71 11 2 3" xfId="22363"/>
    <cellStyle name="Normal 71 11 2 4" xfId="28752"/>
    <cellStyle name="Normal 71 11 3" xfId="12404"/>
    <cellStyle name="Normal 71 11 4" xfId="18951"/>
    <cellStyle name="Normal 71 11 5" xfId="25348"/>
    <cellStyle name="Normal 71 12" xfId="4075"/>
    <cellStyle name="Normal 71 12 2" xfId="7528"/>
    <cellStyle name="Normal 71 12 2 2" xfId="16009"/>
    <cellStyle name="Normal 71 12 2 3" xfId="22523"/>
    <cellStyle name="Normal 71 12 2 4" xfId="28912"/>
    <cellStyle name="Normal 71 12 3" xfId="12568"/>
    <cellStyle name="Normal 71 12 4" xfId="19112"/>
    <cellStyle name="Normal 71 12 5" xfId="25508"/>
    <cellStyle name="Normal 71 13" xfId="4240"/>
    <cellStyle name="Normal 71 13 2" xfId="7688"/>
    <cellStyle name="Normal 71 13 2 2" xfId="16169"/>
    <cellStyle name="Normal 71 13 2 3" xfId="22683"/>
    <cellStyle name="Normal 71 13 2 4" xfId="29072"/>
    <cellStyle name="Normal 71 13 3" xfId="12732"/>
    <cellStyle name="Normal 71 13 4" xfId="19273"/>
    <cellStyle name="Normal 71 13 5" xfId="25668"/>
    <cellStyle name="Normal 71 14" xfId="4400"/>
    <cellStyle name="Normal 71 14 2" xfId="7843"/>
    <cellStyle name="Normal 71 14 2 2" xfId="16324"/>
    <cellStyle name="Normal 71 14 2 3" xfId="22838"/>
    <cellStyle name="Normal 71 14 2 4" xfId="29227"/>
    <cellStyle name="Normal 71 14 3" xfId="12891"/>
    <cellStyle name="Normal 71 14 4" xfId="19429"/>
    <cellStyle name="Normal 71 14 5" xfId="25823"/>
    <cellStyle name="Normal 71 15" xfId="4560"/>
    <cellStyle name="Normal 71 15 2" xfId="7998"/>
    <cellStyle name="Normal 71 15 2 2" xfId="16479"/>
    <cellStyle name="Normal 71 15 2 3" xfId="22993"/>
    <cellStyle name="Normal 71 15 2 4" xfId="29382"/>
    <cellStyle name="Normal 71 15 3" xfId="13051"/>
    <cellStyle name="Normal 71 15 4" xfId="19585"/>
    <cellStyle name="Normal 71 15 5" xfId="25978"/>
    <cellStyle name="Normal 71 16" xfId="4720"/>
    <cellStyle name="Normal 71 16 2" xfId="8153"/>
    <cellStyle name="Normal 71 16 2 2" xfId="16634"/>
    <cellStyle name="Normal 71 16 2 3" xfId="23148"/>
    <cellStyle name="Normal 71 16 2 4" xfId="29537"/>
    <cellStyle name="Normal 71 16 3" xfId="13210"/>
    <cellStyle name="Normal 71 16 4" xfId="19741"/>
    <cellStyle name="Normal 71 16 5" xfId="26133"/>
    <cellStyle name="Normal 71 17" xfId="4879"/>
    <cellStyle name="Normal 71 17 2" xfId="8307"/>
    <cellStyle name="Normal 71 17 2 2" xfId="16788"/>
    <cellStyle name="Normal 71 17 2 3" xfId="23302"/>
    <cellStyle name="Normal 71 17 2 4" xfId="29691"/>
    <cellStyle name="Normal 71 17 3" xfId="13368"/>
    <cellStyle name="Normal 71 17 4" xfId="19896"/>
    <cellStyle name="Normal 71 17 5" xfId="26287"/>
    <cellStyle name="Normal 71 18" xfId="5027"/>
    <cellStyle name="Normal 71 18 2" xfId="8450"/>
    <cellStyle name="Normal 71 18 2 2" xfId="16931"/>
    <cellStyle name="Normal 71 18 2 3" xfId="23445"/>
    <cellStyle name="Normal 71 18 2 4" xfId="29834"/>
    <cellStyle name="Normal 71 18 3" xfId="13515"/>
    <cellStyle name="Normal 71 18 4" xfId="20040"/>
    <cellStyle name="Normal 71 18 5" xfId="26430"/>
    <cellStyle name="Normal 71 19" xfId="5293"/>
    <cellStyle name="Normal 71 19 2" xfId="13774"/>
    <cellStyle name="Normal 71 19 3" xfId="20291"/>
    <cellStyle name="Normal 71 19 4" xfId="26680"/>
    <cellStyle name="Normal 71 2" xfId="1897"/>
    <cellStyle name="Normal 71 2 2" xfId="5493"/>
    <cellStyle name="Normal 71 2 2 2" xfId="13974"/>
    <cellStyle name="Normal 71 2 2 3" xfId="20488"/>
    <cellStyle name="Normal 71 2 2 4" xfId="26877"/>
    <cellStyle name="Normal 71 2 3" xfId="10467"/>
    <cellStyle name="Normal 71 2 4" xfId="17540"/>
    <cellStyle name="Normal 71 2 5" xfId="23950"/>
    <cellStyle name="Normal 71 20" xfId="10061"/>
    <cellStyle name="Normal 71 21" xfId="17434"/>
    <cellStyle name="Normal 71 22" xfId="23869"/>
    <cellStyle name="Normal 71 3" xfId="2237"/>
    <cellStyle name="Normal 71 3 2" xfId="5807"/>
    <cellStyle name="Normal 71 3 2 2" xfId="14288"/>
    <cellStyle name="Normal 71 3 2 3" xfId="20802"/>
    <cellStyle name="Normal 71 3 2 4" xfId="27191"/>
    <cellStyle name="Normal 71 3 3" xfId="10793"/>
    <cellStyle name="Normal 71 3 4" xfId="17167"/>
    <cellStyle name="Normal 71 3 5" xfId="23643"/>
    <cellStyle name="Normal 71 4" xfId="2710"/>
    <cellStyle name="Normal 71 4 2" xfId="6211"/>
    <cellStyle name="Normal 71 4 2 2" xfId="14692"/>
    <cellStyle name="Normal 71 4 2 3" xfId="21206"/>
    <cellStyle name="Normal 71 4 2 4" xfId="27595"/>
    <cellStyle name="Normal 71 4 3" xfId="11220"/>
    <cellStyle name="Normal 71 4 4" xfId="17789"/>
    <cellStyle name="Normal 71 4 5" xfId="24191"/>
    <cellStyle name="Normal 71 5" xfId="2884"/>
    <cellStyle name="Normal 71 5 2" xfId="6378"/>
    <cellStyle name="Normal 71 5 2 2" xfId="14859"/>
    <cellStyle name="Normal 71 5 2 3" xfId="21373"/>
    <cellStyle name="Normal 71 5 2 4" xfId="27762"/>
    <cellStyle name="Normal 71 5 3" xfId="11390"/>
    <cellStyle name="Normal 71 5 4" xfId="17956"/>
    <cellStyle name="Normal 71 5 5" xfId="24358"/>
    <cellStyle name="Normal 71 6" xfId="3058"/>
    <cellStyle name="Normal 71 6 2" xfId="6545"/>
    <cellStyle name="Normal 71 6 2 2" xfId="15026"/>
    <cellStyle name="Normal 71 6 2 3" xfId="21540"/>
    <cellStyle name="Normal 71 6 2 4" xfId="27929"/>
    <cellStyle name="Normal 71 6 3" xfId="11560"/>
    <cellStyle name="Normal 71 6 4" xfId="18123"/>
    <cellStyle name="Normal 71 6 5" xfId="24525"/>
    <cellStyle name="Normal 71 7" xfId="3231"/>
    <cellStyle name="Normal 71 7 2" xfId="6712"/>
    <cellStyle name="Normal 71 7 2 2" xfId="15193"/>
    <cellStyle name="Normal 71 7 2 3" xfId="21707"/>
    <cellStyle name="Normal 71 7 2 4" xfId="28096"/>
    <cellStyle name="Normal 71 7 3" xfId="11731"/>
    <cellStyle name="Normal 71 7 4" xfId="18290"/>
    <cellStyle name="Normal 71 7 5" xfId="24692"/>
    <cellStyle name="Normal 71 8" xfId="3402"/>
    <cellStyle name="Normal 71 8 2" xfId="6877"/>
    <cellStyle name="Normal 71 8 2 2" xfId="15358"/>
    <cellStyle name="Normal 71 8 2 3" xfId="21872"/>
    <cellStyle name="Normal 71 8 2 4" xfId="28261"/>
    <cellStyle name="Normal 71 8 3" xfId="11899"/>
    <cellStyle name="Normal 71 8 4" xfId="18455"/>
    <cellStyle name="Normal 71 8 5" xfId="24857"/>
    <cellStyle name="Normal 71 9" xfId="3572"/>
    <cellStyle name="Normal 71 9 2" xfId="7041"/>
    <cellStyle name="Normal 71 9 2 2" xfId="15522"/>
    <cellStyle name="Normal 71 9 2 3" xfId="22036"/>
    <cellStyle name="Normal 71 9 2 4" xfId="28425"/>
    <cellStyle name="Normal 71 9 3" xfId="12067"/>
    <cellStyle name="Normal 71 9 4" xfId="18620"/>
    <cellStyle name="Normal 71 9 5" xfId="25021"/>
    <cellStyle name="Normal 72" xfId="1356"/>
    <cellStyle name="Normal 72 10" xfId="3741"/>
    <cellStyle name="Normal 72 10 2" xfId="7204"/>
    <cellStyle name="Normal 72 10 2 2" xfId="15685"/>
    <cellStyle name="Normal 72 10 2 3" xfId="22199"/>
    <cellStyle name="Normal 72 10 2 4" xfId="28588"/>
    <cellStyle name="Normal 72 10 3" xfId="12236"/>
    <cellStyle name="Normal 72 10 4" xfId="18786"/>
    <cellStyle name="Normal 72 10 5" xfId="25184"/>
    <cellStyle name="Normal 72 11" xfId="3909"/>
    <cellStyle name="Normal 72 11 2" xfId="7367"/>
    <cellStyle name="Normal 72 11 2 2" xfId="15848"/>
    <cellStyle name="Normal 72 11 2 3" xfId="22362"/>
    <cellStyle name="Normal 72 11 2 4" xfId="28751"/>
    <cellStyle name="Normal 72 11 3" xfId="12403"/>
    <cellStyle name="Normal 72 11 4" xfId="18950"/>
    <cellStyle name="Normal 72 11 5" xfId="25347"/>
    <cellStyle name="Normal 72 12" xfId="4074"/>
    <cellStyle name="Normal 72 12 2" xfId="7527"/>
    <cellStyle name="Normal 72 12 2 2" xfId="16008"/>
    <cellStyle name="Normal 72 12 2 3" xfId="22522"/>
    <cellStyle name="Normal 72 12 2 4" xfId="28911"/>
    <cellStyle name="Normal 72 12 3" xfId="12567"/>
    <cellStyle name="Normal 72 12 4" xfId="19111"/>
    <cellStyle name="Normal 72 12 5" xfId="25507"/>
    <cellStyle name="Normal 72 13" xfId="4239"/>
    <cellStyle name="Normal 72 13 2" xfId="7687"/>
    <cellStyle name="Normal 72 13 2 2" xfId="16168"/>
    <cellStyle name="Normal 72 13 2 3" xfId="22682"/>
    <cellStyle name="Normal 72 13 2 4" xfId="29071"/>
    <cellStyle name="Normal 72 13 3" xfId="12731"/>
    <cellStyle name="Normal 72 13 4" xfId="19272"/>
    <cellStyle name="Normal 72 13 5" xfId="25667"/>
    <cellStyle name="Normal 72 14" xfId="4399"/>
    <cellStyle name="Normal 72 14 2" xfId="7842"/>
    <cellStyle name="Normal 72 14 2 2" xfId="16323"/>
    <cellStyle name="Normal 72 14 2 3" xfId="22837"/>
    <cellStyle name="Normal 72 14 2 4" xfId="29226"/>
    <cellStyle name="Normal 72 14 3" xfId="12890"/>
    <cellStyle name="Normal 72 14 4" xfId="19428"/>
    <cellStyle name="Normal 72 14 5" xfId="25822"/>
    <cellStyle name="Normal 72 15" xfId="4559"/>
    <cellStyle name="Normal 72 15 2" xfId="7997"/>
    <cellStyle name="Normal 72 15 2 2" xfId="16478"/>
    <cellStyle name="Normal 72 15 2 3" xfId="22992"/>
    <cellStyle name="Normal 72 15 2 4" xfId="29381"/>
    <cellStyle name="Normal 72 15 3" xfId="13050"/>
    <cellStyle name="Normal 72 15 4" xfId="19584"/>
    <cellStyle name="Normal 72 15 5" xfId="25977"/>
    <cellStyle name="Normal 72 16" xfId="4719"/>
    <cellStyle name="Normal 72 16 2" xfId="8152"/>
    <cellStyle name="Normal 72 16 2 2" xfId="16633"/>
    <cellStyle name="Normal 72 16 2 3" xfId="23147"/>
    <cellStyle name="Normal 72 16 2 4" xfId="29536"/>
    <cellStyle name="Normal 72 16 3" xfId="13209"/>
    <cellStyle name="Normal 72 16 4" xfId="19740"/>
    <cellStyle name="Normal 72 16 5" xfId="26132"/>
    <cellStyle name="Normal 72 17" xfId="4878"/>
    <cellStyle name="Normal 72 17 2" xfId="8306"/>
    <cellStyle name="Normal 72 17 2 2" xfId="16787"/>
    <cellStyle name="Normal 72 17 2 3" xfId="23301"/>
    <cellStyle name="Normal 72 17 2 4" xfId="29690"/>
    <cellStyle name="Normal 72 17 3" xfId="13367"/>
    <cellStyle name="Normal 72 17 4" xfId="19895"/>
    <cellStyle name="Normal 72 17 5" xfId="26286"/>
    <cellStyle name="Normal 72 18" xfId="5026"/>
    <cellStyle name="Normal 72 18 2" xfId="8449"/>
    <cellStyle name="Normal 72 18 2 2" xfId="16930"/>
    <cellStyle name="Normal 72 18 2 3" xfId="23444"/>
    <cellStyle name="Normal 72 18 2 4" xfId="29833"/>
    <cellStyle name="Normal 72 18 3" xfId="13514"/>
    <cellStyle name="Normal 72 18 4" xfId="20039"/>
    <cellStyle name="Normal 72 18 5" xfId="26429"/>
    <cellStyle name="Normal 72 19" xfId="5294"/>
    <cellStyle name="Normal 72 19 2" xfId="13775"/>
    <cellStyle name="Normal 72 19 3" xfId="20292"/>
    <cellStyle name="Normal 72 19 4" xfId="26681"/>
    <cellStyle name="Normal 72 2" xfId="1898"/>
    <cellStyle name="Normal 72 2 2" xfId="5494"/>
    <cellStyle name="Normal 72 2 2 2" xfId="13975"/>
    <cellStyle name="Normal 72 2 2 3" xfId="20489"/>
    <cellStyle name="Normal 72 2 2 4" xfId="26878"/>
    <cellStyle name="Normal 72 2 3" xfId="10468"/>
    <cellStyle name="Normal 72 2 4" xfId="17308"/>
    <cellStyle name="Normal 72 2 5" xfId="23780"/>
    <cellStyle name="Normal 72 20" xfId="10062"/>
    <cellStyle name="Normal 72 21" xfId="17092"/>
    <cellStyle name="Normal 72 22" xfId="23569"/>
    <cellStyle name="Normal 72 3" xfId="2238"/>
    <cellStyle name="Normal 72 3 2" xfId="5808"/>
    <cellStyle name="Normal 72 3 2 2" xfId="14289"/>
    <cellStyle name="Normal 72 3 2 3" xfId="20803"/>
    <cellStyle name="Normal 72 3 2 4" xfId="27192"/>
    <cellStyle name="Normal 72 3 3" xfId="10794"/>
    <cellStyle name="Normal 72 3 4" xfId="17168"/>
    <cellStyle name="Normal 72 3 5" xfId="23644"/>
    <cellStyle name="Normal 72 4" xfId="2709"/>
    <cellStyle name="Normal 72 4 2" xfId="6210"/>
    <cellStyle name="Normal 72 4 2 2" xfId="14691"/>
    <cellStyle name="Normal 72 4 2 3" xfId="21205"/>
    <cellStyle name="Normal 72 4 2 4" xfId="27594"/>
    <cellStyle name="Normal 72 4 3" xfId="11219"/>
    <cellStyle name="Normal 72 4 4" xfId="17788"/>
    <cellStyle name="Normal 72 4 5" xfId="24190"/>
    <cellStyle name="Normal 72 5" xfId="2883"/>
    <cellStyle name="Normal 72 5 2" xfId="6377"/>
    <cellStyle name="Normal 72 5 2 2" xfId="14858"/>
    <cellStyle name="Normal 72 5 2 3" xfId="21372"/>
    <cellStyle name="Normal 72 5 2 4" xfId="27761"/>
    <cellStyle name="Normal 72 5 3" xfId="11389"/>
    <cellStyle name="Normal 72 5 4" xfId="17955"/>
    <cellStyle name="Normal 72 5 5" xfId="24357"/>
    <cellStyle name="Normal 72 6" xfId="3057"/>
    <cellStyle name="Normal 72 6 2" xfId="6544"/>
    <cellStyle name="Normal 72 6 2 2" xfId="15025"/>
    <cellStyle name="Normal 72 6 2 3" xfId="21539"/>
    <cellStyle name="Normal 72 6 2 4" xfId="27928"/>
    <cellStyle name="Normal 72 6 3" xfId="11559"/>
    <cellStyle name="Normal 72 6 4" xfId="18122"/>
    <cellStyle name="Normal 72 6 5" xfId="24524"/>
    <cellStyle name="Normal 72 7" xfId="3230"/>
    <cellStyle name="Normal 72 7 2" xfId="6711"/>
    <cellStyle name="Normal 72 7 2 2" xfId="15192"/>
    <cellStyle name="Normal 72 7 2 3" xfId="21706"/>
    <cellStyle name="Normal 72 7 2 4" xfId="28095"/>
    <cellStyle name="Normal 72 7 3" xfId="11730"/>
    <cellStyle name="Normal 72 7 4" xfId="18289"/>
    <cellStyle name="Normal 72 7 5" xfId="24691"/>
    <cellStyle name="Normal 72 8" xfId="3401"/>
    <cellStyle name="Normal 72 8 2" xfId="6876"/>
    <cellStyle name="Normal 72 8 2 2" xfId="15357"/>
    <cellStyle name="Normal 72 8 2 3" xfId="21871"/>
    <cellStyle name="Normal 72 8 2 4" xfId="28260"/>
    <cellStyle name="Normal 72 8 3" xfId="11898"/>
    <cellStyle name="Normal 72 8 4" xfId="18454"/>
    <cellStyle name="Normal 72 8 5" xfId="24856"/>
    <cellStyle name="Normal 72 9" xfId="3571"/>
    <cellStyle name="Normal 72 9 2" xfId="7040"/>
    <cellStyle name="Normal 72 9 2 2" xfId="15521"/>
    <cellStyle name="Normal 72 9 2 3" xfId="22035"/>
    <cellStyle name="Normal 72 9 2 4" xfId="28424"/>
    <cellStyle name="Normal 72 9 3" xfId="12066"/>
    <cellStyle name="Normal 72 9 4" xfId="18619"/>
    <cellStyle name="Normal 72 9 5" xfId="25020"/>
    <cellStyle name="Normal 73" xfId="1357"/>
    <cellStyle name="Normal 73 10" xfId="3740"/>
    <cellStyle name="Normal 73 10 2" xfId="7203"/>
    <cellStyle name="Normal 73 10 2 2" xfId="15684"/>
    <cellStyle name="Normal 73 10 2 3" xfId="22198"/>
    <cellStyle name="Normal 73 10 2 4" xfId="28587"/>
    <cellStyle name="Normal 73 10 3" xfId="12235"/>
    <cellStyle name="Normal 73 10 4" xfId="18785"/>
    <cellStyle name="Normal 73 10 5" xfId="25183"/>
    <cellStyle name="Normal 73 11" xfId="3908"/>
    <cellStyle name="Normal 73 11 2" xfId="7366"/>
    <cellStyle name="Normal 73 11 2 2" xfId="15847"/>
    <cellStyle name="Normal 73 11 2 3" xfId="22361"/>
    <cellStyle name="Normal 73 11 2 4" xfId="28750"/>
    <cellStyle name="Normal 73 11 3" xfId="12402"/>
    <cellStyle name="Normal 73 11 4" xfId="18949"/>
    <cellStyle name="Normal 73 11 5" xfId="25346"/>
    <cellStyle name="Normal 73 12" xfId="4073"/>
    <cellStyle name="Normal 73 12 2" xfId="7526"/>
    <cellStyle name="Normal 73 12 2 2" xfId="16007"/>
    <cellStyle name="Normal 73 12 2 3" xfId="22521"/>
    <cellStyle name="Normal 73 12 2 4" xfId="28910"/>
    <cellStyle name="Normal 73 12 3" xfId="12566"/>
    <cellStyle name="Normal 73 12 4" xfId="19110"/>
    <cellStyle name="Normal 73 12 5" xfId="25506"/>
    <cellStyle name="Normal 73 13" xfId="4238"/>
    <cellStyle name="Normal 73 13 2" xfId="7686"/>
    <cellStyle name="Normal 73 13 2 2" xfId="16167"/>
    <cellStyle name="Normal 73 13 2 3" xfId="22681"/>
    <cellStyle name="Normal 73 13 2 4" xfId="29070"/>
    <cellStyle name="Normal 73 13 3" xfId="12730"/>
    <cellStyle name="Normal 73 13 4" xfId="19271"/>
    <cellStyle name="Normal 73 13 5" xfId="25666"/>
    <cellStyle name="Normal 73 14" xfId="4398"/>
    <cellStyle name="Normal 73 14 2" xfId="7841"/>
    <cellStyle name="Normal 73 14 2 2" xfId="16322"/>
    <cellStyle name="Normal 73 14 2 3" xfId="22836"/>
    <cellStyle name="Normal 73 14 2 4" xfId="29225"/>
    <cellStyle name="Normal 73 14 3" xfId="12889"/>
    <cellStyle name="Normal 73 14 4" xfId="19427"/>
    <cellStyle name="Normal 73 14 5" xfId="25821"/>
    <cellStyle name="Normal 73 15" xfId="4558"/>
    <cellStyle name="Normal 73 15 2" xfId="7996"/>
    <cellStyle name="Normal 73 15 2 2" xfId="16477"/>
    <cellStyle name="Normal 73 15 2 3" xfId="22991"/>
    <cellStyle name="Normal 73 15 2 4" xfId="29380"/>
    <cellStyle name="Normal 73 15 3" xfId="13049"/>
    <cellStyle name="Normal 73 15 4" xfId="19583"/>
    <cellStyle name="Normal 73 15 5" xfId="25976"/>
    <cellStyle name="Normal 73 16" xfId="4718"/>
    <cellStyle name="Normal 73 16 2" xfId="8151"/>
    <cellStyle name="Normal 73 16 2 2" xfId="16632"/>
    <cellStyle name="Normal 73 16 2 3" xfId="23146"/>
    <cellStyle name="Normal 73 16 2 4" xfId="29535"/>
    <cellStyle name="Normal 73 16 3" xfId="13208"/>
    <cellStyle name="Normal 73 16 4" xfId="19739"/>
    <cellStyle name="Normal 73 16 5" xfId="26131"/>
    <cellStyle name="Normal 73 17" xfId="4877"/>
    <cellStyle name="Normal 73 17 2" xfId="8305"/>
    <cellStyle name="Normal 73 17 2 2" xfId="16786"/>
    <cellStyle name="Normal 73 17 2 3" xfId="23300"/>
    <cellStyle name="Normal 73 17 2 4" xfId="29689"/>
    <cellStyle name="Normal 73 17 3" xfId="13366"/>
    <cellStyle name="Normal 73 17 4" xfId="19894"/>
    <cellStyle name="Normal 73 17 5" xfId="26285"/>
    <cellStyle name="Normal 73 18" xfId="5025"/>
    <cellStyle name="Normal 73 18 2" xfId="8448"/>
    <cellStyle name="Normal 73 18 2 2" xfId="16929"/>
    <cellStyle name="Normal 73 18 2 3" xfId="23443"/>
    <cellStyle name="Normal 73 18 2 4" xfId="29832"/>
    <cellStyle name="Normal 73 18 3" xfId="13513"/>
    <cellStyle name="Normal 73 18 4" xfId="20038"/>
    <cellStyle name="Normal 73 18 5" xfId="26428"/>
    <cellStyle name="Normal 73 19" xfId="5295"/>
    <cellStyle name="Normal 73 19 2" xfId="13776"/>
    <cellStyle name="Normal 73 19 3" xfId="20293"/>
    <cellStyle name="Normal 73 19 4" xfId="26682"/>
    <cellStyle name="Normal 73 2" xfId="1899"/>
    <cellStyle name="Normal 73 2 2" xfId="5495"/>
    <cellStyle name="Normal 73 2 2 2" xfId="13976"/>
    <cellStyle name="Normal 73 2 2 3" xfId="20490"/>
    <cellStyle name="Normal 73 2 2 4" xfId="26879"/>
    <cellStyle name="Normal 73 2 3" xfId="10469"/>
    <cellStyle name="Normal 73 2 4" xfId="17334"/>
    <cellStyle name="Normal 73 2 5" xfId="23798"/>
    <cellStyle name="Normal 73 20" xfId="10063"/>
    <cellStyle name="Normal 73 21" xfId="9693"/>
    <cellStyle name="Normal 73 22" xfId="17448"/>
    <cellStyle name="Normal 73 3" xfId="2239"/>
    <cellStyle name="Normal 73 3 2" xfId="5809"/>
    <cellStyle name="Normal 73 3 2 2" xfId="14290"/>
    <cellStyle name="Normal 73 3 2 3" xfId="20804"/>
    <cellStyle name="Normal 73 3 2 4" xfId="27193"/>
    <cellStyle name="Normal 73 3 3" xfId="10795"/>
    <cellStyle name="Normal 73 3 4" xfId="17169"/>
    <cellStyle name="Normal 73 3 5" xfId="23645"/>
    <cellStyle name="Normal 73 4" xfId="2708"/>
    <cellStyle name="Normal 73 4 2" xfId="6209"/>
    <cellStyle name="Normal 73 4 2 2" xfId="14690"/>
    <cellStyle name="Normal 73 4 2 3" xfId="21204"/>
    <cellStyle name="Normal 73 4 2 4" xfId="27593"/>
    <cellStyle name="Normal 73 4 3" xfId="11218"/>
    <cellStyle name="Normal 73 4 4" xfId="17787"/>
    <cellStyle name="Normal 73 4 5" xfId="24189"/>
    <cellStyle name="Normal 73 5" xfId="2882"/>
    <cellStyle name="Normal 73 5 2" xfId="6376"/>
    <cellStyle name="Normal 73 5 2 2" xfId="14857"/>
    <cellStyle name="Normal 73 5 2 3" xfId="21371"/>
    <cellStyle name="Normal 73 5 2 4" xfId="27760"/>
    <cellStyle name="Normal 73 5 3" xfId="11388"/>
    <cellStyle name="Normal 73 5 4" xfId="17954"/>
    <cellStyle name="Normal 73 5 5" xfId="24356"/>
    <cellStyle name="Normal 73 6" xfId="3056"/>
    <cellStyle name="Normal 73 6 2" xfId="6543"/>
    <cellStyle name="Normal 73 6 2 2" xfId="15024"/>
    <cellStyle name="Normal 73 6 2 3" xfId="21538"/>
    <cellStyle name="Normal 73 6 2 4" xfId="27927"/>
    <cellStyle name="Normal 73 6 3" xfId="11558"/>
    <cellStyle name="Normal 73 6 4" xfId="18121"/>
    <cellStyle name="Normal 73 6 5" xfId="24523"/>
    <cellStyle name="Normal 73 7" xfId="3229"/>
    <cellStyle name="Normal 73 7 2" xfId="6710"/>
    <cellStyle name="Normal 73 7 2 2" xfId="15191"/>
    <cellStyle name="Normal 73 7 2 3" xfId="21705"/>
    <cellStyle name="Normal 73 7 2 4" xfId="28094"/>
    <cellStyle name="Normal 73 7 3" xfId="11729"/>
    <cellStyle name="Normal 73 7 4" xfId="18288"/>
    <cellStyle name="Normal 73 7 5" xfId="24690"/>
    <cellStyle name="Normal 73 8" xfId="3400"/>
    <cellStyle name="Normal 73 8 2" xfId="6875"/>
    <cellStyle name="Normal 73 8 2 2" xfId="15356"/>
    <cellStyle name="Normal 73 8 2 3" xfId="21870"/>
    <cellStyle name="Normal 73 8 2 4" xfId="28259"/>
    <cellStyle name="Normal 73 8 3" xfId="11897"/>
    <cellStyle name="Normal 73 8 4" xfId="18453"/>
    <cellStyle name="Normal 73 8 5" xfId="24855"/>
    <cellStyle name="Normal 73 9" xfId="3570"/>
    <cellStyle name="Normal 73 9 2" xfId="7039"/>
    <cellStyle name="Normal 73 9 2 2" xfId="15520"/>
    <cellStyle name="Normal 73 9 2 3" xfId="22034"/>
    <cellStyle name="Normal 73 9 2 4" xfId="28423"/>
    <cellStyle name="Normal 73 9 3" xfId="12065"/>
    <cellStyle name="Normal 73 9 4" xfId="18618"/>
    <cellStyle name="Normal 73 9 5" xfId="25019"/>
    <cellStyle name="Normal 74" xfId="1358"/>
    <cellStyle name="Normal 74 10" xfId="3739"/>
    <cellStyle name="Normal 74 10 2" xfId="7202"/>
    <cellStyle name="Normal 74 10 2 2" xfId="15683"/>
    <cellStyle name="Normal 74 10 2 3" xfId="22197"/>
    <cellStyle name="Normal 74 10 2 4" xfId="28586"/>
    <cellStyle name="Normal 74 10 3" xfId="12234"/>
    <cellStyle name="Normal 74 10 4" xfId="18784"/>
    <cellStyle name="Normal 74 10 5" xfId="25182"/>
    <cellStyle name="Normal 74 11" xfId="3907"/>
    <cellStyle name="Normal 74 11 2" xfId="7365"/>
    <cellStyle name="Normal 74 11 2 2" xfId="15846"/>
    <cellStyle name="Normal 74 11 2 3" xfId="22360"/>
    <cellStyle name="Normal 74 11 2 4" xfId="28749"/>
    <cellStyle name="Normal 74 11 3" xfId="12401"/>
    <cellStyle name="Normal 74 11 4" xfId="18948"/>
    <cellStyle name="Normal 74 11 5" xfId="25345"/>
    <cellStyle name="Normal 74 12" xfId="4072"/>
    <cellStyle name="Normal 74 12 2" xfId="7525"/>
    <cellStyle name="Normal 74 12 2 2" xfId="16006"/>
    <cellStyle name="Normal 74 12 2 3" xfId="22520"/>
    <cellStyle name="Normal 74 12 2 4" xfId="28909"/>
    <cellStyle name="Normal 74 12 3" xfId="12565"/>
    <cellStyle name="Normal 74 12 4" xfId="19109"/>
    <cellStyle name="Normal 74 12 5" xfId="25505"/>
    <cellStyle name="Normal 74 13" xfId="4237"/>
    <cellStyle name="Normal 74 13 2" xfId="7685"/>
    <cellStyle name="Normal 74 13 2 2" xfId="16166"/>
    <cellStyle name="Normal 74 13 2 3" xfId="22680"/>
    <cellStyle name="Normal 74 13 2 4" xfId="29069"/>
    <cellStyle name="Normal 74 13 3" xfId="12729"/>
    <cellStyle name="Normal 74 13 4" xfId="19270"/>
    <cellStyle name="Normal 74 13 5" xfId="25665"/>
    <cellStyle name="Normal 74 14" xfId="4397"/>
    <cellStyle name="Normal 74 14 2" xfId="7840"/>
    <cellStyle name="Normal 74 14 2 2" xfId="16321"/>
    <cellStyle name="Normal 74 14 2 3" xfId="22835"/>
    <cellStyle name="Normal 74 14 2 4" xfId="29224"/>
    <cellStyle name="Normal 74 14 3" xfId="12888"/>
    <cellStyle name="Normal 74 14 4" xfId="19426"/>
    <cellStyle name="Normal 74 14 5" xfId="25820"/>
    <cellStyle name="Normal 74 15" xfId="4557"/>
    <cellStyle name="Normal 74 15 2" xfId="7995"/>
    <cellStyle name="Normal 74 15 2 2" xfId="16476"/>
    <cellStyle name="Normal 74 15 2 3" xfId="22990"/>
    <cellStyle name="Normal 74 15 2 4" xfId="29379"/>
    <cellStyle name="Normal 74 15 3" xfId="13048"/>
    <cellStyle name="Normal 74 15 4" xfId="19582"/>
    <cellStyle name="Normal 74 15 5" xfId="25975"/>
    <cellStyle name="Normal 74 16" xfId="4717"/>
    <cellStyle name="Normal 74 16 2" xfId="8150"/>
    <cellStyle name="Normal 74 16 2 2" xfId="16631"/>
    <cellStyle name="Normal 74 16 2 3" xfId="23145"/>
    <cellStyle name="Normal 74 16 2 4" xfId="29534"/>
    <cellStyle name="Normal 74 16 3" xfId="13207"/>
    <cellStyle name="Normal 74 16 4" xfId="19738"/>
    <cellStyle name="Normal 74 16 5" xfId="26130"/>
    <cellStyle name="Normal 74 17" xfId="4876"/>
    <cellStyle name="Normal 74 17 2" xfId="8304"/>
    <cellStyle name="Normal 74 17 2 2" xfId="16785"/>
    <cellStyle name="Normal 74 17 2 3" xfId="23299"/>
    <cellStyle name="Normal 74 17 2 4" xfId="29688"/>
    <cellStyle name="Normal 74 17 3" xfId="13365"/>
    <cellStyle name="Normal 74 17 4" xfId="19893"/>
    <cellStyle name="Normal 74 17 5" xfId="26284"/>
    <cellStyle name="Normal 74 18" xfId="5024"/>
    <cellStyle name="Normal 74 18 2" xfId="8447"/>
    <cellStyle name="Normal 74 18 2 2" xfId="16928"/>
    <cellStyle name="Normal 74 18 2 3" xfId="23442"/>
    <cellStyle name="Normal 74 18 2 4" xfId="29831"/>
    <cellStyle name="Normal 74 18 3" xfId="13512"/>
    <cellStyle name="Normal 74 18 4" xfId="20037"/>
    <cellStyle name="Normal 74 18 5" xfId="26427"/>
    <cellStyle name="Normal 74 19" xfId="5296"/>
    <cellStyle name="Normal 74 19 2" xfId="13777"/>
    <cellStyle name="Normal 74 19 3" xfId="20294"/>
    <cellStyle name="Normal 74 19 4" xfId="26683"/>
    <cellStyle name="Normal 74 2" xfId="1900"/>
    <cellStyle name="Normal 74 2 2" xfId="5496"/>
    <cellStyle name="Normal 74 2 2 2" xfId="13977"/>
    <cellStyle name="Normal 74 2 2 3" xfId="20491"/>
    <cellStyle name="Normal 74 2 2 4" xfId="26880"/>
    <cellStyle name="Normal 74 2 3" xfId="10470"/>
    <cellStyle name="Normal 74 2 4" xfId="9552"/>
    <cellStyle name="Normal 74 2 5" xfId="10168"/>
    <cellStyle name="Normal 74 20" xfId="10064"/>
    <cellStyle name="Normal 74 21" xfId="9692"/>
    <cellStyle name="Normal 74 22" xfId="10026"/>
    <cellStyle name="Normal 74 3" xfId="2240"/>
    <cellStyle name="Normal 74 3 2" xfId="5810"/>
    <cellStyle name="Normal 74 3 2 2" xfId="14291"/>
    <cellStyle name="Normal 74 3 2 3" xfId="20805"/>
    <cellStyle name="Normal 74 3 2 4" xfId="27194"/>
    <cellStyle name="Normal 74 3 3" xfId="10796"/>
    <cellStyle name="Normal 74 3 4" xfId="17170"/>
    <cellStyle name="Normal 74 3 5" xfId="23646"/>
    <cellStyle name="Normal 74 4" xfId="2707"/>
    <cellStyle name="Normal 74 4 2" xfId="6208"/>
    <cellStyle name="Normal 74 4 2 2" xfId="14689"/>
    <cellStyle name="Normal 74 4 2 3" xfId="21203"/>
    <cellStyle name="Normal 74 4 2 4" xfId="27592"/>
    <cellStyle name="Normal 74 4 3" xfId="11217"/>
    <cellStyle name="Normal 74 4 4" xfId="17786"/>
    <cellStyle name="Normal 74 4 5" xfId="24188"/>
    <cellStyle name="Normal 74 5" xfId="2881"/>
    <cellStyle name="Normal 74 5 2" xfId="6375"/>
    <cellStyle name="Normal 74 5 2 2" xfId="14856"/>
    <cellStyle name="Normal 74 5 2 3" xfId="21370"/>
    <cellStyle name="Normal 74 5 2 4" xfId="27759"/>
    <cellStyle name="Normal 74 5 3" xfId="11387"/>
    <cellStyle name="Normal 74 5 4" xfId="17953"/>
    <cellStyle name="Normal 74 5 5" xfId="24355"/>
    <cellStyle name="Normal 74 6" xfId="3055"/>
    <cellStyle name="Normal 74 6 2" xfId="6542"/>
    <cellStyle name="Normal 74 6 2 2" xfId="15023"/>
    <cellStyle name="Normal 74 6 2 3" xfId="21537"/>
    <cellStyle name="Normal 74 6 2 4" xfId="27926"/>
    <cellStyle name="Normal 74 6 3" xfId="11557"/>
    <cellStyle name="Normal 74 6 4" xfId="18120"/>
    <cellStyle name="Normal 74 6 5" xfId="24522"/>
    <cellStyle name="Normal 74 7" xfId="3228"/>
    <cellStyle name="Normal 74 7 2" xfId="6709"/>
    <cellStyle name="Normal 74 7 2 2" xfId="15190"/>
    <cellStyle name="Normal 74 7 2 3" xfId="21704"/>
    <cellStyle name="Normal 74 7 2 4" xfId="28093"/>
    <cellStyle name="Normal 74 7 3" xfId="11728"/>
    <cellStyle name="Normal 74 7 4" xfId="18287"/>
    <cellStyle name="Normal 74 7 5" xfId="24689"/>
    <cellStyle name="Normal 74 8" xfId="3399"/>
    <cellStyle name="Normal 74 8 2" xfId="6874"/>
    <cellStyle name="Normal 74 8 2 2" xfId="15355"/>
    <cellStyle name="Normal 74 8 2 3" xfId="21869"/>
    <cellStyle name="Normal 74 8 2 4" xfId="28258"/>
    <cellStyle name="Normal 74 8 3" xfId="11896"/>
    <cellStyle name="Normal 74 8 4" xfId="18452"/>
    <cellStyle name="Normal 74 8 5" xfId="24854"/>
    <cellStyle name="Normal 74 9" xfId="3569"/>
    <cellStyle name="Normal 74 9 2" xfId="7038"/>
    <cellStyle name="Normal 74 9 2 2" xfId="15519"/>
    <cellStyle name="Normal 74 9 2 3" xfId="22033"/>
    <cellStyle name="Normal 74 9 2 4" xfId="28422"/>
    <cellStyle name="Normal 74 9 3" xfId="12064"/>
    <cellStyle name="Normal 74 9 4" xfId="18617"/>
    <cellStyle name="Normal 74 9 5" xfId="25018"/>
    <cellStyle name="Normal 75" xfId="1359"/>
    <cellStyle name="Normal 75 10" xfId="3738"/>
    <cellStyle name="Normal 75 10 2" xfId="7201"/>
    <cellStyle name="Normal 75 10 2 2" xfId="15682"/>
    <cellStyle name="Normal 75 10 2 3" xfId="22196"/>
    <cellStyle name="Normal 75 10 2 4" xfId="28585"/>
    <cellStyle name="Normal 75 10 3" xfId="12233"/>
    <cellStyle name="Normal 75 10 4" xfId="18783"/>
    <cellStyle name="Normal 75 10 5" xfId="25181"/>
    <cellStyle name="Normal 75 11" xfId="3906"/>
    <cellStyle name="Normal 75 11 2" xfId="7364"/>
    <cellStyle name="Normal 75 11 2 2" xfId="15845"/>
    <cellStyle name="Normal 75 11 2 3" xfId="22359"/>
    <cellStyle name="Normal 75 11 2 4" xfId="28748"/>
    <cellStyle name="Normal 75 11 3" xfId="12400"/>
    <cellStyle name="Normal 75 11 4" xfId="18947"/>
    <cellStyle name="Normal 75 11 5" xfId="25344"/>
    <cellStyle name="Normal 75 12" xfId="4071"/>
    <cellStyle name="Normal 75 12 2" xfId="7524"/>
    <cellStyle name="Normal 75 12 2 2" xfId="16005"/>
    <cellStyle name="Normal 75 12 2 3" xfId="22519"/>
    <cellStyle name="Normal 75 12 2 4" xfId="28908"/>
    <cellStyle name="Normal 75 12 3" xfId="12564"/>
    <cellStyle name="Normal 75 12 4" xfId="19108"/>
    <cellStyle name="Normal 75 12 5" xfId="25504"/>
    <cellStyle name="Normal 75 13" xfId="4236"/>
    <cellStyle name="Normal 75 13 2" xfId="7684"/>
    <cellStyle name="Normal 75 13 2 2" xfId="16165"/>
    <cellStyle name="Normal 75 13 2 3" xfId="22679"/>
    <cellStyle name="Normal 75 13 2 4" xfId="29068"/>
    <cellStyle name="Normal 75 13 3" xfId="12728"/>
    <cellStyle name="Normal 75 13 4" xfId="19269"/>
    <cellStyle name="Normal 75 13 5" xfId="25664"/>
    <cellStyle name="Normal 75 14" xfId="4396"/>
    <cellStyle name="Normal 75 14 2" xfId="7839"/>
    <cellStyle name="Normal 75 14 2 2" xfId="16320"/>
    <cellStyle name="Normal 75 14 2 3" xfId="22834"/>
    <cellStyle name="Normal 75 14 2 4" xfId="29223"/>
    <cellStyle name="Normal 75 14 3" xfId="12887"/>
    <cellStyle name="Normal 75 14 4" xfId="19425"/>
    <cellStyle name="Normal 75 14 5" xfId="25819"/>
    <cellStyle name="Normal 75 15" xfId="4556"/>
    <cellStyle name="Normal 75 15 2" xfId="7994"/>
    <cellStyle name="Normal 75 15 2 2" xfId="16475"/>
    <cellStyle name="Normal 75 15 2 3" xfId="22989"/>
    <cellStyle name="Normal 75 15 2 4" xfId="29378"/>
    <cellStyle name="Normal 75 15 3" xfId="13047"/>
    <cellStyle name="Normal 75 15 4" xfId="19581"/>
    <cellStyle name="Normal 75 15 5" xfId="25974"/>
    <cellStyle name="Normal 75 16" xfId="4716"/>
    <cellStyle name="Normal 75 16 2" xfId="8149"/>
    <cellStyle name="Normal 75 16 2 2" xfId="16630"/>
    <cellStyle name="Normal 75 16 2 3" xfId="23144"/>
    <cellStyle name="Normal 75 16 2 4" xfId="29533"/>
    <cellStyle name="Normal 75 16 3" xfId="13206"/>
    <cellStyle name="Normal 75 16 4" xfId="19737"/>
    <cellStyle name="Normal 75 16 5" xfId="26129"/>
    <cellStyle name="Normal 75 17" xfId="4875"/>
    <cellStyle name="Normal 75 17 2" xfId="8303"/>
    <cellStyle name="Normal 75 17 2 2" xfId="16784"/>
    <cellStyle name="Normal 75 17 2 3" xfId="23298"/>
    <cellStyle name="Normal 75 17 2 4" xfId="29687"/>
    <cellStyle name="Normal 75 17 3" xfId="13364"/>
    <cellStyle name="Normal 75 17 4" xfId="19892"/>
    <cellStyle name="Normal 75 17 5" xfId="26283"/>
    <cellStyle name="Normal 75 18" xfId="5023"/>
    <cellStyle name="Normal 75 18 2" xfId="8446"/>
    <cellStyle name="Normal 75 18 2 2" xfId="16927"/>
    <cellStyle name="Normal 75 18 2 3" xfId="23441"/>
    <cellStyle name="Normal 75 18 2 4" xfId="29830"/>
    <cellStyle name="Normal 75 18 3" xfId="13511"/>
    <cellStyle name="Normal 75 18 4" xfId="20036"/>
    <cellStyle name="Normal 75 18 5" xfId="26426"/>
    <cellStyle name="Normal 75 19" xfId="5297"/>
    <cellStyle name="Normal 75 19 2" xfId="13778"/>
    <cellStyle name="Normal 75 19 3" xfId="20295"/>
    <cellStyle name="Normal 75 19 4" xfId="26684"/>
    <cellStyle name="Normal 75 2" xfId="1901"/>
    <cellStyle name="Normal 75 2 2" xfId="5497"/>
    <cellStyle name="Normal 75 2 2 2" xfId="13978"/>
    <cellStyle name="Normal 75 2 2 3" xfId="20492"/>
    <cellStyle name="Normal 75 2 2 4" xfId="26881"/>
    <cellStyle name="Normal 75 2 3" xfId="10471"/>
    <cellStyle name="Normal 75 2 4" xfId="17385"/>
    <cellStyle name="Normal 75 2 5" xfId="23824"/>
    <cellStyle name="Normal 75 20" xfId="10065"/>
    <cellStyle name="Normal 75 21" xfId="9691"/>
    <cellStyle name="Normal 75 22" xfId="10027"/>
    <cellStyle name="Normal 75 3" xfId="2241"/>
    <cellStyle name="Normal 75 3 2" xfId="5811"/>
    <cellStyle name="Normal 75 3 2 2" xfId="14292"/>
    <cellStyle name="Normal 75 3 2 3" xfId="20806"/>
    <cellStyle name="Normal 75 3 2 4" xfId="27195"/>
    <cellStyle name="Normal 75 3 3" xfId="10797"/>
    <cellStyle name="Normal 75 3 4" xfId="17310"/>
    <cellStyle name="Normal 75 3 5" xfId="23782"/>
    <cellStyle name="Normal 75 4" xfId="2706"/>
    <cellStyle name="Normal 75 4 2" xfId="6207"/>
    <cellStyle name="Normal 75 4 2 2" xfId="14688"/>
    <cellStyle name="Normal 75 4 2 3" xfId="21202"/>
    <cellStyle name="Normal 75 4 2 4" xfId="27591"/>
    <cellStyle name="Normal 75 4 3" xfId="11216"/>
    <cellStyle name="Normal 75 4 4" xfId="17785"/>
    <cellStyle name="Normal 75 4 5" xfId="24187"/>
    <cellStyle name="Normal 75 5" xfId="2880"/>
    <cellStyle name="Normal 75 5 2" xfId="6374"/>
    <cellStyle name="Normal 75 5 2 2" xfId="14855"/>
    <cellStyle name="Normal 75 5 2 3" xfId="21369"/>
    <cellStyle name="Normal 75 5 2 4" xfId="27758"/>
    <cellStyle name="Normal 75 5 3" xfId="11386"/>
    <cellStyle name="Normal 75 5 4" xfId="17952"/>
    <cellStyle name="Normal 75 5 5" xfId="24354"/>
    <cellStyle name="Normal 75 6" xfId="3054"/>
    <cellStyle name="Normal 75 6 2" xfId="6541"/>
    <cellStyle name="Normal 75 6 2 2" xfId="15022"/>
    <cellStyle name="Normal 75 6 2 3" xfId="21536"/>
    <cellStyle name="Normal 75 6 2 4" xfId="27925"/>
    <cellStyle name="Normal 75 6 3" xfId="11556"/>
    <cellStyle name="Normal 75 6 4" xfId="18119"/>
    <cellStyle name="Normal 75 6 5" xfId="24521"/>
    <cellStyle name="Normal 75 7" xfId="3227"/>
    <cellStyle name="Normal 75 7 2" xfId="6708"/>
    <cellStyle name="Normal 75 7 2 2" xfId="15189"/>
    <cellStyle name="Normal 75 7 2 3" xfId="21703"/>
    <cellStyle name="Normal 75 7 2 4" xfId="28092"/>
    <cellStyle name="Normal 75 7 3" xfId="11727"/>
    <cellStyle name="Normal 75 7 4" xfId="18286"/>
    <cellStyle name="Normal 75 7 5" xfId="24688"/>
    <cellStyle name="Normal 75 8" xfId="3398"/>
    <cellStyle name="Normal 75 8 2" xfId="6873"/>
    <cellStyle name="Normal 75 8 2 2" xfId="15354"/>
    <cellStyle name="Normal 75 8 2 3" xfId="21868"/>
    <cellStyle name="Normal 75 8 2 4" xfId="28257"/>
    <cellStyle name="Normal 75 8 3" xfId="11895"/>
    <cellStyle name="Normal 75 8 4" xfId="18451"/>
    <cellStyle name="Normal 75 8 5" xfId="24853"/>
    <cellStyle name="Normal 75 9" xfId="3568"/>
    <cellStyle name="Normal 75 9 2" xfId="7037"/>
    <cellStyle name="Normal 75 9 2 2" xfId="15518"/>
    <cellStyle name="Normal 75 9 2 3" xfId="22032"/>
    <cellStyle name="Normal 75 9 2 4" xfId="28421"/>
    <cellStyle name="Normal 75 9 3" xfId="12063"/>
    <cellStyle name="Normal 75 9 4" xfId="18616"/>
    <cellStyle name="Normal 75 9 5" xfId="25017"/>
    <cellStyle name="Normal 76" xfId="1360"/>
    <cellStyle name="Normal 76 10" xfId="3737"/>
    <cellStyle name="Normal 76 10 2" xfId="7200"/>
    <cellStyle name="Normal 76 10 2 2" xfId="15681"/>
    <cellStyle name="Normal 76 10 2 3" xfId="22195"/>
    <cellStyle name="Normal 76 10 2 4" xfId="28584"/>
    <cellStyle name="Normal 76 10 3" xfId="12232"/>
    <cellStyle name="Normal 76 10 4" xfId="18782"/>
    <cellStyle name="Normal 76 10 5" xfId="25180"/>
    <cellStyle name="Normal 76 11" xfId="3905"/>
    <cellStyle name="Normal 76 11 2" xfId="7363"/>
    <cellStyle name="Normal 76 11 2 2" xfId="15844"/>
    <cellStyle name="Normal 76 11 2 3" xfId="22358"/>
    <cellStyle name="Normal 76 11 2 4" xfId="28747"/>
    <cellStyle name="Normal 76 11 3" xfId="12399"/>
    <cellStyle name="Normal 76 11 4" xfId="18946"/>
    <cellStyle name="Normal 76 11 5" xfId="25343"/>
    <cellStyle name="Normal 76 12" xfId="4070"/>
    <cellStyle name="Normal 76 12 2" xfId="7523"/>
    <cellStyle name="Normal 76 12 2 2" xfId="16004"/>
    <cellStyle name="Normal 76 12 2 3" xfId="22518"/>
    <cellStyle name="Normal 76 12 2 4" xfId="28907"/>
    <cellStyle name="Normal 76 12 3" xfId="12563"/>
    <cellStyle name="Normal 76 12 4" xfId="19107"/>
    <cellStyle name="Normal 76 12 5" xfId="25503"/>
    <cellStyle name="Normal 76 13" xfId="4235"/>
    <cellStyle name="Normal 76 13 2" xfId="7683"/>
    <cellStyle name="Normal 76 13 2 2" xfId="16164"/>
    <cellStyle name="Normal 76 13 2 3" xfId="22678"/>
    <cellStyle name="Normal 76 13 2 4" xfId="29067"/>
    <cellStyle name="Normal 76 13 3" xfId="12727"/>
    <cellStyle name="Normal 76 13 4" xfId="19268"/>
    <cellStyle name="Normal 76 13 5" xfId="25663"/>
    <cellStyle name="Normal 76 14" xfId="4395"/>
    <cellStyle name="Normal 76 14 2" xfId="7838"/>
    <cellStyle name="Normal 76 14 2 2" xfId="16319"/>
    <cellStyle name="Normal 76 14 2 3" xfId="22833"/>
    <cellStyle name="Normal 76 14 2 4" xfId="29222"/>
    <cellStyle name="Normal 76 14 3" xfId="12886"/>
    <cellStyle name="Normal 76 14 4" xfId="19424"/>
    <cellStyle name="Normal 76 14 5" xfId="25818"/>
    <cellStyle name="Normal 76 15" xfId="4555"/>
    <cellStyle name="Normal 76 15 2" xfId="7993"/>
    <cellStyle name="Normal 76 15 2 2" xfId="16474"/>
    <cellStyle name="Normal 76 15 2 3" xfId="22988"/>
    <cellStyle name="Normal 76 15 2 4" xfId="29377"/>
    <cellStyle name="Normal 76 15 3" xfId="13046"/>
    <cellStyle name="Normal 76 15 4" xfId="19580"/>
    <cellStyle name="Normal 76 15 5" xfId="25973"/>
    <cellStyle name="Normal 76 16" xfId="4715"/>
    <cellStyle name="Normal 76 16 2" xfId="8148"/>
    <cellStyle name="Normal 76 16 2 2" xfId="16629"/>
    <cellStyle name="Normal 76 16 2 3" xfId="23143"/>
    <cellStyle name="Normal 76 16 2 4" xfId="29532"/>
    <cellStyle name="Normal 76 16 3" xfId="13205"/>
    <cellStyle name="Normal 76 16 4" xfId="19736"/>
    <cellStyle name="Normal 76 16 5" xfId="26128"/>
    <cellStyle name="Normal 76 17" xfId="4874"/>
    <cellStyle name="Normal 76 17 2" xfId="8302"/>
    <cellStyle name="Normal 76 17 2 2" xfId="16783"/>
    <cellStyle name="Normal 76 17 2 3" xfId="23297"/>
    <cellStyle name="Normal 76 17 2 4" xfId="29686"/>
    <cellStyle name="Normal 76 17 3" xfId="13363"/>
    <cellStyle name="Normal 76 17 4" xfId="19891"/>
    <cellStyle name="Normal 76 17 5" xfId="26282"/>
    <cellStyle name="Normal 76 18" xfId="5022"/>
    <cellStyle name="Normal 76 18 2" xfId="8445"/>
    <cellStyle name="Normal 76 18 2 2" xfId="16926"/>
    <cellStyle name="Normal 76 18 2 3" xfId="23440"/>
    <cellStyle name="Normal 76 18 2 4" xfId="29829"/>
    <cellStyle name="Normal 76 18 3" xfId="13510"/>
    <cellStyle name="Normal 76 18 4" xfId="20035"/>
    <cellStyle name="Normal 76 18 5" xfId="26425"/>
    <cellStyle name="Normal 76 19" xfId="5298"/>
    <cellStyle name="Normal 76 19 2" xfId="13779"/>
    <cellStyle name="Normal 76 19 3" xfId="20296"/>
    <cellStyle name="Normal 76 19 4" xfId="26685"/>
    <cellStyle name="Normal 76 2" xfId="1902"/>
    <cellStyle name="Normal 76 2 2" xfId="5498"/>
    <cellStyle name="Normal 76 2 2 2" xfId="13979"/>
    <cellStyle name="Normal 76 2 2 3" xfId="20493"/>
    <cellStyle name="Normal 76 2 2 4" xfId="26882"/>
    <cellStyle name="Normal 76 2 3" xfId="10472"/>
    <cellStyle name="Normal 76 2 4" xfId="17395"/>
    <cellStyle name="Normal 76 2 5" xfId="23834"/>
    <cellStyle name="Normal 76 20" xfId="10066"/>
    <cellStyle name="Normal 76 21" xfId="9690"/>
    <cellStyle name="Normal 76 22" xfId="10028"/>
    <cellStyle name="Normal 76 3" xfId="2242"/>
    <cellStyle name="Normal 76 3 2" xfId="5812"/>
    <cellStyle name="Normal 76 3 2 2" xfId="14293"/>
    <cellStyle name="Normal 76 3 2 3" xfId="20807"/>
    <cellStyle name="Normal 76 3 2 4" xfId="27196"/>
    <cellStyle name="Normal 76 3 3" xfId="10798"/>
    <cellStyle name="Normal 76 3 4" xfId="17171"/>
    <cellStyle name="Normal 76 3 5" xfId="23647"/>
    <cellStyle name="Normal 76 4" xfId="2705"/>
    <cellStyle name="Normal 76 4 2" xfId="6206"/>
    <cellStyle name="Normal 76 4 2 2" xfId="14687"/>
    <cellStyle name="Normal 76 4 2 3" xfId="21201"/>
    <cellStyle name="Normal 76 4 2 4" xfId="27590"/>
    <cellStyle name="Normal 76 4 3" xfId="11215"/>
    <cellStyle name="Normal 76 4 4" xfId="17784"/>
    <cellStyle name="Normal 76 4 5" xfId="24186"/>
    <cellStyle name="Normal 76 5" xfId="2879"/>
    <cellStyle name="Normal 76 5 2" xfId="6373"/>
    <cellStyle name="Normal 76 5 2 2" xfId="14854"/>
    <cellStyle name="Normal 76 5 2 3" xfId="21368"/>
    <cellStyle name="Normal 76 5 2 4" xfId="27757"/>
    <cellStyle name="Normal 76 5 3" xfId="11385"/>
    <cellStyle name="Normal 76 5 4" xfId="17951"/>
    <cellStyle name="Normal 76 5 5" xfId="24353"/>
    <cellStyle name="Normal 76 6" xfId="3053"/>
    <cellStyle name="Normal 76 6 2" xfId="6540"/>
    <cellStyle name="Normal 76 6 2 2" xfId="15021"/>
    <cellStyle name="Normal 76 6 2 3" xfId="21535"/>
    <cellStyle name="Normal 76 6 2 4" xfId="27924"/>
    <cellStyle name="Normal 76 6 3" xfId="11555"/>
    <cellStyle name="Normal 76 6 4" xfId="18118"/>
    <cellStyle name="Normal 76 6 5" xfId="24520"/>
    <cellStyle name="Normal 76 7" xfId="3226"/>
    <cellStyle name="Normal 76 7 2" xfId="6707"/>
    <cellStyle name="Normal 76 7 2 2" xfId="15188"/>
    <cellStyle name="Normal 76 7 2 3" xfId="21702"/>
    <cellStyle name="Normal 76 7 2 4" xfId="28091"/>
    <cellStyle name="Normal 76 7 3" xfId="11726"/>
    <cellStyle name="Normal 76 7 4" xfId="18285"/>
    <cellStyle name="Normal 76 7 5" xfId="24687"/>
    <cellStyle name="Normal 76 8" xfId="3397"/>
    <cellStyle name="Normal 76 8 2" xfId="6872"/>
    <cellStyle name="Normal 76 8 2 2" xfId="15353"/>
    <cellStyle name="Normal 76 8 2 3" xfId="21867"/>
    <cellStyle name="Normal 76 8 2 4" xfId="28256"/>
    <cellStyle name="Normal 76 8 3" xfId="11894"/>
    <cellStyle name="Normal 76 8 4" xfId="18450"/>
    <cellStyle name="Normal 76 8 5" xfId="24852"/>
    <cellStyle name="Normal 76 9" xfId="3567"/>
    <cellStyle name="Normal 76 9 2" xfId="7036"/>
    <cellStyle name="Normal 76 9 2 2" xfId="15517"/>
    <cellStyle name="Normal 76 9 2 3" xfId="22031"/>
    <cellStyle name="Normal 76 9 2 4" xfId="28420"/>
    <cellStyle name="Normal 76 9 3" xfId="12062"/>
    <cellStyle name="Normal 76 9 4" xfId="18615"/>
    <cellStyle name="Normal 76 9 5" xfId="25016"/>
    <cellStyle name="Normal 77" xfId="1361"/>
    <cellStyle name="Normal 77 10" xfId="3736"/>
    <cellStyle name="Normal 77 10 2" xfId="7199"/>
    <cellStyle name="Normal 77 10 2 2" xfId="15680"/>
    <cellStyle name="Normal 77 10 2 3" xfId="22194"/>
    <cellStyle name="Normal 77 10 2 4" xfId="28583"/>
    <cellStyle name="Normal 77 10 3" xfId="12231"/>
    <cellStyle name="Normal 77 10 4" xfId="18781"/>
    <cellStyle name="Normal 77 10 5" xfId="25179"/>
    <cellStyle name="Normal 77 11" xfId="3904"/>
    <cellStyle name="Normal 77 11 2" xfId="7362"/>
    <cellStyle name="Normal 77 11 2 2" xfId="15843"/>
    <cellStyle name="Normal 77 11 2 3" xfId="22357"/>
    <cellStyle name="Normal 77 11 2 4" xfId="28746"/>
    <cellStyle name="Normal 77 11 3" xfId="12398"/>
    <cellStyle name="Normal 77 11 4" xfId="18945"/>
    <cellStyle name="Normal 77 11 5" xfId="25342"/>
    <cellStyle name="Normal 77 12" xfId="4069"/>
    <cellStyle name="Normal 77 12 2" xfId="7522"/>
    <cellStyle name="Normal 77 12 2 2" xfId="16003"/>
    <cellStyle name="Normal 77 12 2 3" xfId="22517"/>
    <cellStyle name="Normal 77 12 2 4" xfId="28906"/>
    <cellStyle name="Normal 77 12 3" xfId="12562"/>
    <cellStyle name="Normal 77 12 4" xfId="19106"/>
    <cellStyle name="Normal 77 12 5" xfId="25502"/>
    <cellStyle name="Normal 77 13" xfId="4234"/>
    <cellStyle name="Normal 77 13 2" xfId="7682"/>
    <cellStyle name="Normal 77 13 2 2" xfId="16163"/>
    <cellStyle name="Normal 77 13 2 3" xfId="22677"/>
    <cellStyle name="Normal 77 13 2 4" xfId="29066"/>
    <cellStyle name="Normal 77 13 3" xfId="12726"/>
    <cellStyle name="Normal 77 13 4" xfId="19267"/>
    <cellStyle name="Normal 77 13 5" xfId="25662"/>
    <cellStyle name="Normal 77 14" xfId="4394"/>
    <cellStyle name="Normal 77 14 2" xfId="7837"/>
    <cellStyle name="Normal 77 14 2 2" xfId="16318"/>
    <cellStyle name="Normal 77 14 2 3" xfId="22832"/>
    <cellStyle name="Normal 77 14 2 4" xfId="29221"/>
    <cellStyle name="Normal 77 14 3" xfId="12885"/>
    <cellStyle name="Normal 77 14 4" xfId="19423"/>
    <cellStyle name="Normal 77 14 5" xfId="25817"/>
    <cellStyle name="Normal 77 15" xfId="4554"/>
    <cellStyle name="Normal 77 15 2" xfId="7992"/>
    <cellStyle name="Normal 77 15 2 2" xfId="16473"/>
    <cellStyle name="Normal 77 15 2 3" xfId="22987"/>
    <cellStyle name="Normal 77 15 2 4" xfId="29376"/>
    <cellStyle name="Normal 77 15 3" xfId="13045"/>
    <cellStyle name="Normal 77 15 4" xfId="19579"/>
    <cellStyle name="Normal 77 15 5" xfId="25972"/>
    <cellStyle name="Normal 77 16" xfId="4714"/>
    <cellStyle name="Normal 77 16 2" xfId="8147"/>
    <cellStyle name="Normal 77 16 2 2" xfId="16628"/>
    <cellStyle name="Normal 77 16 2 3" xfId="23142"/>
    <cellStyle name="Normal 77 16 2 4" xfId="29531"/>
    <cellStyle name="Normal 77 16 3" xfId="13204"/>
    <cellStyle name="Normal 77 16 4" xfId="19735"/>
    <cellStyle name="Normal 77 16 5" xfId="26127"/>
    <cellStyle name="Normal 77 17" xfId="4873"/>
    <cellStyle name="Normal 77 17 2" xfId="8301"/>
    <cellStyle name="Normal 77 17 2 2" xfId="16782"/>
    <cellStyle name="Normal 77 17 2 3" xfId="23296"/>
    <cellStyle name="Normal 77 17 2 4" xfId="29685"/>
    <cellStyle name="Normal 77 17 3" xfId="13362"/>
    <cellStyle name="Normal 77 17 4" xfId="19890"/>
    <cellStyle name="Normal 77 17 5" xfId="26281"/>
    <cellStyle name="Normal 77 18" xfId="5021"/>
    <cellStyle name="Normal 77 18 2" xfId="8444"/>
    <cellStyle name="Normal 77 18 2 2" xfId="16925"/>
    <cellStyle name="Normal 77 18 2 3" xfId="23439"/>
    <cellStyle name="Normal 77 18 2 4" xfId="29828"/>
    <cellStyle name="Normal 77 18 3" xfId="13509"/>
    <cellStyle name="Normal 77 18 4" xfId="20034"/>
    <cellStyle name="Normal 77 18 5" xfId="26424"/>
    <cellStyle name="Normal 77 19" xfId="5299"/>
    <cellStyle name="Normal 77 19 2" xfId="13780"/>
    <cellStyle name="Normal 77 19 3" xfId="20297"/>
    <cellStyle name="Normal 77 19 4" xfId="26686"/>
    <cellStyle name="Normal 77 2" xfId="1903"/>
    <cellStyle name="Normal 77 2 2" xfId="5499"/>
    <cellStyle name="Normal 77 2 2 2" xfId="13980"/>
    <cellStyle name="Normal 77 2 2 3" xfId="20494"/>
    <cellStyle name="Normal 77 2 2 4" xfId="26883"/>
    <cellStyle name="Normal 77 2 3" xfId="10473"/>
    <cellStyle name="Normal 77 2 4" xfId="17406"/>
    <cellStyle name="Normal 77 2 5" xfId="23844"/>
    <cellStyle name="Normal 77 20" xfId="10067"/>
    <cellStyle name="Normal 77 21" xfId="9689"/>
    <cellStyle name="Normal 77 22" xfId="10029"/>
    <cellStyle name="Normal 77 3" xfId="2243"/>
    <cellStyle name="Normal 77 3 2" xfId="5813"/>
    <cellStyle name="Normal 77 3 2 2" xfId="14294"/>
    <cellStyle name="Normal 77 3 2 3" xfId="20808"/>
    <cellStyle name="Normal 77 3 2 4" xfId="27197"/>
    <cellStyle name="Normal 77 3 3" xfId="10799"/>
    <cellStyle name="Normal 77 3 4" xfId="17172"/>
    <cellStyle name="Normal 77 3 5" xfId="23648"/>
    <cellStyle name="Normal 77 4" xfId="2704"/>
    <cellStyle name="Normal 77 4 2" xfId="6205"/>
    <cellStyle name="Normal 77 4 2 2" xfId="14686"/>
    <cellStyle name="Normal 77 4 2 3" xfId="21200"/>
    <cellStyle name="Normal 77 4 2 4" xfId="27589"/>
    <cellStyle name="Normal 77 4 3" xfId="11214"/>
    <cellStyle name="Normal 77 4 4" xfId="17783"/>
    <cellStyle name="Normal 77 4 5" xfId="24185"/>
    <cellStyle name="Normal 77 5" xfId="2878"/>
    <cellStyle name="Normal 77 5 2" xfId="6372"/>
    <cellStyle name="Normal 77 5 2 2" xfId="14853"/>
    <cellStyle name="Normal 77 5 2 3" xfId="21367"/>
    <cellStyle name="Normal 77 5 2 4" xfId="27756"/>
    <cellStyle name="Normal 77 5 3" xfId="11384"/>
    <cellStyle name="Normal 77 5 4" xfId="17950"/>
    <cellStyle name="Normal 77 5 5" xfId="24352"/>
    <cellStyle name="Normal 77 6" xfId="3052"/>
    <cellStyle name="Normal 77 6 2" xfId="6539"/>
    <cellStyle name="Normal 77 6 2 2" xfId="15020"/>
    <cellStyle name="Normal 77 6 2 3" xfId="21534"/>
    <cellStyle name="Normal 77 6 2 4" xfId="27923"/>
    <cellStyle name="Normal 77 6 3" xfId="11554"/>
    <cellStyle name="Normal 77 6 4" xfId="18117"/>
    <cellStyle name="Normal 77 6 5" xfId="24519"/>
    <cellStyle name="Normal 77 7" xfId="3225"/>
    <cellStyle name="Normal 77 7 2" xfId="6706"/>
    <cellStyle name="Normal 77 7 2 2" xfId="15187"/>
    <cellStyle name="Normal 77 7 2 3" xfId="21701"/>
    <cellStyle name="Normal 77 7 2 4" xfId="28090"/>
    <cellStyle name="Normal 77 7 3" xfId="11725"/>
    <cellStyle name="Normal 77 7 4" xfId="18284"/>
    <cellStyle name="Normal 77 7 5" xfId="24686"/>
    <cellStyle name="Normal 77 8" xfId="3396"/>
    <cellStyle name="Normal 77 8 2" xfId="6871"/>
    <cellStyle name="Normal 77 8 2 2" xfId="15352"/>
    <cellStyle name="Normal 77 8 2 3" xfId="21866"/>
    <cellStyle name="Normal 77 8 2 4" xfId="28255"/>
    <cellStyle name="Normal 77 8 3" xfId="11893"/>
    <cellStyle name="Normal 77 8 4" xfId="18449"/>
    <cellStyle name="Normal 77 8 5" xfId="24851"/>
    <cellStyle name="Normal 77 9" xfId="3566"/>
    <cellStyle name="Normal 77 9 2" xfId="7035"/>
    <cellStyle name="Normal 77 9 2 2" xfId="15516"/>
    <cellStyle name="Normal 77 9 2 3" xfId="22030"/>
    <cellStyle name="Normal 77 9 2 4" xfId="28419"/>
    <cellStyle name="Normal 77 9 3" xfId="12061"/>
    <cellStyle name="Normal 77 9 4" xfId="18614"/>
    <cellStyle name="Normal 77 9 5" xfId="25015"/>
    <cellStyle name="Normal 78" xfId="1362"/>
    <cellStyle name="Normal 78 10" xfId="3735"/>
    <cellStyle name="Normal 78 10 2" xfId="7198"/>
    <cellStyle name="Normal 78 10 2 2" xfId="15679"/>
    <cellStyle name="Normal 78 10 2 3" xfId="22193"/>
    <cellStyle name="Normal 78 10 2 4" xfId="28582"/>
    <cellStyle name="Normal 78 10 3" xfId="12230"/>
    <cellStyle name="Normal 78 10 4" xfId="18780"/>
    <cellStyle name="Normal 78 10 5" xfId="25178"/>
    <cellStyle name="Normal 78 11" xfId="3903"/>
    <cellStyle name="Normal 78 11 2" xfId="7361"/>
    <cellStyle name="Normal 78 11 2 2" xfId="15842"/>
    <cellStyle name="Normal 78 11 2 3" xfId="22356"/>
    <cellStyle name="Normal 78 11 2 4" xfId="28745"/>
    <cellStyle name="Normal 78 11 3" xfId="12397"/>
    <cellStyle name="Normal 78 11 4" xfId="18944"/>
    <cellStyle name="Normal 78 11 5" xfId="25341"/>
    <cellStyle name="Normal 78 12" xfId="4068"/>
    <cellStyle name="Normal 78 12 2" xfId="7521"/>
    <cellStyle name="Normal 78 12 2 2" xfId="16002"/>
    <cellStyle name="Normal 78 12 2 3" xfId="22516"/>
    <cellStyle name="Normal 78 12 2 4" xfId="28905"/>
    <cellStyle name="Normal 78 12 3" xfId="12561"/>
    <cellStyle name="Normal 78 12 4" xfId="19105"/>
    <cellStyle name="Normal 78 12 5" xfId="25501"/>
    <cellStyle name="Normal 78 13" xfId="4233"/>
    <cellStyle name="Normal 78 13 2" xfId="7681"/>
    <cellStyle name="Normal 78 13 2 2" xfId="16162"/>
    <cellStyle name="Normal 78 13 2 3" xfId="22676"/>
    <cellStyle name="Normal 78 13 2 4" xfId="29065"/>
    <cellStyle name="Normal 78 13 3" xfId="12725"/>
    <cellStyle name="Normal 78 13 4" xfId="19266"/>
    <cellStyle name="Normal 78 13 5" xfId="25661"/>
    <cellStyle name="Normal 78 14" xfId="4393"/>
    <cellStyle name="Normal 78 14 2" xfId="7836"/>
    <cellStyle name="Normal 78 14 2 2" xfId="16317"/>
    <cellStyle name="Normal 78 14 2 3" xfId="22831"/>
    <cellStyle name="Normal 78 14 2 4" xfId="29220"/>
    <cellStyle name="Normal 78 14 3" xfId="12884"/>
    <cellStyle name="Normal 78 14 4" xfId="19422"/>
    <cellStyle name="Normal 78 14 5" xfId="25816"/>
    <cellStyle name="Normal 78 15" xfId="4553"/>
    <cellStyle name="Normal 78 15 2" xfId="7991"/>
    <cellStyle name="Normal 78 15 2 2" xfId="16472"/>
    <cellStyle name="Normal 78 15 2 3" xfId="22986"/>
    <cellStyle name="Normal 78 15 2 4" xfId="29375"/>
    <cellStyle name="Normal 78 15 3" xfId="13044"/>
    <cellStyle name="Normal 78 15 4" xfId="19578"/>
    <cellStyle name="Normal 78 15 5" xfId="25971"/>
    <cellStyle name="Normal 78 16" xfId="4713"/>
    <cellStyle name="Normal 78 16 2" xfId="8146"/>
    <cellStyle name="Normal 78 16 2 2" xfId="16627"/>
    <cellStyle name="Normal 78 16 2 3" xfId="23141"/>
    <cellStyle name="Normal 78 16 2 4" xfId="29530"/>
    <cellStyle name="Normal 78 16 3" xfId="13203"/>
    <cellStyle name="Normal 78 16 4" xfId="19734"/>
    <cellStyle name="Normal 78 16 5" xfId="26126"/>
    <cellStyle name="Normal 78 17" xfId="4872"/>
    <cellStyle name="Normal 78 17 2" xfId="8300"/>
    <cellStyle name="Normal 78 17 2 2" xfId="16781"/>
    <cellStyle name="Normal 78 17 2 3" xfId="23295"/>
    <cellStyle name="Normal 78 17 2 4" xfId="29684"/>
    <cellStyle name="Normal 78 17 3" xfId="13361"/>
    <cellStyle name="Normal 78 17 4" xfId="19889"/>
    <cellStyle name="Normal 78 17 5" xfId="26280"/>
    <cellStyle name="Normal 78 18" xfId="5020"/>
    <cellStyle name="Normal 78 18 2" xfId="8443"/>
    <cellStyle name="Normal 78 18 2 2" xfId="16924"/>
    <cellStyle name="Normal 78 18 2 3" xfId="23438"/>
    <cellStyle name="Normal 78 18 2 4" xfId="29827"/>
    <cellStyle name="Normal 78 18 3" xfId="13508"/>
    <cellStyle name="Normal 78 18 4" xfId="20033"/>
    <cellStyle name="Normal 78 18 5" xfId="26423"/>
    <cellStyle name="Normal 78 19" xfId="5300"/>
    <cellStyle name="Normal 78 19 2" xfId="13781"/>
    <cellStyle name="Normal 78 19 3" xfId="20298"/>
    <cellStyle name="Normal 78 19 4" xfId="26687"/>
    <cellStyle name="Normal 78 2" xfId="1904"/>
    <cellStyle name="Normal 78 2 2" xfId="5500"/>
    <cellStyle name="Normal 78 2 2 2" xfId="13981"/>
    <cellStyle name="Normal 78 2 2 3" xfId="20495"/>
    <cellStyle name="Normal 78 2 2 4" xfId="26884"/>
    <cellStyle name="Normal 78 2 3" xfId="10474"/>
    <cellStyle name="Normal 78 2 4" xfId="17417"/>
    <cellStyle name="Normal 78 2 5" xfId="23854"/>
    <cellStyle name="Normal 78 20" xfId="10068"/>
    <cellStyle name="Normal 78 21" xfId="9688"/>
    <cellStyle name="Normal 78 22" xfId="10030"/>
    <cellStyle name="Normal 78 3" xfId="2244"/>
    <cellStyle name="Normal 78 3 2" xfId="5814"/>
    <cellStyle name="Normal 78 3 2 2" xfId="14295"/>
    <cellStyle name="Normal 78 3 2 3" xfId="20809"/>
    <cellStyle name="Normal 78 3 2 4" xfId="27198"/>
    <cellStyle name="Normal 78 3 3" xfId="10800"/>
    <cellStyle name="Normal 78 3 4" xfId="17173"/>
    <cellStyle name="Normal 78 3 5" xfId="23649"/>
    <cellStyle name="Normal 78 4" xfId="2703"/>
    <cellStyle name="Normal 78 4 2" xfId="6204"/>
    <cellStyle name="Normal 78 4 2 2" xfId="14685"/>
    <cellStyle name="Normal 78 4 2 3" xfId="21199"/>
    <cellStyle name="Normal 78 4 2 4" xfId="27588"/>
    <cellStyle name="Normal 78 4 3" xfId="11213"/>
    <cellStyle name="Normal 78 4 4" xfId="17782"/>
    <cellStyle name="Normal 78 4 5" xfId="24184"/>
    <cellStyle name="Normal 78 5" xfId="2877"/>
    <cellStyle name="Normal 78 5 2" xfId="6371"/>
    <cellStyle name="Normal 78 5 2 2" xfId="14852"/>
    <cellStyle name="Normal 78 5 2 3" xfId="21366"/>
    <cellStyle name="Normal 78 5 2 4" xfId="27755"/>
    <cellStyle name="Normal 78 5 3" xfId="11383"/>
    <cellStyle name="Normal 78 5 4" xfId="17949"/>
    <cellStyle name="Normal 78 5 5" xfId="24351"/>
    <cellStyle name="Normal 78 6" xfId="3051"/>
    <cellStyle name="Normal 78 6 2" xfId="6538"/>
    <cellStyle name="Normal 78 6 2 2" xfId="15019"/>
    <cellStyle name="Normal 78 6 2 3" xfId="21533"/>
    <cellStyle name="Normal 78 6 2 4" xfId="27922"/>
    <cellStyle name="Normal 78 6 3" xfId="11553"/>
    <cellStyle name="Normal 78 6 4" xfId="18116"/>
    <cellStyle name="Normal 78 6 5" xfId="24518"/>
    <cellStyle name="Normal 78 7" xfId="3224"/>
    <cellStyle name="Normal 78 7 2" xfId="6705"/>
    <cellStyle name="Normal 78 7 2 2" xfId="15186"/>
    <cellStyle name="Normal 78 7 2 3" xfId="21700"/>
    <cellStyle name="Normal 78 7 2 4" xfId="28089"/>
    <cellStyle name="Normal 78 7 3" xfId="11724"/>
    <cellStyle name="Normal 78 7 4" xfId="18283"/>
    <cellStyle name="Normal 78 7 5" xfId="24685"/>
    <cellStyle name="Normal 78 8" xfId="3395"/>
    <cellStyle name="Normal 78 8 2" xfId="6870"/>
    <cellStyle name="Normal 78 8 2 2" xfId="15351"/>
    <cellStyle name="Normal 78 8 2 3" xfId="21865"/>
    <cellStyle name="Normal 78 8 2 4" xfId="28254"/>
    <cellStyle name="Normal 78 8 3" xfId="11892"/>
    <cellStyle name="Normal 78 8 4" xfId="18448"/>
    <cellStyle name="Normal 78 8 5" xfId="24850"/>
    <cellStyle name="Normal 78 9" xfId="3565"/>
    <cellStyle name="Normal 78 9 2" xfId="7034"/>
    <cellStyle name="Normal 78 9 2 2" xfId="15515"/>
    <cellStyle name="Normal 78 9 2 3" xfId="22029"/>
    <cellStyle name="Normal 78 9 2 4" xfId="28418"/>
    <cellStyle name="Normal 78 9 3" xfId="12060"/>
    <cellStyle name="Normal 78 9 4" xfId="18613"/>
    <cellStyle name="Normal 78 9 5" xfId="25014"/>
    <cellStyle name="Normal 79" xfId="1363"/>
    <cellStyle name="Normal 79 10" xfId="3734"/>
    <cellStyle name="Normal 79 10 2" xfId="7197"/>
    <cellStyle name="Normal 79 10 2 2" xfId="15678"/>
    <cellStyle name="Normal 79 10 2 3" xfId="22192"/>
    <cellStyle name="Normal 79 10 2 4" xfId="28581"/>
    <cellStyle name="Normal 79 10 3" xfId="12229"/>
    <cellStyle name="Normal 79 10 4" xfId="18779"/>
    <cellStyle name="Normal 79 10 5" xfId="25177"/>
    <cellStyle name="Normal 79 11" xfId="3902"/>
    <cellStyle name="Normal 79 11 2" xfId="7360"/>
    <cellStyle name="Normal 79 11 2 2" xfId="15841"/>
    <cellStyle name="Normal 79 11 2 3" xfId="22355"/>
    <cellStyle name="Normal 79 11 2 4" xfId="28744"/>
    <cellStyle name="Normal 79 11 3" xfId="12396"/>
    <cellStyle name="Normal 79 11 4" xfId="18943"/>
    <cellStyle name="Normal 79 11 5" xfId="25340"/>
    <cellStyle name="Normal 79 12" xfId="4067"/>
    <cellStyle name="Normal 79 12 2" xfId="7520"/>
    <cellStyle name="Normal 79 12 2 2" xfId="16001"/>
    <cellStyle name="Normal 79 12 2 3" xfId="22515"/>
    <cellStyle name="Normal 79 12 2 4" xfId="28904"/>
    <cellStyle name="Normal 79 12 3" xfId="12560"/>
    <cellStyle name="Normal 79 12 4" xfId="19104"/>
    <cellStyle name="Normal 79 12 5" xfId="25500"/>
    <cellStyle name="Normal 79 13" xfId="4232"/>
    <cellStyle name="Normal 79 13 2" xfId="7680"/>
    <cellStyle name="Normal 79 13 2 2" xfId="16161"/>
    <cellStyle name="Normal 79 13 2 3" xfId="22675"/>
    <cellStyle name="Normal 79 13 2 4" xfId="29064"/>
    <cellStyle name="Normal 79 13 3" xfId="12724"/>
    <cellStyle name="Normal 79 13 4" xfId="19265"/>
    <cellStyle name="Normal 79 13 5" xfId="25660"/>
    <cellStyle name="Normal 79 14" xfId="4392"/>
    <cellStyle name="Normal 79 14 2" xfId="7835"/>
    <cellStyle name="Normal 79 14 2 2" xfId="16316"/>
    <cellStyle name="Normal 79 14 2 3" xfId="22830"/>
    <cellStyle name="Normal 79 14 2 4" xfId="29219"/>
    <cellStyle name="Normal 79 14 3" xfId="12883"/>
    <cellStyle name="Normal 79 14 4" xfId="19421"/>
    <cellStyle name="Normal 79 14 5" xfId="25815"/>
    <cellStyle name="Normal 79 15" xfId="4552"/>
    <cellStyle name="Normal 79 15 2" xfId="7990"/>
    <cellStyle name="Normal 79 15 2 2" xfId="16471"/>
    <cellStyle name="Normal 79 15 2 3" xfId="22985"/>
    <cellStyle name="Normal 79 15 2 4" xfId="29374"/>
    <cellStyle name="Normal 79 15 3" xfId="13043"/>
    <cellStyle name="Normal 79 15 4" xfId="19577"/>
    <cellStyle name="Normal 79 15 5" xfId="25970"/>
    <cellStyle name="Normal 79 16" xfId="4712"/>
    <cellStyle name="Normal 79 16 2" xfId="8145"/>
    <cellStyle name="Normal 79 16 2 2" xfId="16626"/>
    <cellStyle name="Normal 79 16 2 3" xfId="23140"/>
    <cellStyle name="Normal 79 16 2 4" xfId="29529"/>
    <cellStyle name="Normal 79 16 3" xfId="13202"/>
    <cellStyle name="Normal 79 16 4" xfId="19733"/>
    <cellStyle name="Normal 79 16 5" xfId="26125"/>
    <cellStyle name="Normal 79 17" xfId="4871"/>
    <cellStyle name="Normal 79 17 2" xfId="8299"/>
    <cellStyle name="Normal 79 17 2 2" xfId="16780"/>
    <cellStyle name="Normal 79 17 2 3" xfId="23294"/>
    <cellStyle name="Normal 79 17 2 4" xfId="29683"/>
    <cellStyle name="Normal 79 17 3" xfId="13360"/>
    <cellStyle name="Normal 79 17 4" xfId="19888"/>
    <cellStyle name="Normal 79 17 5" xfId="26279"/>
    <cellStyle name="Normal 79 18" xfId="5019"/>
    <cellStyle name="Normal 79 18 2" xfId="8442"/>
    <cellStyle name="Normal 79 18 2 2" xfId="16923"/>
    <cellStyle name="Normal 79 18 2 3" xfId="23437"/>
    <cellStyle name="Normal 79 18 2 4" xfId="29826"/>
    <cellStyle name="Normal 79 18 3" xfId="13507"/>
    <cellStyle name="Normal 79 18 4" xfId="20032"/>
    <cellStyle name="Normal 79 18 5" xfId="26422"/>
    <cellStyle name="Normal 79 19" xfId="5301"/>
    <cellStyle name="Normal 79 19 2" xfId="13782"/>
    <cellStyle name="Normal 79 19 3" xfId="20299"/>
    <cellStyle name="Normal 79 19 4" xfId="26688"/>
    <cellStyle name="Normal 79 2" xfId="1905"/>
    <cellStyle name="Normal 79 2 2" xfId="5501"/>
    <cellStyle name="Normal 79 2 2 2" xfId="13982"/>
    <cellStyle name="Normal 79 2 2 3" xfId="20496"/>
    <cellStyle name="Normal 79 2 2 4" xfId="26885"/>
    <cellStyle name="Normal 79 2 3" xfId="10475"/>
    <cellStyle name="Normal 79 2 4" xfId="17429"/>
    <cellStyle name="Normal 79 2 5" xfId="23864"/>
    <cellStyle name="Normal 79 20" xfId="10069"/>
    <cellStyle name="Normal 79 21" xfId="17507"/>
    <cellStyle name="Normal 79 22" xfId="23925"/>
    <cellStyle name="Normal 79 3" xfId="2245"/>
    <cellStyle name="Normal 79 3 2" xfId="5815"/>
    <cellStyle name="Normal 79 3 2 2" xfId="14296"/>
    <cellStyle name="Normal 79 3 2 3" xfId="20810"/>
    <cellStyle name="Normal 79 3 2 4" xfId="27199"/>
    <cellStyle name="Normal 79 3 3" xfId="10801"/>
    <cellStyle name="Normal 79 3 4" xfId="17174"/>
    <cellStyle name="Normal 79 3 5" xfId="23650"/>
    <cellStyle name="Normal 79 4" xfId="2702"/>
    <cellStyle name="Normal 79 4 2" xfId="6203"/>
    <cellStyle name="Normal 79 4 2 2" xfId="14684"/>
    <cellStyle name="Normal 79 4 2 3" xfId="21198"/>
    <cellStyle name="Normal 79 4 2 4" xfId="27587"/>
    <cellStyle name="Normal 79 4 3" xfId="11212"/>
    <cellStyle name="Normal 79 4 4" xfId="17781"/>
    <cellStyle name="Normal 79 4 5" xfId="24183"/>
    <cellStyle name="Normal 79 5" xfId="2876"/>
    <cellStyle name="Normal 79 5 2" xfId="6370"/>
    <cellStyle name="Normal 79 5 2 2" xfId="14851"/>
    <cellStyle name="Normal 79 5 2 3" xfId="21365"/>
    <cellStyle name="Normal 79 5 2 4" xfId="27754"/>
    <cellStyle name="Normal 79 5 3" xfId="11382"/>
    <cellStyle name="Normal 79 5 4" xfId="17948"/>
    <cellStyle name="Normal 79 5 5" xfId="24350"/>
    <cellStyle name="Normal 79 6" xfId="3050"/>
    <cellStyle name="Normal 79 6 2" xfId="6537"/>
    <cellStyle name="Normal 79 6 2 2" xfId="15018"/>
    <cellStyle name="Normal 79 6 2 3" xfId="21532"/>
    <cellStyle name="Normal 79 6 2 4" xfId="27921"/>
    <cellStyle name="Normal 79 6 3" xfId="11552"/>
    <cellStyle name="Normal 79 6 4" xfId="18115"/>
    <cellStyle name="Normal 79 6 5" xfId="24517"/>
    <cellStyle name="Normal 79 7" xfId="3223"/>
    <cellStyle name="Normal 79 7 2" xfId="6704"/>
    <cellStyle name="Normal 79 7 2 2" xfId="15185"/>
    <cellStyle name="Normal 79 7 2 3" xfId="21699"/>
    <cellStyle name="Normal 79 7 2 4" xfId="28088"/>
    <cellStyle name="Normal 79 7 3" xfId="11723"/>
    <cellStyle name="Normal 79 7 4" xfId="18282"/>
    <cellStyle name="Normal 79 7 5" xfId="24684"/>
    <cellStyle name="Normal 79 8" xfId="3394"/>
    <cellStyle name="Normal 79 8 2" xfId="6869"/>
    <cellStyle name="Normal 79 8 2 2" xfId="15350"/>
    <cellStyle name="Normal 79 8 2 3" xfId="21864"/>
    <cellStyle name="Normal 79 8 2 4" xfId="28253"/>
    <cellStyle name="Normal 79 8 3" xfId="11891"/>
    <cellStyle name="Normal 79 8 4" xfId="18447"/>
    <cellStyle name="Normal 79 8 5" xfId="24849"/>
    <cellStyle name="Normal 79 9" xfId="3564"/>
    <cellStyle name="Normal 79 9 2" xfId="7033"/>
    <cellStyle name="Normal 79 9 2 2" xfId="15514"/>
    <cellStyle name="Normal 79 9 2 3" xfId="22028"/>
    <cellStyle name="Normal 79 9 2 4" xfId="28417"/>
    <cellStyle name="Normal 79 9 3" xfId="12059"/>
    <cellStyle name="Normal 79 9 4" xfId="18612"/>
    <cellStyle name="Normal 79 9 5" xfId="25013"/>
    <cellStyle name="Normal 8" xfId="1364"/>
    <cellStyle name="Normal 8 10" xfId="8641"/>
    <cellStyle name="Normal 8 11" xfId="8640"/>
    <cellStyle name="Normal 8 12" xfId="8639"/>
    <cellStyle name="Normal 8 13" xfId="8638"/>
    <cellStyle name="Normal 8 14" xfId="8637"/>
    <cellStyle name="Normal 8 15" xfId="8636"/>
    <cellStyle name="Normal 8 16" xfId="8635"/>
    <cellStyle name="Normal 8 17" xfId="8634"/>
    <cellStyle name="Normal 8 18" xfId="8633"/>
    <cellStyle name="Normal 8 19" xfId="8632"/>
    <cellStyle name="Normal 8 2" xfId="1365"/>
    <cellStyle name="Normal 8 2 2" xfId="1366"/>
    <cellStyle name="Normal 8 2 2 2" xfId="1367"/>
    <cellStyle name="Normal 8 20" xfId="8631"/>
    <cellStyle name="Normal 8 21" xfId="8630"/>
    <cellStyle name="Normal 8 3" xfId="1368"/>
    <cellStyle name="Normal 8 4" xfId="1369"/>
    <cellStyle name="Normal 8 5" xfId="1370"/>
    <cellStyle name="Normal 8 6" xfId="1371"/>
    <cellStyle name="Normal 8 7" xfId="1372"/>
    <cellStyle name="Normal 8 8" xfId="1373"/>
    <cellStyle name="Normal 8 9" xfId="8642"/>
    <cellStyle name="Normal 8 9 2" xfId="9192"/>
    <cellStyle name="Normal 80" xfId="1374"/>
    <cellStyle name="Normal 80 10" xfId="3728"/>
    <cellStyle name="Normal 80 10 2" xfId="7191"/>
    <cellStyle name="Normal 80 10 2 2" xfId="15672"/>
    <cellStyle name="Normal 80 10 2 3" xfId="22186"/>
    <cellStyle name="Normal 80 10 2 4" xfId="28575"/>
    <cellStyle name="Normal 80 10 3" xfId="12223"/>
    <cellStyle name="Normal 80 10 4" xfId="18773"/>
    <cellStyle name="Normal 80 10 5" xfId="25171"/>
    <cellStyle name="Normal 80 11" xfId="3896"/>
    <cellStyle name="Normal 80 11 2" xfId="7354"/>
    <cellStyle name="Normal 80 11 2 2" xfId="15835"/>
    <cellStyle name="Normal 80 11 2 3" xfId="22349"/>
    <cellStyle name="Normal 80 11 2 4" xfId="28738"/>
    <cellStyle name="Normal 80 11 3" xfId="12390"/>
    <cellStyle name="Normal 80 11 4" xfId="18937"/>
    <cellStyle name="Normal 80 11 5" xfId="25334"/>
    <cellStyle name="Normal 80 12" xfId="4061"/>
    <cellStyle name="Normal 80 12 2" xfId="7514"/>
    <cellStyle name="Normal 80 12 2 2" xfId="15995"/>
    <cellStyle name="Normal 80 12 2 3" xfId="22509"/>
    <cellStyle name="Normal 80 12 2 4" xfId="28898"/>
    <cellStyle name="Normal 80 12 3" xfId="12554"/>
    <cellStyle name="Normal 80 12 4" xfId="19098"/>
    <cellStyle name="Normal 80 12 5" xfId="25494"/>
    <cellStyle name="Normal 80 13" xfId="4226"/>
    <cellStyle name="Normal 80 13 2" xfId="7674"/>
    <cellStyle name="Normal 80 13 2 2" xfId="16155"/>
    <cellStyle name="Normal 80 13 2 3" xfId="22669"/>
    <cellStyle name="Normal 80 13 2 4" xfId="29058"/>
    <cellStyle name="Normal 80 13 3" xfId="12718"/>
    <cellStyle name="Normal 80 13 4" xfId="19259"/>
    <cellStyle name="Normal 80 13 5" xfId="25654"/>
    <cellStyle name="Normal 80 14" xfId="4386"/>
    <cellStyle name="Normal 80 14 2" xfId="7829"/>
    <cellStyle name="Normal 80 14 2 2" xfId="16310"/>
    <cellStyle name="Normal 80 14 2 3" xfId="22824"/>
    <cellStyle name="Normal 80 14 2 4" xfId="29213"/>
    <cellStyle name="Normal 80 14 3" xfId="12877"/>
    <cellStyle name="Normal 80 14 4" xfId="19415"/>
    <cellStyle name="Normal 80 14 5" xfId="25809"/>
    <cellStyle name="Normal 80 15" xfId="4546"/>
    <cellStyle name="Normal 80 15 2" xfId="7984"/>
    <cellStyle name="Normal 80 15 2 2" xfId="16465"/>
    <cellStyle name="Normal 80 15 2 3" xfId="22979"/>
    <cellStyle name="Normal 80 15 2 4" xfId="29368"/>
    <cellStyle name="Normal 80 15 3" xfId="13037"/>
    <cellStyle name="Normal 80 15 4" xfId="19571"/>
    <cellStyle name="Normal 80 15 5" xfId="25964"/>
    <cellStyle name="Normal 80 16" xfId="4706"/>
    <cellStyle name="Normal 80 16 2" xfId="8139"/>
    <cellStyle name="Normal 80 16 2 2" xfId="16620"/>
    <cellStyle name="Normal 80 16 2 3" xfId="23134"/>
    <cellStyle name="Normal 80 16 2 4" xfId="29523"/>
    <cellStyle name="Normal 80 16 3" xfId="13196"/>
    <cellStyle name="Normal 80 16 4" xfId="19727"/>
    <cellStyle name="Normal 80 16 5" xfId="26119"/>
    <cellStyle name="Normal 80 17" xfId="4865"/>
    <cellStyle name="Normal 80 17 2" xfId="8293"/>
    <cellStyle name="Normal 80 17 2 2" xfId="16774"/>
    <cellStyle name="Normal 80 17 2 3" xfId="23288"/>
    <cellStyle name="Normal 80 17 2 4" xfId="29677"/>
    <cellStyle name="Normal 80 17 3" xfId="13354"/>
    <cellStyle name="Normal 80 17 4" xfId="19882"/>
    <cellStyle name="Normal 80 17 5" xfId="26273"/>
    <cellStyle name="Normal 80 18" xfId="5018"/>
    <cellStyle name="Normal 80 18 2" xfId="8441"/>
    <cellStyle name="Normal 80 18 2 2" xfId="16922"/>
    <cellStyle name="Normal 80 18 2 3" xfId="23436"/>
    <cellStyle name="Normal 80 18 2 4" xfId="29825"/>
    <cellStyle name="Normal 80 18 3" xfId="13506"/>
    <cellStyle name="Normal 80 18 4" xfId="20031"/>
    <cellStyle name="Normal 80 18 5" xfId="26421"/>
    <cellStyle name="Normal 80 19" xfId="5302"/>
    <cellStyle name="Normal 80 19 2" xfId="13783"/>
    <cellStyle name="Normal 80 19 3" xfId="20300"/>
    <cellStyle name="Normal 80 19 4" xfId="26689"/>
    <cellStyle name="Normal 80 2" xfId="1906"/>
    <cellStyle name="Normal 80 2 2" xfId="5502"/>
    <cellStyle name="Normal 80 2 2 2" xfId="13983"/>
    <cellStyle name="Normal 80 2 2 3" xfId="20497"/>
    <cellStyle name="Normal 80 2 2 4" xfId="26886"/>
    <cellStyle name="Normal 80 2 3" xfId="10476"/>
    <cellStyle name="Normal 80 2 4" xfId="17113"/>
    <cellStyle name="Normal 80 2 5" xfId="23590"/>
    <cellStyle name="Normal 80 20" xfId="10070"/>
    <cellStyle name="Normal 80 21" xfId="17433"/>
    <cellStyle name="Normal 80 22" xfId="23868"/>
    <cellStyle name="Normal 80 3" xfId="2252"/>
    <cellStyle name="Normal 80 3 2" xfId="5822"/>
    <cellStyle name="Normal 80 3 2 2" xfId="14303"/>
    <cellStyle name="Normal 80 3 2 3" xfId="20817"/>
    <cellStyle name="Normal 80 3 2 4" xfId="27206"/>
    <cellStyle name="Normal 80 3 3" xfId="10808"/>
    <cellStyle name="Normal 80 3 4" xfId="17180"/>
    <cellStyle name="Normal 80 3 5" xfId="23656"/>
    <cellStyle name="Normal 80 4" xfId="2695"/>
    <cellStyle name="Normal 80 4 2" xfId="6196"/>
    <cellStyle name="Normal 80 4 2 2" xfId="14677"/>
    <cellStyle name="Normal 80 4 2 3" xfId="21191"/>
    <cellStyle name="Normal 80 4 2 4" xfId="27580"/>
    <cellStyle name="Normal 80 4 3" xfId="11205"/>
    <cellStyle name="Normal 80 4 4" xfId="17774"/>
    <cellStyle name="Normal 80 4 5" xfId="24176"/>
    <cellStyle name="Normal 80 5" xfId="2869"/>
    <cellStyle name="Normal 80 5 2" xfId="6363"/>
    <cellStyle name="Normal 80 5 2 2" xfId="14844"/>
    <cellStyle name="Normal 80 5 2 3" xfId="21358"/>
    <cellStyle name="Normal 80 5 2 4" xfId="27747"/>
    <cellStyle name="Normal 80 5 3" xfId="11375"/>
    <cellStyle name="Normal 80 5 4" xfId="17941"/>
    <cellStyle name="Normal 80 5 5" xfId="24343"/>
    <cellStyle name="Normal 80 6" xfId="3043"/>
    <cellStyle name="Normal 80 6 2" xfId="6530"/>
    <cellStyle name="Normal 80 6 2 2" xfId="15011"/>
    <cellStyle name="Normal 80 6 2 3" xfId="21525"/>
    <cellStyle name="Normal 80 6 2 4" xfId="27914"/>
    <cellStyle name="Normal 80 6 3" xfId="11545"/>
    <cellStyle name="Normal 80 6 4" xfId="18108"/>
    <cellStyle name="Normal 80 6 5" xfId="24510"/>
    <cellStyle name="Normal 80 7" xfId="3216"/>
    <cellStyle name="Normal 80 7 2" xfId="6697"/>
    <cellStyle name="Normal 80 7 2 2" xfId="15178"/>
    <cellStyle name="Normal 80 7 2 3" xfId="21692"/>
    <cellStyle name="Normal 80 7 2 4" xfId="28081"/>
    <cellStyle name="Normal 80 7 3" xfId="11716"/>
    <cellStyle name="Normal 80 7 4" xfId="18275"/>
    <cellStyle name="Normal 80 7 5" xfId="24677"/>
    <cellStyle name="Normal 80 8" xfId="3387"/>
    <cellStyle name="Normal 80 8 2" xfId="6862"/>
    <cellStyle name="Normal 80 8 2 2" xfId="15343"/>
    <cellStyle name="Normal 80 8 2 3" xfId="21857"/>
    <cellStyle name="Normal 80 8 2 4" xfId="28246"/>
    <cellStyle name="Normal 80 8 3" xfId="11884"/>
    <cellStyle name="Normal 80 8 4" xfId="18440"/>
    <cellStyle name="Normal 80 8 5" xfId="24842"/>
    <cellStyle name="Normal 80 9" xfId="3558"/>
    <cellStyle name="Normal 80 9 2" xfId="7027"/>
    <cellStyle name="Normal 80 9 2 2" xfId="15508"/>
    <cellStyle name="Normal 80 9 2 3" xfId="22022"/>
    <cellStyle name="Normal 80 9 2 4" xfId="28411"/>
    <cellStyle name="Normal 80 9 3" xfId="12053"/>
    <cellStyle name="Normal 80 9 4" xfId="18606"/>
    <cellStyle name="Normal 80 9 5" xfId="25007"/>
    <cellStyle name="Normal 81" xfId="1375"/>
    <cellStyle name="Normal 81 10" xfId="3727"/>
    <cellStyle name="Normal 81 10 2" xfId="7190"/>
    <cellStyle name="Normal 81 10 2 2" xfId="15671"/>
    <cellStyle name="Normal 81 10 2 3" xfId="22185"/>
    <cellStyle name="Normal 81 10 2 4" xfId="28574"/>
    <cellStyle name="Normal 81 10 3" xfId="12222"/>
    <cellStyle name="Normal 81 10 4" xfId="18772"/>
    <cellStyle name="Normal 81 10 5" xfId="25170"/>
    <cellStyle name="Normal 81 11" xfId="3895"/>
    <cellStyle name="Normal 81 11 2" xfId="7353"/>
    <cellStyle name="Normal 81 11 2 2" xfId="15834"/>
    <cellStyle name="Normal 81 11 2 3" xfId="22348"/>
    <cellStyle name="Normal 81 11 2 4" xfId="28737"/>
    <cellStyle name="Normal 81 11 3" xfId="12389"/>
    <cellStyle name="Normal 81 11 4" xfId="18936"/>
    <cellStyle name="Normal 81 11 5" xfId="25333"/>
    <cellStyle name="Normal 81 12" xfId="4060"/>
    <cellStyle name="Normal 81 12 2" xfId="7513"/>
    <cellStyle name="Normal 81 12 2 2" xfId="15994"/>
    <cellStyle name="Normal 81 12 2 3" xfId="22508"/>
    <cellStyle name="Normal 81 12 2 4" xfId="28897"/>
    <cellStyle name="Normal 81 12 3" xfId="12553"/>
    <cellStyle name="Normal 81 12 4" xfId="19097"/>
    <cellStyle name="Normal 81 12 5" xfId="25493"/>
    <cellStyle name="Normal 81 13" xfId="4225"/>
    <cellStyle name="Normal 81 13 2" xfId="7673"/>
    <cellStyle name="Normal 81 13 2 2" xfId="16154"/>
    <cellStyle name="Normal 81 13 2 3" xfId="22668"/>
    <cellStyle name="Normal 81 13 2 4" xfId="29057"/>
    <cellStyle name="Normal 81 13 3" xfId="12717"/>
    <cellStyle name="Normal 81 13 4" xfId="19258"/>
    <cellStyle name="Normal 81 13 5" xfId="25653"/>
    <cellStyle name="Normal 81 14" xfId="4385"/>
    <cellStyle name="Normal 81 14 2" xfId="7828"/>
    <cellStyle name="Normal 81 14 2 2" xfId="16309"/>
    <cellStyle name="Normal 81 14 2 3" xfId="22823"/>
    <cellStyle name="Normal 81 14 2 4" xfId="29212"/>
    <cellStyle name="Normal 81 14 3" xfId="12876"/>
    <cellStyle name="Normal 81 14 4" xfId="19414"/>
    <cellStyle name="Normal 81 14 5" xfId="25808"/>
    <cellStyle name="Normal 81 15" xfId="4545"/>
    <cellStyle name="Normal 81 15 2" xfId="7983"/>
    <cellStyle name="Normal 81 15 2 2" xfId="16464"/>
    <cellStyle name="Normal 81 15 2 3" xfId="22978"/>
    <cellStyle name="Normal 81 15 2 4" xfId="29367"/>
    <cellStyle name="Normal 81 15 3" xfId="13036"/>
    <cellStyle name="Normal 81 15 4" xfId="19570"/>
    <cellStyle name="Normal 81 15 5" xfId="25963"/>
    <cellStyle name="Normal 81 16" xfId="4705"/>
    <cellStyle name="Normal 81 16 2" xfId="8138"/>
    <cellStyle name="Normal 81 16 2 2" xfId="16619"/>
    <cellStyle name="Normal 81 16 2 3" xfId="23133"/>
    <cellStyle name="Normal 81 16 2 4" xfId="29522"/>
    <cellStyle name="Normal 81 16 3" xfId="13195"/>
    <cellStyle name="Normal 81 16 4" xfId="19726"/>
    <cellStyle name="Normal 81 16 5" xfId="26118"/>
    <cellStyle name="Normal 81 17" xfId="4864"/>
    <cellStyle name="Normal 81 17 2" xfId="8292"/>
    <cellStyle name="Normal 81 17 2 2" xfId="16773"/>
    <cellStyle name="Normal 81 17 2 3" xfId="23287"/>
    <cellStyle name="Normal 81 17 2 4" xfId="29676"/>
    <cellStyle name="Normal 81 17 3" xfId="13353"/>
    <cellStyle name="Normal 81 17 4" xfId="19881"/>
    <cellStyle name="Normal 81 17 5" xfId="26272"/>
    <cellStyle name="Normal 81 18" xfId="5017"/>
    <cellStyle name="Normal 81 18 2" xfId="8440"/>
    <cellStyle name="Normal 81 18 2 2" xfId="16921"/>
    <cellStyle name="Normal 81 18 2 3" xfId="23435"/>
    <cellStyle name="Normal 81 18 2 4" xfId="29824"/>
    <cellStyle name="Normal 81 18 3" xfId="13505"/>
    <cellStyle name="Normal 81 18 4" xfId="20030"/>
    <cellStyle name="Normal 81 18 5" xfId="26420"/>
    <cellStyle name="Normal 81 19" xfId="5303"/>
    <cellStyle name="Normal 81 19 2" xfId="13784"/>
    <cellStyle name="Normal 81 19 3" xfId="20301"/>
    <cellStyle name="Normal 81 19 4" xfId="26690"/>
    <cellStyle name="Normal 81 2" xfId="1907"/>
    <cellStyle name="Normal 81 2 2" xfId="5503"/>
    <cellStyle name="Normal 81 2 2 2" xfId="13984"/>
    <cellStyle name="Normal 81 2 2 3" xfId="20498"/>
    <cellStyle name="Normal 81 2 2 4" xfId="26887"/>
    <cellStyle name="Normal 81 2 3" xfId="10477"/>
    <cellStyle name="Normal 81 2 4" xfId="17444"/>
    <cellStyle name="Normal 81 2 5" xfId="23877"/>
    <cellStyle name="Normal 81 20" xfId="10071"/>
    <cellStyle name="Normal 81 21" xfId="17089"/>
    <cellStyle name="Normal 81 22" xfId="23566"/>
    <cellStyle name="Normal 81 3" xfId="2253"/>
    <cellStyle name="Normal 81 3 2" xfId="5823"/>
    <cellStyle name="Normal 81 3 2 2" xfId="14304"/>
    <cellStyle name="Normal 81 3 2 3" xfId="20818"/>
    <cellStyle name="Normal 81 3 2 4" xfId="27207"/>
    <cellStyle name="Normal 81 3 3" xfId="10809"/>
    <cellStyle name="Normal 81 3 4" xfId="17181"/>
    <cellStyle name="Normal 81 3 5" xfId="23657"/>
    <cellStyle name="Normal 81 4" xfId="2694"/>
    <cellStyle name="Normal 81 4 2" xfId="6195"/>
    <cellStyle name="Normal 81 4 2 2" xfId="14676"/>
    <cellStyle name="Normal 81 4 2 3" xfId="21190"/>
    <cellStyle name="Normal 81 4 2 4" xfId="27579"/>
    <cellStyle name="Normal 81 4 3" xfId="11204"/>
    <cellStyle name="Normal 81 4 4" xfId="17773"/>
    <cellStyle name="Normal 81 4 5" xfId="24175"/>
    <cellStyle name="Normal 81 5" xfId="2868"/>
    <cellStyle name="Normal 81 5 2" xfId="6362"/>
    <cellStyle name="Normal 81 5 2 2" xfId="14843"/>
    <cellStyle name="Normal 81 5 2 3" xfId="21357"/>
    <cellStyle name="Normal 81 5 2 4" xfId="27746"/>
    <cellStyle name="Normal 81 5 3" xfId="11374"/>
    <cellStyle name="Normal 81 5 4" xfId="17940"/>
    <cellStyle name="Normal 81 5 5" xfId="24342"/>
    <cellStyle name="Normal 81 6" xfId="3042"/>
    <cellStyle name="Normal 81 6 2" xfId="6529"/>
    <cellStyle name="Normal 81 6 2 2" xfId="15010"/>
    <cellStyle name="Normal 81 6 2 3" xfId="21524"/>
    <cellStyle name="Normal 81 6 2 4" xfId="27913"/>
    <cellStyle name="Normal 81 6 3" xfId="11544"/>
    <cellStyle name="Normal 81 6 4" xfId="18107"/>
    <cellStyle name="Normal 81 6 5" xfId="24509"/>
    <cellStyle name="Normal 81 7" xfId="3215"/>
    <cellStyle name="Normal 81 7 2" xfId="6696"/>
    <cellStyle name="Normal 81 7 2 2" xfId="15177"/>
    <cellStyle name="Normal 81 7 2 3" xfId="21691"/>
    <cellStyle name="Normal 81 7 2 4" xfId="28080"/>
    <cellStyle name="Normal 81 7 3" xfId="11715"/>
    <cellStyle name="Normal 81 7 4" xfId="18274"/>
    <cellStyle name="Normal 81 7 5" xfId="24676"/>
    <cellStyle name="Normal 81 8" xfId="3386"/>
    <cellStyle name="Normal 81 8 2" xfId="6861"/>
    <cellStyle name="Normal 81 8 2 2" xfId="15342"/>
    <cellStyle name="Normal 81 8 2 3" xfId="21856"/>
    <cellStyle name="Normal 81 8 2 4" xfId="28245"/>
    <cellStyle name="Normal 81 8 3" xfId="11883"/>
    <cellStyle name="Normal 81 8 4" xfId="18439"/>
    <cellStyle name="Normal 81 8 5" xfId="24841"/>
    <cellStyle name="Normal 81 9" xfId="3557"/>
    <cellStyle name="Normal 81 9 2" xfId="7026"/>
    <cellStyle name="Normal 81 9 2 2" xfId="15507"/>
    <cellStyle name="Normal 81 9 2 3" xfId="22021"/>
    <cellStyle name="Normal 81 9 2 4" xfId="28410"/>
    <cellStyle name="Normal 81 9 3" xfId="12052"/>
    <cellStyle name="Normal 81 9 4" xfId="18605"/>
    <cellStyle name="Normal 81 9 5" xfId="25006"/>
    <cellStyle name="Normal 82" xfId="1376"/>
    <cellStyle name="Normal 82 10" xfId="3726"/>
    <cellStyle name="Normal 82 10 2" xfId="7189"/>
    <cellStyle name="Normal 82 10 2 2" xfId="15670"/>
    <cellStyle name="Normal 82 10 2 3" xfId="22184"/>
    <cellStyle name="Normal 82 10 2 4" xfId="28573"/>
    <cellStyle name="Normal 82 10 3" xfId="12221"/>
    <cellStyle name="Normal 82 10 4" xfId="18771"/>
    <cellStyle name="Normal 82 10 5" xfId="25169"/>
    <cellStyle name="Normal 82 11" xfId="3894"/>
    <cellStyle name="Normal 82 11 2" xfId="7352"/>
    <cellStyle name="Normal 82 11 2 2" xfId="15833"/>
    <cellStyle name="Normal 82 11 2 3" xfId="22347"/>
    <cellStyle name="Normal 82 11 2 4" xfId="28736"/>
    <cellStyle name="Normal 82 11 3" xfId="12388"/>
    <cellStyle name="Normal 82 11 4" xfId="18935"/>
    <cellStyle name="Normal 82 11 5" xfId="25332"/>
    <cellStyle name="Normal 82 12" xfId="4059"/>
    <cellStyle name="Normal 82 12 2" xfId="7512"/>
    <cellStyle name="Normal 82 12 2 2" xfId="15993"/>
    <cellStyle name="Normal 82 12 2 3" xfId="22507"/>
    <cellStyle name="Normal 82 12 2 4" xfId="28896"/>
    <cellStyle name="Normal 82 12 3" xfId="12552"/>
    <cellStyle name="Normal 82 12 4" xfId="19096"/>
    <cellStyle name="Normal 82 12 5" xfId="25492"/>
    <cellStyle name="Normal 82 13" xfId="4224"/>
    <cellStyle name="Normal 82 13 2" xfId="7672"/>
    <cellStyle name="Normal 82 13 2 2" xfId="16153"/>
    <cellStyle name="Normal 82 13 2 3" xfId="22667"/>
    <cellStyle name="Normal 82 13 2 4" xfId="29056"/>
    <cellStyle name="Normal 82 13 3" xfId="12716"/>
    <cellStyle name="Normal 82 13 4" xfId="19257"/>
    <cellStyle name="Normal 82 13 5" xfId="25652"/>
    <cellStyle name="Normal 82 14" xfId="4384"/>
    <cellStyle name="Normal 82 14 2" xfId="7827"/>
    <cellStyle name="Normal 82 14 2 2" xfId="16308"/>
    <cellStyle name="Normal 82 14 2 3" xfId="22822"/>
    <cellStyle name="Normal 82 14 2 4" xfId="29211"/>
    <cellStyle name="Normal 82 14 3" xfId="12875"/>
    <cellStyle name="Normal 82 14 4" xfId="19413"/>
    <cellStyle name="Normal 82 14 5" xfId="25807"/>
    <cellStyle name="Normal 82 15" xfId="4544"/>
    <cellStyle name="Normal 82 15 2" xfId="7982"/>
    <cellStyle name="Normal 82 15 2 2" xfId="16463"/>
    <cellStyle name="Normal 82 15 2 3" xfId="22977"/>
    <cellStyle name="Normal 82 15 2 4" xfId="29366"/>
    <cellStyle name="Normal 82 15 3" xfId="13035"/>
    <cellStyle name="Normal 82 15 4" xfId="19569"/>
    <cellStyle name="Normal 82 15 5" xfId="25962"/>
    <cellStyle name="Normal 82 16" xfId="4704"/>
    <cellStyle name="Normal 82 16 2" xfId="8137"/>
    <cellStyle name="Normal 82 16 2 2" xfId="16618"/>
    <cellStyle name="Normal 82 16 2 3" xfId="23132"/>
    <cellStyle name="Normal 82 16 2 4" xfId="29521"/>
    <cellStyle name="Normal 82 16 3" xfId="13194"/>
    <cellStyle name="Normal 82 16 4" xfId="19725"/>
    <cellStyle name="Normal 82 16 5" xfId="26117"/>
    <cellStyle name="Normal 82 17" xfId="4863"/>
    <cellStyle name="Normal 82 17 2" xfId="8291"/>
    <cellStyle name="Normal 82 17 2 2" xfId="16772"/>
    <cellStyle name="Normal 82 17 2 3" xfId="23286"/>
    <cellStyle name="Normal 82 17 2 4" xfId="29675"/>
    <cellStyle name="Normal 82 17 3" xfId="13352"/>
    <cellStyle name="Normal 82 17 4" xfId="19880"/>
    <cellStyle name="Normal 82 17 5" xfId="26271"/>
    <cellStyle name="Normal 82 18" xfId="5016"/>
    <cellStyle name="Normal 82 18 2" xfId="8439"/>
    <cellStyle name="Normal 82 18 2 2" xfId="16920"/>
    <cellStyle name="Normal 82 18 2 3" xfId="23434"/>
    <cellStyle name="Normal 82 18 2 4" xfId="29823"/>
    <cellStyle name="Normal 82 18 3" xfId="13504"/>
    <cellStyle name="Normal 82 18 4" xfId="20029"/>
    <cellStyle name="Normal 82 18 5" xfId="26419"/>
    <cellStyle name="Normal 82 19" xfId="5304"/>
    <cellStyle name="Normal 82 19 2" xfId="13785"/>
    <cellStyle name="Normal 82 19 3" xfId="20302"/>
    <cellStyle name="Normal 82 19 4" xfId="26691"/>
    <cellStyle name="Normal 82 2" xfId="1908"/>
    <cellStyle name="Normal 82 2 2" xfId="5504"/>
    <cellStyle name="Normal 82 2 2 2" xfId="13985"/>
    <cellStyle name="Normal 82 2 2 3" xfId="20499"/>
    <cellStyle name="Normal 82 2 2 4" xfId="26888"/>
    <cellStyle name="Normal 82 2 3" xfId="10478"/>
    <cellStyle name="Normal 82 2 4" xfId="17455"/>
    <cellStyle name="Normal 82 2 5" xfId="23885"/>
    <cellStyle name="Normal 82 20" xfId="10072"/>
    <cellStyle name="Normal 82 21" xfId="17090"/>
    <cellStyle name="Normal 82 22" xfId="23567"/>
    <cellStyle name="Normal 82 3" xfId="2254"/>
    <cellStyle name="Normal 82 3 2" xfId="5824"/>
    <cellStyle name="Normal 82 3 2 2" xfId="14305"/>
    <cellStyle name="Normal 82 3 2 3" xfId="20819"/>
    <cellStyle name="Normal 82 3 2 4" xfId="27208"/>
    <cellStyle name="Normal 82 3 3" xfId="10810"/>
    <cellStyle name="Normal 82 3 4" xfId="17182"/>
    <cellStyle name="Normal 82 3 5" xfId="23658"/>
    <cellStyle name="Normal 82 4" xfId="2693"/>
    <cellStyle name="Normal 82 4 2" xfId="6194"/>
    <cellStyle name="Normal 82 4 2 2" xfId="14675"/>
    <cellStyle name="Normal 82 4 2 3" xfId="21189"/>
    <cellStyle name="Normal 82 4 2 4" xfId="27578"/>
    <cellStyle name="Normal 82 4 3" xfId="11203"/>
    <cellStyle name="Normal 82 4 4" xfId="17772"/>
    <cellStyle name="Normal 82 4 5" xfId="24174"/>
    <cellStyle name="Normal 82 5" xfId="2867"/>
    <cellStyle name="Normal 82 5 2" xfId="6361"/>
    <cellStyle name="Normal 82 5 2 2" xfId="14842"/>
    <cellStyle name="Normal 82 5 2 3" xfId="21356"/>
    <cellStyle name="Normal 82 5 2 4" xfId="27745"/>
    <cellStyle name="Normal 82 5 3" xfId="11373"/>
    <cellStyle name="Normal 82 5 4" xfId="17939"/>
    <cellStyle name="Normal 82 5 5" xfId="24341"/>
    <cellStyle name="Normal 82 6" xfId="3041"/>
    <cellStyle name="Normal 82 6 2" xfId="6528"/>
    <cellStyle name="Normal 82 6 2 2" xfId="15009"/>
    <cellStyle name="Normal 82 6 2 3" xfId="21523"/>
    <cellStyle name="Normal 82 6 2 4" xfId="27912"/>
    <cellStyle name="Normal 82 6 3" xfId="11543"/>
    <cellStyle name="Normal 82 6 4" xfId="18106"/>
    <cellStyle name="Normal 82 6 5" xfId="24508"/>
    <cellStyle name="Normal 82 7" xfId="3214"/>
    <cellStyle name="Normal 82 7 2" xfId="6695"/>
    <cellStyle name="Normal 82 7 2 2" xfId="15176"/>
    <cellStyle name="Normal 82 7 2 3" xfId="21690"/>
    <cellStyle name="Normal 82 7 2 4" xfId="28079"/>
    <cellStyle name="Normal 82 7 3" xfId="11714"/>
    <cellStyle name="Normal 82 7 4" xfId="18273"/>
    <cellStyle name="Normal 82 7 5" xfId="24675"/>
    <cellStyle name="Normal 82 8" xfId="3385"/>
    <cellStyle name="Normal 82 8 2" xfId="6860"/>
    <cellStyle name="Normal 82 8 2 2" xfId="15341"/>
    <cellStyle name="Normal 82 8 2 3" xfId="21855"/>
    <cellStyle name="Normal 82 8 2 4" xfId="28244"/>
    <cellStyle name="Normal 82 8 3" xfId="11882"/>
    <cellStyle name="Normal 82 8 4" xfId="18438"/>
    <cellStyle name="Normal 82 8 5" xfId="24840"/>
    <cellStyle name="Normal 82 9" xfId="3556"/>
    <cellStyle name="Normal 82 9 2" xfId="7025"/>
    <cellStyle name="Normal 82 9 2 2" xfId="15506"/>
    <cellStyle name="Normal 82 9 2 3" xfId="22020"/>
    <cellStyle name="Normal 82 9 2 4" xfId="28409"/>
    <cellStyle name="Normal 82 9 3" xfId="12051"/>
    <cellStyle name="Normal 82 9 4" xfId="18604"/>
    <cellStyle name="Normal 82 9 5" xfId="25005"/>
    <cellStyle name="Normal 83" xfId="1377"/>
    <cellStyle name="Normal 83 10" xfId="3725"/>
    <cellStyle name="Normal 83 10 2" xfId="7188"/>
    <cellStyle name="Normal 83 10 2 2" xfId="15669"/>
    <cellStyle name="Normal 83 10 2 3" xfId="22183"/>
    <cellStyle name="Normal 83 10 2 4" xfId="28572"/>
    <cellStyle name="Normal 83 10 3" xfId="12220"/>
    <cellStyle name="Normal 83 10 4" xfId="18770"/>
    <cellStyle name="Normal 83 10 5" xfId="25168"/>
    <cellStyle name="Normal 83 11" xfId="3893"/>
    <cellStyle name="Normal 83 11 2" xfId="7351"/>
    <cellStyle name="Normal 83 11 2 2" xfId="15832"/>
    <cellStyle name="Normal 83 11 2 3" xfId="22346"/>
    <cellStyle name="Normal 83 11 2 4" xfId="28735"/>
    <cellStyle name="Normal 83 11 3" xfId="12387"/>
    <cellStyle name="Normal 83 11 4" xfId="18934"/>
    <cellStyle name="Normal 83 11 5" xfId="25331"/>
    <cellStyle name="Normal 83 12" xfId="4058"/>
    <cellStyle name="Normal 83 12 2" xfId="7511"/>
    <cellStyle name="Normal 83 12 2 2" xfId="15992"/>
    <cellStyle name="Normal 83 12 2 3" xfId="22506"/>
    <cellStyle name="Normal 83 12 2 4" xfId="28895"/>
    <cellStyle name="Normal 83 12 3" xfId="12551"/>
    <cellStyle name="Normal 83 12 4" xfId="19095"/>
    <cellStyle name="Normal 83 12 5" xfId="25491"/>
    <cellStyle name="Normal 83 13" xfId="4223"/>
    <cellStyle name="Normal 83 13 2" xfId="7671"/>
    <cellStyle name="Normal 83 13 2 2" xfId="16152"/>
    <cellStyle name="Normal 83 13 2 3" xfId="22666"/>
    <cellStyle name="Normal 83 13 2 4" xfId="29055"/>
    <cellStyle name="Normal 83 13 3" xfId="12715"/>
    <cellStyle name="Normal 83 13 4" xfId="19256"/>
    <cellStyle name="Normal 83 13 5" xfId="25651"/>
    <cellStyle name="Normal 83 14" xfId="4383"/>
    <cellStyle name="Normal 83 14 2" xfId="7826"/>
    <cellStyle name="Normal 83 14 2 2" xfId="16307"/>
    <cellStyle name="Normal 83 14 2 3" xfId="22821"/>
    <cellStyle name="Normal 83 14 2 4" xfId="29210"/>
    <cellStyle name="Normal 83 14 3" xfId="12874"/>
    <cellStyle name="Normal 83 14 4" xfId="19412"/>
    <cellStyle name="Normal 83 14 5" xfId="25806"/>
    <cellStyle name="Normal 83 15" xfId="4543"/>
    <cellStyle name="Normal 83 15 2" xfId="7981"/>
    <cellStyle name="Normal 83 15 2 2" xfId="16462"/>
    <cellStyle name="Normal 83 15 2 3" xfId="22976"/>
    <cellStyle name="Normal 83 15 2 4" xfId="29365"/>
    <cellStyle name="Normal 83 15 3" xfId="13034"/>
    <cellStyle name="Normal 83 15 4" xfId="19568"/>
    <cellStyle name="Normal 83 15 5" xfId="25961"/>
    <cellStyle name="Normal 83 16" xfId="4703"/>
    <cellStyle name="Normal 83 16 2" xfId="8136"/>
    <cellStyle name="Normal 83 16 2 2" xfId="16617"/>
    <cellStyle name="Normal 83 16 2 3" xfId="23131"/>
    <cellStyle name="Normal 83 16 2 4" xfId="29520"/>
    <cellStyle name="Normal 83 16 3" xfId="13193"/>
    <cellStyle name="Normal 83 16 4" xfId="19724"/>
    <cellStyle name="Normal 83 16 5" xfId="26116"/>
    <cellStyle name="Normal 83 17" xfId="4862"/>
    <cellStyle name="Normal 83 17 2" xfId="8290"/>
    <cellStyle name="Normal 83 17 2 2" xfId="16771"/>
    <cellStyle name="Normal 83 17 2 3" xfId="23285"/>
    <cellStyle name="Normal 83 17 2 4" xfId="29674"/>
    <cellStyle name="Normal 83 17 3" xfId="13351"/>
    <cellStyle name="Normal 83 17 4" xfId="19879"/>
    <cellStyle name="Normal 83 17 5" xfId="26270"/>
    <cellStyle name="Normal 83 18" xfId="5015"/>
    <cellStyle name="Normal 83 18 2" xfId="8438"/>
    <cellStyle name="Normal 83 18 2 2" xfId="16919"/>
    <cellStyle name="Normal 83 18 2 3" xfId="23433"/>
    <cellStyle name="Normal 83 18 2 4" xfId="29822"/>
    <cellStyle name="Normal 83 18 3" xfId="13503"/>
    <cellStyle name="Normal 83 18 4" xfId="20028"/>
    <cellStyle name="Normal 83 18 5" xfId="26418"/>
    <cellStyle name="Normal 83 19" xfId="5305"/>
    <cellStyle name="Normal 83 19 2" xfId="13786"/>
    <cellStyle name="Normal 83 19 3" xfId="20303"/>
    <cellStyle name="Normal 83 19 4" xfId="26692"/>
    <cellStyle name="Normal 83 2" xfId="1909"/>
    <cellStyle name="Normal 83 2 2" xfId="5505"/>
    <cellStyle name="Normal 83 2 2 2" xfId="13986"/>
    <cellStyle name="Normal 83 2 2 3" xfId="20500"/>
    <cellStyle name="Normal 83 2 2 4" xfId="26889"/>
    <cellStyle name="Normal 83 2 3" xfId="10479"/>
    <cellStyle name="Normal 83 2 4" xfId="9551"/>
    <cellStyle name="Normal 83 2 5" xfId="10169"/>
    <cellStyle name="Normal 83 20" xfId="10073"/>
    <cellStyle name="Normal 83 21" xfId="17091"/>
    <cellStyle name="Normal 83 22" xfId="23568"/>
    <cellStyle name="Normal 83 3" xfId="2255"/>
    <cellStyle name="Normal 83 3 2" xfId="5825"/>
    <cellStyle name="Normal 83 3 2 2" xfId="14306"/>
    <cellStyle name="Normal 83 3 2 3" xfId="20820"/>
    <cellStyle name="Normal 83 3 2 4" xfId="27209"/>
    <cellStyle name="Normal 83 3 3" xfId="10811"/>
    <cellStyle name="Normal 83 3 4" xfId="17183"/>
    <cellStyle name="Normal 83 3 5" xfId="23659"/>
    <cellStyle name="Normal 83 4" xfId="2692"/>
    <cellStyle name="Normal 83 4 2" xfId="6193"/>
    <cellStyle name="Normal 83 4 2 2" xfId="14674"/>
    <cellStyle name="Normal 83 4 2 3" xfId="21188"/>
    <cellStyle name="Normal 83 4 2 4" xfId="27577"/>
    <cellStyle name="Normal 83 4 3" xfId="11202"/>
    <cellStyle name="Normal 83 4 4" xfId="17771"/>
    <cellStyle name="Normal 83 4 5" xfId="24173"/>
    <cellStyle name="Normal 83 5" xfId="2866"/>
    <cellStyle name="Normal 83 5 2" xfId="6360"/>
    <cellStyle name="Normal 83 5 2 2" xfId="14841"/>
    <cellStyle name="Normal 83 5 2 3" xfId="21355"/>
    <cellStyle name="Normal 83 5 2 4" xfId="27744"/>
    <cellStyle name="Normal 83 5 3" xfId="11372"/>
    <cellStyle name="Normal 83 5 4" xfId="17938"/>
    <cellStyle name="Normal 83 5 5" xfId="24340"/>
    <cellStyle name="Normal 83 6" xfId="3040"/>
    <cellStyle name="Normal 83 6 2" xfId="6527"/>
    <cellStyle name="Normal 83 6 2 2" xfId="15008"/>
    <cellStyle name="Normal 83 6 2 3" xfId="21522"/>
    <cellStyle name="Normal 83 6 2 4" xfId="27911"/>
    <cellStyle name="Normal 83 6 3" xfId="11542"/>
    <cellStyle name="Normal 83 6 4" xfId="18105"/>
    <cellStyle name="Normal 83 6 5" xfId="24507"/>
    <cellStyle name="Normal 83 7" xfId="3213"/>
    <cellStyle name="Normal 83 7 2" xfId="6694"/>
    <cellStyle name="Normal 83 7 2 2" xfId="15175"/>
    <cellStyle name="Normal 83 7 2 3" xfId="21689"/>
    <cellStyle name="Normal 83 7 2 4" xfId="28078"/>
    <cellStyle name="Normal 83 7 3" xfId="11713"/>
    <cellStyle name="Normal 83 7 4" xfId="18272"/>
    <cellStyle name="Normal 83 7 5" xfId="24674"/>
    <cellStyle name="Normal 83 8" xfId="3384"/>
    <cellStyle name="Normal 83 8 2" xfId="6859"/>
    <cellStyle name="Normal 83 8 2 2" xfId="15340"/>
    <cellStyle name="Normal 83 8 2 3" xfId="21854"/>
    <cellStyle name="Normal 83 8 2 4" xfId="28243"/>
    <cellStyle name="Normal 83 8 3" xfId="11881"/>
    <cellStyle name="Normal 83 8 4" xfId="18437"/>
    <cellStyle name="Normal 83 8 5" xfId="24839"/>
    <cellStyle name="Normal 83 9" xfId="3555"/>
    <cellStyle name="Normal 83 9 2" xfId="7024"/>
    <cellStyle name="Normal 83 9 2 2" xfId="15505"/>
    <cellStyle name="Normal 83 9 2 3" xfId="22019"/>
    <cellStyle name="Normal 83 9 2 4" xfId="28408"/>
    <cellStyle name="Normal 83 9 3" xfId="12050"/>
    <cellStyle name="Normal 83 9 4" xfId="18603"/>
    <cellStyle name="Normal 83 9 5" xfId="25004"/>
    <cellStyle name="Normal 84" xfId="1378"/>
    <cellStyle name="Normal 84 10" xfId="3445"/>
    <cellStyle name="Normal 84 10 2" xfId="6920"/>
    <cellStyle name="Normal 84 10 2 2" xfId="15401"/>
    <cellStyle name="Normal 84 10 2 3" xfId="21915"/>
    <cellStyle name="Normal 84 10 2 4" xfId="28304"/>
    <cellStyle name="Normal 84 10 3" xfId="11942"/>
    <cellStyle name="Normal 84 10 4" xfId="18498"/>
    <cellStyle name="Normal 84 10 5" xfId="24900"/>
    <cellStyle name="Normal 84 11" xfId="3615"/>
    <cellStyle name="Normal 84 11 2" xfId="7084"/>
    <cellStyle name="Normal 84 11 2 2" xfId="15565"/>
    <cellStyle name="Normal 84 11 2 3" xfId="22079"/>
    <cellStyle name="Normal 84 11 2 4" xfId="28468"/>
    <cellStyle name="Normal 84 11 3" xfId="12110"/>
    <cellStyle name="Normal 84 11 4" xfId="18663"/>
    <cellStyle name="Normal 84 11 5" xfId="25064"/>
    <cellStyle name="Normal 84 12" xfId="3784"/>
    <cellStyle name="Normal 84 12 2" xfId="7247"/>
    <cellStyle name="Normal 84 12 2 2" xfId="15728"/>
    <cellStyle name="Normal 84 12 2 3" xfId="22242"/>
    <cellStyle name="Normal 84 12 2 4" xfId="28631"/>
    <cellStyle name="Normal 84 12 3" xfId="12279"/>
    <cellStyle name="Normal 84 12 4" xfId="18829"/>
    <cellStyle name="Normal 84 12 5" xfId="25227"/>
    <cellStyle name="Normal 84 13" xfId="3951"/>
    <cellStyle name="Normal 84 13 2" xfId="7409"/>
    <cellStyle name="Normal 84 13 2 2" xfId="15890"/>
    <cellStyle name="Normal 84 13 2 3" xfId="22404"/>
    <cellStyle name="Normal 84 13 2 4" xfId="28793"/>
    <cellStyle name="Normal 84 13 3" xfId="12445"/>
    <cellStyle name="Normal 84 13 4" xfId="18992"/>
    <cellStyle name="Normal 84 13 5" xfId="25389"/>
    <cellStyle name="Normal 84 14" xfId="4116"/>
    <cellStyle name="Normal 84 14 2" xfId="7569"/>
    <cellStyle name="Normal 84 14 2 2" xfId="16050"/>
    <cellStyle name="Normal 84 14 2 3" xfId="22564"/>
    <cellStyle name="Normal 84 14 2 4" xfId="28953"/>
    <cellStyle name="Normal 84 14 3" xfId="12609"/>
    <cellStyle name="Normal 84 14 4" xfId="19153"/>
    <cellStyle name="Normal 84 14 5" xfId="25549"/>
    <cellStyle name="Normal 84 15" xfId="4278"/>
    <cellStyle name="Normal 84 15 2" xfId="7726"/>
    <cellStyle name="Normal 84 15 2 2" xfId="16207"/>
    <cellStyle name="Normal 84 15 2 3" xfId="22721"/>
    <cellStyle name="Normal 84 15 2 4" xfId="29110"/>
    <cellStyle name="Normal 84 15 3" xfId="12770"/>
    <cellStyle name="Normal 84 15 4" xfId="19311"/>
    <cellStyle name="Normal 84 15 5" xfId="25706"/>
    <cellStyle name="Normal 84 16" xfId="4438"/>
    <cellStyle name="Normal 84 16 2" xfId="7881"/>
    <cellStyle name="Normal 84 16 2 2" xfId="16362"/>
    <cellStyle name="Normal 84 16 2 3" xfId="22876"/>
    <cellStyle name="Normal 84 16 2 4" xfId="29265"/>
    <cellStyle name="Normal 84 16 3" xfId="12929"/>
    <cellStyle name="Normal 84 16 4" xfId="19467"/>
    <cellStyle name="Normal 84 16 5" xfId="25861"/>
    <cellStyle name="Normal 84 17" xfId="4598"/>
    <cellStyle name="Normal 84 17 2" xfId="8036"/>
    <cellStyle name="Normal 84 17 2 2" xfId="16517"/>
    <cellStyle name="Normal 84 17 2 3" xfId="23031"/>
    <cellStyle name="Normal 84 17 2 4" xfId="29420"/>
    <cellStyle name="Normal 84 17 3" xfId="13089"/>
    <cellStyle name="Normal 84 17 4" xfId="19623"/>
    <cellStyle name="Normal 84 17 5" xfId="26016"/>
    <cellStyle name="Normal 84 18" xfId="4758"/>
    <cellStyle name="Normal 84 18 2" xfId="8191"/>
    <cellStyle name="Normal 84 18 2 2" xfId="16672"/>
    <cellStyle name="Normal 84 18 2 3" xfId="23186"/>
    <cellStyle name="Normal 84 18 2 4" xfId="29575"/>
    <cellStyle name="Normal 84 18 3" xfId="13248"/>
    <cellStyle name="Normal 84 18 4" xfId="19779"/>
    <cellStyle name="Normal 84 18 5" xfId="26171"/>
    <cellStyle name="Normal 84 19" xfId="5306"/>
    <cellStyle name="Normal 84 19 2" xfId="13787"/>
    <cellStyle name="Normal 84 19 3" xfId="20304"/>
    <cellStyle name="Normal 84 19 4" xfId="26693"/>
    <cellStyle name="Normal 84 2" xfId="1910"/>
    <cellStyle name="Normal 84 2 2" xfId="5506"/>
    <cellStyle name="Normal 84 2 2 2" xfId="13987"/>
    <cellStyle name="Normal 84 2 2 3" xfId="20501"/>
    <cellStyle name="Normal 84 2 2 4" xfId="26890"/>
    <cellStyle name="Normal 84 2 3" xfId="10480"/>
    <cellStyle name="Normal 84 2 4" xfId="9550"/>
    <cellStyle name="Normal 84 2 5" xfId="10170"/>
    <cellStyle name="Normal 84 20" xfId="10074"/>
    <cellStyle name="Normal 84 21" xfId="9687"/>
    <cellStyle name="Normal 84 22" xfId="10041"/>
    <cellStyle name="Normal 84 3" xfId="2256"/>
    <cellStyle name="Normal 84 3 2" xfId="5826"/>
    <cellStyle name="Normal 84 3 2 2" xfId="14307"/>
    <cellStyle name="Normal 84 3 2 3" xfId="20821"/>
    <cellStyle name="Normal 84 3 2 4" xfId="27210"/>
    <cellStyle name="Normal 84 3 3" xfId="10812"/>
    <cellStyle name="Normal 84 3 4" xfId="17184"/>
    <cellStyle name="Normal 84 3 5" xfId="23660"/>
    <cellStyle name="Normal 84 4" xfId="2161"/>
    <cellStyle name="Normal 84 4 2" xfId="5732"/>
    <cellStyle name="Normal 84 4 2 2" xfId="14213"/>
    <cellStyle name="Normal 84 4 2 3" xfId="20727"/>
    <cellStyle name="Normal 84 4 2 4" xfId="27116"/>
    <cellStyle name="Normal 84 4 3" xfId="10718"/>
    <cellStyle name="Normal 84 4 4" xfId="9357"/>
    <cellStyle name="Normal 84 4 5" xfId="10293"/>
    <cellStyle name="Normal 84 5" xfId="2193"/>
    <cellStyle name="Normal 84 5 2" xfId="5763"/>
    <cellStyle name="Normal 84 5 2 2" xfId="14244"/>
    <cellStyle name="Normal 84 5 2 3" xfId="20758"/>
    <cellStyle name="Normal 84 5 2 4" xfId="27147"/>
    <cellStyle name="Normal 84 5 3" xfId="10749"/>
    <cellStyle name="Normal 84 5 4" xfId="17140"/>
    <cellStyle name="Normal 84 5 5" xfId="23617"/>
    <cellStyle name="Normal 84 6" xfId="2753"/>
    <cellStyle name="Normal 84 6 2" xfId="6254"/>
    <cellStyle name="Normal 84 6 2 2" xfId="14735"/>
    <cellStyle name="Normal 84 6 2 3" xfId="21249"/>
    <cellStyle name="Normal 84 6 2 4" xfId="27638"/>
    <cellStyle name="Normal 84 6 3" xfId="11263"/>
    <cellStyle name="Normal 84 6 4" xfId="17832"/>
    <cellStyle name="Normal 84 6 5" xfId="24234"/>
    <cellStyle name="Normal 84 7" xfId="2927"/>
    <cellStyle name="Normal 84 7 2" xfId="6421"/>
    <cellStyle name="Normal 84 7 2 2" xfId="14902"/>
    <cellStyle name="Normal 84 7 2 3" xfId="21416"/>
    <cellStyle name="Normal 84 7 2 4" xfId="27805"/>
    <cellStyle name="Normal 84 7 3" xfId="11433"/>
    <cellStyle name="Normal 84 7 4" xfId="17999"/>
    <cellStyle name="Normal 84 7 5" xfId="24401"/>
    <cellStyle name="Normal 84 8" xfId="3101"/>
    <cellStyle name="Normal 84 8 2" xfId="6588"/>
    <cellStyle name="Normal 84 8 2 2" xfId="15069"/>
    <cellStyle name="Normal 84 8 2 3" xfId="21583"/>
    <cellStyle name="Normal 84 8 2 4" xfId="27972"/>
    <cellStyle name="Normal 84 8 3" xfId="11603"/>
    <cellStyle name="Normal 84 8 4" xfId="18166"/>
    <cellStyle name="Normal 84 8 5" xfId="24568"/>
    <cellStyle name="Normal 84 9" xfId="3274"/>
    <cellStyle name="Normal 84 9 2" xfId="6755"/>
    <cellStyle name="Normal 84 9 2 2" xfId="15236"/>
    <cellStyle name="Normal 84 9 2 3" xfId="21750"/>
    <cellStyle name="Normal 84 9 2 4" xfId="28139"/>
    <cellStyle name="Normal 84 9 3" xfId="11774"/>
    <cellStyle name="Normal 84 9 4" xfId="18333"/>
    <cellStyle name="Normal 84 9 5" xfId="24735"/>
    <cellStyle name="Normal 85" xfId="1379"/>
    <cellStyle name="Normal 85 10" xfId="3724"/>
    <cellStyle name="Normal 85 10 2" xfId="7187"/>
    <cellStyle name="Normal 85 10 2 2" xfId="15668"/>
    <cellStyle name="Normal 85 10 2 3" xfId="22182"/>
    <cellStyle name="Normal 85 10 2 4" xfId="28571"/>
    <cellStyle name="Normal 85 10 3" xfId="12219"/>
    <cellStyle name="Normal 85 10 4" xfId="18769"/>
    <cellStyle name="Normal 85 10 5" xfId="25167"/>
    <cellStyle name="Normal 85 11" xfId="3892"/>
    <cellStyle name="Normal 85 11 2" xfId="7350"/>
    <cellStyle name="Normal 85 11 2 2" xfId="15831"/>
    <cellStyle name="Normal 85 11 2 3" xfId="22345"/>
    <cellStyle name="Normal 85 11 2 4" xfId="28734"/>
    <cellStyle name="Normal 85 11 3" xfId="12386"/>
    <cellStyle name="Normal 85 11 4" xfId="18933"/>
    <cellStyle name="Normal 85 11 5" xfId="25330"/>
    <cellStyle name="Normal 85 12" xfId="4057"/>
    <cellStyle name="Normal 85 12 2" xfId="7510"/>
    <cellStyle name="Normal 85 12 2 2" xfId="15991"/>
    <cellStyle name="Normal 85 12 2 3" xfId="22505"/>
    <cellStyle name="Normal 85 12 2 4" xfId="28894"/>
    <cellStyle name="Normal 85 12 3" xfId="12550"/>
    <cellStyle name="Normal 85 12 4" xfId="19094"/>
    <cellStyle name="Normal 85 12 5" xfId="25490"/>
    <cellStyle name="Normal 85 13" xfId="4222"/>
    <cellStyle name="Normal 85 13 2" xfId="7670"/>
    <cellStyle name="Normal 85 13 2 2" xfId="16151"/>
    <cellStyle name="Normal 85 13 2 3" xfId="22665"/>
    <cellStyle name="Normal 85 13 2 4" xfId="29054"/>
    <cellStyle name="Normal 85 13 3" xfId="12714"/>
    <cellStyle name="Normal 85 13 4" xfId="19255"/>
    <cellStyle name="Normal 85 13 5" xfId="25650"/>
    <cellStyle name="Normal 85 14" xfId="4382"/>
    <cellStyle name="Normal 85 14 2" xfId="7825"/>
    <cellStyle name="Normal 85 14 2 2" xfId="16306"/>
    <cellStyle name="Normal 85 14 2 3" xfId="22820"/>
    <cellStyle name="Normal 85 14 2 4" xfId="29209"/>
    <cellStyle name="Normal 85 14 3" xfId="12873"/>
    <cellStyle name="Normal 85 14 4" xfId="19411"/>
    <cellStyle name="Normal 85 14 5" xfId="25805"/>
    <cellStyle name="Normal 85 15" xfId="4542"/>
    <cellStyle name="Normal 85 15 2" xfId="7980"/>
    <cellStyle name="Normal 85 15 2 2" xfId="16461"/>
    <cellStyle name="Normal 85 15 2 3" xfId="22975"/>
    <cellStyle name="Normal 85 15 2 4" xfId="29364"/>
    <cellStyle name="Normal 85 15 3" xfId="13033"/>
    <cellStyle name="Normal 85 15 4" xfId="19567"/>
    <cellStyle name="Normal 85 15 5" xfId="25960"/>
    <cellStyle name="Normal 85 16" xfId="4702"/>
    <cellStyle name="Normal 85 16 2" xfId="8135"/>
    <cellStyle name="Normal 85 16 2 2" xfId="16616"/>
    <cellStyle name="Normal 85 16 2 3" xfId="23130"/>
    <cellStyle name="Normal 85 16 2 4" xfId="29519"/>
    <cellStyle name="Normal 85 16 3" xfId="13192"/>
    <cellStyle name="Normal 85 16 4" xfId="19723"/>
    <cellStyle name="Normal 85 16 5" xfId="26115"/>
    <cellStyle name="Normal 85 17" xfId="4861"/>
    <cellStyle name="Normal 85 17 2" xfId="8289"/>
    <cellStyle name="Normal 85 17 2 2" xfId="16770"/>
    <cellStyle name="Normal 85 17 2 3" xfId="23284"/>
    <cellStyle name="Normal 85 17 2 4" xfId="29673"/>
    <cellStyle name="Normal 85 17 3" xfId="13350"/>
    <cellStyle name="Normal 85 17 4" xfId="19878"/>
    <cellStyle name="Normal 85 17 5" xfId="26269"/>
    <cellStyle name="Normal 85 18" xfId="5014"/>
    <cellStyle name="Normal 85 18 2" xfId="8437"/>
    <cellStyle name="Normal 85 18 2 2" xfId="16918"/>
    <cellStyle name="Normal 85 18 2 3" xfId="23432"/>
    <cellStyle name="Normal 85 18 2 4" xfId="29821"/>
    <cellStyle name="Normal 85 18 3" xfId="13502"/>
    <cellStyle name="Normal 85 18 4" xfId="20027"/>
    <cellStyle name="Normal 85 18 5" xfId="26417"/>
    <cellStyle name="Normal 85 19" xfId="5307"/>
    <cellStyle name="Normal 85 19 2" xfId="13788"/>
    <cellStyle name="Normal 85 19 3" xfId="20305"/>
    <cellStyle name="Normal 85 19 4" xfId="26694"/>
    <cellStyle name="Normal 85 2" xfId="1911"/>
    <cellStyle name="Normal 85 2 2" xfId="5507"/>
    <cellStyle name="Normal 85 2 2 2" xfId="13988"/>
    <cellStyle name="Normal 85 2 2 3" xfId="20502"/>
    <cellStyle name="Normal 85 2 2 4" xfId="26891"/>
    <cellStyle name="Normal 85 2 3" xfId="10481"/>
    <cellStyle name="Normal 85 2 4" xfId="9549"/>
    <cellStyle name="Normal 85 2 5" xfId="10171"/>
    <cellStyle name="Normal 85 20" xfId="10075"/>
    <cellStyle name="Normal 85 21" xfId="17093"/>
    <cellStyle name="Normal 85 22" xfId="23570"/>
    <cellStyle name="Normal 85 3" xfId="2257"/>
    <cellStyle name="Normal 85 3 2" xfId="5827"/>
    <cellStyle name="Normal 85 3 2 2" xfId="14308"/>
    <cellStyle name="Normal 85 3 2 3" xfId="20822"/>
    <cellStyle name="Normal 85 3 2 4" xfId="27211"/>
    <cellStyle name="Normal 85 3 3" xfId="10813"/>
    <cellStyle name="Normal 85 3 4" xfId="17185"/>
    <cellStyle name="Normal 85 3 5" xfId="23661"/>
    <cellStyle name="Normal 85 4" xfId="2691"/>
    <cellStyle name="Normal 85 4 2" xfId="6192"/>
    <cellStyle name="Normal 85 4 2 2" xfId="14673"/>
    <cellStyle name="Normal 85 4 2 3" xfId="21187"/>
    <cellStyle name="Normal 85 4 2 4" xfId="27576"/>
    <cellStyle name="Normal 85 4 3" xfId="11201"/>
    <cellStyle name="Normal 85 4 4" xfId="17770"/>
    <cellStyle name="Normal 85 4 5" xfId="24172"/>
    <cellStyle name="Normal 85 5" xfId="2865"/>
    <cellStyle name="Normal 85 5 2" xfId="6359"/>
    <cellStyle name="Normal 85 5 2 2" xfId="14840"/>
    <cellStyle name="Normal 85 5 2 3" xfId="21354"/>
    <cellStyle name="Normal 85 5 2 4" xfId="27743"/>
    <cellStyle name="Normal 85 5 3" xfId="11371"/>
    <cellStyle name="Normal 85 5 4" xfId="17937"/>
    <cellStyle name="Normal 85 5 5" xfId="24339"/>
    <cellStyle name="Normal 85 6" xfId="3039"/>
    <cellStyle name="Normal 85 6 2" xfId="6526"/>
    <cellStyle name="Normal 85 6 2 2" xfId="15007"/>
    <cellStyle name="Normal 85 6 2 3" xfId="21521"/>
    <cellStyle name="Normal 85 6 2 4" xfId="27910"/>
    <cellStyle name="Normal 85 6 3" xfId="11541"/>
    <cellStyle name="Normal 85 6 4" xfId="18104"/>
    <cellStyle name="Normal 85 6 5" xfId="24506"/>
    <cellStyle name="Normal 85 7" xfId="3212"/>
    <cellStyle name="Normal 85 7 2" xfId="6693"/>
    <cellStyle name="Normal 85 7 2 2" xfId="15174"/>
    <cellStyle name="Normal 85 7 2 3" xfId="21688"/>
    <cellStyle name="Normal 85 7 2 4" xfId="28077"/>
    <cellStyle name="Normal 85 7 3" xfId="11712"/>
    <cellStyle name="Normal 85 7 4" xfId="18271"/>
    <cellStyle name="Normal 85 7 5" xfId="24673"/>
    <cellStyle name="Normal 85 8" xfId="3383"/>
    <cellStyle name="Normal 85 8 2" xfId="6858"/>
    <cellStyle name="Normal 85 8 2 2" xfId="15339"/>
    <cellStyle name="Normal 85 8 2 3" xfId="21853"/>
    <cellStyle name="Normal 85 8 2 4" xfId="28242"/>
    <cellStyle name="Normal 85 8 3" xfId="11880"/>
    <cellStyle name="Normal 85 8 4" xfId="18436"/>
    <cellStyle name="Normal 85 8 5" xfId="24838"/>
    <cellStyle name="Normal 85 9" xfId="3554"/>
    <cellStyle name="Normal 85 9 2" xfId="7023"/>
    <cellStyle name="Normal 85 9 2 2" xfId="15504"/>
    <cellStyle name="Normal 85 9 2 3" xfId="22018"/>
    <cellStyle name="Normal 85 9 2 4" xfId="28407"/>
    <cellStyle name="Normal 85 9 3" xfId="12049"/>
    <cellStyle name="Normal 85 9 4" xfId="18602"/>
    <cellStyle name="Normal 85 9 5" xfId="25003"/>
    <cellStyle name="Normal 86" xfId="1380"/>
    <cellStyle name="Normal 86 10" xfId="3723"/>
    <cellStyle name="Normal 86 10 2" xfId="7186"/>
    <cellStyle name="Normal 86 10 2 2" xfId="15667"/>
    <cellStyle name="Normal 86 10 2 3" xfId="22181"/>
    <cellStyle name="Normal 86 10 2 4" xfId="28570"/>
    <cellStyle name="Normal 86 10 3" xfId="12218"/>
    <cellStyle name="Normal 86 10 4" xfId="18768"/>
    <cellStyle name="Normal 86 10 5" xfId="25166"/>
    <cellStyle name="Normal 86 11" xfId="3891"/>
    <cellStyle name="Normal 86 11 2" xfId="7349"/>
    <cellStyle name="Normal 86 11 2 2" xfId="15830"/>
    <cellStyle name="Normal 86 11 2 3" xfId="22344"/>
    <cellStyle name="Normal 86 11 2 4" xfId="28733"/>
    <cellStyle name="Normal 86 11 3" xfId="12385"/>
    <cellStyle name="Normal 86 11 4" xfId="18932"/>
    <cellStyle name="Normal 86 11 5" xfId="25329"/>
    <cellStyle name="Normal 86 12" xfId="4056"/>
    <cellStyle name="Normal 86 12 2" xfId="7509"/>
    <cellStyle name="Normal 86 12 2 2" xfId="15990"/>
    <cellStyle name="Normal 86 12 2 3" xfId="22504"/>
    <cellStyle name="Normal 86 12 2 4" xfId="28893"/>
    <cellStyle name="Normal 86 12 3" xfId="12549"/>
    <cellStyle name="Normal 86 12 4" xfId="19093"/>
    <cellStyle name="Normal 86 12 5" xfId="25489"/>
    <cellStyle name="Normal 86 13" xfId="4221"/>
    <cellStyle name="Normal 86 13 2" xfId="7669"/>
    <cellStyle name="Normal 86 13 2 2" xfId="16150"/>
    <cellStyle name="Normal 86 13 2 3" xfId="22664"/>
    <cellStyle name="Normal 86 13 2 4" xfId="29053"/>
    <cellStyle name="Normal 86 13 3" xfId="12713"/>
    <cellStyle name="Normal 86 13 4" xfId="19254"/>
    <cellStyle name="Normal 86 13 5" xfId="25649"/>
    <cellStyle name="Normal 86 14" xfId="4381"/>
    <cellStyle name="Normal 86 14 2" xfId="7824"/>
    <cellStyle name="Normal 86 14 2 2" xfId="16305"/>
    <cellStyle name="Normal 86 14 2 3" xfId="22819"/>
    <cellStyle name="Normal 86 14 2 4" xfId="29208"/>
    <cellStyle name="Normal 86 14 3" xfId="12872"/>
    <cellStyle name="Normal 86 14 4" xfId="19410"/>
    <cellStyle name="Normal 86 14 5" xfId="25804"/>
    <cellStyle name="Normal 86 15" xfId="4541"/>
    <cellStyle name="Normal 86 15 2" xfId="7979"/>
    <cellStyle name="Normal 86 15 2 2" xfId="16460"/>
    <cellStyle name="Normal 86 15 2 3" xfId="22974"/>
    <cellStyle name="Normal 86 15 2 4" xfId="29363"/>
    <cellStyle name="Normal 86 15 3" xfId="13032"/>
    <cellStyle name="Normal 86 15 4" xfId="19566"/>
    <cellStyle name="Normal 86 15 5" xfId="25959"/>
    <cellStyle name="Normal 86 16" xfId="4701"/>
    <cellStyle name="Normal 86 16 2" xfId="8134"/>
    <cellStyle name="Normal 86 16 2 2" xfId="16615"/>
    <cellStyle name="Normal 86 16 2 3" xfId="23129"/>
    <cellStyle name="Normal 86 16 2 4" xfId="29518"/>
    <cellStyle name="Normal 86 16 3" xfId="13191"/>
    <cellStyle name="Normal 86 16 4" xfId="19722"/>
    <cellStyle name="Normal 86 16 5" xfId="26114"/>
    <cellStyle name="Normal 86 17" xfId="4860"/>
    <cellStyle name="Normal 86 17 2" xfId="8288"/>
    <cellStyle name="Normal 86 17 2 2" xfId="16769"/>
    <cellStyle name="Normal 86 17 2 3" xfId="23283"/>
    <cellStyle name="Normal 86 17 2 4" xfId="29672"/>
    <cellStyle name="Normal 86 17 3" xfId="13349"/>
    <cellStyle name="Normal 86 17 4" xfId="19877"/>
    <cellStyle name="Normal 86 17 5" xfId="26268"/>
    <cellStyle name="Normal 86 18" xfId="5013"/>
    <cellStyle name="Normal 86 18 2" xfId="8436"/>
    <cellStyle name="Normal 86 18 2 2" xfId="16917"/>
    <cellStyle name="Normal 86 18 2 3" xfId="23431"/>
    <cellStyle name="Normal 86 18 2 4" xfId="29820"/>
    <cellStyle name="Normal 86 18 3" xfId="13501"/>
    <cellStyle name="Normal 86 18 4" xfId="20026"/>
    <cellStyle name="Normal 86 18 5" xfId="26416"/>
    <cellStyle name="Normal 86 19" xfId="5308"/>
    <cellStyle name="Normal 86 19 2" xfId="13789"/>
    <cellStyle name="Normal 86 19 3" xfId="20306"/>
    <cellStyle name="Normal 86 19 4" xfId="26695"/>
    <cellStyle name="Normal 86 2" xfId="1912"/>
    <cellStyle name="Normal 86 2 2" xfId="5508"/>
    <cellStyle name="Normal 86 2 2 2" xfId="13989"/>
    <cellStyle name="Normal 86 2 2 3" xfId="20503"/>
    <cellStyle name="Normal 86 2 2 4" xfId="26892"/>
    <cellStyle name="Normal 86 2 3" xfId="10482"/>
    <cellStyle name="Normal 86 2 4" xfId="9548"/>
    <cellStyle name="Normal 86 2 5" xfId="10172"/>
    <cellStyle name="Normal 86 20" xfId="10076"/>
    <cellStyle name="Normal 86 21" xfId="17102"/>
    <cellStyle name="Normal 86 22" xfId="23579"/>
    <cellStyle name="Normal 86 3" xfId="2258"/>
    <cellStyle name="Normal 86 3 2" xfId="5828"/>
    <cellStyle name="Normal 86 3 2 2" xfId="14309"/>
    <cellStyle name="Normal 86 3 2 3" xfId="20823"/>
    <cellStyle name="Normal 86 3 2 4" xfId="27212"/>
    <cellStyle name="Normal 86 3 3" xfId="10814"/>
    <cellStyle name="Normal 86 3 4" xfId="17186"/>
    <cellStyle name="Normal 86 3 5" xfId="23662"/>
    <cellStyle name="Normal 86 4" xfId="2690"/>
    <cellStyle name="Normal 86 4 2" xfId="6191"/>
    <cellStyle name="Normal 86 4 2 2" xfId="14672"/>
    <cellStyle name="Normal 86 4 2 3" xfId="21186"/>
    <cellStyle name="Normal 86 4 2 4" xfId="27575"/>
    <cellStyle name="Normal 86 4 3" xfId="11200"/>
    <cellStyle name="Normal 86 4 4" xfId="17769"/>
    <cellStyle name="Normal 86 4 5" xfId="24171"/>
    <cellStyle name="Normal 86 5" xfId="2864"/>
    <cellStyle name="Normal 86 5 2" xfId="6358"/>
    <cellStyle name="Normal 86 5 2 2" xfId="14839"/>
    <cellStyle name="Normal 86 5 2 3" xfId="21353"/>
    <cellStyle name="Normal 86 5 2 4" xfId="27742"/>
    <cellStyle name="Normal 86 5 3" xfId="11370"/>
    <cellStyle name="Normal 86 5 4" xfId="17936"/>
    <cellStyle name="Normal 86 5 5" xfId="24338"/>
    <cellStyle name="Normal 86 6" xfId="3038"/>
    <cellStyle name="Normal 86 6 2" xfId="6525"/>
    <cellStyle name="Normal 86 6 2 2" xfId="15006"/>
    <cellStyle name="Normal 86 6 2 3" xfId="21520"/>
    <cellStyle name="Normal 86 6 2 4" xfId="27909"/>
    <cellStyle name="Normal 86 6 3" xfId="11540"/>
    <cellStyle name="Normal 86 6 4" xfId="18103"/>
    <cellStyle name="Normal 86 6 5" xfId="24505"/>
    <cellStyle name="Normal 86 7" xfId="3211"/>
    <cellStyle name="Normal 86 7 2" xfId="6692"/>
    <cellStyle name="Normal 86 7 2 2" xfId="15173"/>
    <cellStyle name="Normal 86 7 2 3" xfId="21687"/>
    <cellStyle name="Normal 86 7 2 4" xfId="28076"/>
    <cellStyle name="Normal 86 7 3" xfId="11711"/>
    <cellStyle name="Normal 86 7 4" xfId="18270"/>
    <cellStyle name="Normal 86 7 5" xfId="24672"/>
    <cellStyle name="Normal 86 8" xfId="3382"/>
    <cellStyle name="Normal 86 8 2" xfId="6857"/>
    <cellStyle name="Normal 86 8 2 2" xfId="15338"/>
    <cellStyle name="Normal 86 8 2 3" xfId="21852"/>
    <cellStyle name="Normal 86 8 2 4" xfId="28241"/>
    <cellStyle name="Normal 86 8 3" xfId="11879"/>
    <cellStyle name="Normal 86 8 4" xfId="18435"/>
    <cellStyle name="Normal 86 8 5" xfId="24837"/>
    <cellStyle name="Normal 86 9" xfId="3553"/>
    <cellStyle name="Normal 86 9 2" xfId="7022"/>
    <cellStyle name="Normal 86 9 2 2" xfId="15503"/>
    <cellStyle name="Normal 86 9 2 3" xfId="22017"/>
    <cellStyle name="Normal 86 9 2 4" xfId="28406"/>
    <cellStyle name="Normal 86 9 3" xfId="12048"/>
    <cellStyle name="Normal 86 9 4" xfId="18601"/>
    <cellStyle name="Normal 86 9 5" xfId="25002"/>
    <cellStyle name="Normal 87" xfId="1381"/>
    <cellStyle name="Normal 87 10" xfId="3722"/>
    <cellStyle name="Normal 87 10 2" xfId="7185"/>
    <cellStyle name="Normal 87 10 2 2" xfId="15666"/>
    <cellStyle name="Normal 87 10 2 3" xfId="22180"/>
    <cellStyle name="Normal 87 10 2 4" xfId="28569"/>
    <cellStyle name="Normal 87 10 3" xfId="12217"/>
    <cellStyle name="Normal 87 10 4" xfId="18767"/>
    <cellStyle name="Normal 87 10 5" xfId="25165"/>
    <cellStyle name="Normal 87 11" xfId="3890"/>
    <cellStyle name="Normal 87 11 2" xfId="7348"/>
    <cellStyle name="Normal 87 11 2 2" xfId="15829"/>
    <cellStyle name="Normal 87 11 2 3" xfId="22343"/>
    <cellStyle name="Normal 87 11 2 4" xfId="28732"/>
    <cellStyle name="Normal 87 11 3" xfId="12384"/>
    <cellStyle name="Normal 87 11 4" xfId="18931"/>
    <cellStyle name="Normal 87 11 5" xfId="25328"/>
    <cellStyle name="Normal 87 12" xfId="4055"/>
    <cellStyle name="Normal 87 12 2" xfId="7508"/>
    <cellStyle name="Normal 87 12 2 2" xfId="15989"/>
    <cellStyle name="Normal 87 12 2 3" xfId="22503"/>
    <cellStyle name="Normal 87 12 2 4" xfId="28892"/>
    <cellStyle name="Normal 87 12 3" xfId="12548"/>
    <cellStyle name="Normal 87 12 4" xfId="19092"/>
    <cellStyle name="Normal 87 12 5" xfId="25488"/>
    <cellStyle name="Normal 87 13" xfId="4220"/>
    <cellStyle name="Normal 87 13 2" xfId="7668"/>
    <cellStyle name="Normal 87 13 2 2" xfId="16149"/>
    <cellStyle name="Normal 87 13 2 3" xfId="22663"/>
    <cellStyle name="Normal 87 13 2 4" xfId="29052"/>
    <cellStyle name="Normal 87 13 3" xfId="12712"/>
    <cellStyle name="Normal 87 13 4" xfId="19253"/>
    <cellStyle name="Normal 87 13 5" xfId="25648"/>
    <cellStyle name="Normal 87 14" xfId="4380"/>
    <cellStyle name="Normal 87 14 2" xfId="7823"/>
    <cellStyle name="Normal 87 14 2 2" xfId="16304"/>
    <cellStyle name="Normal 87 14 2 3" xfId="22818"/>
    <cellStyle name="Normal 87 14 2 4" xfId="29207"/>
    <cellStyle name="Normal 87 14 3" xfId="12871"/>
    <cellStyle name="Normal 87 14 4" xfId="19409"/>
    <cellStyle name="Normal 87 14 5" xfId="25803"/>
    <cellStyle name="Normal 87 15" xfId="4540"/>
    <cellStyle name="Normal 87 15 2" xfId="7978"/>
    <cellStyle name="Normal 87 15 2 2" xfId="16459"/>
    <cellStyle name="Normal 87 15 2 3" xfId="22973"/>
    <cellStyle name="Normal 87 15 2 4" xfId="29362"/>
    <cellStyle name="Normal 87 15 3" xfId="13031"/>
    <cellStyle name="Normal 87 15 4" xfId="19565"/>
    <cellStyle name="Normal 87 15 5" xfId="25958"/>
    <cellStyle name="Normal 87 16" xfId="4700"/>
    <cellStyle name="Normal 87 16 2" xfId="8133"/>
    <cellStyle name="Normal 87 16 2 2" xfId="16614"/>
    <cellStyle name="Normal 87 16 2 3" xfId="23128"/>
    <cellStyle name="Normal 87 16 2 4" xfId="29517"/>
    <cellStyle name="Normal 87 16 3" xfId="13190"/>
    <cellStyle name="Normal 87 16 4" xfId="19721"/>
    <cellStyle name="Normal 87 16 5" xfId="26113"/>
    <cellStyle name="Normal 87 17" xfId="4859"/>
    <cellStyle name="Normal 87 17 2" xfId="8287"/>
    <cellStyle name="Normal 87 17 2 2" xfId="16768"/>
    <cellStyle name="Normal 87 17 2 3" xfId="23282"/>
    <cellStyle name="Normal 87 17 2 4" xfId="29671"/>
    <cellStyle name="Normal 87 17 3" xfId="13348"/>
    <cellStyle name="Normal 87 17 4" xfId="19876"/>
    <cellStyle name="Normal 87 17 5" xfId="26267"/>
    <cellStyle name="Normal 87 18" xfId="5012"/>
    <cellStyle name="Normal 87 18 2" xfId="8435"/>
    <cellStyle name="Normal 87 18 2 2" xfId="16916"/>
    <cellStyle name="Normal 87 18 2 3" xfId="23430"/>
    <cellStyle name="Normal 87 18 2 4" xfId="29819"/>
    <cellStyle name="Normal 87 18 3" xfId="13500"/>
    <cellStyle name="Normal 87 18 4" xfId="20025"/>
    <cellStyle name="Normal 87 18 5" xfId="26415"/>
    <cellStyle name="Normal 87 19" xfId="5309"/>
    <cellStyle name="Normal 87 19 2" xfId="13790"/>
    <cellStyle name="Normal 87 19 3" xfId="20307"/>
    <cellStyle name="Normal 87 19 4" xfId="26696"/>
    <cellStyle name="Normal 87 2" xfId="1913"/>
    <cellStyle name="Normal 87 2 2" xfId="5509"/>
    <cellStyle name="Normal 87 2 2 2" xfId="13990"/>
    <cellStyle name="Normal 87 2 2 3" xfId="20504"/>
    <cellStyle name="Normal 87 2 2 4" xfId="26893"/>
    <cellStyle name="Normal 87 2 3" xfId="10483"/>
    <cellStyle name="Normal 87 2 4" xfId="9547"/>
    <cellStyle name="Normal 87 2 5" xfId="10173"/>
    <cellStyle name="Normal 87 20" xfId="10077"/>
    <cellStyle name="Normal 87 21" xfId="9686"/>
    <cellStyle name="Normal 87 22" xfId="10042"/>
    <cellStyle name="Normal 87 3" xfId="2259"/>
    <cellStyle name="Normal 87 3 2" xfId="5829"/>
    <cellStyle name="Normal 87 3 2 2" xfId="14310"/>
    <cellStyle name="Normal 87 3 2 3" xfId="20824"/>
    <cellStyle name="Normal 87 3 2 4" xfId="27213"/>
    <cellStyle name="Normal 87 3 3" xfId="10815"/>
    <cellStyle name="Normal 87 3 4" xfId="17187"/>
    <cellStyle name="Normal 87 3 5" xfId="23663"/>
    <cellStyle name="Normal 87 4" xfId="2689"/>
    <cellStyle name="Normal 87 4 2" xfId="6190"/>
    <cellStyle name="Normal 87 4 2 2" xfId="14671"/>
    <cellStyle name="Normal 87 4 2 3" xfId="21185"/>
    <cellStyle name="Normal 87 4 2 4" xfId="27574"/>
    <cellStyle name="Normal 87 4 3" xfId="11199"/>
    <cellStyle name="Normal 87 4 4" xfId="17768"/>
    <cellStyle name="Normal 87 4 5" xfId="24170"/>
    <cellStyle name="Normal 87 5" xfId="2863"/>
    <cellStyle name="Normal 87 5 2" xfId="6357"/>
    <cellStyle name="Normal 87 5 2 2" xfId="14838"/>
    <cellStyle name="Normal 87 5 2 3" xfId="21352"/>
    <cellStyle name="Normal 87 5 2 4" xfId="27741"/>
    <cellStyle name="Normal 87 5 3" xfId="11369"/>
    <cellStyle name="Normal 87 5 4" xfId="17935"/>
    <cellStyle name="Normal 87 5 5" xfId="24337"/>
    <cellStyle name="Normal 87 6" xfId="3037"/>
    <cellStyle name="Normal 87 6 2" xfId="6524"/>
    <cellStyle name="Normal 87 6 2 2" xfId="15005"/>
    <cellStyle name="Normal 87 6 2 3" xfId="21519"/>
    <cellStyle name="Normal 87 6 2 4" xfId="27908"/>
    <cellStyle name="Normal 87 6 3" xfId="11539"/>
    <cellStyle name="Normal 87 6 4" xfId="18102"/>
    <cellStyle name="Normal 87 6 5" xfId="24504"/>
    <cellStyle name="Normal 87 7" xfId="3210"/>
    <cellStyle name="Normal 87 7 2" xfId="6691"/>
    <cellStyle name="Normal 87 7 2 2" xfId="15172"/>
    <cellStyle name="Normal 87 7 2 3" xfId="21686"/>
    <cellStyle name="Normal 87 7 2 4" xfId="28075"/>
    <cellStyle name="Normal 87 7 3" xfId="11710"/>
    <cellStyle name="Normal 87 7 4" xfId="18269"/>
    <cellStyle name="Normal 87 7 5" xfId="24671"/>
    <cellStyle name="Normal 87 8" xfId="3381"/>
    <cellStyle name="Normal 87 8 2" xfId="6856"/>
    <cellStyle name="Normal 87 8 2 2" xfId="15337"/>
    <cellStyle name="Normal 87 8 2 3" xfId="21851"/>
    <cellStyle name="Normal 87 8 2 4" xfId="28240"/>
    <cellStyle name="Normal 87 8 3" xfId="11878"/>
    <cellStyle name="Normal 87 8 4" xfId="18434"/>
    <cellStyle name="Normal 87 8 5" xfId="24836"/>
    <cellStyle name="Normal 87 9" xfId="3552"/>
    <cellStyle name="Normal 87 9 2" xfId="7021"/>
    <cellStyle name="Normal 87 9 2 2" xfId="15502"/>
    <cellStyle name="Normal 87 9 2 3" xfId="22016"/>
    <cellStyle name="Normal 87 9 2 4" xfId="28405"/>
    <cellStyle name="Normal 87 9 3" xfId="12047"/>
    <cellStyle name="Normal 87 9 4" xfId="18600"/>
    <cellStyle name="Normal 87 9 5" xfId="25001"/>
    <cellStyle name="Normal 88" xfId="1382"/>
    <cellStyle name="Normal 88 10" xfId="3721"/>
    <cellStyle name="Normal 88 10 2" xfId="7184"/>
    <cellStyle name="Normal 88 10 2 2" xfId="15665"/>
    <cellStyle name="Normal 88 10 2 3" xfId="22179"/>
    <cellStyle name="Normal 88 10 2 4" xfId="28568"/>
    <cellStyle name="Normal 88 10 3" xfId="12216"/>
    <cellStyle name="Normal 88 10 4" xfId="18766"/>
    <cellStyle name="Normal 88 10 5" xfId="25164"/>
    <cellStyle name="Normal 88 11" xfId="3889"/>
    <cellStyle name="Normal 88 11 2" xfId="7347"/>
    <cellStyle name="Normal 88 11 2 2" xfId="15828"/>
    <cellStyle name="Normal 88 11 2 3" xfId="22342"/>
    <cellStyle name="Normal 88 11 2 4" xfId="28731"/>
    <cellStyle name="Normal 88 11 3" xfId="12383"/>
    <cellStyle name="Normal 88 11 4" xfId="18930"/>
    <cellStyle name="Normal 88 11 5" xfId="25327"/>
    <cellStyle name="Normal 88 12" xfId="4054"/>
    <cellStyle name="Normal 88 12 2" xfId="7507"/>
    <cellStyle name="Normal 88 12 2 2" xfId="15988"/>
    <cellStyle name="Normal 88 12 2 3" xfId="22502"/>
    <cellStyle name="Normal 88 12 2 4" xfId="28891"/>
    <cellStyle name="Normal 88 12 3" xfId="12547"/>
    <cellStyle name="Normal 88 12 4" xfId="19091"/>
    <cellStyle name="Normal 88 12 5" xfId="25487"/>
    <cellStyle name="Normal 88 13" xfId="4219"/>
    <cellStyle name="Normal 88 13 2" xfId="7667"/>
    <cellStyle name="Normal 88 13 2 2" xfId="16148"/>
    <cellStyle name="Normal 88 13 2 3" xfId="22662"/>
    <cellStyle name="Normal 88 13 2 4" xfId="29051"/>
    <cellStyle name="Normal 88 13 3" xfId="12711"/>
    <cellStyle name="Normal 88 13 4" xfId="19252"/>
    <cellStyle name="Normal 88 13 5" xfId="25647"/>
    <cellStyle name="Normal 88 14" xfId="4379"/>
    <cellStyle name="Normal 88 14 2" xfId="7822"/>
    <cellStyle name="Normal 88 14 2 2" xfId="16303"/>
    <cellStyle name="Normal 88 14 2 3" xfId="22817"/>
    <cellStyle name="Normal 88 14 2 4" xfId="29206"/>
    <cellStyle name="Normal 88 14 3" xfId="12870"/>
    <cellStyle name="Normal 88 14 4" xfId="19408"/>
    <cellStyle name="Normal 88 14 5" xfId="25802"/>
    <cellStyle name="Normal 88 15" xfId="4539"/>
    <cellStyle name="Normal 88 15 2" xfId="7977"/>
    <cellStyle name="Normal 88 15 2 2" xfId="16458"/>
    <cellStyle name="Normal 88 15 2 3" xfId="22972"/>
    <cellStyle name="Normal 88 15 2 4" xfId="29361"/>
    <cellStyle name="Normal 88 15 3" xfId="13030"/>
    <cellStyle name="Normal 88 15 4" xfId="19564"/>
    <cellStyle name="Normal 88 15 5" xfId="25957"/>
    <cellStyle name="Normal 88 16" xfId="4699"/>
    <cellStyle name="Normal 88 16 2" xfId="8132"/>
    <cellStyle name="Normal 88 16 2 2" xfId="16613"/>
    <cellStyle name="Normal 88 16 2 3" xfId="23127"/>
    <cellStyle name="Normal 88 16 2 4" xfId="29516"/>
    <cellStyle name="Normal 88 16 3" xfId="13189"/>
    <cellStyle name="Normal 88 16 4" xfId="19720"/>
    <cellStyle name="Normal 88 16 5" xfId="26112"/>
    <cellStyle name="Normal 88 17" xfId="4858"/>
    <cellStyle name="Normal 88 17 2" xfId="8286"/>
    <cellStyle name="Normal 88 17 2 2" xfId="16767"/>
    <cellStyle name="Normal 88 17 2 3" xfId="23281"/>
    <cellStyle name="Normal 88 17 2 4" xfId="29670"/>
    <cellStyle name="Normal 88 17 3" xfId="13347"/>
    <cellStyle name="Normal 88 17 4" xfId="19875"/>
    <cellStyle name="Normal 88 17 5" xfId="26266"/>
    <cellStyle name="Normal 88 18" xfId="5011"/>
    <cellStyle name="Normal 88 18 2" xfId="8434"/>
    <cellStyle name="Normal 88 18 2 2" xfId="16915"/>
    <cellStyle name="Normal 88 18 2 3" xfId="23429"/>
    <cellStyle name="Normal 88 18 2 4" xfId="29818"/>
    <cellStyle name="Normal 88 18 3" xfId="13499"/>
    <cellStyle name="Normal 88 18 4" xfId="20024"/>
    <cellStyle name="Normal 88 18 5" xfId="26414"/>
    <cellStyle name="Normal 88 19" xfId="5310"/>
    <cellStyle name="Normal 88 19 2" xfId="13791"/>
    <cellStyle name="Normal 88 19 3" xfId="20308"/>
    <cellStyle name="Normal 88 19 4" xfId="26697"/>
    <cellStyle name="Normal 88 2" xfId="1914"/>
    <cellStyle name="Normal 88 2 2" xfId="5510"/>
    <cellStyle name="Normal 88 2 2 2" xfId="13991"/>
    <cellStyle name="Normal 88 2 2 3" xfId="20505"/>
    <cellStyle name="Normal 88 2 2 4" xfId="26894"/>
    <cellStyle name="Normal 88 2 3" xfId="10484"/>
    <cellStyle name="Normal 88 2 4" xfId="9546"/>
    <cellStyle name="Normal 88 2 5" xfId="10174"/>
    <cellStyle name="Normal 88 20" xfId="10078"/>
    <cellStyle name="Normal 88 21" xfId="9685"/>
    <cellStyle name="Normal 88 22" xfId="10043"/>
    <cellStyle name="Normal 88 3" xfId="2260"/>
    <cellStyle name="Normal 88 3 2" xfId="5830"/>
    <cellStyle name="Normal 88 3 2 2" xfId="14311"/>
    <cellStyle name="Normal 88 3 2 3" xfId="20825"/>
    <cellStyle name="Normal 88 3 2 4" xfId="27214"/>
    <cellStyle name="Normal 88 3 3" xfId="10816"/>
    <cellStyle name="Normal 88 3 4" xfId="17188"/>
    <cellStyle name="Normal 88 3 5" xfId="23664"/>
    <cellStyle name="Normal 88 4" xfId="2688"/>
    <cellStyle name="Normal 88 4 2" xfId="6189"/>
    <cellStyle name="Normal 88 4 2 2" xfId="14670"/>
    <cellStyle name="Normal 88 4 2 3" xfId="21184"/>
    <cellStyle name="Normal 88 4 2 4" xfId="27573"/>
    <cellStyle name="Normal 88 4 3" xfId="11198"/>
    <cellStyle name="Normal 88 4 4" xfId="17767"/>
    <cellStyle name="Normal 88 4 5" xfId="24169"/>
    <cellStyle name="Normal 88 5" xfId="2862"/>
    <cellStyle name="Normal 88 5 2" xfId="6356"/>
    <cellStyle name="Normal 88 5 2 2" xfId="14837"/>
    <cellStyle name="Normal 88 5 2 3" xfId="21351"/>
    <cellStyle name="Normal 88 5 2 4" xfId="27740"/>
    <cellStyle name="Normal 88 5 3" xfId="11368"/>
    <cellStyle name="Normal 88 5 4" xfId="17934"/>
    <cellStyle name="Normal 88 5 5" xfId="24336"/>
    <cellStyle name="Normal 88 6" xfId="3036"/>
    <cellStyle name="Normal 88 6 2" xfId="6523"/>
    <cellStyle name="Normal 88 6 2 2" xfId="15004"/>
    <cellStyle name="Normal 88 6 2 3" xfId="21518"/>
    <cellStyle name="Normal 88 6 2 4" xfId="27907"/>
    <cellStyle name="Normal 88 6 3" xfId="11538"/>
    <cellStyle name="Normal 88 6 4" xfId="18101"/>
    <cellStyle name="Normal 88 6 5" xfId="24503"/>
    <cellStyle name="Normal 88 7" xfId="3209"/>
    <cellStyle name="Normal 88 7 2" xfId="6690"/>
    <cellStyle name="Normal 88 7 2 2" xfId="15171"/>
    <cellStyle name="Normal 88 7 2 3" xfId="21685"/>
    <cellStyle name="Normal 88 7 2 4" xfId="28074"/>
    <cellStyle name="Normal 88 7 3" xfId="11709"/>
    <cellStyle name="Normal 88 7 4" xfId="18268"/>
    <cellStyle name="Normal 88 7 5" xfId="24670"/>
    <cellStyle name="Normal 88 8" xfId="3380"/>
    <cellStyle name="Normal 88 8 2" xfId="6855"/>
    <cellStyle name="Normal 88 8 2 2" xfId="15336"/>
    <cellStyle name="Normal 88 8 2 3" xfId="21850"/>
    <cellStyle name="Normal 88 8 2 4" xfId="28239"/>
    <cellStyle name="Normal 88 8 3" xfId="11877"/>
    <cellStyle name="Normal 88 8 4" xfId="18433"/>
    <cellStyle name="Normal 88 8 5" xfId="24835"/>
    <cellStyle name="Normal 88 9" xfId="3551"/>
    <cellStyle name="Normal 88 9 2" xfId="7020"/>
    <cellStyle name="Normal 88 9 2 2" xfId="15501"/>
    <cellStyle name="Normal 88 9 2 3" xfId="22015"/>
    <cellStyle name="Normal 88 9 2 4" xfId="28404"/>
    <cellStyle name="Normal 88 9 3" xfId="12046"/>
    <cellStyle name="Normal 88 9 4" xfId="18599"/>
    <cellStyle name="Normal 88 9 5" xfId="25000"/>
    <cellStyle name="Normal 89" xfId="1383"/>
    <cellStyle name="Normal 89 10" xfId="3720"/>
    <cellStyle name="Normal 89 10 2" xfId="7183"/>
    <cellStyle name="Normal 89 10 2 2" xfId="15664"/>
    <cellStyle name="Normal 89 10 2 3" xfId="22178"/>
    <cellStyle name="Normal 89 10 2 4" xfId="28567"/>
    <cellStyle name="Normal 89 10 3" xfId="12215"/>
    <cellStyle name="Normal 89 10 4" xfId="18765"/>
    <cellStyle name="Normal 89 10 5" xfId="25163"/>
    <cellStyle name="Normal 89 11" xfId="3888"/>
    <cellStyle name="Normal 89 11 2" xfId="7346"/>
    <cellStyle name="Normal 89 11 2 2" xfId="15827"/>
    <cellStyle name="Normal 89 11 2 3" xfId="22341"/>
    <cellStyle name="Normal 89 11 2 4" xfId="28730"/>
    <cellStyle name="Normal 89 11 3" xfId="12382"/>
    <cellStyle name="Normal 89 11 4" xfId="18929"/>
    <cellStyle name="Normal 89 11 5" xfId="25326"/>
    <cellStyle name="Normal 89 12" xfId="4053"/>
    <cellStyle name="Normal 89 12 2" xfId="7506"/>
    <cellStyle name="Normal 89 12 2 2" xfId="15987"/>
    <cellStyle name="Normal 89 12 2 3" xfId="22501"/>
    <cellStyle name="Normal 89 12 2 4" xfId="28890"/>
    <cellStyle name="Normal 89 12 3" xfId="12546"/>
    <cellStyle name="Normal 89 12 4" xfId="19090"/>
    <cellStyle name="Normal 89 12 5" xfId="25486"/>
    <cellStyle name="Normal 89 13" xfId="4218"/>
    <cellStyle name="Normal 89 13 2" xfId="7666"/>
    <cellStyle name="Normal 89 13 2 2" xfId="16147"/>
    <cellStyle name="Normal 89 13 2 3" xfId="22661"/>
    <cellStyle name="Normal 89 13 2 4" xfId="29050"/>
    <cellStyle name="Normal 89 13 3" xfId="12710"/>
    <cellStyle name="Normal 89 13 4" xfId="19251"/>
    <cellStyle name="Normal 89 13 5" xfId="25646"/>
    <cellStyle name="Normal 89 14" xfId="4378"/>
    <cellStyle name="Normal 89 14 2" xfId="7821"/>
    <cellStyle name="Normal 89 14 2 2" xfId="16302"/>
    <cellStyle name="Normal 89 14 2 3" xfId="22816"/>
    <cellStyle name="Normal 89 14 2 4" xfId="29205"/>
    <cellStyle name="Normal 89 14 3" xfId="12869"/>
    <cellStyle name="Normal 89 14 4" xfId="19407"/>
    <cellStyle name="Normal 89 14 5" xfId="25801"/>
    <cellStyle name="Normal 89 15" xfId="4538"/>
    <cellStyle name="Normal 89 15 2" xfId="7976"/>
    <cellStyle name="Normal 89 15 2 2" xfId="16457"/>
    <cellStyle name="Normal 89 15 2 3" xfId="22971"/>
    <cellStyle name="Normal 89 15 2 4" xfId="29360"/>
    <cellStyle name="Normal 89 15 3" xfId="13029"/>
    <cellStyle name="Normal 89 15 4" xfId="19563"/>
    <cellStyle name="Normal 89 15 5" xfId="25956"/>
    <cellStyle name="Normal 89 16" xfId="4698"/>
    <cellStyle name="Normal 89 16 2" xfId="8131"/>
    <cellStyle name="Normal 89 16 2 2" xfId="16612"/>
    <cellStyle name="Normal 89 16 2 3" xfId="23126"/>
    <cellStyle name="Normal 89 16 2 4" xfId="29515"/>
    <cellStyle name="Normal 89 16 3" xfId="13188"/>
    <cellStyle name="Normal 89 16 4" xfId="19719"/>
    <cellStyle name="Normal 89 16 5" xfId="26111"/>
    <cellStyle name="Normal 89 17" xfId="4857"/>
    <cellStyle name="Normal 89 17 2" xfId="8285"/>
    <cellStyle name="Normal 89 17 2 2" xfId="16766"/>
    <cellStyle name="Normal 89 17 2 3" xfId="23280"/>
    <cellStyle name="Normal 89 17 2 4" xfId="29669"/>
    <cellStyle name="Normal 89 17 3" xfId="13346"/>
    <cellStyle name="Normal 89 17 4" xfId="19874"/>
    <cellStyle name="Normal 89 17 5" xfId="26265"/>
    <cellStyle name="Normal 89 18" xfId="5010"/>
    <cellStyle name="Normal 89 18 2" xfId="8433"/>
    <cellStyle name="Normal 89 18 2 2" xfId="16914"/>
    <cellStyle name="Normal 89 18 2 3" xfId="23428"/>
    <cellStyle name="Normal 89 18 2 4" xfId="29817"/>
    <cellStyle name="Normal 89 18 3" xfId="13498"/>
    <cellStyle name="Normal 89 18 4" xfId="20023"/>
    <cellStyle name="Normal 89 18 5" xfId="26413"/>
    <cellStyle name="Normal 89 19" xfId="5311"/>
    <cellStyle name="Normal 89 19 2" xfId="13792"/>
    <cellStyle name="Normal 89 19 3" xfId="20309"/>
    <cellStyle name="Normal 89 19 4" xfId="26698"/>
    <cellStyle name="Normal 89 2" xfId="1915"/>
    <cellStyle name="Normal 89 2 2" xfId="5511"/>
    <cellStyle name="Normal 89 2 2 2" xfId="13992"/>
    <cellStyle name="Normal 89 2 2 3" xfId="20506"/>
    <cellStyle name="Normal 89 2 2 4" xfId="26895"/>
    <cellStyle name="Normal 89 2 3" xfId="10485"/>
    <cellStyle name="Normal 89 2 4" xfId="9545"/>
    <cellStyle name="Normal 89 2 5" xfId="10175"/>
    <cellStyle name="Normal 89 20" xfId="10079"/>
    <cellStyle name="Normal 89 21" xfId="9684"/>
    <cellStyle name="Normal 89 22" xfId="10044"/>
    <cellStyle name="Normal 89 3" xfId="2261"/>
    <cellStyle name="Normal 89 3 2" xfId="5831"/>
    <cellStyle name="Normal 89 3 2 2" xfId="14312"/>
    <cellStyle name="Normal 89 3 2 3" xfId="20826"/>
    <cellStyle name="Normal 89 3 2 4" xfId="27215"/>
    <cellStyle name="Normal 89 3 3" xfId="10817"/>
    <cellStyle name="Normal 89 3 4" xfId="17189"/>
    <cellStyle name="Normal 89 3 5" xfId="23665"/>
    <cellStyle name="Normal 89 4" xfId="2687"/>
    <cellStyle name="Normal 89 4 2" xfId="6188"/>
    <cellStyle name="Normal 89 4 2 2" xfId="14669"/>
    <cellStyle name="Normal 89 4 2 3" xfId="21183"/>
    <cellStyle name="Normal 89 4 2 4" xfId="27572"/>
    <cellStyle name="Normal 89 4 3" xfId="11197"/>
    <cellStyle name="Normal 89 4 4" xfId="17766"/>
    <cellStyle name="Normal 89 4 5" xfId="24168"/>
    <cellStyle name="Normal 89 5" xfId="2861"/>
    <cellStyle name="Normal 89 5 2" xfId="6355"/>
    <cellStyle name="Normal 89 5 2 2" xfId="14836"/>
    <cellStyle name="Normal 89 5 2 3" xfId="21350"/>
    <cellStyle name="Normal 89 5 2 4" xfId="27739"/>
    <cellStyle name="Normal 89 5 3" xfId="11367"/>
    <cellStyle name="Normal 89 5 4" xfId="17933"/>
    <cellStyle name="Normal 89 5 5" xfId="24335"/>
    <cellStyle name="Normal 89 6" xfId="3035"/>
    <cellStyle name="Normal 89 6 2" xfId="6522"/>
    <cellStyle name="Normal 89 6 2 2" xfId="15003"/>
    <cellStyle name="Normal 89 6 2 3" xfId="21517"/>
    <cellStyle name="Normal 89 6 2 4" xfId="27906"/>
    <cellStyle name="Normal 89 6 3" xfId="11537"/>
    <cellStyle name="Normal 89 6 4" xfId="18100"/>
    <cellStyle name="Normal 89 6 5" xfId="24502"/>
    <cellStyle name="Normal 89 7" xfId="3208"/>
    <cellStyle name="Normal 89 7 2" xfId="6689"/>
    <cellStyle name="Normal 89 7 2 2" xfId="15170"/>
    <cellStyle name="Normal 89 7 2 3" xfId="21684"/>
    <cellStyle name="Normal 89 7 2 4" xfId="28073"/>
    <cellStyle name="Normal 89 7 3" xfId="11708"/>
    <cellStyle name="Normal 89 7 4" xfId="18267"/>
    <cellStyle name="Normal 89 7 5" xfId="24669"/>
    <cellStyle name="Normal 89 8" xfId="3379"/>
    <cellStyle name="Normal 89 8 2" xfId="6854"/>
    <cellStyle name="Normal 89 8 2 2" xfId="15335"/>
    <cellStyle name="Normal 89 8 2 3" xfId="21849"/>
    <cellStyle name="Normal 89 8 2 4" xfId="28238"/>
    <cellStyle name="Normal 89 8 3" xfId="11876"/>
    <cellStyle name="Normal 89 8 4" xfId="18432"/>
    <cellStyle name="Normal 89 8 5" xfId="24834"/>
    <cellStyle name="Normal 89 9" xfId="3550"/>
    <cellStyle name="Normal 89 9 2" xfId="7019"/>
    <cellStyle name="Normal 89 9 2 2" xfId="15500"/>
    <cellStyle name="Normal 89 9 2 3" xfId="22014"/>
    <cellStyle name="Normal 89 9 2 4" xfId="28403"/>
    <cellStyle name="Normal 89 9 3" xfId="12045"/>
    <cellStyle name="Normal 89 9 4" xfId="18598"/>
    <cellStyle name="Normal 89 9 5" xfId="24999"/>
    <cellStyle name="Normal 9" xfId="1384"/>
    <cellStyle name="Normal 9 10" xfId="2262"/>
    <cellStyle name="Normal 9 10 2" xfId="5832"/>
    <cellStyle name="Normal 9 10 2 2" xfId="14313"/>
    <cellStyle name="Normal 9 10 2 3" xfId="20827"/>
    <cellStyle name="Normal 9 10 2 4" xfId="27216"/>
    <cellStyle name="Normal 9 10 3" xfId="10818"/>
    <cellStyle name="Normal 9 10 4" xfId="17190"/>
    <cellStyle name="Normal 9 10 5" xfId="23666"/>
    <cellStyle name="Normal 9 11" xfId="2686"/>
    <cellStyle name="Normal 9 11 2" xfId="6187"/>
    <cellStyle name="Normal 9 11 2 2" xfId="14668"/>
    <cellStyle name="Normal 9 11 2 3" xfId="21182"/>
    <cellStyle name="Normal 9 11 2 4" xfId="27571"/>
    <cellStyle name="Normal 9 11 3" xfId="11196"/>
    <cellStyle name="Normal 9 11 4" xfId="17765"/>
    <cellStyle name="Normal 9 11 5" xfId="24167"/>
    <cellStyle name="Normal 9 12" xfId="2860"/>
    <cellStyle name="Normal 9 12 2" xfId="6354"/>
    <cellStyle name="Normal 9 12 2 2" xfId="14835"/>
    <cellStyle name="Normal 9 12 2 3" xfId="21349"/>
    <cellStyle name="Normal 9 12 2 4" xfId="27738"/>
    <cellStyle name="Normal 9 12 3" xfId="11366"/>
    <cellStyle name="Normal 9 12 4" xfId="17932"/>
    <cellStyle name="Normal 9 12 5" xfId="24334"/>
    <cellStyle name="Normal 9 13" xfId="3034"/>
    <cellStyle name="Normal 9 13 2" xfId="6521"/>
    <cellStyle name="Normal 9 13 2 2" xfId="15002"/>
    <cellStyle name="Normal 9 13 2 3" xfId="21516"/>
    <cellStyle name="Normal 9 13 2 4" xfId="27905"/>
    <cellStyle name="Normal 9 13 3" xfId="11536"/>
    <cellStyle name="Normal 9 13 4" xfId="18099"/>
    <cellStyle name="Normal 9 13 5" xfId="24501"/>
    <cellStyle name="Normal 9 14" xfId="3207"/>
    <cellStyle name="Normal 9 14 2" xfId="6688"/>
    <cellStyle name="Normal 9 14 2 2" xfId="15169"/>
    <cellStyle name="Normal 9 14 2 3" xfId="21683"/>
    <cellStyle name="Normal 9 14 2 4" xfId="28072"/>
    <cellStyle name="Normal 9 14 3" xfId="11707"/>
    <cellStyle name="Normal 9 14 4" xfId="18266"/>
    <cellStyle name="Normal 9 14 5" xfId="24668"/>
    <cellStyle name="Normal 9 15" xfId="3378"/>
    <cellStyle name="Normal 9 15 2" xfId="6853"/>
    <cellStyle name="Normal 9 15 2 2" xfId="15334"/>
    <cellStyle name="Normal 9 15 2 3" xfId="21848"/>
    <cellStyle name="Normal 9 15 2 4" xfId="28237"/>
    <cellStyle name="Normal 9 15 3" xfId="11875"/>
    <cellStyle name="Normal 9 15 4" xfId="18431"/>
    <cellStyle name="Normal 9 15 5" xfId="24833"/>
    <cellStyle name="Normal 9 16" xfId="3549"/>
    <cellStyle name="Normal 9 16 2" xfId="7018"/>
    <cellStyle name="Normal 9 16 2 2" xfId="15499"/>
    <cellStyle name="Normal 9 16 2 3" xfId="22013"/>
    <cellStyle name="Normal 9 16 2 4" xfId="28402"/>
    <cellStyle name="Normal 9 16 3" xfId="12044"/>
    <cellStyle name="Normal 9 16 4" xfId="18597"/>
    <cellStyle name="Normal 9 16 5" xfId="24998"/>
    <cellStyle name="Normal 9 17" xfId="3719"/>
    <cellStyle name="Normal 9 17 2" xfId="7182"/>
    <cellStyle name="Normal 9 17 2 2" xfId="15663"/>
    <cellStyle name="Normal 9 17 2 3" xfId="22177"/>
    <cellStyle name="Normal 9 17 2 4" xfId="28566"/>
    <cellStyle name="Normal 9 17 3" xfId="12214"/>
    <cellStyle name="Normal 9 17 4" xfId="18764"/>
    <cellStyle name="Normal 9 17 5" xfId="25162"/>
    <cellStyle name="Normal 9 18" xfId="3887"/>
    <cellStyle name="Normal 9 18 2" xfId="7345"/>
    <cellStyle name="Normal 9 18 2 2" xfId="15826"/>
    <cellStyle name="Normal 9 18 2 3" xfId="22340"/>
    <cellStyle name="Normal 9 18 2 4" xfId="28729"/>
    <cellStyle name="Normal 9 18 3" xfId="12381"/>
    <cellStyle name="Normal 9 18 4" xfId="18928"/>
    <cellStyle name="Normal 9 18 5" xfId="25325"/>
    <cellStyle name="Normal 9 19" xfId="4052"/>
    <cellStyle name="Normal 9 19 2" xfId="7505"/>
    <cellStyle name="Normal 9 19 2 2" xfId="15986"/>
    <cellStyle name="Normal 9 19 2 3" xfId="22500"/>
    <cellStyle name="Normal 9 19 2 4" xfId="28889"/>
    <cellStyle name="Normal 9 19 3" xfId="12545"/>
    <cellStyle name="Normal 9 19 4" xfId="19089"/>
    <cellStyle name="Normal 9 19 5" xfId="25485"/>
    <cellStyle name="Normal 9 2" xfId="1385"/>
    <cellStyle name="Normal 9 2 2" xfId="1386"/>
    <cellStyle name="Normal 9 2 2 10" xfId="3547"/>
    <cellStyle name="Normal 9 2 2 10 2" xfId="7016"/>
    <cellStyle name="Normal 9 2 2 10 2 2" xfId="15497"/>
    <cellStyle name="Normal 9 2 2 10 2 3" xfId="22011"/>
    <cellStyle name="Normal 9 2 2 10 2 4" xfId="28400"/>
    <cellStyle name="Normal 9 2 2 10 3" xfId="12042"/>
    <cellStyle name="Normal 9 2 2 10 4" xfId="18595"/>
    <cellStyle name="Normal 9 2 2 10 5" xfId="24996"/>
    <cellStyle name="Normal 9 2 2 11" xfId="3717"/>
    <cellStyle name="Normal 9 2 2 11 2" xfId="7180"/>
    <cellStyle name="Normal 9 2 2 11 2 2" xfId="15661"/>
    <cellStyle name="Normal 9 2 2 11 2 3" xfId="22175"/>
    <cellStyle name="Normal 9 2 2 11 2 4" xfId="28564"/>
    <cellStyle name="Normal 9 2 2 11 3" xfId="12212"/>
    <cellStyle name="Normal 9 2 2 11 4" xfId="18762"/>
    <cellStyle name="Normal 9 2 2 11 5" xfId="25160"/>
    <cellStyle name="Normal 9 2 2 12" xfId="3885"/>
    <cellStyle name="Normal 9 2 2 12 2" xfId="7343"/>
    <cellStyle name="Normal 9 2 2 12 2 2" xfId="15824"/>
    <cellStyle name="Normal 9 2 2 12 2 3" xfId="22338"/>
    <cellStyle name="Normal 9 2 2 12 2 4" xfId="28727"/>
    <cellStyle name="Normal 9 2 2 12 3" xfId="12379"/>
    <cellStyle name="Normal 9 2 2 12 4" xfId="18926"/>
    <cellStyle name="Normal 9 2 2 12 5" xfId="25323"/>
    <cellStyle name="Normal 9 2 2 13" xfId="4050"/>
    <cellStyle name="Normal 9 2 2 13 2" xfId="7503"/>
    <cellStyle name="Normal 9 2 2 13 2 2" xfId="15984"/>
    <cellStyle name="Normal 9 2 2 13 2 3" xfId="22498"/>
    <cellStyle name="Normal 9 2 2 13 2 4" xfId="28887"/>
    <cellStyle name="Normal 9 2 2 13 3" xfId="12543"/>
    <cellStyle name="Normal 9 2 2 13 4" xfId="19087"/>
    <cellStyle name="Normal 9 2 2 13 5" xfId="25483"/>
    <cellStyle name="Normal 9 2 2 14" xfId="4215"/>
    <cellStyle name="Normal 9 2 2 14 2" xfId="7663"/>
    <cellStyle name="Normal 9 2 2 14 2 2" xfId="16144"/>
    <cellStyle name="Normal 9 2 2 14 2 3" xfId="22658"/>
    <cellStyle name="Normal 9 2 2 14 2 4" xfId="29047"/>
    <cellStyle name="Normal 9 2 2 14 3" xfId="12707"/>
    <cellStyle name="Normal 9 2 2 14 4" xfId="19248"/>
    <cellStyle name="Normal 9 2 2 14 5" xfId="25643"/>
    <cellStyle name="Normal 9 2 2 15" xfId="4375"/>
    <cellStyle name="Normal 9 2 2 15 2" xfId="7818"/>
    <cellStyle name="Normal 9 2 2 15 2 2" xfId="16299"/>
    <cellStyle name="Normal 9 2 2 15 2 3" xfId="22813"/>
    <cellStyle name="Normal 9 2 2 15 2 4" xfId="29202"/>
    <cellStyle name="Normal 9 2 2 15 3" xfId="12866"/>
    <cellStyle name="Normal 9 2 2 15 4" xfId="19404"/>
    <cellStyle name="Normal 9 2 2 15 5" xfId="25798"/>
    <cellStyle name="Normal 9 2 2 16" xfId="4535"/>
    <cellStyle name="Normal 9 2 2 16 2" xfId="7973"/>
    <cellStyle name="Normal 9 2 2 16 2 2" xfId="16454"/>
    <cellStyle name="Normal 9 2 2 16 2 3" xfId="22968"/>
    <cellStyle name="Normal 9 2 2 16 2 4" xfId="29357"/>
    <cellStyle name="Normal 9 2 2 16 3" xfId="13026"/>
    <cellStyle name="Normal 9 2 2 16 4" xfId="19560"/>
    <cellStyle name="Normal 9 2 2 16 5" xfId="25953"/>
    <cellStyle name="Normal 9 2 2 17" xfId="4695"/>
    <cellStyle name="Normal 9 2 2 17 2" xfId="8128"/>
    <cellStyle name="Normal 9 2 2 17 2 2" xfId="16609"/>
    <cellStyle name="Normal 9 2 2 17 2 3" xfId="23123"/>
    <cellStyle name="Normal 9 2 2 17 2 4" xfId="29512"/>
    <cellStyle name="Normal 9 2 2 17 3" xfId="13185"/>
    <cellStyle name="Normal 9 2 2 17 4" xfId="19716"/>
    <cellStyle name="Normal 9 2 2 17 5" xfId="26108"/>
    <cellStyle name="Normal 9 2 2 18" xfId="4854"/>
    <cellStyle name="Normal 9 2 2 18 2" xfId="8282"/>
    <cellStyle name="Normal 9 2 2 18 2 2" xfId="16763"/>
    <cellStyle name="Normal 9 2 2 18 2 3" xfId="23277"/>
    <cellStyle name="Normal 9 2 2 18 2 4" xfId="29666"/>
    <cellStyle name="Normal 9 2 2 18 3" xfId="13343"/>
    <cellStyle name="Normal 9 2 2 18 4" xfId="19871"/>
    <cellStyle name="Normal 9 2 2 18 5" xfId="26262"/>
    <cellStyle name="Normal 9 2 2 19" xfId="5008"/>
    <cellStyle name="Normal 9 2 2 19 2" xfId="8431"/>
    <cellStyle name="Normal 9 2 2 19 2 2" xfId="16912"/>
    <cellStyle name="Normal 9 2 2 19 2 3" xfId="23426"/>
    <cellStyle name="Normal 9 2 2 19 2 4" xfId="29815"/>
    <cellStyle name="Normal 9 2 2 19 3" xfId="13496"/>
    <cellStyle name="Normal 9 2 2 19 4" xfId="20021"/>
    <cellStyle name="Normal 9 2 2 19 5" xfId="26411"/>
    <cellStyle name="Normal 9 2 2 2" xfId="1387"/>
    <cellStyle name="Normal 9 2 2 20" xfId="5313"/>
    <cellStyle name="Normal 9 2 2 20 2" xfId="13794"/>
    <cellStyle name="Normal 9 2 2 20 3" xfId="20311"/>
    <cellStyle name="Normal 9 2 2 20 4" xfId="26700"/>
    <cellStyle name="Normal 9 2 2 21" xfId="10081"/>
    <cellStyle name="Normal 9 2 2 22" xfId="9682"/>
    <cellStyle name="Normal 9 2 2 23" xfId="10046"/>
    <cellStyle name="Normal 9 2 2 3" xfId="1917"/>
    <cellStyle name="Normal 9 2 2 3 2" xfId="5513"/>
    <cellStyle name="Normal 9 2 2 3 2 2" xfId="13994"/>
    <cellStyle name="Normal 9 2 2 3 2 3" xfId="20508"/>
    <cellStyle name="Normal 9 2 2 3 2 4" xfId="26897"/>
    <cellStyle name="Normal 9 2 2 3 3" xfId="10487"/>
    <cellStyle name="Normal 9 2 2 3 4" xfId="9543"/>
    <cellStyle name="Normal 9 2 2 3 5" xfId="10177"/>
    <cellStyle name="Normal 9 2 2 4" xfId="2264"/>
    <cellStyle name="Normal 9 2 2 4 2" xfId="5834"/>
    <cellStyle name="Normal 9 2 2 4 2 2" xfId="14315"/>
    <cellStyle name="Normal 9 2 2 4 2 3" xfId="20829"/>
    <cellStyle name="Normal 9 2 2 4 2 4" xfId="27218"/>
    <cellStyle name="Normal 9 2 2 4 3" xfId="10820"/>
    <cellStyle name="Normal 9 2 2 4 4" xfId="17192"/>
    <cellStyle name="Normal 9 2 2 4 5" xfId="23668"/>
    <cellStyle name="Normal 9 2 2 5" xfId="2684"/>
    <cellStyle name="Normal 9 2 2 5 2" xfId="6185"/>
    <cellStyle name="Normal 9 2 2 5 2 2" xfId="14666"/>
    <cellStyle name="Normal 9 2 2 5 2 3" xfId="21180"/>
    <cellStyle name="Normal 9 2 2 5 2 4" xfId="27569"/>
    <cellStyle name="Normal 9 2 2 5 3" xfId="11194"/>
    <cellStyle name="Normal 9 2 2 5 4" xfId="17763"/>
    <cellStyle name="Normal 9 2 2 5 5" xfId="24165"/>
    <cellStyle name="Normal 9 2 2 6" xfId="2858"/>
    <cellStyle name="Normal 9 2 2 6 2" xfId="6352"/>
    <cellStyle name="Normal 9 2 2 6 2 2" xfId="14833"/>
    <cellStyle name="Normal 9 2 2 6 2 3" xfId="21347"/>
    <cellStyle name="Normal 9 2 2 6 2 4" xfId="27736"/>
    <cellStyle name="Normal 9 2 2 6 3" xfId="11364"/>
    <cellStyle name="Normal 9 2 2 6 4" xfId="17930"/>
    <cellStyle name="Normal 9 2 2 6 5" xfId="24332"/>
    <cellStyle name="Normal 9 2 2 7" xfId="3032"/>
    <cellStyle name="Normal 9 2 2 7 2" xfId="6519"/>
    <cellStyle name="Normal 9 2 2 7 2 2" xfId="15000"/>
    <cellStyle name="Normal 9 2 2 7 2 3" xfId="21514"/>
    <cellStyle name="Normal 9 2 2 7 2 4" xfId="27903"/>
    <cellStyle name="Normal 9 2 2 7 3" xfId="11534"/>
    <cellStyle name="Normal 9 2 2 7 4" xfId="18097"/>
    <cellStyle name="Normal 9 2 2 7 5" xfId="24499"/>
    <cellStyle name="Normal 9 2 2 8" xfId="3205"/>
    <cellStyle name="Normal 9 2 2 8 2" xfId="6686"/>
    <cellStyle name="Normal 9 2 2 8 2 2" xfId="15167"/>
    <cellStyle name="Normal 9 2 2 8 2 3" xfId="21681"/>
    <cellStyle name="Normal 9 2 2 8 2 4" xfId="28070"/>
    <cellStyle name="Normal 9 2 2 8 3" xfId="11705"/>
    <cellStyle name="Normal 9 2 2 8 4" xfId="18264"/>
    <cellStyle name="Normal 9 2 2 8 5" xfId="24666"/>
    <cellStyle name="Normal 9 2 2 9" xfId="3376"/>
    <cellStyle name="Normal 9 2 2 9 2" xfId="6851"/>
    <cellStyle name="Normal 9 2 2 9 2 2" xfId="15332"/>
    <cellStyle name="Normal 9 2 2 9 2 3" xfId="21846"/>
    <cellStyle name="Normal 9 2 2 9 2 4" xfId="28235"/>
    <cellStyle name="Normal 9 2 2 9 3" xfId="11873"/>
    <cellStyle name="Normal 9 2 2 9 4" xfId="18429"/>
    <cellStyle name="Normal 9 2 2 9 5" xfId="24831"/>
    <cellStyle name="Normal 9 20" xfId="4217"/>
    <cellStyle name="Normal 9 20 2" xfId="7665"/>
    <cellStyle name="Normal 9 20 2 2" xfId="16146"/>
    <cellStyle name="Normal 9 20 2 3" xfId="22660"/>
    <cellStyle name="Normal 9 20 2 4" xfId="29049"/>
    <cellStyle name="Normal 9 20 3" xfId="12709"/>
    <cellStyle name="Normal 9 20 4" xfId="19250"/>
    <cellStyle name="Normal 9 20 5" xfId="25645"/>
    <cellStyle name="Normal 9 21" xfId="4377"/>
    <cellStyle name="Normal 9 21 2" xfId="7820"/>
    <cellStyle name="Normal 9 21 2 2" xfId="16301"/>
    <cellStyle name="Normal 9 21 2 3" xfId="22815"/>
    <cellStyle name="Normal 9 21 2 4" xfId="29204"/>
    <cellStyle name="Normal 9 21 3" xfId="12868"/>
    <cellStyle name="Normal 9 21 4" xfId="19406"/>
    <cellStyle name="Normal 9 21 5" xfId="25800"/>
    <cellStyle name="Normal 9 22" xfId="4537"/>
    <cellStyle name="Normal 9 22 2" xfId="7975"/>
    <cellStyle name="Normal 9 22 2 2" xfId="16456"/>
    <cellStyle name="Normal 9 22 2 3" xfId="22970"/>
    <cellStyle name="Normal 9 22 2 4" xfId="29359"/>
    <cellStyle name="Normal 9 22 3" xfId="13028"/>
    <cellStyle name="Normal 9 22 4" xfId="19562"/>
    <cellStyle name="Normal 9 22 5" xfId="25955"/>
    <cellStyle name="Normal 9 23" xfId="4697"/>
    <cellStyle name="Normal 9 23 2" xfId="8130"/>
    <cellStyle name="Normal 9 23 2 2" xfId="16611"/>
    <cellStyle name="Normal 9 23 2 3" xfId="23125"/>
    <cellStyle name="Normal 9 23 2 4" xfId="29514"/>
    <cellStyle name="Normal 9 23 3" xfId="13187"/>
    <cellStyle name="Normal 9 23 4" xfId="19718"/>
    <cellStyle name="Normal 9 23 5" xfId="26110"/>
    <cellStyle name="Normal 9 24" xfId="4856"/>
    <cellStyle name="Normal 9 24 2" xfId="8284"/>
    <cellStyle name="Normal 9 24 2 2" xfId="16765"/>
    <cellStyle name="Normal 9 24 2 3" xfId="23279"/>
    <cellStyle name="Normal 9 24 2 4" xfId="29668"/>
    <cellStyle name="Normal 9 24 3" xfId="13345"/>
    <cellStyle name="Normal 9 24 4" xfId="19873"/>
    <cellStyle name="Normal 9 24 5" xfId="26264"/>
    <cellStyle name="Normal 9 25" xfId="5009"/>
    <cellStyle name="Normal 9 25 2" xfId="8432"/>
    <cellStyle name="Normal 9 25 2 2" xfId="16913"/>
    <cellStyle name="Normal 9 25 2 3" xfId="23427"/>
    <cellStyle name="Normal 9 25 2 4" xfId="29816"/>
    <cellStyle name="Normal 9 25 3" xfId="13497"/>
    <cellStyle name="Normal 9 25 4" xfId="20022"/>
    <cellStyle name="Normal 9 25 5" xfId="26412"/>
    <cellStyle name="Normal 9 26" xfId="5312"/>
    <cellStyle name="Normal 9 26 2" xfId="8901"/>
    <cellStyle name="Normal 9 26 3" xfId="13793"/>
    <cellStyle name="Normal 9 26 4" xfId="20310"/>
    <cellStyle name="Normal 9 26 5" xfId="26699"/>
    <cellStyle name="Normal 9 27" xfId="10080"/>
    <cellStyle name="Normal 9 28" xfId="9683"/>
    <cellStyle name="Normal 9 29" xfId="10045"/>
    <cellStyle name="Normal 9 3" xfId="1388"/>
    <cellStyle name="Normal 9 4" xfId="1389"/>
    <cellStyle name="Normal 9 5" xfId="1390"/>
    <cellStyle name="Normal 9 6" xfId="1391"/>
    <cellStyle name="Normal 9 7" xfId="1392"/>
    <cellStyle name="Normal 9 8" xfId="1393"/>
    <cellStyle name="Normal 9 9" xfId="1916"/>
    <cellStyle name="Normal 9 9 2" xfId="5512"/>
    <cellStyle name="Normal 9 9 2 2" xfId="13993"/>
    <cellStyle name="Normal 9 9 2 3" xfId="20507"/>
    <cellStyle name="Normal 9 9 2 4" xfId="26896"/>
    <cellStyle name="Normal 9 9 3" xfId="10486"/>
    <cellStyle name="Normal 9 9 4" xfId="9544"/>
    <cellStyle name="Normal 9 9 5" xfId="10176"/>
    <cellStyle name="Normal 90" xfId="1394"/>
    <cellStyle name="Normal 90 10" xfId="3711"/>
    <cellStyle name="Normal 90 10 2" xfId="7174"/>
    <cellStyle name="Normal 90 10 2 2" xfId="15655"/>
    <cellStyle name="Normal 90 10 2 3" xfId="22169"/>
    <cellStyle name="Normal 90 10 2 4" xfId="28558"/>
    <cellStyle name="Normal 90 10 3" xfId="12206"/>
    <cellStyle name="Normal 90 10 4" xfId="18756"/>
    <cellStyle name="Normal 90 10 5" xfId="25154"/>
    <cellStyle name="Normal 90 11" xfId="3879"/>
    <cellStyle name="Normal 90 11 2" xfId="7337"/>
    <cellStyle name="Normal 90 11 2 2" xfId="15818"/>
    <cellStyle name="Normal 90 11 2 3" xfId="22332"/>
    <cellStyle name="Normal 90 11 2 4" xfId="28721"/>
    <cellStyle name="Normal 90 11 3" xfId="12373"/>
    <cellStyle name="Normal 90 11 4" xfId="18920"/>
    <cellStyle name="Normal 90 11 5" xfId="25317"/>
    <cellStyle name="Normal 90 12" xfId="4045"/>
    <cellStyle name="Normal 90 12 2" xfId="7498"/>
    <cellStyle name="Normal 90 12 2 2" xfId="15979"/>
    <cellStyle name="Normal 90 12 2 3" xfId="22493"/>
    <cellStyle name="Normal 90 12 2 4" xfId="28882"/>
    <cellStyle name="Normal 90 12 3" xfId="12538"/>
    <cellStyle name="Normal 90 12 4" xfId="19082"/>
    <cellStyle name="Normal 90 12 5" xfId="25478"/>
    <cellStyle name="Normal 90 13" xfId="4210"/>
    <cellStyle name="Normal 90 13 2" xfId="7658"/>
    <cellStyle name="Normal 90 13 2 2" xfId="16139"/>
    <cellStyle name="Normal 90 13 2 3" xfId="22653"/>
    <cellStyle name="Normal 90 13 2 4" xfId="29042"/>
    <cellStyle name="Normal 90 13 3" xfId="12702"/>
    <cellStyle name="Normal 90 13 4" xfId="19243"/>
    <cellStyle name="Normal 90 13 5" xfId="25638"/>
    <cellStyle name="Normal 90 14" xfId="4370"/>
    <cellStyle name="Normal 90 14 2" xfId="7813"/>
    <cellStyle name="Normal 90 14 2 2" xfId="16294"/>
    <cellStyle name="Normal 90 14 2 3" xfId="22808"/>
    <cellStyle name="Normal 90 14 2 4" xfId="29197"/>
    <cellStyle name="Normal 90 14 3" xfId="12861"/>
    <cellStyle name="Normal 90 14 4" xfId="19399"/>
    <cellStyle name="Normal 90 14 5" xfId="25793"/>
    <cellStyle name="Normal 90 15" xfId="4530"/>
    <cellStyle name="Normal 90 15 2" xfId="7968"/>
    <cellStyle name="Normal 90 15 2 2" xfId="16449"/>
    <cellStyle name="Normal 90 15 2 3" xfId="22963"/>
    <cellStyle name="Normal 90 15 2 4" xfId="29352"/>
    <cellStyle name="Normal 90 15 3" xfId="13021"/>
    <cellStyle name="Normal 90 15 4" xfId="19555"/>
    <cellStyle name="Normal 90 15 5" xfId="25948"/>
    <cellStyle name="Normal 90 16" xfId="4690"/>
    <cellStyle name="Normal 90 16 2" xfId="8123"/>
    <cellStyle name="Normal 90 16 2 2" xfId="16604"/>
    <cellStyle name="Normal 90 16 2 3" xfId="23118"/>
    <cellStyle name="Normal 90 16 2 4" xfId="29507"/>
    <cellStyle name="Normal 90 16 3" xfId="13180"/>
    <cellStyle name="Normal 90 16 4" xfId="19711"/>
    <cellStyle name="Normal 90 16 5" xfId="26103"/>
    <cellStyle name="Normal 90 17" xfId="4849"/>
    <cellStyle name="Normal 90 17 2" xfId="8277"/>
    <cellStyle name="Normal 90 17 2 2" xfId="16758"/>
    <cellStyle name="Normal 90 17 2 3" xfId="23272"/>
    <cellStyle name="Normal 90 17 2 4" xfId="29661"/>
    <cellStyle name="Normal 90 17 3" xfId="13338"/>
    <cellStyle name="Normal 90 17 4" xfId="19866"/>
    <cellStyle name="Normal 90 17 5" xfId="26257"/>
    <cellStyle name="Normal 90 18" xfId="5007"/>
    <cellStyle name="Normal 90 18 2" xfId="8430"/>
    <cellStyle name="Normal 90 18 2 2" xfId="16911"/>
    <cellStyle name="Normal 90 18 2 3" xfId="23425"/>
    <cellStyle name="Normal 90 18 2 4" xfId="29814"/>
    <cellStyle name="Normal 90 18 3" xfId="13495"/>
    <cellStyle name="Normal 90 18 4" xfId="20020"/>
    <cellStyle name="Normal 90 18 5" xfId="26410"/>
    <cellStyle name="Normal 90 19" xfId="5314"/>
    <cellStyle name="Normal 90 19 2" xfId="13795"/>
    <cellStyle name="Normal 90 19 3" xfId="20312"/>
    <cellStyle name="Normal 90 19 4" xfId="26701"/>
    <cellStyle name="Normal 90 2" xfId="1918"/>
    <cellStyle name="Normal 90 2 2" xfId="5514"/>
    <cellStyle name="Normal 90 2 2 2" xfId="13995"/>
    <cellStyle name="Normal 90 2 2 3" xfId="20509"/>
    <cellStyle name="Normal 90 2 2 4" xfId="26898"/>
    <cellStyle name="Normal 90 2 3" xfId="10488"/>
    <cellStyle name="Normal 90 2 4" xfId="9542"/>
    <cellStyle name="Normal 90 2 5" xfId="10178"/>
    <cellStyle name="Normal 90 20" xfId="10082"/>
    <cellStyle name="Normal 90 21" xfId="17094"/>
    <cellStyle name="Normal 90 22" xfId="23571"/>
    <cellStyle name="Normal 90 3" xfId="2270"/>
    <cellStyle name="Normal 90 3 2" xfId="5840"/>
    <cellStyle name="Normal 90 3 2 2" xfId="14321"/>
    <cellStyle name="Normal 90 3 2 3" xfId="20835"/>
    <cellStyle name="Normal 90 3 2 4" xfId="27224"/>
    <cellStyle name="Normal 90 3 3" xfId="10826"/>
    <cellStyle name="Normal 90 3 4" xfId="17197"/>
    <cellStyle name="Normal 90 3 5" xfId="23673"/>
    <cellStyle name="Normal 90 4" xfId="2678"/>
    <cellStyle name="Normal 90 4 2" xfId="6179"/>
    <cellStyle name="Normal 90 4 2 2" xfId="14660"/>
    <cellStyle name="Normal 90 4 2 3" xfId="21174"/>
    <cellStyle name="Normal 90 4 2 4" xfId="27563"/>
    <cellStyle name="Normal 90 4 3" xfId="11188"/>
    <cellStyle name="Normal 90 4 4" xfId="17757"/>
    <cellStyle name="Normal 90 4 5" xfId="24159"/>
    <cellStyle name="Normal 90 5" xfId="2852"/>
    <cellStyle name="Normal 90 5 2" xfId="6346"/>
    <cellStyle name="Normal 90 5 2 2" xfId="14827"/>
    <cellStyle name="Normal 90 5 2 3" xfId="21341"/>
    <cellStyle name="Normal 90 5 2 4" xfId="27730"/>
    <cellStyle name="Normal 90 5 3" xfId="11358"/>
    <cellStyle name="Normal 90 5 4" xfId="17924"/>
    <cellStyle name="Normal 90 5 5" xfId="24326"/>
    <cellStyle name="Normal 90 6" xfId="3026"/>
    <cellStyle name="Normal 90 6 2" xfId="6513"/>
    <cellStyle name="Normal 90 6 2 2" xfId="14994"/>
    <cellStyle name="Normal 90 6 2 3" xfId="21508"/>
    <cellStyle name="Normal 90 6 2 4" xfId="27897"/>
    <cellStyle name="Normal 90 6 3" xfId="11528"/>
    <cellStyle name="Normal 90 6 4" xfId="18091"/>
    <cellStyle name="Normal 90 6 5" xfId="24493"/>
    <cellStyle name="Normal 90 7" xfId="3199"/>
    <cellStyle name="Normal 90 7 2" xfId="6680"/>
    <cellStyle name="Normal 90 7 2 2" xfId="15161"/>
    <cellStyle name="Normal 90 7 2 3" xfId="21675"/>
    <cellStyle name="Normal 90 7 2 4" xfId="28064"/>
    <cellStyle name="Normal 90 7 3" xfId="11699"/>
    <cellStyle name="Normal 90 7 4" xfId="18258"/>
    <cellStyle name="Normal 90 7 5" xfId="24660"/>
    <cellStyle name="Normal 90 8" xfId="3370"/>
    <cellStyle name="Normal 90 8 2" xfId="6845"/>
    <cellStyle name="Normal 90 8 2 2" xfId="15326"/>
    <cellStyle name="Normal 90 8 2 3" xfId="21840"/>
    <cellStyle name="Normal 90 8 2 4" xfId="28229"/>
    <cellStyle name="Normal 90 8 3" xfId="11867"/>
    <cellStyle name="Normal 90 8 4" xfId="18423"/>
    <cellStyle name="Normal 90 8 5" xfId="24825"/>
    <cellStyle name="Normal 90 9" xfId="3541"/>
    <cellStyle name="Normal 90 9 2" xfId="7010"/>
    <cellStyle name="Normal 90 9 2 2" xfId="15491"/>
    <cellStyle name="Normal 90 9 2 3" xfId="22005"/>
    <cellStyle name="Normal 90 9 2 4" xfId="28394"/>
    <cellStyle name="Normal 90 9 3" xfId="12036"/>
    <cellStyle name="Normal 90 9 4" xfId="18589"/>
    <cellStyle name="Normal 90 9 5" xfId="24990"/>
    <cellStyle name="Normal 91" xfId="1395"/>
    <cellStyle name="Normal 91 10" xfId="3710"/>
    <cellStyle name="Normal 91 10 2" xfId="7173"/>
    <cellStyle name="Normal 91 10 2 2" xfId="15654"/>
    <cellStyle name="Normal 91 10 2 3" xfId="22168"/>
    <cellStyle name="Normal 91 10 2 4" xfId="28557"/>
    <cellStyle name="Normal 91 10 3" xfId="12205"/>
    <cellStyle name="Normal 91 10 4" xfId="18755"/>
    <cellStyle name="Normal 91 10 5" xfId="25153"/>
    <cellStyle name="Normal 91 11" xfId="3878"/>
    <cellStyle name="Normal 91 11 2" xfId="7336"/>
    <cellStyle name="Normal 91 11 2 2" xfId="15817"/>
    <cellStyle name="Normal 91 11 2 3" xfId="22331"/>
    <cellStyle name="Normal 91 11 2 4" xfId="28720"/>
    <cellStyle name="Normal 91 11 3" xfId="12372"/>
    <cellStyle name="Normal 91 11 4" xfId="18919"/>
    <cellStyle name="Normal 91 11 5" xfId="25316"/>
    <cellStyle name="Normal 91 12" xfId="4044"/>
    <cellStyle name="Normal 91 12 2" xfId="7497"/>
    <cellStyle name="Normal 91 12 2 2" xfId="15978"/>
    <cellStyle name="Normal 91 12 2 3" xfId="22492"/>
    <cellStyle name="Normal 91 12 2 4" xfId="28881"/>
    <cellStyle name="Normal 91 12 3" xfId="12537"/>
    <cellStyle name="Normal 91 12 4" xfId="19081"/>
    <cellStyle name="Normal 91 12 5" xfId="25477"/>
    <cellStyle name="Normal 91 13" xfId="4209"/>
    <cellStyle name="Normal 91 13 2" xfId="7657"/>
    <cellStyle name="Normal 91 13 2 2" xfId="16138"/>
    <cellStyle name="Normal 91 13 2 3" xfId="22652"/>
    <cellStyle name="Normal 91 13 2 4" xfId="29041"/>
    <cellStyle name="Normal 91 13 3" xfId="12701"/>
    <cellStyle name="Normal 91 13 4" xfId="19242"/>
    <cellStyle name="Normal 91 13 5" xfId="25637"/>
    <cellStyle name="Normal 91 14" xfId="4369"/>
    <cellStyle name="Normal 91 14 2" xfId="7812"/>
    <cellStyle name="Normal 91 14 2 2" xfId="16293"/>
    <cellStyle name="Normal 91 14 2 3" xfId="22807"/>
    <cellStyle name="Normal 91 14 2 4" xfId="29196"/>
    <cellStyle name="Normal 91 14 3" xfId="12860"/>
    <cellStyle name="Normal 91 14 4" xfId="19398"/>
    <cellStyle name="Normal 91 14 5" xfId="25792"/>
    <cellStyle name="Normal 91 15" xfId="4529"/>
    <cellStyle name="Normal 91 15 2" xfId="7967"/>
    <cellStyle name="Normal 91 15 2 2" xfId="16448"/>
    <cellStyle name="Normal 91 15 2 3" xfId="22962"/>
    <cellStyle name="Normal 91 15 2 4" xfId="29351"/>
    <cellStyle name="Normal 91 15 3" xfId="13020"/>
    <cellStyle name="Normal 91 15 4" xfId="19554"/>
    <cellStyle name="Normal 91 15 5" xfId="25947"/>
    <cellStyle name="Normal 91 16" xfId="4689"/>
    <cellStyle name="Normal 91 16 2" xfId="8122"/>
    <cellStyle name="Normal 91 16 2 2" xfId="16603"/>
    <cellStyle name="Normal 91 16 2 3" xfId="23117"/>
    <cellStyle name="Normal 91 16 2 4" xfId="29506"/>
    <cellStyle name="Normal 91 16 3" xfId="13179"/>
    <cellStyle name="Normal 91 16 4" xfId="19710"/>
    <cellStyle name="Normal 91 16 5" xfId="26102"/>
    <cellStyle name="Normal 91 17" xfId="4848"/>
    <cellStyle name="Normal 91 17 2" xfId="8276"/>
    <cellStyle name="Normal 91 17 2 2" xfId="16757"/>
    <cellStyle name="Normal 91 17 2 3" xfId="23271"/>
    <cellStyle name="Normal 91 17 2 4" xfId="29660"/>
    <cellStyle name="Normal 91 17 3" xfId="13337"/>
    <cellStyle name="Normal 91 17 4" xfId="19865"/>
    <cellStyle name="Normal 91 17 5" xfId="26256"/>
    <cellStyle name="Normal 91 18" xfId="5006"/>
    <cellStyle name="Normal 91 18 2" xfId="8429"/>
    <cellStyle name="Normal 91 18 2 2" xfId="16910"/>
    <cellStyle name="Normal 91 18 2 3" xfId="23424"/>
    <cellStyle name="Normal 91 18 2 4" xfId="29813"/>
    <cellStyle name="Normal 91 18 3" xfId="13494"/>
    <cellStyle name="Normal 91 18 4" xfId="20019"/>
    <cellStyle name="Normal 91 18 5" xfId="26409"/>
    <cellStyle name="Normal 91 19" xfId="5315"/>
    <cellStyle name="Normal 91 19 2" xfId="13796"/>
    <cellStyle name="Normal 91 19 3" xfId="20313"/>
    <cellStyle name="Normal 91 19 4" xfId="26702"/>
    <cellStyle name="Normal 91 2" xfId="1919"/>
    <cellStyle name="Normal 91 2 2" xfId="5515"/>
    <cellStyle name="Normal 91 2 2 2" xfId="13996"/>
    <cellStyle name="Normal 91 2 2 3" xfId="20510"/>
    <cellStyle name="Normal 91 2 2 4" xfId="26899"/>
    <cellStyle name="Normal 91 2 3" xfId="10489"/>
    <cellStyle name="Normal 91 2 4" xfId="9541"/>
    <cellStyle name="Normal 91 2 5" xfId="10179"/>
    <cellStyle name="Normal 91 20" xfId="10083"/>
    <cellStyle name="Normal 91 21" xfId="17095"/>
    <cellStyle name="Normal 91 22" xfId="23572"/>
    <cellStyle name="Normal 91 3" xfId="2271"/>
    <cellStyle name="Normal 91 3 2" xfId="5841"/>
    <cellStyle name="Normal 91 3 2 2" xfId="14322"/>
    <cellStyle name="Normal 91 3 2 3" xfId="20836"/>
    <cellStyle name="Normal 91 3 2 4" xfId="27225"/>
    <cellStyle name="Normal 91 3 3" xfId="10827"/>
    <cellStyle name="Normal 91 3 4" xfId="17198"/>
    <cellStyle name="Normal 91 3 5" xfId="23674"/>
    <cellStyle name="Normal 91 4" xfId="2677"/>
    <cellStyle name="Normal 91 4 2" xfId="6178"/>
    <cellStyle name="Normal 91 4 2 2" xfId="14659"/>
    <cellStyle name="Normal 91 4 2 3" xfId="21173"/>
    <cellStyle name="Normal 91 4 2 4" xfId="27562"/>
    <cellStyle name="Normal 91 4 3" xfId="11187"/>
    <cellStyle name="Normal 91 4 4" xfId="17756"/>
    <cellStyle name="Normal 91 4 5" xfId="24158"/>
    <cellStyle name="Normal 91 5" xfId="2851"/>
    <cellStyle name="Normal 91 5 2" xfId="6345"/>
    <cellStyle name="Normal 91 5 2 2" xfId="14826"/>
    <cellStyle name="Normal 91 5 2 3" xfId="21340"/>
    <cellStyle name="Normal 91 5 2 4" xfId="27729"/>
    <cellStyle name="Normal 91 5 3" xfId="11357"/>
    <cellStyle name="Normal 91 5 4" xfId="17923"/>
    <cellStyle name="Normal 91 5 5" xfId="24325"/>
    <cellStyle name="Normal 91 6" xfId="3025"/>
    <cellStyle name="Normal 91 6 2" xfId="6512"/>
    <cellStyle name="Normal 91 6 2 2" xfId="14993"/>
    <cellStyle name="Normal 91 6 2 3" xfId="21507"/>
    <cellStyle name="Normal 91 6 2 4" xfId="27896"/>
    <cellStyle name="Normal 91 6 3" xfId="11527"/>
    <cellStyle name="Normal 91 6 4" xfId="18090"/>
    <cellStyle name="Normal 91 6 5" xfId="24492"/>
    <cellStyle name="Normal 91 7" xfId="3198"/>
    <cellStyle name="Normal 91 7 2" xfId="6679"/>
    <cellStyle name="Normal 91 7 2 2" xfId="15160"/>
    <cellStyle name="Normal 91 7 2 3" xfId="21674"/>
    <cellStyle name="Normal 91 7 2 4" xfId="28063"/>
    <cellStyle name="Normal 91 7 3" xfId="11698"/>
    <cellStyle name="Normal 91 7 4" xfId="18257"/>
    <cellStyle name="Normal 91 7 5" xfId="24659"/>
    <cellStyle name="Normal 91 8" xfId="3369"/>
    <cellStyle name="Normal 91 8 2" xfId="6844"/>
    <cellStyle name="Normal 91 8 2 2" xfId="15325"/>
    <cellStyle name="Normal 91 8 2 3" xfId="21839"/>
    <cellStyle name="Normal 91 8 2 4" xfId="28228"/>
    <cellStyle name="Normal 91 8 3" xfId="11866"/>
    <cellStyle name="Normal 91 8 4" xfId="18422"/>
    <cellStyle name="Normal 91 8 5" xfId="24824"/>
    <cellStyle name="Normal 91 9" xfId="3540"/>
    <cellStyle name="Normal 91 9 2" xfId="7009"/>
    <cellStyle name="Normal 91 9 2 2" xfId="15490"/>
    <cellStyle name="Normal 91 9 2 3" xfId="22004"/>
    <cellStyle name="Normal 91 9 2 4" xfId="28393"/>
    <cellStyle name="Normal 91 9 3" xfId="12035"/>
    <cellStyle name="Normal 91 9 4" xfId="18588"/>
    <cellStyle name="Normal 91 9 5" xfId="24989"/>
    <cellStyle name="Normal 92" xfId="1396"/>
    <cellStyle name="Normal 92 10" xfId="3709"/>
    <cellStyle name="Normal 92 10 2" xfId="7172"/>
    <cellStyle name="Normal 92 10 2 2" xfId="15653"/>
    <cellStyle name="Normal 92 10 2 3" xfId="22167"/>
    <cellStyle name="Normal 92 10 2 4" xfId="28556"/>
    <cellStyle name="Normal 92 10 3" xfId="12204"/>
    <cellStyle name="Normal 92 10 4" xfId="18754"/>
    <cellStyle name="Normal 92 10 5" xfId="25152"/>
    <cellStyle name="Normal 92 11" xfId="3877"/>
    <cellStyle name="Normal 92 11 2" xfId="7335"/>
    <cellStyle name="Normal 92 11 2 2" xfId="15816"/>
    <cellStyle name="Normal 92 11 2 3" xfId="22330"/>
    <cellStyle name="Normal 92 11 2 4" xfId="28719"/>
    <cellStyle name="Normal 92 11 3" xfId="12371"/>
    <cellStyle name="Normal 92 11 4" xfId="18918"/>
    <cellStyle name="Normal 92 11 5" xfId="25315"/>
    <cellStyle name="Normal 92 12" xfId="4043"/>
    <cellStyle name="Normal 92 12 2" xfId="7496"/>
    <cellStyle name="Normal 92 12 2 2" xfId="15977"/>
    <cellStyle name="Normal 92 12 2 3" xfId="22491"/>
    <cellStyle name="Normal 92 12 2 4" xfId="28880"/>
    <cellStyle name="Normal 92 12 3" xfId="12536"/>
    <cellStyle name="Normal 92 12 4" xfId="19080"/>
    <cellStyle name="Normal 92 12 5" xfId="25476"/>
    <cellStyle name="Normal 92 13" xfId="4208"/>
    <cellStyle name="Normal 92 13 2" xfId="7656"/>
    <cellStyle name="Normal 92 13 2 2" xfId="16137"/>
    <cellStyle name="Normal 92 13 2 3" xfId="22651"/>
    <cellStyle name="Normal 92 13 2 4" xfId="29040"/>
    <cellStyle name="Normal 92 13 3" xfId="12700"/>
    <cellStyle name="Normal 92 13 4" xfId="19241"/>
    <cellStyle name="Normal 92 13 5" xfId="25636"/>
    <cellStyle name="Normal 92 14" xfId="4368"/>
    <cellStyle name="Normal 92 14 2" xfId="7811"/>
    <cellStyle name="Normal 92 14 2 2" xfId="16292"/>
    <cellStyle name="Normal 92 14 2 3" xfId="22806"/>
    <cellStyle name="Normal 92 14 2 4" xfId="29195"/>
    <cellStyle name="Normal 92 14 3" xfId="12859"/>
    <cellStyle name="Normal 92 14 4" xfId="19397"/>
    <cellStyle name="Normal 92 14 5" xfId="25791"/>
    <cellStyle name="Normal 92 15" xfId="4528"/>
    <cellStyle name="Normal 92 15 2" xfId="7966"/>
    <cellStyle name="Normal 92 15 2 2" xfId="16447"/>
    <cellStyle name="Normal 92 15 2 3" xfId="22961"/>
    <cellStyle name="Normal 92 15 2 4" xfId="29350"/>
    <cellStyle name="Normal 92 15 3" xfId="13019"/>
    <cellStyle name="Normal 92 15 4" xfId="19553"/>
    <cellStyle name="Normal 92 15 5" xfId="25946"/>
    <cellStyle name="Normal 92 16" xfId="4688"/>
    <cellStyle name="Normal 92 16 2" xfId="8121"/>
    <cellStyle name="Normal 92 16 2 2" xfId="16602"/>
    <cellStyle name="Normal 92 16 2 3" xfId="23116"/>
    <cellStyle name="Normal 92 16 2 4" xfId="29505"/>
    <cellStyle name="Normal 92 16 3" xfId="13178"/>
    <cellStyle name="Normal 92 16 4" xfId="19709"/>
    <cellStyle name="Normal 92 16 5" xfId="26101"/>
    <cellStyle name="Normal 92 17" xfId="4847"/>
    <cellStyle name="Normal 92 17 2" xfId="8275"/>
    <cellStyle name="Normal 92 17 2 2" xfId="16756"/>
    <cellStyle name="Normal 92 17 2 3" xfId="23270"/>
    <cellStyle name="Normal 92 17 2 4" xfId="29659"/>
    <cellStyle name="Normal 92 17 3" xfId="13336"/>
    <cellStyle name="Normal 92 17 4" xfId="19864"/>
    <cellStyle name="Normal 92 17 5" xfId="26255"/>
    <cellStyle name="Normal 92 18" xfId="5005"/>
    <cellStyle name="Normal 92 18 2" xfId="8428"/>
    <cellStyle name="Normal 92 18 2 2" xfId="16909"/>
    <cellStyle name="Normal 92 18 2 3" xfId="23423"/>
    <cellStyle name="Normal 92 18 2 4" xfId="29812"/>
    <cellStyle name="Normal 92 18 3" xfId="13493"/>
    <cellStyle name="Normal 92 18 4" xfId="20018"/>
    <cellStyle name="Normal 92 18 5" xfId="26408"/>
    <cellStyle name="Normal 92 19" xfId="5316"/>
    <cellStyle name="Normal 92 19 2" xfId="13797"/>
    <cellStyle name="Normal 92 19 3" xfId="20314"/>
    <cellStyle name="Normal 92 19 4" xfId="26703"/>
    <cellStyle name="Normal 92 2" xfId="1920"/>
    <cellStyle name="Normal 92 2 2" xfId="5516"/>
    <cellStyle name="Normal 92 2 2 2" xfId="13997"/>
    <cellStyle name="Normal 92 2 2 3" xfId="20511"/>
    <cellStyle name="Normal 92 2 2 4" xfId="26900"/>
    <cellStyle name="Normal 92 2 3" xfId="10490"/>
    <cellStyle name="Normal 92 2 4" xfId="9540"/>
    <cellStyle name="Normal 92 2 5" xfId="10180"/>
    <cellStyle name="Normal 92 20" xfId="10084"/>
    <cellStyle name="Normal 92 21" xfId="17096"/>
    <cellStyle name="Normal 92 22" xfId="23573"/>
    <cellStyle name="Normal 92 3" xfId="2272"/>
    <cellStyle name="Normal 92 3 2" xfId="5842"/>
    <cellStyle name="Normal 92 3 2 2" xfId="14323"/>
    <cellStyle name="Normal 92 3 2 3" xfId="20837"/>
    <cellStyle name="Normal 92 3 2 4" xfId="27226"/>
    <cellStyle name="Normal 92 3 3" xfId="10828"/>
    <cellStyle name="Normal 92 3 4" xfId="17199"/>
    <cellStyle name="Normal 92 3 5" xfId="23675"/>
    <cellStyle name="Normal 92 4" xfId="2676"/>
    <cellStyle name="Normal 92 4 2" xfId="6177"/>
    <cellStyle name="Normal 92 4 2 2" xfId="14658"/>
    <cellStyle name="Normal 92 4 2 3" xfId="21172"/>
    <cellStyle name="Normal 92 4 2 4" xfId="27561"/>
    <cellStyle name="Normal 92 4 3" xfId="11186"/>
    <cellStyle name="Normal 92 4 4" xfId="17755"/>
    <cellStyle name="Normal 92 4 5" xfId="24157"/>
    <cellStyle name="Normal 92 5" xfId="2850"/>
    <cellStyle name="Normal 92 5 2" xfId="6344"/>
    <cellStyle name="Normal 92 5 2 2" xfId="14825"/>
    <cellStyle name="Normal 92 5 2 3" xfId="21339"/>
    <cellStyle name="Normal 92 5 2 4" xfId="27728"/>
    <cellStyle name="Normal 92 5 3" xfId="11356"/>
    <cellStyle name="Normal 92 5 4" xfId="17922"/>
    <cellStyle name="Normal 92 5 5" xfId="24324"/>
    <cellStyle name="Normal 92 6" xfId="3024"/>
    <cellStyle name="Normal 92 6 2" xfId="6511"/>
    <cellStyle name="Normal 92 6 2 2" xfId="14992"/>
    <cellStyle name="Normal 92 6 2 3" xfId="21506"/>
    <cellStyle name="Normal 92 6 2 4" xfId="27895"/>
    <cellStyle name="Normal 92 6 3" xfId="11526"/>
    <cellStyle name="Normal 92 6 4" xfId="18089"/>
    <cellStyle name="Normal 92 6 5" xfId="24491"/>
    <cellStyle name="Normal 92 7" xfId="3197"/>
    <cellStyle name="Normal 92 7 2" xfId="6678"/>
    <cellStyle name="Normal 92 7 2 2" xfId="15159"/>
    <cellStyle name="Normal 92 7 2 3" xfId="21673"/>
    <cellStyle name="Normal 92 7 2 4" xfId="28062"/>
    <cellStyle name="Normal 92 7 3" xfId="11697"/>
    <cellStyle name="Normal 92 7 4" xfId="18256"/>
    <cellStyle name="Normal 92 7 5" xfId="24658"/>
    <cellStyle name="Normal 92 8" xfId="3368"/>
    <cellStyle name="Normal 92 8 2" xfId="6843"/>
    <cellStyle name="Normal 92 8 2 2" xfId="15324"/>
    <cellStyle name="Normal 92 8 2 3" xfId="21838"/>
    <cellStyle name="Normal 92 8 2 4" xfId="28227"/>
    <cellStyle name="Normal 92 8 3" xfId="11865"/>
    <cellStyle name="Normal 92 8 4" xfId="18421"/>
    <cellStyle name="Normal 92 8 5" xfId="24823"/>
    <cellStyle name="Normal 92 9" xfId="3539"/>
    <cellStyle name="Normal 92 9 2" xfId="7008"/>
    <cellStyle name="Normal 92 9 2 2" xfId="15489"/>
    <cellStyle name="Normal 92 9 2 3" xfId="22003"/>
    <cellStyle name="Normal 92 9 2 4" xfId="28392"/>
    <cellStyle name="Normal 92 9 3" xfId="12034"/>
    <cellStyle name="Normal 92 9 4" xfId="18587"/>
    <cellStyle name="Normal 92 9 5" xfId="24988"/>
    <cellStyle name="Normal 93" xfId="1397"/>
    <cellStyle name="Normal 93 10" xfId="3708"/>
    <cellStyle name="Normal 93 10 2" xfId="7171"/>
    <cellStyle name="Normal 93 10 2 2" xfId="15652"/>
    <cellStyle name="Normal 93 10 2 3" xfId="22166"/>
    <cellStyle name="Normal 93 10 2 4" xfId="28555"/>
    <cellStyle name="Normal 93 10 3" xfId="12203"/>
    <cellStyle name="Normal 93 10 4" xfId="18753"/>
    <cellStyle name="Normal 93 10 5" xfId="25151"/>
    <cellStyle name="Normal 93 11" xfId="3876"/>
    <cellStyle name="Normal 93 11 2" xfId="7334"/>
    <cellStyle name="Normal 93 11 2 2" xfId="15815"/>
    <cellStyle name="Normal 93 11 2 3" xfId="22329"/>
    <cellStyle name="Normal 93 11 2 4" xfId="28718"/>
    <cellStyle name="Normal 93 11 3" xfId="12370"/>
    <cellStyle name="Normal 93 11 4" xfId="18917"/>
    <cellStyle name="Normal 93 11 5" xfId="25314"/>
    <cellStyle name="Normal 93 12" xfId="4042"/>
    <cellStyle name="Normal 93 12 2" xfId="7495"/>
    <cellStyle name="Normal 93 12 2 2" xfId="15976"/>
    <cellStyle name="Normal 93 12 2 3" xfId="22490"/>
    <cellStyle name="Normal 93 12 2 4" xfId="28879"/>
    <cellStyle name="Normal 93 12 3" xfId="12535"/>
    <cellStyle name="Normal 93 12 4" xfId="19079"/>
    <cellStyle name="Normal 93 12 5" xfId="25475"/>
    <cellStyle name="Normal 93 13" xfId="4207"/>
    <cellStyle name="Normal 93 13 2" xfId="7655"/>
    <cellStyle name="Normal 93 13 2 2" xfId="16136"/>
    <cellStyle name="Normal 93 13 2 3" xfId="22650"/>
    <cellStyle name="Normal 93 13 2 4" xfId="29039"/>
    <cellStyle name="Normal 93 13 3" xfId="12699"/>
    <cellStyle name="Normal 93 13 4" xfId="19240"/>
    <cellStyle name="Normal 93 13 5" xfId="25635"/>
    <cellStyle name="Normal 93 14" xfId="4367"/>
    <cellStyle name="Normal 93 14 2" xfId="7810"/>
    <cellStyle name="Normal 93 14 2 2" xfId="16291"/>
    <cellStyle name="Normal 93 14 2 3" xfId="22805"/>
    <cellStyle name="Normal 93 14 2 4" xfId="29194"/>
    <cellStyle name="Normal 93 14 3" xfId="12858"/>
    <cellStyle name="Normal 93 14 4" xfId="19396"/>
    <cellStyle name="Normal 93 14 5" xfId="25790"/>
    <cellStyle name="Normal 93 15" xfId="4527"/>
    <cellStyle name="Normal 93 15 2" xfId="7965"/>
    <cellStyle name="Normal 93 15 2 2" xfId="16446"/>
    <cellStyle name="Normal 93 15 2 3" xfId="22960"/>
    <cellStyle name="Normal 93 15 2 4" xfId="29349"/>
    <cellStyle name="Normal 93 15 3" xfId="13018"/>
    <cellStyle name="Normal 93 15 4" xfId="19552"/>
    <cellStyle name="Normal 93 15 5" xfId="25945"/>
    <cellStyle name="Normal 93 16" xfId="4687"/>
    <cellStyle name="Normal 93 16 2" xfId="8120"/>
    <cellStyle name="Normal 93 16 2 2" xfId="16601"/>
    <cellStyle name="Normal 93 16 2 3" xfId="23115"/>
    <cellStyle name="Normal 93 16 2 4" xfId="29504"/>
    <cellStyle name="Normal 93 16 3" xfId="13177"/>
    <cellStyle name="Normal 93 16 4" xfId="19708"/>
    <cellStyle name="Normal 93 16 5" xfId="26100"/>
    <cellStyle name="Normal 93 17" xfId="4846"/>
    <cellStyle name="Normal 93 17 2" xfId="8274"/>
    <cellStyle name="Normal 93 17 2 2" xfId="16755"/>
    <cellStyle name="Normal 93 17 2 3" xfId="23269"/>
    <cellStyle name="Normal 93 17 2 4" xfId="29658"/>
    <cellStyle name="Normal 93 17 3" xfId="13335"/>
    <cellStyle name="Normal 93 17 4" xfId="19863"/>
    <cellStyle name="Normal 93 17 5" xfId="26254"/>
    <cellStyle name="Normal 93 18" xfId="5004"/>
    <cellStyle name="Normal 93 18 2" xfId="8427"/>
    <cellStyle name="Normal 93 18 2 2" xfId="16908"/>
    <cellStyle name="Normal 93 18 2 3" xfId="23422"/>
    <cellStyle name="Normal 93 18 2 4" xfId="29811"/>
    <cellStyle name="Normal 93 18 3" xfId="13492"/>
    <cellStyle name="Normal 93 18 4" xfId="20017"/>
    <cellStyle name="Normal 93 18 5" xfId="26407"/>
    <cellStyle name="Normal 93 19" xfId="5317"/>
    <cellStyle name="Normal 93 19 2" xfId="13798"/>
    <cellStyle name="Normal 93 19 3" xfId="20315"/>
    <cellStyle name="Normal 93 19 4" xfId="26704"/>
    <cellStyle name="Normal 93 2" xfId="1921"/>
    <cellStyle name="Normal 93 2 2" xfId="5517"/>
    <cellStyle name="Normal 93 2 2 2" xfId="13998"/>
    <cellStyle name="Normal 93 2 2 3" xfId="20512"/>
    <cellStyle name="Normal 93 2 2 4" xfId="26901"/>
    <cellStyle name="Normal 93 2 3" xfId="10491"/>
    <cellStyle name="Normal 93 2 4" xfId="9539"/>
    <cellStyle name="Normal 93 2 5" xfId="10181"/>
    <cellStyle name="Normal 93 20" xfId="10085"/>
    <cellStyle name="Normal 93 21" xfId="17097"/>
    <cellStyle name="Normal 93 22" xfId="23574"/>
    <cellStyle name="Normal 93 3" xfId="2273"/>
    <cellStyle name="Normal 93 3 2" xfId="5843"/>
    <cellStyle name="Normal 93 3 2 2" xfId="14324"/>
    <cellStyle name="Normal 93 3 2 3" xfId="20838"/>
    <cellStyle name="Normal 93 3 2 4" xfId="27227"/>
    <cellStyle name="Normal 93 3 3" xfId="10829"/>
    <cellStyle name="Normal 93 3 4" xfId="17200"/>
    <cellStyle name="Normal 93 3 5" xfId="23676"/>
    <cellStyle name="Normal 93 4" xfId="2675"/>
    <cellStyle name="Normal 93 4 2" xfId="6176"/>
    <cellStyle name="Normal 93 4 2 2" xfId="14657"/>
    <cellStyle name="Normal 93 4 2 3" xfId="21171"/>
    <cellStyle name="Normal 93 4 2 4" xfId="27560"/>
    <cellStyle name="Normal 93 4 3" xfId="11185"/>
    <cellStyle name="Normal 93 4 4" xfId="17754"/>
    <cellStyle name="Normal 93 4 5" xfId="24156"/>
    <cellStyle name="Normal 93 5" xfId="2849"/>
    <cellStyle name="Normal 93 5 2" xfId="6343"/>
    <cellStyle name="Normal 93 5 2 2" xfId="14824"/>
    <cellStyle name="Normal 93 5 2 3" xfId="21338"/>
    <cellStyle name="Normal 93 5 2 4" xfId="27727"/>
    <cellStyle name="Normal 93 5 3" xfId="11355"/>
    <cellStyle name="Normal 93 5 4" xfId="17921"/>
    <cellStyle name="Normal 93 5 5" xfId="24323"/>
    <cellStyle name="Normal 93 6" xfId="3023"/>
    <cellStyle name="Normal 93 6 2" xfId="6510"/>
    <cellStyle name="Normal 93 6 2 2" xfId="14991"/>
    <cellStyle name="Normal 93 6 2 3" xfId="21505"/>
    <cellStyle name="Normal 93 6 2 4" xfId="27894"/>
    <cellStyle name="Normal 93 6 3" xfId="11525"/>
    <cellStyle name="Normal 93 6 4" xfId="18088"/>
    <cellStyle name="Normal 93 6 5" xfId="24490"/>
    <cellStyle name="Normal 93 7" xfId="3196"/>
    <cellStyle name="Normal 93 7 2" xfId="6677"/>
    <cellStyle name="Normal 93 7 2 2" xfId="15158"/>
    <cellStyle name="Normal 93 7 2 3" xfId="21672"/>
    <cellStyle name="Normal 93 7 2 4" xfId="28061"/>
    <cellStyle name="Normal 93 7 3" xfId="11696"/>
    <cellStyle name="Normal 93 7 4" xfId="18255"/>
    <cellStyle name="Normal 93 7 5" xfId="24657"/>
    <cellStyle name="Normal 93 8" xfId="3367"/>
    <cellStyle name="Normal 93 8 2" xfId="6842"/>
    <cellStyle name="Normal 93 8 2 2" xfId="15323"/>
    <cellStyle name="Normal 93 8 2 3" xfId="21837"/>
    <cellStyle name="Normal 93 8 2 4" xfId="28226"/>
    <cellStyle name="Normal 93 8 3" xfId="11864"/>
    <cellStyle name="Normal 93 8 4" xfId="18420"/>
    <cellStyle name="Normal 93 8 5" xfId="24822"/>
    <cellStyle name="Normal 93 9" xfId="3538"/>
    <cellStyle name="Normal 93 9 2" xfId="7007"/>
    <cellStyle name="Normal 93 9 2 2" xfId="15488"/>
    <cellStyle name="Normal 93 9 2 3" xfId="22002"/>
    <cellStyle name="Normal 93 9 2 4" xfId="28391"/>
    <cellStyle name="Normal 93 9 3" xfId="12033"/>
    <cellStyle name="Normal 93 9 4" xfId="18586"/>
    <cellStyle name="Normal 93 9 5" xfId="24987"/>
    <cellStyle name="Normal 94" xfId="1398"/>
    <cellStyle name="Normal 94 10" xfId="3707"/>
    <cellStyle name="Normal 94 10 2" xfId="7170"/>
    <cellStyle name="Normal 94 10 2 2" xfId="15651"/>
    <cellStyle name="Normal 94 10 2 3" xfId="22165"/>
    <cellStyle name="Normal 94 10 2 4" xfId="28554"/>
    <cellStyle name="Normal 94 10 3" xfId="12202"/>
    <cellStyle name="Normal 94 10 4" xfId="18752"/>
    <cellStyle name="Normal 94 10 5" xfId="25150"/>
    <cellStyle name="Normal 94 11" xfId="3875"/>
    <cellStyle name="Normal 94 11 2" xfId="7333"/>
    <cellStyle name="Normal 94 11 2 2" xfId="15814"/>
    <cellStyle name="Normal 94 11 2 3" xfId="22328"/>
    <cellStyle name="Normal 94 11 2 4" xfId="28717"/>
    <cellStyle name="Normal 94 11 3" xfId="12369"/>
    <cellStyle name="Normal 94 11 4" xfId="18916"/>
    <cellStyle name="Normal 94 11 5" xfId="25313"/>
    <cellStyle name="Normal 94 12" xfId="4041"/>
    <cellStyle name="Normal 94 12 2" xfId="7494"/>
    <cellStyle name="Normal 94 12 2 2" xfId="15975"/>
    <cellStyle name="Normal 94 12 2 3" xfId="22489"/>
    <cellStyle name="Normal 94 12 2 4" xfId="28878"/>
    <cellStyle name="Normal 94 12 3" xfId="12534"/>
    <cellStyle name="Normal 94 12 4" xfId="19078"/>
    <cellStyle name="Normal 94 12 5" xfId="25474"/>
    <cellStyle name="Normal 94 13" xfId="4206"/>
    <cellStyle name="Normal 94 13 2" xfId="7654"/>
    <cellStyle name="Normal 94 13 2 2" xfId="16135"/>
    <cellStyle name="Normal 94 13 2 3" xfId="22649"/>
    <cellStyle name="Normal 94 13 2 4" xfId="29038"/>
    <cellStyle name="Normal 94 13 3" xfId="12698"/>
    <cellStyle name="Normal 94 13 4" xfId="19239"/>
    <cellStyle name="Normal 94 13 5" xfId="25634"/>
    <cellStyle name="Normal 94 14" xfId="4366"/>
    <cellStyle name="Normal 94 14 2" xfId="7809"/>
    <cellStyle name="Normal 94 14 2 2" xfId="16290"/>
    <cellStyle name="Normal 94 14 2 3" xfId="22804"/>
    <cellStyle name="Normal 94 14 2 4" xfId="29193"/>
    <cellStyle name="Normal 94 14 3" xfId="12857"/>
    <cellStyle name="Normal 94 14 4" xfId="19395"/>
    <cellStyle name="Normal 94 14 5" xfId="25789"/>
    <cellStyle name="Normal 94 15" xfId="4526"/>
    <cellStyle name="Normal 94 15 2" xfId="7964"/>
    <cellStyle name="Normal 94 15 2 2" xfId="16445"/>
    <cellStyle name="Normal 94 15 2 3" xfId="22959"/>
    <cellStyle name="Normal 94 15 2 4" xfId="29348"/>
    <cellStyle name="Normal 94 15 3" xfId="13017"/>
    <cellStyle name="Normal 94 15 4" xfId="19551"/>
    <cellStyle name="Normal 94 15 5" xfId="25944"/>
    <cellStyle name="Normal 94 16" xfId="4686"/>
    <cellStyle name="Normal 94 16 2" xfId="8119"/>
    <cellStyle name="Normal 94 16 2 2" xfId="16600"/>
    <cellStyle name="Normal 94 16 2 3" xfId="23114"/>
    <cellStyle name="Normal 94 16 2 4" xfId="29503"/>
    <cellStyle name="Normal 94 16 3" xfId="13176"/>
    <cellStyle name="Normal 94 16 4" xfId="19707"/>
    <cellStyle name="Normal 94 16 5" xfId="26099"/>
    <cellStyle name="Normal 94 17" xfId="4845"/>
    <cellStyle name="Normal 94 17 2" xfId="8273"/>
    <cellStyle name="Normal 94 17 2 2" xfId="16754"/>
    <cellStyle name="Normal 94 17 2 3" xfId="23268"/>
    <cellStyle name="Normal 94 17 2 4" xfId="29657"/>
    <cellStyle name="Normal 94 17 3" xfId="13334"/>
    <cellStyle name="Normal 94 17 4" xfId="19862"/>
    <cellStyle name="Normal 94 17 5" xfId="26253"/>
    <cellStyle name="Normal 94 18" xfId="5003"/>
    <cellStyle name="Normal 94 18 2" xfId="8426"/>
    <cellStyle name="Normal 94 18 2 2" xfId="16907"/>
    <cellStyle name="Normal 94 18 2 3" xfId="23421"/>
    <cellStyle name="Normal 94 18 2 4" xfId="29810"/>
    <cellStyle name="Normal 94 18 3" xfId="13491"/>
    <cellStyle name="Normal 94 18 4" xfId="20016"/>
    <cellStyle name="Normal 94 18 5" xfId="26406"/>
    <cellStyle name="Normal 94 19" xfId="5318"/>
    <cellStyle name="Normal 94 19 2" xfId="13799"/>
    <cellStyle name="Normal 94 19 3" xfId="20316"/>
    <cellStyle name="Normal 94 19 4" xfId="26705"/>
    <cellStyle name="Normal 94 2" xfId="1922"/>
    <cellStyle name="Normal 94 2 2" xfId="5518"/>
    <cellStyle name="Normal 94 2 2 2" xfId="13999"/>
    <cellStyle name="Normal 94 2 2 3" xfId="20513"/>
    <cellStyle name="Normal 94 2 2 4" xfId="26902"/>
    <cellStyle name="Normal 94 2 3" xfId="10492"/>
    <cellStyle name="Normal 94 2 3 2 2 2 2 2" xfId="8929"/>
    <cellStyle name="Normal 94 2 3 2 2 2 2 2 2" xfId="17317"/>
    <cellStyle name="Normal 94 2 3 2 2 2 2 2 3" xfId="23787"/>
    <cellStyle name="Normal 94 2 3 2 2 2 2 2 4" xfId="29961"/>
    <cellStyle name="Normal 94 2 4" xfId="17302"/>
    <cellStyle name="Normal 94 2 5" xfId="23775"/>
    <cellStyle name="Normal 94 20" xfId="10086"/>
    <cellStyle name="Normal 94 21" xfId="17098"/>
    <cellStyle name="Normal 94 22" xfId="23575"/>
    <cellStyle name="Normal 94 3" xfId="2274"/>
    <cellStyle name="Normal 94 3 2" xfId="5844"/>
    <cellStyle name="Normal 94 3 2 2" xfId="14325"/>
    <cellStyle name="Normal 94 3 2 3" xfId="20839"/>
    <cellStyle name="Normal 94 3 2 4" xfId="27228"/>
    <cellStyle name="Normal 94 3 3" xfId="10830"/>
    <cellStyle name="Normal 94 3 4" xfId="17201"/>
    <cellStyle name="Normal 94 3 5" xfId="23677"/>
    <cellStyle name="Normal 94 4" xfId="2674"/>
    <cellStyle name="Normal 94 4 2" xfId="6175"/>
    <cellStyle name="Normal 94 4 2 2" xfId="14656"/>
    <cellStyle name="Normal 94 4 2 3" xfId="21170"/>
    <cellStyle name="Normal 94 4 2 4" xfId="27559"/>
    <cellStyle name="Normal 94 4 3" xfId="11184"/>
    <cellStyle name="Normal 94 4 4" xfId="17753"/>
    <cellStyle name="Normal 94 4 5" xfId="24155"/>
    <cellStyle name="Normal 94 5" xfId="2848"/>
    <cellStyle name="Normal 94 5 2" xfId="6342"/>
    <cellStyle name="Normal 94 5 2 2" xfId="14823"/>
    <cellStyle name="Normal 94 5 2 3" xfId="21337"/>
    <cellStyle name="Normal 94 5 2 4" xfId="27726"/>
    <cellStyle name="Normal 94 5 3" xfId="11354"/>
    <cellStyle name="Normal 94 5 4" xfId="17920"/>
    <cellStyle name="Normal 94 5 5" xfId="24322"/>
    <cellStyle name="Normal 94 6" xfId="3022"/>
    <cellStyle name="Normal 94 6 2" xfId="6509"/>
    <cellStyle name="Normal 94 6 2 2" xfId="14990"/>
    <cellStyle name="Normal 94 6 2 3" xfId="21504"/>
    <cellStyle name="Normal 94 6 2 4" xfId="27893"/>
    <cellStyle name="Normal 94 6 3" xfId="11524"/>
    <cellStyle name="Normal 94 6 4" xfId="18087"/>
    <cellStyle name="Normal 94 6 5" xfId="24489"/>
    <cellStyle name="Normal 94 7" xfId="3195"/>
    <cellStyle name="Normal 94 7 2" xfId="6676"/>
    <cellStyle name="Normal 94 7 2 2" xfId="15157"/>
    <cellStyle name="Normal 94 7 2 3" xfId="21671"/>
    <cellStyle name="Normal 94 7 2 4" xfId="28060"/>
    <cellStyle name="Normal 94 7 3" xfId="11695"/>
    <cellStyle name="Normal 94 7 4" xfId="18254"/>
    <cellStyle name="Normal 94 7 5" xfId="24656"/>
    <cellStyle name="Normal 94 8" xfId="3366"/>
    <cellStyle name="Normal 94 8 2" xfId="6841"/>
    <cellStyle name="Normal 94 8 2 2" xfId="15322"/>
    <cellStyle name="Normal 94 8 2 3" xfId="21836"/>
    <cellStyle name="Normal 94 8 2 4" xfId="28225"/>
    <cellStyle name="Normal 94 8 3" xfId="11863"/>
    <cellStyle name="Normal 94 8 4" xfId="18419"/>
    <cellStyle name="Normal 94 8 5" xfId="24821"/>
    <cellStyle name="Normal 94 9" xfId="3537"/>
    <cellStyle name="Normal 94 9 2" xfId="7006"/>
    <cellStyle name="Normal 94 9 2 2" xfId="15487"/>
    <cellStyle name="Normal 94 9 2 3" xfId="22001"/>
    <cellStyle name="Normal 94 9 2 4" xfId="28390"/>
    <cellStyle name="Normal 94 9 3" xfId="12032"/>
    <cellStyle name="Normal 94 9 4" xfId="18585"/>
    <cellStyle name="Normal 94 9 5" xfId="24986"/>
    <cellStyle name="Normal 95" xfId="1399"/>
    <cellStyle name="Normal 95 10" xfId="3706"/>
    <cellStyle name="Normal 95 10 2" xfId="7169"/>
    <cellStyle name="Normal 95 10 2 2" xfId="15650"/>
    <cellStyle name="Normal 95 10 2 3" xfId="22164"/>
    <cellStyle name="Normal 95 10 2 4" xfId="28553"/>
    <cellStyle name="Normal 95 10 3" xfId="12201"/>
    <cellStyle name="Normal 95 10 4" xfId="18751"/>
    <cellStyle name="Normal 95 10 5" xfId="25149"/>
    <cellStyle name="Normal 95 11" xfId="3874"/>
    <cellStyle name="Normal 95 11 2" xfId="7332"/>
    <cellStyle name="Normal 95 11 2 2" xfId="15813"/>
    <cellStyle name="Normal 95 11 2 3" xfId="22327"/>
    <cellStyle name="Normal 95 11 2 4" xfId="28716"/>
    <cellStyle name="Normal 95 11 3" xfId="12368"/>
    <cellStyle name="Normal 95 11 4" xfId="18915"/>
    <cellStyle name="Normal 95 11 5" xfId="25312"/>
    <cellStyle name="Normal 95 12" xfId="4040"/>
    <cellStyle name="Normal 95 12 2" xfId="7493"/>
    <cellStyle name="Normal 95 12 2 2" xfId="15974"/>
    <cellStyle name="Normal 95 12 2 3" xfId="22488"/>
    <cellStyle name="Normal 95 12 2 4" xfId="28877"/>
    <cellStyle name="Normal 95 12 3" xfId="12533"/>
    <cellStyle name="Normal 95 12 4" xfId="19077"/>
    <cellStyle name="Normal 95 12 5" xfId="25473"/>
    <cellStyle name="Normal 95 13" xfId="4205"/>
    <cellStyle name="Normal 95 13 2" xfId="7653"/>
    <cellStyle name="Normal 95 13 2 2" xfId="16134"/>
    <cellStyle name="Normal 95 13 2 3" xfId="22648"/>
    <cellStyle name="Normal 95 13 2 4" xfId="29037"/>
    <cellStyle name="Normal 95 13 3" xfId="12697"/>
    <cellStyle name="Normal 95 13 4" xfId="19238"/>
    <cellStyle name="Normal 95 13 5" xfId="25633"/>
    <cellStyle name="Normal 95 14" xfId="4365"/>
    <cellStyle name="Normal 95 14 2" xfId="7808"/>
    <cellStyle name="Normal 95 14 2 2" xfId="16289"/>
    <cellStyle name="Normal 95 14 2 3" xfId="22803"/>
    <cellStyle name="Normal 95 14 2 4" xfId="29192"/>
    <cellStyle name="Normal 95 14 3" xfId="12856"/>
    <cellStyle name="Normal 95 14 4" xfId="19394"/>
    <cellStyle name="Normal 95 14 5" xfId="25788"/>
    <cellStyle name="Normal 95 15" xfId="4525"/>
    <cellStyle name="Normal 95 15 2" xfId="7963"/>
    <cellStyle name="Normal 95 15 2 2" xfId="16444"/>
    <cellStyle name="Normal 95 15 2 3" xfId="22958"/>
    <cellStyle name="Normal 95 15 2 4" xfId="29347"/>
    <cellStyle name="Normal 95 15 3" xfId="13016"/>
    <cellStyle name="Normal 95 15 4" xfId="19550"/>
    <cellStyle name="Normal 95 15 5" xfId="25943"/>
    <cellStyle name="Normal 95 16" xfId="4685"/>
    <cellStyle name="Normal 95 16 2" xfId="8118"/>
    <cellStyle name="Normal 95 16 2 2" xfId="16599"/>
    <cellStyle name="Normal 95 16 2 3" xfId="23113"/>
    <cellStyle name="Normal 95 16 2 4" xfId="29502"/>
    <cellStyle name="Normal 95 16 3" xfId="13175"/>
    <cellStyle name="Normal 95 16 4" xfId="19706"/>
    <cellStyle name="Normal 95 16 5" xfId="26098"/>
    <cellStyle name="Normal 95 17" xfId="4844"/>
    <cellStyle name="Normal 95 17 2" xfId="8272"/>
    <cellStyle name="Normal 95 17 2 2" xfId="16753"/>
    <cellStyle name="Normal 95 17 2 3" xfId="23267"/>
    <cellStyle name="Normal 95 17 2 4" xfId="29656"/>
    <cellStyle name="Normal 95 17 3" xfId="13333"/>
    <cellStyle name="Normal 95 17 4" xfId="19861"/>
    <cellStyle name="Normal 95 17 5" xfId="26252"/>
    <cellStyle name="Normal 95 18" xfId="5002"/>
    <cellStyle name="Normal 95 18 2" xfId="8425"/>
    <cellStyle name="Normal 95 18 2 2" xfId="16906"/>
    <cellStyle name="Normal 95 18 2 3" xfId="23420"/>
    <cellStyle name="Normal 95 18 2 4" xfId="29809"/>
    <cellStyle name="Normal 95 18 3" xfId="13490"/>
    <cellStyle name="Normal 95 18 4" xfId="20015"/>
    <cellStyle name="Normal 95 18 5" xfId="26405"/>
    <cellStyle name="Normal 95 19" xfId="5319"/>
    <cellStyle name="Normal 95 19 2" xfId="13800"/>
    <cellStyle name="Normal 95 19 3" xfId="20317"/>
    <cellStyle name="Normal 95 19 4" xfId="26706"/>
    <cellStyle name="Normal 95 2" xfId="1923"/>
    <cellStyle name="Normal 95 2 2" xfId="5519"/>
    <cellStyle name="Normal 95 2 2 2" xfId="14000"/>
    <cellStyle name="Normal 95 2 2 3" xfId="20514"/>
    <cellStyle name="Normal 95 2 2 4" xfId="26903"/>
    <cellStyle name="Normal 95 2 3" xfId="10493"/>
    <cellStyle name="Normal 95 2 4" xfId="9538"/>
    <cellStyle name="Normal 95 2 5" xfId="10182"/>
    <cellStyle name="Normal 95 20" xfId="10087"/>
    <cellStyle name="Normal 95 21" xfId="17099"/>
    <cellStyle name="Normal 95 22" xfId="23576"/>
    <cellStyle name="Normal 95 3" xfId="2275"/>
    <cellStyle name="Normal 95 3 2" xfId="5845"/>
    <cellStyle name="Normal 95 3 2 2" xfId="14326"/>
    <cellStyle name="Normal 95 3 2 3" xfId="20840"/>
    <cellStyle name="Normal 95 3 2 4" xfId="27229"/>
    <cellStyle name="Normal 95 3 3" xfId="10831"/>
    <cellStyle name="Normal 95 3 4" xfId="17202"/>
    <cellStyle name="Normal 95 3 5" xfId="23678"/>
    <cellStyle name="Normal 95 4" xfId="2673"/>
    <cellStyle name="Normal 95 4 2" xfId="6174"/>
    <cellStyle name="Normal 95 4 2 2" xfId="14655"/>
    <cellStyle name="Normal 95 4 2 3" xfId="21169"/>
    <cellStyle name="Normal 95 4 2 4" xfId="27558"/>
    <cellStyle name="Normal 95 4 3" xfId="11183"/>
    <cellStyle name="Normal 95 4 4" xfId="17752"/>
    <cellStyle name="Normal 95 4 5" xfId="24154"/>
    <cellStyle name="Normal 95 5" xfId="2847"/>
    <cellStyle name="Normal 95 5 2" xfId="6341"/>
    <cellStyle name="Normal 95 5 2 2" xfId="14822"/>
    <cellStyle name="Normal 95 5 2 3" xfId="21336"/>
    <cellStyle name="Normal 95 5 2 4" xfId="27725"/>
    <cellStyle name="Normal 95 5 3" xfId="11353"/>
    <cellStyle name="Normal 95 5 4" xfId="17919"/>
    <cellStyle name="Normal 95 5 5" xfId="24321"/>
    <cellStyle name="Normal 95 6" xfId="3021"/>
    <cellStyle name="Normal 95 6 2" xfId="6508"/>
    <cellStyle name="Normal 95 6 2 2" xfId="14989"/>
    <cellStyle name="Normal 95 6 2 3" xfId="21503"/>
    <cellStyle name="Normal 95 6 2 4" xfId="27892"/>
    <cellStyle name="Normal 95 6 3" xfId="11523"/>
    <cellStyle name="Normal 95 6 4" xfId="18086"/>
    <cellStyle name="Normal 95 6 5" xfId="24488"/>
    <cellStyle name="Normal 95 7" xfId="3194"/>
    <cellStyle name="Normal 95 7 2" xfId="6675"/>
    <cellStyle name="Normal 95 7 2 2" xfId="15156"/>
    <cellStyle name="Normal 95 7 2 3" xfId="21670"/>
    <cellStyle name="Normal 95 7 2 4" xfId="28059"/>
    <cellStyle name="Normal 95 7 3" xfId="11694"/>
    <cellStyle name="Normal 95 7 4" xfId="18253"/>
    <cellStyle name="Normal 95 7 5" xfId="24655"/>
    <cellStyle name="Normal 95 8" xfId="3365"/>
    <cellStyle name="Normal 95 8 2" xfId="6840"/>
    <cellStyle name="Normal 95 8 2 2" xfId="15321"/>
    <cellStyle name="Normal 95 8 2 3" xfId="21835"/>
    <cellStyle name="Normal 95 8 2 4" xfId="28224"/>
    <cellStyle name="Normal 95 8 3" xfId="11862"/>
    <cellStyle name="Normal 95 8 4" xfId="18418"/>
    <cellStyle name="Normal 95 8 5" xfId="24820"/>
    <cellStyle name="Normal 95 9" xfId="3536"/>
    <cellStyle name="Normal 95 9 2" xfId="7005"/>
    <cellStyle name="Normal 95 9 2 2" xfId="15486"/>
    <cellStyle name="Normal 95 9 2 3" xfId="22000"/>
    <cellStyle name="Normal 95 9 2 4" xfId="28389"/>
    <cellStyle name="Normal 95 9 3" xfId="12031"/>
    <cellStyle name="Normal 95 9 4" xfId="18584"/>
    <cellStyle name="Normal 95 9 5" xfId="24985"/>
    <cellStyle name="Normal 96" xfId="1400"/>
    <cellStyle name="Normal 96 10" xfId="3705"/>
    <cellStyle name="Normal 96 10 2" xfId="7168"/>
    <cellStyle name="Normal 96 10 2 2" xfId="15649"/>
    <cellStyle name="Normal 96 10 2 3" xfId="22163"/>
    <cellStyle name="Normal 96 10 2 4" xfId="28552"/>
    <cellStyle name="Normal 96 10 3" xfId="12200"/>
    <cellStyle name="Normal 96 10 4" xfId="18750"/>
    <cellStyle name="Normal 96 10 5" xfId="25148"/>
    <cellStyle name="Normal 96 11" xfId="3873"/>
    <cellStyle name="Normal 96 11 2" xfId="7331"/>
    <cellStyle name="Normal 96 11 2 2" xfId="15812"/>
    <cellStyle name="Normal 96 11 2 3" xfId="22326"/>
    <cellStyle name="Normal 96 11 2 4" xfId="28715"/>
    <cellStyle name="Normal 96 11 3" xfId="12367"/>
    <cellStyle name="Normal 96 11 4" xfId="18914"/>
    <cellStyle name="Normal 96 11 5" xfId="25311"/>
    <cellStyle name="Normal 96 12" xfId="4039"/>
    <cellStyle name="Normal 96 12 2" xfId="7492"/>
    <cellStyle name="Normal 96 12 2 2" xfId="15973"/>
    <cellStyle name="Normal 96 12 2 3" xfId="22487"/>
    <cellStyle name="Normal 96 12 2 4" xfId="28876"/>
    <cellStyle name="Normal 96 12 3" xfId="12532"/>
    <cellStyle name="Normal 96 12 4" xfId="19076"/>
    <cellStyle name="Normal 96 12 5" xfId="25472"/>
    <cellStyle name="Normal 96 13" xfId="4204"/>
    <cellStyle name="Normal 96 13 2" xfId="7652"/>
    <cellStyle name="Normal 96 13 2 2" xfId="16133"/>
    <cellStyle name="Normal 96 13 2 3" xfId="22647"/>
    <cellStyle name="Normal 96 13 2 4" xfId="29036"/>
    <cellStyle name="Normal 96 13 3" xfId="12696"/>
    <cellStyle name="Normal 96 13 4" xfId="19237"/>
    <cellStyle name="Normal 96 13 5" xfId="25632"/>
    <cellStyle name="Normal 96 14" xfId="4364"/>
    <cellStyle name="Normal 96 14 2" xfId="7807"/>
    <cellStyle name="Normal 96 14 2 2" xfId="16288"/>
    <cellStyle name="Normal 96 14 2 3" xfId="22802"/>
    <cellStyle name="Normal 96 14 2 4" xfId="29191"/>
    <cellStyle name="Normal 96 14 3" xfId="12855"/>
    <cellStyle name="Normal 96 14 4" xfId="19393"/>
    <cellStyle name="Normal 96 14 5" xfId="25787"/>
    <cellStyle name="Normal 96 15" xfId="4524"/>
    <cellStyle name="Normal 96 15 2" xfId="7962"/>
    <cellStyle name="Normal 96 15 2 2" xfId="16443"/>
    <cellStyle name="Normal 96 15 2 3" xfId="22957"/>
    <cellStyle name="Normal 96 15 2 4" xfId="29346"/>
    <cellStyle name="Normal 96 15 3" xfId="13015"/>
    <cellStyle name="Normal 96 15 4" xfId="19549"/>
    <cellStyle name="Normal 96 15 5" xfId="25942"/>
    <cellStyle name="Normal 96 16" xfId="4684"/>
    <cellStyle name="Normal 96 16 2" xfId="8117"/>
    <cellStyle name="Normal 96 16 2 2" xfId="16598"/>
    <cellStyle name="Normal 96 16 2 3" xfId="23112"/>
    <cellStyle name="Normal 96 16 2 4" xfId="29501"/>
    <cellStyle name="Normal 96 16 3" xfId="13174"/>
    <cellStyle name="Normal 96 16 4" xfId="19705"/>
    <cellStyle name="Normal 96 16 5" xfId="26097"/>
    <cellStyle name="Normal 96 17" xfId="4843"/>
    <cellStyle name="Normal 96 17 2" xfId="8271"/>
    <cellStyle name="Normal 96 17 2 2" xfId="16752"/>
    <cellStyle name="Normal 96 17 2 3" xfId="23266"/>
    <cellStyle name="Normal 96 17 2 4" xfId="29655"/>
    <cellStyle name="Normal 96 17 3" xfId="13332"/>
    <cellStyle name="Normal 96 17 4" xfId="19860"/>
    <cellStyle name="Normal 96 17 5" xfId="26251"/>
    <cellStyle name="Normal 96 18" xfId="5001"/>
    <cellStyle name="Normal 96 18 2" xfId="8424"/>
    <cellStyle name="Normal 96 18 2 2" xfId="16905"/>
    <cellStyle name="Normal 96 18 2 3" xfId="23419"/>
    <cellStyle name="Normal 96 18 2 4" xfId="29808"/>
    <cellStyle name="Normal 96 18 3" xfId="13489"/>
    <cellStyle name="Normal 96 18 4" xfId="20014"/>
    <cellStyle name="Normal 96 18 5" xfId="26404"/>
    <cellStyle name="Normal 96 19" xfId="5320"/>
    <cellStyle name="Normal 96 19 2" xfId="13801"/>
    <cellStyle name="Normal 96 19 3" xfId="20318"/>
    <cellStyle name="Normal 96 19 4" xfId="26707"/>
    <cellStyle name="Normal 96 2" xfId="1924"/>
    <cellStyle name="Normal 96 2 2" xfId="5520"/>
    <cellStyle name="Normal 96 2 2 2" xfId="14001"/>
    <cellStyle name="Normal 96 2 2 3" xfId="20515"/>
    <cellStyle name="Normal 96 2 2 4" xfId="26904"/>
    <cellStyle name="Normal 96 2 3" xfId="10494"/>
    <cellStyle name="Normal 96 2 4" xfId="9537"/>
    <cellStyle name="Normal 96 2 5" xfId="10183"/>
    <cellStyle name="Normal 96 20" xfId="10088"/>
    <cellStyle name="Normal 96 21" xfId="17100"/>
    <cellStyle name="Normal 96 22" xfId="23577"/>
    <cellStyle name="Normal 96 3" xfId="2276"/>
    <cellStyle name="Normal 96 3 2" xfId="5846"/>
    <cellStyle name="Normal 96 3 2 2" xfId="14327"/>
    <cellStyle name="Normal 96 3 2 3" xfId="20841"/>
    <cellStyle name="Normal 96 3 2 4" xfId="27230"/>
    <cellStyle name="Normal 96 3 3" xfId="10832"/>
    <cellStyle name="Normal 96 3 4" xfId="17203"/>
    <cellStyle name="Normal 96 3 5" xfId="23679"/>
    <cellStyle name="Normal 96 4" xfId="2672"/>
    <cellStyle name="Normal 96 4 2" xfId="6173"/>
    <cellStyle name="Normal 96 4 2 2" xfId="14654"/>
    <cellStyle name="Normal 96 4 2 3" xfId="21168"/>
    <cellStyle name="Normal 96 4 2 4" xfId="27557"/>
    <cellStyle name="Normal 96 4 3" xfId="11182"/>
    <cellStyle name="Normal 96 4 4" xfId="17751"/>
    <cellStyle name="Normal 96 4 5" xfId="24153"/>
    <cellStyle name="Normal 96 5" xfId="2846"/>
    <cellStyle name="Normal 96 5 2" xfId="6340"/>
    <cellStyle name="Normal 96 5 2 2" xfId="14821"/>
    <cellStyle name="Normal 96 5 2 3" xfId="21335"/>
    <cellStyle name="Normal 96 5 2 4" xfId="27724"/>
    <cellStyle name="Normal 96 5 3" xfId="11352"/>
    <cellStyle name="Normal 96 5 4" xfId="17918"/>
    <cellStyle name="Normal 96 5 5" xfId="24320"/>
    <cellStyle name="Normal 96 6" xfId="3020"/>
    <cellStyle name="Normal 96 6 2" xfId="6507"/>
    <cellStyle name="Normal 96 6 2 2" xfId="14988"/>
    <cellStyle name="Normal 96 6 2 3" xfId="21502"/>
    <cellStyle name="Normal 96 6 2 4" xfId="27891"/>
    <cellStyle name="Normal 96 6 3" xfId="11522"/>
    <cellStyle name="Normal 96 6 4" xfId="18085"/>
    <cellStyle name="Normal 96 6 5" xfId="24487"/>
    <cellStyle name="Normal 96 7" xfId="3193"/>
    <cellStyle name="Normal 96 7 2" xfId="6674"/>
    <cellStyle name="Normal 96 7 2 2" xfId="15155"/>
    <cellStyle name="Normal 96 7 2 3" xfId="21669"/>
    <cellStyle name="Normal 96 7 2 4" xfId="28058"/>
    <cellStyle name="Normal 96 7 3" xfId="11693"/>
    <cellStyle name="Normal 96 7 4" xfId="18252"/>
    <cellStyle name="Normal 96 7 5" xfId="24654"/>
    <cellStyle name="Normal 96 8" xfId="3364"/>
    <cellStyle name="Normal 96 8 2" xfId="6839"/>
    <cellStyle name="Normal 96 8 2 2" xfId="15320"/>
    <cellStyle name="Normal 96 8 2 3" xfId="21834"/>
    <cellStyle name="Normal 96 8 2 4" xfId="28223"/>
    <cellStyle name="Normal 96 8 3" xfId="11861"/>
    <cellStyle name="Normal 96 8 4" xfId="18417"/>
    <cellStyle name="Normal 96 8 5" xfId="24819"/>
    <cellStyle name="Normal 96 9" xfId="3535"/>
    <cellStyle name="Normal 96 9 2" xfId="7004"/>
    <cellStyle name="Normal 96 9 2 2" xfId="15485"/>
    <cellStyle name="Normal 96 9 2 3" xfId="21999"/>
    <cellStyle name="Normal 96 9 2 4" xfId="28388"/>
    <cellStyle name="Normal 96 9 3" xfId="12030"/>
    <cellStyle name="Normal 96 9 4" xfId="18583"/>
    <cellStyle name="Normal 96 9 5" xfId="24984"/>
    <cellStyle name="Normal 97" xfId="1401"/>
    <cellStyle name="Normal 97 10" xfId="3704"/>
    <cellStyle name="Normal 97 10 2" xfId="7167"/>
    <cellStyle name="Normal 97 10 2 2" xfId="15648"/>
    <cellStyle name="Normal 97 10 2 3" xfId="22162"/>
    <cellStyle name="Normal 97 10 2 4" xfId="28551"/>
    <cellStyle name="Normal 97 10 3" xfId="12199"/>
    <cellStyle name="Normal 97 10 4" xfId="18749"/>
    <cellStyle name="Normal 97 10 5" xfId="25147"/>
    <cellStyle name="Normal 97 11" xfId="3872"/>
    <cellStyle name="Normal 97 11 2" xfId="7330"/>
    <cellStyle name="Normal 97 11 2 2" xfId="15811"/>
    <cellStyle name="Normal 97 11 2 3" xfId="22325"/>
    <cellStyle name="Normal 97 11 2 4" xfId="28714"/>
    <cellStyle name="Normal 97 11 3" xfId="12366"/>
    <cellStyle name="Normal 97 11 4" xfId="18913"/>
    <cellStyle name="Normal 97 11 5" xfId="25310"/>
    <cellStyle name="Normal 97 12" xfId="4038"/>
    <cellStyle name="Normal 97 12 2" xfId="7491"/>
    <cellStyle name="Normal 97 12 2 2" xfId="15972"/>
    <cellStyle name="Normal 97 12 2 3" xfId="22486"/>
    <cellStyle name="Normal 97 12 2 4" xfId="28875"/>
    <cellStyle name="Normal 97 12 3" xfId="12531"/>
    <cellStyle name="Normal 97 12 4" xfId="19075"/>
    <cellStyle name="Normal 97 12 5" xfId="25471"/>
    <cellStyle name="Normal 97 13" xfId="4203"/>
    <cellStyle name="Normal 97 13 2" xfId="7651"/>
    <cellStyle name="Normal 97 13 2 2" xfId="16132"/>
    <cellStyle name="Normal 97 13 2 3" xfId="22646"/>
    <cellStyle name="Normal 97 13 2 4" xfId="29035"/>
    <cellStyle name="Normal 97 13 3" xfId="12695"/>
    <cellStyle name="Normal 97 13 4" xfId="19236"/>
    <cellStyle name="Normal 97 13 5" xfId="25631"/>
    <cellStyle name="Normal 97 14" xfId="4363"/>
    <cellStyle name="Normal 97 14 2" xfId="7806"/>
    <cellStyle name="Normal 97 14 2 2" xfId="16287"/>
    <cellStyle name="Normal 97 14 2 3" xfId="22801"/>
    <cellStyle name="Normal 97 14 2 4" xfId="29190"/>
    <cellStyle name="Normal 97 14 3" xfId="12854"/>
    <cellStyle name="Normal 97 14 4" xfId="19392"/>
    <cellStyle name="Normal 97 14 5" xfId="25786"/>
    <cellStyle name="Normal 97 15" xfId="4523"/>
    <cellStyle name="Normal 97 15 2" xfId="7961"/>
    <cellStyle name="Normal 97 15 2 2" xfId="16442"/>
    <cellStyle name="Normal 97 15 2 3" xfId="22956"/>
    <cellStyle name="Normal 97 15 2 4" xfId="29345"/>
    <cellStyle name="Normal 97 15 3" xfId="13014"/>
    <cellStyle name="Normal 97 15 4" xfId="19548"/>
    <cellStyle name="Normal 97 15 5" xfId="25941"/>
    <cellStyle name="Normal 97 16" xfId="4683"/>
    <cellStyle name="Normal 97 16 2" xfId="8116"/>
    <cellStyle name="Normal 97 16 2 2" xfId="16597"/>
    <cellStyle name="Normal 97 16 2 3" xfId="23111"/>
    <cellStyle name="Normal 97 16 2 4" xfId="29500"/>
    <cellStyle name="Normal 97 16 3" xfId="13173"/>
    <cellStyle name="Normal 97 16 4" xfId="19704"/>
    <cellStyle name="Normal 97 16 5" xfId="26096"/>
    <cellStyle name="Normal 97 17" xfId="4842"/>
    <cellStyle name="Normal 97 17 2" xfId="8270"/>
    <cellStyle name="Normal 97 17 2 2" xfId="16751"/>
    <cellStyle name="Normal 97 17 2 3" xfId="23265"/>
    <cellStyle name="Normal 97 17 2 4" xfId="29654"/>
    <cellStyle name="Normal 97 17 3" xfId="13331"/>
    <cellStyle name="Normal 97 17 4" xfId="19859"/>
    <cellStyle name="Normal 97 17 5" xfId="26250"/>
    <cellStyle name="Normal 97 18" xfId="5000"/>
    <cellStyle name="Normal 97 18 2" xfId="8423"/>
    <cellStyle name="Normal 97 18 2 2" xfId="16904"/>
    <cellStyle name="Normal 97 18 2 3" xfId="23418"/>
    <cellStyle name="Normal 97 18 2 4" xfId="29807"/>
    <cellStyle name="Normal 97 18 3" xfId="13488"/>
    <cellStyle name="Normal 97 18 4" xfId="20013"/>
    <cellStyle name="Normal 97 18 5" xfId="26403"/>
    <cellStyle name="Normal 97 19" xfId="5321"/>
    <cellStyle name="Normal 97 19 2" xfId="13802"/>
    <cellStyle name="Normal 97 19 3" xfId="20319"/>
    <cellStyle name="Normal 97 19 4" xfId="26708"/>
    <cellStyle name="Normal 97 2" xfId="1925"/>
    <cellStyle name="Normal 97 2 2" xfId="5521"/>
    <cellStyle name="Normal 97 2 2 2" xfId="14002"/>
    <cellStyle name="Normal 97 2 2 3" xfId="20516"/>
    <cellStyle name="Normal 97 2 2 4" xfId="26905"/>
    <cellStyle name="Normal 97 2 3" xfId="10495"/>
    <cellStyle name="Normal 97 2 4" xfId="9536"/>
    <cellStyle name="Normal 97 2 5" xfId="10184"/>
    <cellStyle name="Normal 97 20" xfId="10089"/>
    <cellStyle name="Normal 97 21" xfId="17101"/>
    <cellStyle name="Normal 97 22" xfId="23578"/>
    <cellStyle name="Normal 97 3" xfId="2277"/>
    <cellStyle name="Normal 97 3 2" xfId="5847"/>
    <cellStyle name="Normal 97 3 2 2" xfId="14328"/>
    <cellStyle name="Normal 97 3 2 3" xfId="20842"/>
    <cellStyle name="Normal 97 3 2 4" xfId="27231"/>
    <cellStyle name="Normal 97 3 3" xfId="10833"/>
    <cellStyle name="Normal 97 3 4" xfId="17204"/>
    <cellStyle name="Normal 97 3 5" xfId="23680"/>
    <cellStyle name="Normal 97 4" xfId="2671"/>
    <cellStyle name="Normal 97 4 2" xfId="6172"/>
    <cellStyle name="Normal 97 4 2 2" xfId="14653"/>
    <cellStyle name="Normal 97 4 2 3" xfId="21167"/>
    <cellStyle name="Normal 97 4 2 4" xfId="27556"/>
    <cellStyle name="Normal 97 4 3" xfId="11181"/>
    <cellStyle name="Normal 97 4 4" xfId="17750"/>
    <cellStyle name="Normal 97 4 5" xfId="24152"/>
    <cellStyle name="Normal 97 5" xfId="2845"/>
    <cellStyle name="Normal 97 5 2" xfId="6339"/>
    <cellStyle name="Normal 97 5 2 2" xfId="14820"/>
    <cellStyle name="Normal 97 5 2 3" xfId="21334"/>
    <cellStyle name="Normal 97 5 2 4" xfId="27723"/>
    <cellStyle name="Normal 97 5 3" xfId="11351"/>
    <cellStyle name="Normal 97 5 4" xfId="17917"/>
    <cellStyle name="Normal 97 5 5" xfId="24319"/>
    <cellStyle name="Normal 97 6" xfId="3019"/>
    <cellStyle name="Normal 97 6 2" xfId="6506"/>
    <cellStyle name="Normal 97 6 2 2" xfId="14987"/>
    <cellStyle name="Normal 97 6 2 3" xfId="21501"/>
    <cellStyle name="Normal 97 6 2 4" xfId="27890"/>
    <cellStyle name="Normal 97 6 3" xfId="11521"/>
    <cellStyle name="Normal 97 6 4" xfId="18084"/>
    <cellStyle name="Normal 97 6 5" xfId="24486"/>
    <cellStyle name="Normal 97 7" xfId="3192"/>
    <cellStyle name="Normal 97 7 2" xfId="6673"/>
    <cellStyle name="Normal 97 7 2 2" xfId="15154"/>
    <cellStyle name="Normal 97 7 2 3" xfId="21668"/>
    <cellStyle name="Normal 97 7 2 4" xfId="28057"/>
    <cellStyle name="Normal 97 7 3" xfId="11692"/>
    <cellStyle name="Normal 97 7 4" xfId="18251"/>
    <cellStyle name="Normal 97 7 5" xfId="24653"/>
    <cellStyle name="Normal 97 8" xfId="3363"/>
    <cellStyle name="Normal 97 8 2" xfId="6838"/>
    <cellStyle name="Normal 97 8 2 2" xfId="15319"/>
    <cellStyle name="Normal 97 8 2 3" xfId="21833"/>
    <cellStyle name="Normal 97 8 2 4" xfId="28222"/>
    <cellStyle name="Normal 97 8 3" xfId="11860"/>
    <cellStyle name="Normal 97 8 4" xfId="18416"/>
    <cellStyle name="Normal 97 8 5" xfId="24818"/>
    <cellStyle name="Normal 97 9" xfId="3534"/>
    <cellStyle name="Normal 97 9 2" xfId="7003"/>
    <cellStyle name="Normal 97 9 2 2" xfId="15484"/>
    <cellStyle name="Normal 97 9 2 3" xfId="21998"/>
    <cellStyle name="Normal 97 9 2 4" xfId="28387"/>
    <cellStyle name="Normal 97 9 3" xfId="12029"/>
    <cellStyle name="Normal 97 9 4" xfId="18582"/>
    <cellStyle name="Normal 97 9 5" xfId="24983"/>
    <cellStyle name="Normal 98" xfId="1402"/>
    <cellStyle name="Normal 98 10" xfId="3703"/>
    <cellStyle name="Normal 98 10 2" xfId="7166"/>
    <cellStyle name="Normal 98 10 2 2" xfId="15647"/>
    <cellStyle name="Normal 98 10 2 3" xfId="22161"/>
    <cellStyle name="Normal 98 10 2 4" xfId="28550"/>
    <cellStyle name="Normal 98 10 3" xfId="12198"/>
    <cellStyle name="Normal 98 10 4" xfId="18748"/>
    <cellStyle name="Normal 98 10 5" xfId="25146"/>
    <cellStyle name="Normal 98 11" xfId="3871"/>
    <cellStyle name="Normal 98 11 2" xfId="7329"/>
    <cellStyle name="Normal 98 11 2 2" xfId="15810"/>
    <cellStyle name="Normal 98 11 2 3" xfId="22324"/>
    <cellStyle name="Normal 98 11 2 4" xfId="28713"/>
    <cellStyle name="Normal 98 11 3" xfId="12365"/>
    <cellStyle name="Normal 98 11 4" xfId="18912"/>
    <cellStyle name="Normal 98 11 5" xfId="25309"/>
    <cellStyle name="Normal 98 12" xfId="4037"/>
    <cellStyle name="Normal 98 12 2" xfId="7490"/>
    <cellStyle name="Normal 98 12 2 2" xfId="15971"/>
    <cellStyle name="Normal 98 12 2 3" xfId="22485"/>
    <cellStyle name="Normal 98 12 2 4" xfId="28874"/>
    <cellStyle name="Normal 98 12 3" xfId="12530"/>
    <cellStyle name="Normal 98 12 4" xfId="19074"/>
    <cellStyle name="Normal 98 12 5" xfId="25470"/>
    <cellStyle name="Normal 98 13" xfId="4202"/>
    <cellStyle name="Normal 98 13 2" xfId="7650"/>
    <cellStyle name="Normal 98 13 2 2" xfId="16131"/>
    <cellStyle name="Normal 98 13 2 3" xfId="22645"/>
    <cellStyle name="Normal 98 13 2 4" xfId="29034"/>
    <cellStyle name="Normal 98 13 3" xfId="12694"/>
    <cellStyle name="Normal 98 13 4" xfId="19235"/>
    <cellStyle name="Normal 98 13 5" xfId="25630"/>
    <cellStyle name="Normal 98 14" xfId="4362"/>
    <cellStyle name="Normal 98 14 2" xfId="7805"/>
    <cellStyle name="Normal 98 14 2 2" xfId="16286"/>
    <cellStyle name="Normal 98 14 2 3" xfId="22800"/>
    <cellStyle name="Normal 98 14 2 4" xfId="29189"/>
    <cellStyle name="Normal 98 14 3" xfId="12853"/>
    <cellStyle name="Normal 98 14 4" xfId="19391"/>
    <cellStyle name="Normal 98 14 5" xfId="25785"/>
    <cellStyle name="Normal 98 15" xfId="4522"/>
    <cellStyle name="Normal 98 15 2" xfId="7960"/>
    <cellStyle name="Normal 98 15 2 2" xfId="16441"/>
    <cellStyle name="Normal 98 15 2 3" xfId="22955"/>
    <cellStyle name="Normal 98 15 2 4" xfId="29344"/>
    <cellStyle name="Normal 98 15 3" xfId="13013"/>
    <cellStyle name="Normal 98 15 4" xfId="19547"/>
    <cellStyle name="Normal 98 15 5" xfId="25940"/>
    <cellStyle name="Normal 98 16" xfId="4682"/>
    <cellStyle name="Normal 98 16 2" xfId="8115"/>
    <cellStyle name="Normal 98 16 2 2" xfId="16596"/>
    <cellStyle name="Normal 98 16 2 3" xfId="23110"/>
    <cellStyle name="Normal 98 16 2 4" xfId="29499"/>
    <cellStyle name="Normal 98 16 3" xfId="13172"/>
    <cellStyle name="Normal 98 16 4" xfId="19703"/>
    <cellStyle name="Normal 98 16 5" xfId="26095"/>
    <cellStyle name="Normal 98 17" xfId="4841"/>
    <cellStyle name="Normal 98 17 2" xfId="8269"/>
    <cellStyle name="Normal 98 17 2 2" xfId="16750"/>
    <cellStyle name="Normal 98 17 2 3" xfId="23264"/>
    <cellStyle name="Normal 98 17 2 4" xfId="29653"/>
    <cellStyle name="Normal 98 17 3" xfId="13330"/>
    <cellStyle name="Normal 98 17 4" xfId="19858"/>
    <cellStyle name="Normal 98 17 5" xfId="26249"/>
    <cellStyle name="Normal 98 18" xfId="4999"/>
    <cellStyle name="Normal 98 18 2" xfId="8422"/>
    <cellStyle name="Normal 98 18 2 2" xfId="16903"/>
    <cellStyle name="Normal 98 18 2 3" xfId="23417"/>
    <cellStyle name="Normal 98 18 2 4" xfId="29806"/>
    <cellStyle name="Normal 98 18 3" xfId="13487"/>
    <cellStyle name="Normal 98 18 4" xfId="20012"/>
    <cellStyle name="Normal 98 18 5" xfId="26402"/>
    <cellStyle name="Normal 98 19" xfId="5322"/>
    <cellStyle name="Normal 98 19 2" xfId="13803"/>
    <cellStyle name="Normal 98 19 3" xfId="20320"/>
    <cellStyle name="Normal 98 19 4" xfId="26709"/>
    <cellStyle name="Normal 98 2" xfId="1926"/>
    <cellStyle name="Normal 98 2 2" xfId="5522"/>
    <cellStyle name="Normal 98 2 2 2" xfId="14003"/>
    <cellStyle name="Normal 98 2 2 3" xfId="20517"/>
    <cellStyle name="Normal 98 2 2 4" xfId="26906"/>
    <cellStyle name="Normal 98 2 3" xfId="10496"/>
    <cellStyle name="Normal 98 2 4" xfId="9535"/>
    <cellStyle name="Normal 98 2 5" xfId="10185"/>
    <cellStyle name="Normal 98 20" xfId="10090"/>
    <cellStyle name="Normal 98 21" xfId="9681"/>
    <cellStyle name="Normal 98 22" xfId="17080"/>
    <cellStyle name="Normal 98 3" xfId="2278"/>
    <cellStyle name="Normal 98 3 2" xfId="5848"/>
    <cellStyle name="Normal 98 3 2 2" xfId="14329"/>
    <cellStyle name="Normal 98 3 2 3" xfId="20843"/>
    <cellStyle name="Normal 98 3 2 4" xfId="27232"/>
    <cellStyle name="Normal 98 3 3" xfId="10834"/>
    <cellStyle name="Normal 98 3 4" xfId="17205"/>
    <cellStyle name="Normal 98 3 5" xfId="23681"/>
    <cellStyle name="Normal 98 4" xfId="2670"/>
    <cellStyle name="Normal 98 4 2" xfId="6171"/>
    <cellStyle name="Normal 98 4 2 2" xfId="14652"/>
    <cellStyle name="Normal 98 4 2 3" xfId="21166"/>
    <cellStyle name="Normal 98 4 2 4" xfId="27555"/>
    <cellStyle name="Normal 98 4 3" xfId="11180"/>
    <cellStyle name="Normal 98 4 4" xfId="17749"/>
    <cellStyle name="Normal 98 4 5" xfId="24151"/>
    <cellStyle name="Normal 98 5" xfId="2844"/>
    <cellStyle name="Normal 98 5 2" xfId="6338"/>
    <cellStyle name="Normal 98 5 2 2" xfId="14819"/>
    <cellStyle name="Normal 98 5 2 3" xfId="21333"/>
    <cellStyle name="Normal 98 5 2 4" xfId="27722"/>
    <cellStyle name="Normal 98 5 3" xfId="11350"/>
    <cellStyle name="Normal 98 5 4" xfId="17916"/>
    <cellStyle name="Normal 98 5 5" xfId="24318"/>
    <cellStyle name="Normal 98 6" xfId="3018"/>
    <cellStyle name="Normal 98 6 2" xfId="6505"/>
    <cellStyle name="Normal 98 6 2 2" xfId="14986"/>
    <cellStyle name="Normal 98 6 2 3" xfId="21500"/>
    <cellStyle name="Normal 98 6 2 4" xfId="27889"/>
    <cellStyle name="Normal 98 6 3" xfId="11520"/>
    <cellStyle name="Normal 98 6 4" xfId="18083"/>
    <cellStyle name="Normal 98 6 5" xfId="24485"/>
    <cellStyle name="Normal 98 7" xfId="3191"/>
    <cellStyle name="Normal 98 7 2" xfId="6672"/>
    <cellStyle name="Normal 98 7 2 2" xfId="15153"/>
    <cellStyle name="Normal 98 7 2 3" xfId="21667"/>
    <cellStyle name="Normal 98 7 2 4" xfId="28056"/>
    <cellStyle name="Normal 98 7 3" xfId="11691"/>
    <cellStyle name="Normal 98 7 4" xfId="18250"/>
    <cellStyle name="Normal 98 7 5" xfId="24652"/>
    <cellStyle name="Normal 98 8" xfId="3362"/>
    <cellStyle name="Normal 98 8 2" xfId="6837"/>
    <cellStyle name="Normal 98 8 2 2" xfId="15318"/>
    <cellStyle name="Normal 98 8 2 3" xfId="21832"/>
    <cellStyle name="Normal 98 8 2 4" xfId="28221"/>
    <cellStyle name="Normal 98 8 3" xfId="11859"/>
    <cellStyle name="Normal 98 8 4" xfId="18415"/>
    <cellStyle name="Normal 98 8 5" xfId="24817"/>
    <cellStyle name="Normal 98 9" xfId="3533"/>
    <cellStyle name="Normal 98 9 2" xfId="7002"/>
    <cellStyle name="Normal 98 9 2 2" xfId="15483"/>
    <cellStyle name="Normal 98 9 2 3" xfId="21997"/>
    <cellStyle name="Normal 98 9 2 4" xfId="28386"/>
    <cellStyle name="Normal 98 9 3" xfId="12028"/>
    <cellStyle name="Normal 98 9 4" xfId="18581"/>
    <cellStyle name="Normal 98 9 5" xfId="24982"/>
    <cellStyle name="Normal 99" xfId="1403"/>
    <cellStyle name="Normal 99 10" xfId="3702"/>
    <cellStyle name="Normal 99 10 2" xfId="7165"/>
    <cellStyle name="Normal 99 10 2 2" xfId="15646"/>
    <cellStyle name="Normal 99 10 2 3" xfId="22160"/>
    <cellStyle name="Normal 99 10 2 4" xfId="28549"/>
    <cellStyle name="Normal 99 10 3" xfId="12197"/>
    <cellStyle name="Normal 99 10 4" xfId="18747"/>
    <cellStyle name="Normal 99 10 5" xfId="25145"/>
    <cellStyle name="Normal 99 11" xfId="3870"/>
    <cellStyle name="Normal 99 11 2" xfId="7328"/>
    <cellStyle name="Normal 99 11 2 2" xfId="15809"/>
    <cellStyle name="Normal 99 11 2 3" xfId="22323"/>
    <cellStyle name="Normal 99 11 2 4" xfId="28712"/>
    <cellStyle name="Normal 99 11 3" xfId="12364"/>
    <cellStyle name="Normal 99 11 4" xfId="18911"/>
    <cellStyle name="Normal 99 11 5" xfId="25308"/>
    <cellStyle name="Normal 99 12" xfId="4036"/>
    <cellStyle name="Normal 99 12 2" xfId="7489"/>
    <cellStyle name="Normal 99 12 2 2" xfId="15970"/>
    <cellStyle name="Normal 99 12 2 3" xfId="22484"/>
    <cellStyle name="Normal 99 12 2 4" xfId="28873"/>
    <cellStyle name="Normal 99 12 3" xfId="12529"/>
    <cellStyle name="Normal 99 12 4" xfId="19073"/>
    <cellStyle name="Normal 99 12 5" xfId="25469"/>
    <cellStyle name="Normal 99 13" xfId="4201"/>
    <cellStyle name="Normal 99 13 2" xfId="7649"/>
    <cellStyle name="Normal 99 13 2 2" xfId="16130"/>
    <cellStyle name="Normal 99 13 2 3" xfId="22644"/>
    <cellStyle name="Normal 99 13 2 4" xfId="29033"/>
    <cellStyle name="Normal 99 13 3" xfId="12693"/>
    <cellStyle name="Normal 99 13 4" xfId="19234"/>
    <cellStyle name="Normal 99 13 5" xfId="25629"/>
    <cellStyle name="Normal 99 14" xfId="4361"/>
    <cellStyle name="Normal 99 14 2" xfId="7804"/>
    <cellStyle name="Normal 99 14 2 2" xfId="16285"/>
    <cellStyle name="Normal 99 14 2 3" xfId="22799"/>
    <cellStyle name="Normal 99 14 2 4" xfId="29188"/>
    <cellStyle name="Normal 99 14 3" xfId="12852"/>
    <cellStyle name="Normal 99 14 4" xfId="19390"/>
    <cellStyle name="Normal 99 14 5" xfId="25784"/>
    <cellStyle name="Normal 99 15" xfId="4521"/>
    <cellStyle name="Normal 99 15 2" xfId="7959"/>
    <cellStyle name="Normal 99 15 2 2" xfId="16440"/>
    <cellStyle name="Normal 99 15 2 3" xfId="22954"/>
    <cellStyle name="Normal 99 15 2 4" xfId="29343"/>
    <cellStyle name="Normal 99 15 3" xfId="13012"/>
    <cellStyle name="Normal 99 15 4" xfId="19546"/>
    <cellStyle name="Normal 99 15 5" xfId="25939"/>
    <cellStyle name="Normal 99 16" xfId="4681"/>
    <cellStyle name="Normal 99 16 2" xfId="8114"/>
    <cellStyle name="Normal 99 16 2 2" xfId="16595"/>
    <cellStyle name="Normal 99 16 2 3" xfId="23109"/>
    <cellStyle name="Normal 99 16 2 4" xfId="29498"/>
    <cellStyle name="Normal 99 16 3" xfId="13171"/>
    <cellStyle name="Normal 99 16 4" xfId="19702"/>
    <cellStyle name="Normal 99 16 5" xfId="26094"/>
    <cellStyle name="Normal 99 17" xfId="4840"/>
    <cellStyle name="Normal 99 17 2" xfId="8268"/>
    <cellStyle name="Normal 99 17 2 2" xfId="16749"/>
    <cellStyle name="Normal 99 17 2 3" xfId="23263"/>
    <cellStyle name="Normal 99 17 2 4" xfId="29652"/>
    <cellStyle name="Normal 99 17 3" xfId="13329"/>
    <cellStyle name="Normal 99 17 4" xfId="19857"/>
    <cellStyle name="Normal 99 17 5" xfId="26248"/>
    <cellStyle name="Normal 99 18" xfId="4998"/>
    <cellStyle name="Normal 99 18 2" xfId="8421"/>
    <cellStyle name="Normal 99 18 2 2" xfId="16902"/>
    <cellStyle name="Normal 99 18 2 3" xfId="23416"/>
    <cellStyle name="Normal 99 18 2 4" xfId="29805"/>
    <cellStyle name="Normal 99 18 3" xfId="13486"/>
    <cellStyle name="Normal 99 18 4" xfId="20011"/>
    <cellStyle name="Normal 99 18 5" xfId="26401"/>
    <cellStyle name="Normal 99 19" xfId="5323"/>
    <cellStyle name="Normal 99 19 2" xfId="13804"/>
    <cellStyle name="Normal 99 19 3" xfId="20321"/>
    <cellStyle name="Normal 99 19 4" xfId="26710"/>
    <cellStyle name="Normal 99 2" xfId="1927"/>
    <cellStyle name="Normal 99 2 2" xfId="5523"/>
    <cellStyle name="Normal 99 2 2 2" xfId="14004"/>
    <cellStyle name="Normal 99 2 2 3" xfId="20518"/>
    <cellStyle name="Normal 99 2 2 4" xfId="26907"/>
    <cellStyle name="Normal 99 2 3" xfId="10497"/>
    <cellStyle name="Normal 99 2 4" xfId="9534"/>
    <cellStyle name="Normal 99 2 5" xfId="10186"/>
    <cellStyle name="Normal 99 20" xfId="10091"/>
    <cellStyle name="Normal 99 21" xfId="9680"/>
    <cellStyle name="Normal 99 22" xfId="10049"/>
    <cellStyle name="Normal 99 3" xfId="2279"/>
    <cellStyle name="Normal 99 3 2" xfId="5849"/>
    <cellStyle name="Normal 99 3 2 2" xfId="14330"/>
    <cellStyle name="Normal 99 3 2 3" xfId="20844"/>
    <cellStyle name="Normal 99 3 2 4" xfId="27233"/>
    <cellStyle name="Normal 99 3 3" xfId="10835"/>
    <cellStyle name="Normal 99 3 4" xfId="17206"/>
    <cellStyle name="Normal 99 3 5" xfId="23682"/>
    <cellStyle name="Normal 99 4" xfId="2669"/>
    <cellStyle name="Normal 99 4 2" xfId="6170"/>
    <cellStyle name="Normal 99 4 2 2" xfId="14651"/>
    <cellStyle name="Normal 99 4 2 3" xfId="21165"/>
    <cellStyle name="Normal 99 4 2 4" xfId="27554"/>
    <cellStyle name="Normal 99 4 3" xfId="11179"/>
    <cellStyle name="Normal 99 4 4" xfId="17748"/>
    <cellStyle name="Normal 99 4 5" xfId="24150"/>
    <cellStyle name="Normal 99 5" xfId="2843"/>
    <cellStyle name="Normal 99 5 2" xfId="6337"/>
    <cellStyle name="Normal 99 5 2 2" xfId="14818"/>
    <cellStyle name="Normal 99 5 2 3" xfId="21332"/>
    <cellStyle name="Normal 99 5 2 4" xfId="27721"/>
    <cellStyle name="Normal 99 5 3" xfId="11349"/>
    <cellStyle name="Normal 99 5 4" xfId="17915"/>
    <cellStyle name="Normal 99 5 5" xfId="24317"/>
    <cellStyle name="Normal 99 6" xfId="3017"/>
    <cellStyle name="Normal 99 6 2" xfId="6504"/>
    <cellStyle name="Normal 99 6 2 2" xfId="14985"/>
    <cellStyle name="Normal 99 6 2 3" xfId="21499"/>
    <cellStyle name="Normal 99 6 2 4" xfId="27888"/>
    <cellStyle name="Normal 99 6 3" xfId="11519"/>
    <cellStyle name="Normal 99 6 4" xfId="18082"/>
    <cellStyle name="Normal 99 6 5" xfId="24484"/>
    <cellStyle name="Normal 99 7" xfId="3190"/>
    <cellStyle name="Normal 99 7 2" xfId="6671"/>
    <cellStyle name="Normal 99 7 2 2" xfId="15152"/>
    <cellStyle name="Normal 99 7 2 3" xfId="21666"/>
    <cellStyle name="Normal 99 7 2 4" xfId="28055"/>
    <cellStyle name="Normal 99 7 3" xfId="11690"/>
    <cellStyle name="Normal 99 7 4" xfId="18249"/>
    <cellStyle name="Normal 99 7 5" xfId="24651"/>
    <cellStyle name="Normal 99 8" xfId="3361"/>
    <cellStyle name="Normal 99 8 2" xfId="6836"/>
    <cellStyle name="Normal 99 8 2 2" xfId="15317"/>
    <cellStyle name="Normal 99 8 2 3" xfId="21831"/>
    <cellStyle name="Normal 99 8 2 4" xfId="28220"/>
    <cellStyle name="Normal 99 8 3" xfId="11858"/>
    <cellStyle name="Normal 99 8 4" xfId="18414"/>
    <cellStyle name="Normal 99 8 5" xfId="24816"/>
    <cellStyle name="Normal 99 9" xfId="3532"/>
    <cellStyle name="Normal 99 9 2" xfId="7001"/>
    <cellStyle name="Normal 99 9 2 2" xfId="15482"/>
    <cellStyle name="Normal 99 9 2 3" xfId="21996"/>
    <cellStyle name="Normal 99 9 2 4" xfId="28385"/>
    <cellStyle name="Normal 99 9 3" xfId="12027"/>
    <cellStyle name="Normal 99 9 4" xfId="18580"/>
    <cellStyle name="Normal 99 9 5" xfId="24981"/>
    <cellStyle name="Normal_1.4c|D-D Purchases" xfId="1404"/>
    <cellStyle name="Normal_AP DISCOMS PP Cost for 2015-16(15.7.16)" xfId="1405"/>
    <cellStyle name="Normal_FORMATS 5 YEAR ALOKE" xfId="1406"/>
    <cellStyle name="Normal_Sales Growth--" xfId="1407"/>
    <cellStyle name="Normal_Sep 16 MIS _september16 final mis" xfId="1408"/>
    <cellStyle name="Normal_Sheet1" xfId="1409"/>
    <cellStyle name="Note 2" xfId="8629"/>
    <cellStyle name="Note 3" xfId="8628"/>
    <cellStyle name="Note 4" xfId="8627"/>
    <cellStyle name="Note 5" xfId="8626"/>
    <cellStyle name="Œ…‹æØ‚è [0.00]_Region Orders (2)" xfId="1410"/>
    <cellStyle name="Œ…‹æØ‚è_Region Orders (2)" xfId="1411"/>
    <cellStyle name="Output 2" xfId="8625"/>
    <cellStyle name="Output 3" xfId="8624"/>
    <cellStyle name="Output 4" xfId="8623"/>
    <cellStyle name="Output 5" xfId="8622"/>
    <cellStyle name="per.style" xfId="1412"/>
    <cellStyle name="per.style 2" xfId="8621"/>
    <cellStyle name="Percent" xfId="5130" builtinId="5"/>
    <cellStyle name="Percent [2]" xfId="1413"/>
    <cellStyle name="Percent [2] 10" xfId="8620"/>
    <cellStyle name="Percent [2] 11" xfId="8619"/>
    <cellStyle name="Percent [2] 12" xfId="8618"/>
    <cellStyle name="Percent [2] 13" xfId="8617"/>
    <cellStyle name="Percent [2] 14" xfId="8616"/>
    <cellStyle name="Percent [2] 15" xfId="8615"/>
    <cellStyle name="Percent [2] 16" xfId="8614"/>
    <cellStyle name="Percent [2] 17" xfId="8613"/>
    <cellStyle name="Percent [2] 18" xfId="8612"/>
    <cellStyle name="Percent [2] 19" xfId="9324"/>
    <cellStyle name="Percent [2] 2" xfId="1414"/>
    <cellStyle name="Percent [2] 20" xfId="9281"/>
    <cellStyle name="Percent [2] 3" xfId="1415"/>
    <cellStyle name="Percent [2] 4" xfId="1416"/>
    <cellStyle name="Percent [2] 4 2" xfId="1417"/>
    <cellStyle name="Percent [2] 5" xfId="9215"/>
    <cellStyle name="Percent [2] 6" xfId="9193"/>
    <cellStyle name="Percent [2] 7" xfId="9170"/>
    <cellStyle name="Percent [2] 8" xfId="9152"/>
    <cellStyle name="Percent [2] 9" xfId="9132"/>
    <cellStyle name="Percent 10" xfId="1418"/>
    <cellStyle name="Percent 10 2" xfId="1419"/>
    <cellStyle name="Percent 10 2 2" xfId="1420"/>
    <cellStyle name="Percent 10 2 2 2" xfId="1421"/>
    <cellStyle name="Percent 10 3" xfId="1422"/>
    <cellStyle name="Percent 10 4" xfId="1423"/>
    <cellStyle name="Percent 10 5" xfId="1424"/>
    <cellStyle name="Percent 10 6" xfId="1425"/>
    <cellStyle name="Percent 10 7" xfId="1426"/>
    <cellStyle name="Percent 10 8" xfId="1427"/>
    <cellStyle name="Percent 11" xfId="1428"/>
    <cellStyle name="Percent 11 2" xfId="1429"/>
    <cellStyle name="Percent 11 2 2" xfId="1430"/>
    <cellStyle name="Percent 11 2 2 2" xfId="1431"/>
    <cellStyle name="Percent 11 3" xfId="1432"/>
    <cellStyle name="Percent 11 4" xfId="1433"/>
    <cellStyle name="Percent 11 5" xfId="1434"/>
    <cellStyle name="Percent 11 6" xfId="1435"/>
    <cellStyle name="Percent 11 7" xfId="1436"/>
    <cellStyle name="Percent 11 8" xfId="1437"/>
    <cellStyle name="Percent 12" xfId="1438"/>
    <cellStyle name="Percent 12 2" xfId="1439"/>
    <cellStyle name="Percent 12 2 2" xfId="1440"/>
    <cellStyle name="Percent 12 2 2 2" xfId="1441"/>
    <cellStyle name="Percent 12 3" xfId="1442"/>
    <cellStyle name="Percent 12 4" xfId="1443"/>
    <cellStyle name="Percent 12 5" xfId="1444"/>
    <cellStyle name="Percent 12 6" xfId="1445"/>
    <cellStyle name="Percent 12 7" xfId="1446"/>
    <cellStyle name="Percent 12 8" xfId="1447"/>
    <cellStyle name="Percent 13" xfId="1448"/>
    <cellStyle name="Percent 13 2" xfId="1449"/>
    <cellStyle name="Percent 13 2 2" xfId="1450"/>
    <cellStyle name="Percent 13 2 2 2" xfId="1451"/>
    <cellStyle name="Percent 13 3" xfId="1452"/>
    <cellStyle name="Percent 13 4" xfId="1453"/>
    <cellStyle name="Percent 13 5" xfId="1454"/>
    <cellStyle name="Percent 13 6" xfId="1455"/>
    <cellStyle name="Percent 13 7" xfId="1456"/>
    <cellStyle name="Percent 13 8" xfId="1457"/>
    <cellStyle name="Percent 14" xfId="1458"/>
    <cellStyle name="Percent 14 2" xfId="1459"/>
    <cellStyle name="Percent 14 2 2" xfId="1460"/>
    <cellStyle name="Percent 14 2 2 2" xfId="1461"/>
    <cellStyle name="Percent 14 3" xfId="1462"/>
    <cellStyle name="Percent 14 4" xfId="1463"/>
    <cellStyle name="Percent 14 5" xfId="1464"/>
    <cellStyle name="Percent 14 6" xfId="1465"/>
    <cellStyle name="Percent 14 7" xfId="1466"/>
    <cellStyle name="Percent 14 8" xfId="1467"/>
    <cellStyle name="Percent 15" xfId="1468"/>
    <cellStyle name="Percent 15 2" xfId="1469"/>
    <cellStyle name="Percent 15 2 2" xfId="1470"/>
    <cellStyle name="Percent 15 2 2 2" xfId="1471"/>
    <cellStyle name="Percent 15 3" xfId="1472"/>
    <cellStyle name="Percent 15 4" xfId="1473"/>
    <cellStyle name="Percent 15 5" xfId="1474"/>
    <cellStyle name="Percent 15 6" xfId="1475"/>
    <cellStyle name="Percent 15 7" xfId="1476"/>
    <cellStyle name="Percent 15 8" xfId="1477"/>
    <cellStyle name="Percent 16" xfId="1478"/>
    <cellStyle name="Percent 16 2" xfId="1479"/>
    <cellStyle name="Percent 16 2 2" xfId="1480"/>
    <cellStyle name="Percent 16 2 2 2" xfId="1481"/>
    <cellStyle name="Percent 16 3" xfId="1482"/>
    <cellStyle name="Percent 16 4" xfId="1483"/>
    <cellStyle name="Percent 16 5" xfId="1484"/>
    <cellStyle name="Percent 16 6" xfId="1485"/>
    <cellStyle name="Percent 16 7" xfId="1486"/>
    <cellStyle name="Percent 16 8" xfId="1487"/>
    <cellStyle name="Percent 17" xfId="1488"/>
    <cellStyle name="Percent 17 2" xfId="1489"/>
    <cellStyle name="Percent 17 2 2" xfId="1490"/>
    <cellStyle name="Percent 17 2 2 2" xfId="1491"/>
    <cellStyle name="Percent 17 3" xfId="1492"/>
    <cellStyle name="Percent 17 4" xfId="1493"/>
    <cellStyle name="Percent 17 5" xfId="1494"/>
    <cellStyle name="Percent 17 6" xfId="1495"/>
    <cellStyle name="Percent 17 7" xfId="1496"/>
    <cellStyle name="Percent 17 8" xfId="1497"/>
    <cellStyle name="Percent 18" xfId="1498"/>
    <cellStyle name="Percent 18 2" xfId="1499"/>
    <cellStyle name="Percent 18 2 2" xfId="1500"/>
    <cellStyle name="Percent 18 2 2 2" xfId="1501"/>
    <cellStyle name="Percent 18 3" xfId="1502"/>
    <cellStyle name="Percent 18 4" xfId="1503"/>
    <cellStyle name="Percent 18 5" xfId="1504"/>
    <cellStyle name="Percent 18 6" xfId="1505"/>
    <cellStyle name="Percent 18 7" xfId="1506"/>
    <cellStyle name="Percent 18 8" xfId="1507"/>
    <cellStyle name="Percent 19" xfId="1508"/>
    <cellStyle name="Percent 19 2" xfId="1509"/>
    <cellStyle name="Percent 19 2 2" xfId="1510"/>
    <cellStyle name="Percent 19 2 2 2" xfId="1511"/>
    <cellStyle name="Percent 19 3" xfId="1512"/>
    <cellStyle name="Percent 19 4" xfId="1513"/>
    <cellStyle name="Percent 19 5" xfId="1514"/>
    <cellStyle name="Percent 19 6" xfId="1515"/>
    <cellStyle name="Percent 19 7" xfId="1516"/>
    <cellStyle name="Percent 19 8" xfId="1517"/>
    <cellStyle name="Percent 19 9" xfId="8987"/>
    <cellStyle name="Percent 2" xfId="1518"/>
    <cellStyle name="Percent 2 10" xfId="8611"/>
    <cellStyle name="Percent 2 11" xfId="8610"/>
    <cellStyle name="Percent 2 12" xfId="8609"/>
    <cellStyle name="Percent 2 13" xfId="8608"/>
    <cellStyle name="Percent 2 14" xfId="8607"/>
    <cellStyle name="Percent 2 15" xfId="8606"/>
    <cellStyle name="Percent 2 16" xfId="9325"/>
    <cellStyle name="Percent 2 17" xfId="9304"/>
    <cellStyle name="Percent 2 18" xfId="9282"/>
    <cellStyle name="Percent 2 19" xfId="9258"/>
    <cellStyle name="Percent 2 2" xfId="1519"/>
    <cellStyle name="Percent 2 20" xfId="9216"/>
    <cellStyle name="Percent 2 21" xfId="8963"/>
    <cellStyle name="Percent 2 3" xfId="1520"/>
    <cellStyle name="Percent 2 4" xfId="8718"/>
    <cellStyle name="Percent 2 5" xfId="8978"/>
    <cellStyle name="Percent 2 5 2" xfId="9171"/>
    <cellStyle name="Percent 2 6" xfId="9153"/>
    <cellStyle name="Percent 2 7" xfId="9133"/>
    <cellStyle name="Percent 2 8" xfId="9111"/>
    <cellStyle name="Percent 2 9" xfId="9087"/>
    <cellStyle name="Percent 20" xfId="1521"/>
    <cellStyle name="Percent 20 2" xfId="1522"/>
    <cellStyle name="Percent 20 2 2" xfId="1523"/>
    <cellStyle name="Percent 20 2 2 2" xfId="1524"/>
    <cellStyle name="Percent 20 3" xfId="1525"/>
    <cellStyle name="Percent 20 4" xfId="1526"/>
    <cellStyle name="Percent 20 5" xfId="1527"/>
    <cellStyle name="Percent 20 6" xfId="1528"/>
    <cellStyle name="Percent 20 7" xfId="1529"/>
    <cellStyle name="Percent 20 8" xfId="1530"/>
    <cellStyle name="Percent 21" xfId="1531"/>
    <cellStyle name="Percent 21 10" xfId="8605"/>
    <cellStyle name="Percent 21 11" xfId="8604"/>
    <cellStyle name="Percent 21 12" xfId="8603"/>
    <cellStyle name="Percent 21 13" xfId="8602"/>
    <cellStyle name="Percent 21 14" xfId="8601"/>
    <cellStyle name="Percent 21 15" xfId="8600"/>
    <cellStyle name="Percent 21 16" xfId="8599"/>
    <cellStyle name="Percent 21 17" xfId="8598"/>
    <cellStyle name="Percent 21 2" xfId="1532"/>
    <cellStyle name="Percent 21 3" xfId="1533"/>
    <cellStyle name="Percent 21 4" xfId="1534"/>
    <cellStyle name="Percent 21 5" xfId="1535"/>
    <cellStyle name="Percent 21 6" xfId="1536"/>
    <cellStyle name="Percent 21 7" xfId="1537"/>
    <cellStyle name="Percent 21 8" xfId="1538"/>
    <cellStyle name="Percent 21 9" xfId="9236"/>
    <cellStyle name="Percent 22" xfId="1539"/>
    <cellStyle name="Percent 22 10" xfId="2838"/>
    <cellStyle name="Percent 22 10 2" xfId="9194"/>
    <cellStyle name="Percent 22 10 2 2" xfId="17473"/>
    <cellStyle name="Percent 22 10 2 3" xfId="23898"/>
    <cellStyle name="Percent 22 10 2 4" xfId="29988"/>
    <cellStyle name="Percent 22 11" xfId="3012"/>
    <cellStyle name="Percent 22 11 2" xfId="8597"/>
    <cellStyle name="Percent 22 11 2 2" xfId="17064"/>
    <cellStyle name="Percent 22 11 2 3" xfId="23562"/>
    <cellStyle name="Percent 22 11 2 4" xfId="29947"/>
    <cellStyle name="Percent 22 12" xfId="3185"/>
    <cellStyle name="Percent 22 12 2" xfId="9172"/>
    <cellStyle name="Percent 22 12 2 2" xfId="17461"/>
    <cellStyle name="Percent 22 12 2 3" xfId="23888"/>
    <cellStyle name="Percent 22 12 2 4" xfId="29987"/>
    <cellStyle name="Percent 22 13" xfId="3356"/>
    <cellStyle name="Percent 22 13 2" xfId="9154"/>
    <cellStyle name="Percent 22 13 2 2" xfId="17450"/>
    <cellStyle name="Percent 22 13 2 3" xfId="23880"/>
    <cellStyle name="Percent 22 13 2 4" xfId="29986"/>
    <cellStyle name="Percent 22 14" xfId="3527"/>
    <cellStyle name="Percent 22 14 2" xfId="9134"/>
    <cellStyle name="Percent 22 14 2 2" xfId="17439"/>
    <cellStyle name="Percent 22 14 2 3" xfId="23872"/>
    <cellStyle name="Percent 22 14 2 4" xfId="29984"/>
    <cellStyle name="Percent 22 15" xfId="3697"/>
    <cellStyle name="Percent 22 15 2" xfId="9112"/>
    <cellStyle name="Percent 22 15 2 2" xfId="17424"/>
    <cellStyle name="Percent 22 15 2 3" xfId="23860"/>
    <cellStyle name="Percent 22 15 2 4" xfId="29982"/>
    <cellStyle name="Percent 22 16" xfId="3866"/>
    <cellStyle name="Percent 22 16 2" xfId="9088"/>
    <cellStyle name="Percent 22 16 2 2" xfId="17411"/>
    <cellStyle name="Percent 22 16 2 3" xfId="23848"/>
    <cellStyle name="Percent 22 16 2 4" xfId="29980"/>
    <cellStyle name="Percent 22 17" xfId="4033"/>
    <cellStyle name="Percent 22 17 2" xfId="9066"/>
    <cellStyle name="Percent 22 17 2 2" xfId="17401"/>
    <cellStyle name="Percent 22 17 2 3" xfId="23839"/>
    <cellStyle name="Percent 22 17 2 4" xfId="29978"/>
    <cellStyle name="Percent 22 18" xfId="4198"/>
    <cellStyle name="Percent 22 19" xfId="4358"/>
    <cellStyle name="Percent 22 2" xfId="1540"/>
    <cellStyle name="Percent 22 20" xfId="4518"/>
    <cellStyle name="Percent 22 21" xfId="4678"/>
    <cellStyle name="Percent 22 22" xfId="4837"/>
    <cellStyle name="Percent 22 23" xfId="4995"/>
    <cellStyle name="Percent 22 24" xfId="5124"/>
    <cellStyle name="Percent 22 25" xfId="5127"/>
    <cellStyle name="Percent 22 26" xfId="5324"/>
    <cellStyle name="Percent 22 27" xfId="10132"/>
    <cellStyle name="Percent 22 28" xfId="9676"/>
    <cellStyle name="Percent 22 29" xfId="17079"/>
    <cellStyle name="Percent 22 3" xfId="1541"/>
    <cellStyle name="Percent 22 4" xfId="1542"/>
    <cellStyle name="Percent 22 5" xfId="1543"/>
    <cellStyle name="Percent 22 6" xfId="1544"/>
    <cellStyle name="Percent 22 7" xfId="1545"/>
    <cellStyle name="Percent 22 8" xfId="1546"/>
    <cellStyle name="Percent 22 9" xfId="1928"/>
    <cellStyle name="Percent 22 9 2" xfId="8596"/>
    <cellStyle name="Percent 22 9 2 2" xfId="8983"/>
    <cellStyle name="Percent 22 9 2 3" xfId="17063"/>
    <cellStyle name="Percent 22 9 2 4" xfId="23561"/>
    <cellStyle name="Percent 22 9 2 5" xfId="29946"/>
    <cellStyle name="Percent 23 2" xfId="1547"/>
    <cellStyle name="Percent 23 3" xfId="1548"/>
    <cellStyle name="Percent 23 4" xfId="1549"/>
    <cellStyle name="Percent 23 5" xfId="1550"/>
    <cellStyle name="Percent 23 6" xfId="1551"/>
    <cellStyle name="Percent 23 7" xfId="1552"/>
    <cellStyle name="Percent 23 8" xfId="1553"/>
    <cellStyle name="Percent 24 2" xfId="1554"/>
    <cellStyle name="Percent 24 3" xfId="1555"/>
    <cellStyle name="Percent 24 4" xfId="1556"/>
    <cellStyle name="Percent 24 5" xfId="1557"/>
    <cellStyle name="Percent 24 6" xfId="1558"/>
    <cellStyle name="Percent 24 7" xfId="1559"/>
    <cellStyle name="Percent 24 8" xfId="1560"/>
    <cellStyle name="Percent 25 2" xfId="1561"/>
    <cellStyle name="Percent 25 3" xfId="1562"/>
    <cellStyle name="Percent 25 4" xfId="1563"/>
    <cellStyle name="Percent 25 5" xfId="1564"/>
    <cellStyle name="Percent 25 6" xfId="1565"/>
    <cellStyle name="Percent 25 7" xfId="1566"/>
    <cellStyle name="Percent 25 8" xfId="1567"/>
    <cellStyle name="Percent 26 2" xfId="1568"/>
    <cellStyle name="Percent 26 3" xfId="1569"/>
    <cellStyle name="Percent 26 4" xfId="1570"/>
    <cellStyle name="Percent 26 5" xfId="1571"/>
    <cellStyle name="Percent 26 6" xfId="1572"/>
    <cellStyle name="Percent 26 7" xfId="1573"/>
    <cellStyle name="Percent 26 8" xfId="1574"/>
    <cellStyle name="Percent 27 2" xfId="1575"/>
    <cellStyle name="Percent 27 3" xfId="1576"/>
    <cellStyle name="Percent 27 4" xfId="1577"/>
    <cellStyle name="Percent 27 5" xfId="1578"/>
    <cellStyle name="Percent 27 6" xfId="1579"/>
    <cellStyle name="Percent 27 7" xfId="1580"/>
    <cellStyle name="Percent 27 8" xfId="1581"/>
    <cellStyle name="Percent 28 2" xfId="1582"/>
    <cellStyle name="Percent 28 3" xfId="1583"/>
    <cellStyle name="Percent 28 4" xfId="1584"/>
    <cellStyle name="Percent 28 5" xfId="1585"/>
    <cellStyle name="Percent 28 6" xfId="1586"/>
    <cellStyle name="Percent 28 7" xfId="1587"/>
    <cellStyle name="Percent 28 8" xfId="1588"/>
    <cellStyle name="Percent 29 2" xfId="1589"/>
    <cellStyle name="Percent 29 3" xfId="1590"/>
    <cellStyle name="Percent 29 4" xfId="1591"/>
    <cellStyle name="Percent 29 5" xfId="1592"/>
    <cellStyle name="Percent 29 6" xfId="1593"/>
    <cellStyle name="Percent 29 7" xfId="1594"/>
    <cellStyle name="Percent 29 8" xfId="1595"/>
    <cellStyle name="Percent 3" xfId="1596"/>
    <cellStyle name="Percent 3 2" xfId="1597"/>
    <cellStyle name="Percent 3 2 10" xfId="9302"/>
    <cellStyle name="Percent 3 2 2" xfId="9279"/>
    <cellStyle name="Percent 3 2 3" xfId="9255"/>
    <cellStyle name="Percent 3 2 4" xfId="9234"/>
    <cellStyle name="Percent 3 2 5" xfId="9213"/>
    <cellStyle name="Percent 3 2 6" xfId="9190"/>
    <cellStyle name="Percent 3 2 7" xfId="9169"/>
    <cellStyle name="Percent 3 2 8" xfId="9149"/>
    <cellStyle name="Percent 3 2 9" xfId="8595"/>
    <cellStyle name="Percent 30 2" xfId="1598"/>
    <cellStyle name="Percent 30 3" xfId="1599"/>
    <cellStyle name="Percent 30 4" xfId="1600"/>
    <cellStyle name="Percent 30 5" xfId="1601"/>
    <cellStyle name="Percent 30 6" xfId="1602"/>
    <cellStyle name="Percent 30 7" xfId="1603"/>
    <cellStyle name="Percent 30 8" xfId="1604"/>
    <cellStyle name="Percent 31 2" xfId="1605"/>
    <cellStyle name="Percent 31 3" xfId="1606"/>
    <cellStyle name="Percent 31 4" xfId="1607"/>
    <cellStyle name="Percent 31 5" xfId="1608"/>
    <cellStyle name="Percent 31 6" xfId="1609"/>
    <cellStyle name="Percent 31 7" xfId="1610"/>
    <cellStyle name="Percent 31 8" xfId="1611"/>
    <cellStyle name="Percent 32 2" xfId="1612"/>
    <cellStyle name="Percent 32 3" xfId="1613"/>
    <cellStyle name="Percent 32 4" xfId="1614"/>
    <cellStyle name="Percent 32 5" xfId="1615"/>
    <cellStyle name="Percent 32 6" xfId="1616"/>
    <cellStyle name="Percent 32 7" xfId="1617"/>
    <cellStyle name="Percent 32 8" xfId="1618"/>
    <cellStyle name="Percent 33 2" xfId="1619"/>
    <cellStyle name="Percent 33 3" xfId="1620"/>
    <cellStyle name="Percent 33 4" xfId="1621"/>
    <cellStyle name="Percent 33 5" xfId="1622"/>
    <cellStyle name="Percent 33 6" xfId="1623"/>
    <cellStyle name="Percent 33 7" xfId="1624"/>
    <cellStyle name="Percent 33 8" xfId="1625"/>
    <cellStyle name="Percent 34" xfId="1626"/>
    <cellStyle name="Percent 35" xfId="1627"/>
    <cellStyle name="Percent 36" xfId="1628"/>
    <cellStyle name="Percent 37" xfId="1629"/>
    <cellStyle name="Percent 38" xfId="1630"/>
    <cellStyle name="Percent 39" xfId="1631"/>
    <cellStyle name="Percent 4" xfId="1632"/>
    <cellStyle name="Percent 40" xfId="1633"/>
    <cellStyle name="Percent 41" xfId="1634"/>
    <cellStyle name="Percent 42" xfId="1635"/>
    <cellStyle name="Percent 43" xfId="1636"/>
    <cellStyle name="Percent 44" xfId="1637"/>
    <cellStyle name="Percent 45" xfId="1638"/>
    <cellStyle name="Percent 46" xfId="1639"/>
    <cellStyle name="Percent 47" xfId="1640"/>
    <cellStyle name="Percent 48" xfId="1641"/>
    <cellStyle name="Percent 49" xfId="1642"/>
    <cellStyle name="Percent 5" xfId="1643"/>
    <cellStyle name="Percent 5 2" xfId="9005"/>
    <cellStyle name="Percent 5 3" xfId="8936"/>
    <cellStyle name="Percent 5 3 2" xfId="17322"/>
    <cellStyle name="Percent 5 3 3" xfId="23789"/>
    <cellStyle name="Percent 5 3 4" xfId="29962"/>
    <cellStyle name="Percent 50" xfId="1644"/>
    <cellStyle name="Percent 51" xfId="1645"/>
    <cellStyle name="Percent 52" xfId="1646"/>
    <cellStyle name="Percent 53" xfId="1647"/>
    <cellStyle name="Percent 54" xfId="1648"/>
    <cellStyle name="Percent 55" xfId="1649"/>
    <cellStyle name="Percent 56" xfId="1650"/>
    <cellStyle name="Percent 57" xfId="1651"/>
    <cellStyle name="Percent 58" xfId="1652"/>
    <cellStyle name="Percent 59" xfId="1653"/>
    <cellStyle name="Percent 6" xfId="1654"/>
    <cellStyle name="Percent 6 10" xfId="8899"/>
    <cellStyle name="Percent 6 11" xfId="8930"/>
    <cellStyle name="Percent 6 12" xfId="8986"/>
    <cellStyle name="Percent 6 13" xfId="8985"/>
    <cellStyle name="Percent 6 14" xfId="8989"/>
    <cellStyle name="Percent 6 15" xfId="8974"/>
    <cellStyle name="Percent 6 16" xfId="8924"/>
    <cellStyle name="Percent 6 17" xfId="9001"/>
    <cellStyle name="Percent 6 18" xfId="8900"/>
    <cellStyle name="Percent 6 19" xfId="9131"/>
    <cellStyle name="Percent 6 2" xfId="1655"/>
    <cellStyle name="Percent 6 2 2" xfId="1656"/>
    <cellStyle name="Percent 6 2 2 2" xfId="1657"/>
    <cellStyle name="Percent 6 2 3" xfId="1658"/>
    <cellStyle name="Percent 6 2 3 2" xfId="1659"/>
    <cellStyle name="Percent 6 2 4" xfId="1660"/>
    <cellStyle name="Percent 6 2 4 2" xfId="1661"/>
    <cellStyle name="Percent 6 2 5" xfId="1662"/>
    <cellStyle name="Percent 6 2 5 2" xfId="1663"/>
    <cellStyle name="Percent 6 2 6" xfId="1664"/>
    <cellStyle name="Percent 6 2 6 2" xfId="1665"/>
    <cellStyle name="Percent 6 2 7" xfId="1666"/>
    <cellStyle name="Percent 6 2 7 2" xfId="1667"/>
    <cellStyle name="Percent 6 2 8" xfId="1668"/>
    <cellStyle name="Percent 6 20" xfId="9014"/>
    <cellStyle name="Percent 6 21" xfId="8955"/>
    <cellStyle name="Percent 6 3" xfId="1669"/>
    <cellStyle name="Percent 6 3 2" xfId="1670"/>
    <cellStyle name="Percent 6 3 2 2" xfId="1671"/>
    <cellStyle name="Percent 6 4" xfId="1672"/>
    <cellStyle name="Percent 6 5" xfId="1673"/>
    <cellStyle name="Percent 6 6" xfId="1674"/>
    <cellStyle name="Percent 6 7" xfId="1675"/>
    <cellStyle name="Percent 6 8" xfId="1676"/>
    <cellStyle name="Percent 6 9" xfId="9000"/>
    <cellStyle name="Percent 6 9 2" xfId="8594"/>
    <cellStyle name="Percent 60" xfId="1677"/>
    <cellStyle name="Percent 61" xfId="1678"/>
    <cellStyle name="Percent 62" xfId="1679"/>
    <cellStyle name="Percent 63" xfId="1680"/>
    <cellStyle name="Percent 66" xfId="1681"/>
    <cellStyle name="Percent 66 10" xfId="4034"/>
    <cellStyle name="Percent 66 10 2" xfId="8593"/>
    <cellStyle name="Percent 66 10 2 2" xfId="17061"/>
    <cellStyle name="Percent 66 10 2 3" xfId="23560"/>
    <cellStyle name="Percent 66 10 2 4" xfId="29945"/>
    <cellStyle name="Percent 66 11" xfId="4199"/>
    <cellStyle name="Percent 66 12" xfId="4359"/>
    <cellStyle name="Percent 66 13" xfId="4519"/>
    <cellStyle name="Percent 66 14" xfId="4679"/>
    <cellStyle name="Percent 66 15" xfId="4838"/>
    <cellStyle name="Percent 66 16" xfId="4996"/>
    <cellStyle name="Percent 66 17" xfId="5125"/>
    <cellStyle name="Percent 66 18" xfId="5128"/>
    <cellStyle name="Percent 66 19" xfId="5325"/>
    <cellStyle name="Percent 66 2" xfId="1929"/>
    <cellStyle name="Percent 66 2 2" xfId="8592"/>
    <cellStyle name="Percent 66 2 2 2" xfId="17060"/>
    <cellStyle name="Percent 66 2 2 3" xfId="23559"/>
    <cellStyle name="Percent 66 2 2 4" xfId="29944"/>
    <cellStyle name="Percent 66 20" xfId="10257"/>
    <cellStyle name="Percent 66 21" xfId="17480"/>
    <cellStyle name="Percent 66 22" xfId="23905"/>
    <cellStyle name="Percent 66 3" xfId="2839"/>
    <cellStyle name="Percent 66 3 2" xfId="8591"/>
    <cellStyle name="Percent 66 3 2 2" xfId="17059"/>
    <cellStyle name="Percent 66 3 2 3" xfId="23558"/>
    <cellStyle name="Percent 66 3 2 4" xfId="29943"/>
    <cellStyle name="Percent 66 4" xfId="3013"/>
    <cellStyle name="Percent 66 4 2" xfId="8590"/>
    <cellStyle name="Percent 66 4 2 2" xfId="17058"/>
    <cellStyle name="Percent 66 4 2 3" xfId="23557"/>
    <cellStyle name="Percent 66 4 2 4" xfId="29942"/>
    <cellStyle name="Percent 66 5" xfId="3186"/>
    <cellStyle name="Percent 66 5 2" xfId="8589"/>
    <cellStyle name="Percent 66 5 2 2" xfId="17057"/>
    <cellStyle name="Percent 66 5 2 3" xfId="23556"/>
    <cellStyle name="Percent 66 5 2 4" xfId="29941"/>
    <cellStyle name="Percent 66 6" xfId="3357"/>
    <cellStyle name="Percent 66 6 2" xfId="8588"/>
    <cellStyle name="Percent 66 6 2 2" xfId="17056"/>
    <cellStyle name="Percent 66 6 2 3" xfId="23555"/>
    <cellStyle name="Percent 66 6 2 4" xfId="29940"/>
    <cellStyle name="Percent 66 7" xfId="3528"/>
    <cellStyle name="Percent 66 7 2" xfId="8587"/>
    <cellStyle name="Percent 66 7 2 2" xfId="17055"/>
    <cellStyle name="Percent 66 7 2 3" xfId="23554"/>
    <cellStyle name="Percent 66 7 2 4" xfId="29939"/>
    <cellStyle name="Percent 66 8" xfId="3698"/>
    <cellStyle name="Percent 66 8 2" xfId="8586"/>
    <cellStyle name="Percent 66 8 2 2" xfId="17054"/>
    <cellStyle name="Percent 66 8 2 3" xfId="23553"/>
    <cellStyle name="Percent 66 8 2 4" xfId="29938"/>
    <cellStyle name="Percent 66 9" xfId="3867"/>
    <cellStyle name="Percent 66 9 2" xfId="8585"/>
    <cellStyle name="Percent 66 9 2 2" xfId="17053"/>
    <cellStyle name="Percent 66 9 2 3" xfId="23552"/>
    <cellStyle name="Percent 66 9 2 4" xfId="29937"/>
    <cellStyle name="Percent 68" xfId="1682"/>
    <cellStyle name="Percent 68 10" xfId="4035"/>
    <cellStyle name="Percent 68 10 2" xfId="8584"/>
    <cellStyle name="Percent 68 10 2 2" xfId="17052"/>
    <cellStyle name="Percent 68 10 2 3" xfId="23551"/>
    <cellStyle name="Percent 68 10 2 4" xfId="29936"/>
    <cellStyle name="Percent 68 11" xfId="4200"/>
    <cellStyle name="Percent 68 12" xfId="4360"/>
    <cellStyle name="Percent 68 13" xfId="4520"/>
    <cellStyle name="Percent 68 14" xfId="4680"/>
    <cellStyle name="Percent 68 15" xfId="4839"/>
    <cellStyle name="Percent 68 16" xfId="4997"/>
    <cellStyle name="Percent 68 17" xfId="5126"/>
    <cellStyle name="Percent 68 18" xfId="5129"/>
    <cellStyle name="Percent 68 19" xfId="5326"/>
    <cellStyle name="Percent 68 2" xfId="1930"/>
    <cellStyle name="Percent 68 2 2" xfId="8582"/>
    <cellStyle name="Percent 68 2 2 2" xfId="17050"/>
    <cellStyle name="Percent 68 2 2 3" xfId="23549"/>
    <cellStyle name="Percent 68 2 2 4" xfId="29935"/>
    <cellStyle name="Percent 68 20" xfId="10258"/>
    <cellStyle name="Percent 68 21" xfId="17494"/>
    <cellStyle name="Percent 68 22" xfId="23915"/>
    <cellStyle name="Percent 68 3" xfId="2840"/>
    <cellStyle name="Percent 68 3 2" xfId="8581"/>
    <cellStyle name="Percent 68 3 2 2" xfId="17049"/>
    <cellStyle name="Percent 68 3 2 3" xfId="23548"/>
    <cellStyle name="Percent 68 3 2 4" xfId="29934"/>
    <cellStyle name="Percent 68 4" xfId="3014"/>
    <cellStyle name="Percent 68 4 2" xfId="8580"/>
    <cellStyle name="Percent 68 4 2 2" xfId="17048"/>
    <cellStyle name="Percent 68 4 2 3" xfId="23547"/>
    <cellStyle name="Percent 68 4 2 4" xfId="29933"/>
    <cellStyle name="Percent 68 5" xfId="3187"/>
    <cellStyle name="Percent 68 5 2" xfId="8579"/>
    <cellStyle name="Percent 68 5 2 2" xfId="17047"/>
    <cellStyle name="Percent 68 5 2 3" xfId="23546"/>
    <cellStyle name="Percent 68 5 2 4" xfId="29932"/>
    <cellStyle name="Percent 68 6" xfId="3358"/>
    <cellStyle name="Percent 68 6 2" xfId="8578"/>
    <cellStyle name="Percent 68 6 2 2" xfId="17046"/>
    <cellStyle name="Percent 68 6 2 3" xfId="23545"/>
    <cellStyle name="Percent 68 6 2 4" xfId="29931"/>
    <cellStyle name="Percent 68 7" xfId="3529"/>
    <cellStyle name="Percent 68 7 2" xfId="8577"/>
    <cellStyle name="Percent 68 7 2 2" xfId="17045"/>
    <cellStyle name="Percent 68 7 2 3" xfId="23544"/>
    <cellStyle name="Percent 68 7 2 4" xfId="29930"/>
    <cellStyle name="Percent 68 8" xfId="3699"/>
    <cellStyle name="Percent 68 8 2" xfId="9326"/>
    <cellStyle name="Percent 68 8 2 2" xfId="17548"/>
    <cellStyle name="Percent 68 8 2 3" xfId="23956"/>
    <cellStyle name="Percent 68 8 2 4" xfId="30000"/>
    <cellStyle name="Percent 68 9" xfId="3868"/>
    <cellStyle name="Percent 68 9 2" xfId="9305"/>
    <cellStyle name="Percent 68 9 2 2" xfId="17536"/>
    <cellStyle name="Percent 68 9 2 3" xfId="23946"/>
    <cellStyle name="Percent 68 9 2 4" xfId="29998"/>
    <cellStyle name="Percent 7" xfId="1683"/>
    <cellStyle name="Percent 7 2" xfId="1684"/>
    <cellStyle name="Percent 7 2 2" xfId="1685"/>
    <cellStyle name="Percent 7 2 2 2" xfId="1686"/>
    <cellStyle name="Percent 7 3" xfId="1687"/>
    <cellStyle name="Percent 7 4" xfId="1688"/>
    <cellStyle name="Percent 7 5" xfId="1689"/>
    <cellStyle name="Percent 7 6" xfId="1690"/>
    <cellStyle name="Percent 7 7" xfId="1691"/>
    <cellStyle name="Percent 7 8" xfId="1692"/>
    <cellStyle name="Percent 8" xfId="1693"/>
    <cellStyle name="Percent 8 2" xfId="1694"/>
    <cellStyle name="Percent 8 3" xfId="1695"/>
    <cellStyle name="Percent 8 4" xfId="1696"/>
    <cellStyle name="Percent 8 5" xfId="1697"/>
    <cellStyle name="Percent 8 6" xfId="1698"/>
    <cellStyle name="Percent 8 7" xfId="1699"/>
    <cellStyle name="Percent 8 8" xfId="1700"/>
    <cellStyle name="Percent 8 9" xfId="1701"/>
    <cellStyle name="Percent 9" xfId="1702"/>
    <cellStyle name="Percent 9 10" xfId="8547"/>
    <cellStyle name="Percent 9 2" xfId="1703"/>
    <cellStyle name="Percent 9 3" xfId="1704"/>
    <cellStyle name="Percent 9 4" xfId="1705"/>
    <cellStyle name="Percent 9 5" xfId="1706"/>
    <cellStyle name="Percent 9 6" xfId="1707"/>
    <cellStyle name="Percent 9 7" xfId="1708"/>
    <cellStyle name="Percent 9 8" xfId="1709"/>
    <cellStyle name="Percent 9 9" xfId="1710"/>
    <cellStyle name="Popis" xfId="1711"/>
    <cellStyle name="Popis 2" xfId="8975"/>
    <cellStyle name="pricing" xfId="1712"/>
    <cellStyle name="PSChar" xfId="1713"/>
    <cellStyle name="PSChar 2" xfId="8923"/>
    <cellStyle name="RevList" xfId="1714"/>
    <cellStyle name="RevList 10" xfId="8576"/>
    <cellStyle name="RevList 11" xfId="8575"/>
    <cellStyle name="RevList 12" xfId="8574"/>
    <cellStyle name="RevList 13" xfId="8573"/>
    <cellStyle name="RevList 14" xfId="8969"/>
    <cellStyle name="RevList 15" xfId="8931"/>
    <cellStyle name="RevList 16" xfId="8984"/>
    <cellStyle name="RevList 17" xfId="8572"/>
    <cellStyle name="RevList 18" xfId="8990"/>
    <cellStyle name="RevList 19" xfId="8973"/>
    <cellStyle name="RevList 2" xfId="1715"/>
    <cellStyle name="RevList 20" xfId="8998"/>
    <cellStyle name="RevList 3" xfId="1716"/>
    <cellStyle name="RevList 4" xfId="1717"/>
    <cellStyle name="RevList 4 2" xfId="1718"/>
    <cellStyle name="RevList 5" xfId="8977"/>
    <cellStyle name="RevList 6" xfId="9006"/>
    <cellStyle name="RevList 7" xfId="8964"/>
    <cellStyle name="RevList 8" xfId="8571"/>
    <cellStyle name="RevList 9" xfId="8935"/>
    <cellStyle name="Sledovaný hypertextový odkaz" xfId="1719"/>
    <cellStyle name="Sledovaný hypertextový odkaz 2" xfId="9002"/>
    <cellStyle name="Standard_BS14" xfId="1720"/>
    <cellStyle name="Style 1" xfId="1721"/>
    <cellStyle name="Style 1 2" xfId="8968"/>
    <cellStyle name="Style 2" xfId="1722"/>
    <cellStyle name="Subtotal" xfId="1723"/>
    <cellStyle name="Title 2" xfId="8570"/>
    <cellStyle name="Title 3" xfId="8569"/>
    <cellStyle name="Title 4" xfId="8568"/>
    <cellStyle name="Title 5" xfId="8567"/>
    <cellStyle name="Total 2" xfId="8566"/>
    <cellStyle name="Total 3" xfId="8565"/>
    <cellStyle name="Total 4" xfId="8564"/>
    <cellStyle name="Total 5" xfId="8563"/>
    <cellStyle name="_x0007_WÅ?_P - Style7" xfId="1724"/>
    <cellStyle name="Warning Text 2" xfId="8562"/>
    <cellStyle name="Warning Text 3" xfId="8561"/>
    <cellStyle name="Warning Text 4" xfId="9327"/>
    <cellStyle name="Warning Text 5" xfId="93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5.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2.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48" Type="http://schemas.openxmlformats.org/officeDocument/2006/relationships/externalLink" Target="externalLinks/externalLink6.xml"/><Relationship Id="rId8" Type="http://schemas.openxmlformats.org/officeDocument/2006/relationships/worksheet" Target="worksheets/sheet8.xml"/><Relationship Id="rId51"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ivajyothi.suvvari/Downloads/EPDCLPower%20Purchase%20Cost%202024-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RINU/Desktop/APDISCOM%20NCE%202018-19%20(04.11.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RR%20FY%202019-20/ARR%20FILES%20(revised)/FY%202019-20/RSF2019-20.FINAL%20XL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vajyothi.suvvari/Downloads/Discom%20analysis%202017-202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RR&amp;TARIFF%20FILINGS/ARR%20FILINGS%20FY%202024-25/RST%20Filing%202024-25/Write%20up%20Tables%20FY%202024-25%20APEPDC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ivajyothi.suvvari/Downloads/Full%20cost%20Recovery-2023-24.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orm 1.4"/>
      <sheetName val="Form 4.1"/>
      <sheetName val="Form 4.2"/>
      <sheetName val="Summary"/>
      <sheetName val="Backing down"/>
      <sheetName val="Discom Drawl Ratio 23-24"/>
      <sheetName val="Discom Drawl Ratio 24-25"/>
    </sheetNames>
    <sheetDataSet>
      <sheetData sheetId="0">
        <row r="8">
          <cell r="C8" t="str">
            <v>Dr. NTTPS</v>
          </cell>
          <cell r="D8">
            <v>1260</v>
          </cell>
          <cell r="E8">
            <v>1</v>
          </cell>
          <cell r="F8">
            <v>1260</v>
          </cell>
          <cell r="G8">
            <v>0.09</v>
          </cell>
          <cell r="H8">
            <v>3331.3777964475166</v>
          </cell>
          <cell r="I8">
            <v>3031.5537947672401</v>
          </cell>
          <cell r="J8">
            <v>2930.3876729523445</v>
          </cell>
          <cell r="K8">
            <v>354.30434277956135</v>
          </cell>
          <cell r="L8">
            <v>1156.2570940965511</v>
          </cell>
          <cell r="M8">
            <v>0</v>
          </cell>
          <cell r="N8">
            <v>0</v>
          </cell>
          <cell r="O8">
            <v>0</v>
          </cell>
          <cell r="P8">
            <v>1510.5614368761126</v>
          </cell>
          <cell r="Q8">
            <v>1.209069864884472</v>
          </cell>
          <cell r="R8">
            <v>3.9457478775551573</v>
          </cell>
          <cell r="S8">
            <v>0</v>
          </cell>
          <cell r="T8">
            <v>0</v>
          </cell>
          <cell r="U8">
            <v>0</v>
          </cell>
          <cell r="V8">
            <v>5.1548177424396293</v>
          </cell>
        </row>
        <row r="9">
          <cell r="C9" t="str">
            <v>Dr. NTTPS-IV</v>
          </cell>
          <cell r="D9">
            <v>500</v>
          </cell>
          <cell r="E9">
            <v>1</v>
          </cell>
          <cell r="F9">
            <v>500</v>
          </cell>
          <cell r="G9">
            <v>7.4999999999999997E-2</v>
          </cell>
          <cell r="H9">
            <v>1263.565624270324</v>
          </cell>
          <cell r="I9">
            <v>1168.7982024500498</v>
          </cell>
          <cell r="J9">
            <v>1117.7684601085109</v>
          </cell>
          <cell r="K9">
            <v>110.9016471155424</v>
          </cell>
          <cell r="L9">
            <v>417.27342635690502</v>
          </cell>
          <cell r="M9">
            <v>0</v>
          </cell>
          <cell r="N9">
            <v>0</v>
          </cell>
          <cell r="O9">
            <v>0</v>
          </cell>
          <cell r="P9">
            <v>528.17507347244737</v>
          </cell>
          <cell r="Q9">
            <v>0.99217012354040002</v>
          </cell>
          <cell r="R9">
            <v>3.7330935810838399</v>
          </cell>
          <cell r="S9">
            <v>0</v>
          </cell>
          <cell r="T9">
            <v>0</v>
          </cell>
          <cell r="U9">
            <v>0</v>
          </cell>
          <cell r="V9">
            <v>4.7252637046242398</v>
          </cell>
        </row>
        <row r="10">
          <cell r="C10" t="str">
            <v>Dr.NTTPS V</v>
          </cell>
          <cell r="D10">
            <v>800</v>
          </cell>
          <cell r="E10">
            <v>1</v>
          </cell>
          <cell r="F10">
            <v>800</v>
          </cell>
          <cell r="G10">
            <v>5.7500000000000002E-2</v>
          </cell>
          <cell r="H10">
            <v>507.43335887078933</v>
          </cell>
          <cell r="I10">
            <v>478.25594073571892</v>
          </cell>
          <cell r="J10">
            <v>478.25594073571892</v>
          </cell>
          <cell r="K10">
            <v>170.64013059835898</v>
          </cell>
          <cell r="L10">
            <v>154.66797123393152</v>
          </cell>
          <cell r="M10">
            <v>0</v>
          </cell>
          <cell r="N10">
            <v>0</v>
          </cell>
          <cell r="O10">
            <v>0</v>
          </cell>
          <cell r="P10">
            <v>325.3081018322905</v>
          </cell>
          <cell r="Q10">
            <v>3.5679667739381742</v>
          </cell>
          <cell r="R10">
            <v>3.2340000000000004</v>
          </cell>
          <cell r="S10">
            <v>0</v>
          </cell>
          <cell r="T10">
            <v>0</v>
          </cell>
          <cell r="U10">
            <v>0</v>
          </cell>
          <cell r="V10">
            <v>6.8019667739381742</v>
          </cell>
        </row>
        <row r="11">
          <cell r="C11" t="str">
            <v>RTPP Stage-I</v>
          </cell>
          <cell r="D11">
            <v>420</v>
          </cell>
          <cell r="E11">
            <v>1</v>
          </cell>
          <cell r="F11">
            <v>420</v>
          </cell>
          <cell r="G11">
            <v>0.09</v>
          </cell>
          <cell r="H11">
            <v>906.2785442863003</v>
          </cell>
          <cell r="I11">
            <v>824.71347530053333</v>
          </cell>
          <cell r="J11">
            <v>791.09376372559473</v>
          </cell>
          <cell r="K11">
            <v>85.374281159234883</v>
          </cell>
          <cell r="L11">
            <v>339.75422354828663</v>
          </cell>
          <cell r="M11">
            <v>0</v>
          </cell>
          <cell r="N11">
            <v>0</v>
          </cell>
          <cell r="O11">
            <v>0</v>
          </cell>
          <cell r="P11">
            <v>425.12850470752153</v>
          </cell>
          <cell r="Q11">
            <v>1.0791929487241985</v>
          </cell>
          <cell r="R11">
            <v>4.2947402587051178</v>
          </cell>
          <cell r="S11">
            <v>0</v>
          </cell>
          <cell r="T11">
            <v>0</v>
          </cell>
          <cell r="U11">
            <v>0</v>
          </cell>
          <cell r="V11">
            <v>5.3739332074293165</v>
          </cell>
        </row>
        <row r="12">
          <cell r="C12" t="str">
            <v>RTPP Stage-II</v>
          </cell>
          <cell r="D12">
            <v>420</v>
          </cell>
          <cell r="E12">
            <v>1</v>
          </cell>
          <cell r="F12">
            <v>420</v>
          </cell>
          <cell r="G12">
            <v>0.09</v>
          </cell>
          <cell r="H12">
            <v>1039.2384248564301</v>
          </cell>
          <cell r="I12">
            <v>945.70696661935142</v>
          </cell>
          <cell r="J12">
            <v>881.58126039445563</v>
          </cell>
          <cell r="K12">
            <v>87.253943216636856</v>
          </cell>
          <cell r="L12">
            <v>377.26842289994784</v>
          </cell>
          <cell r="M12">
            <v>0</v>
          </cell>
          <cell r="N12">
            <v>0</v>
          </cell>
          <cell r="O12">
            <v>0</v>
          </cell>
          <cell r="P12">
            <v>464.52236611658469</v>
          </cell>
          <cell r="Q12">
            <v>0.98974362474079658</v>
          </cell>
          <cell r="R12">
            <v>4.2794514793921827</v>
          </cell>
          <cell r="S12">
            <v>0</v>
          </cell>
          <cell r="T12">
            <v>0</v>
          </cell>
          <cell r="U12">
            <v>0</v>
          </cell>
          <cell r="V12">
            <v>5.2691951041329794</v>
          </cell>
        </row>
        <row r="13">
          <cell r="C13" t="str">
            <v>RTPP Stage-III</v>
          </cell>
          <cell r="D13">
            <v>210</v>
          </cell>
          <cell r="E13">
            <v>1</v>
          </cell>
          <cell r="F13">
            <v>210</v>
          </cell>
          <cell r="G13">
            <v>0.09</v>
          </cell>
          <cell r="H13">
            <v>454.00561178003926</v>
          </cell>
          <cell r="I13">
            <v>413.14510671983572</v>
          </cell>
          <cell r="J13">
            <v>392.85583110864445</v>
          </cell>
          <cell r="K13">
            <v>51.983333211922059</v>
          </cell>
          <cell r="L13">
            <v>166.99939336174759</v>
          </cell>
          <cell r="M13">
            <v>0</v>
          </cell>
          <cell r="N13">
            <v>0</v>
          </cell>
          <cell r="O13">
            <v>0</v>
          </cell>
          <cell r="P13">
            <v>218.98272657366965</v>
          </cell>
          <cell r="Q13">
            <v>1.3232165363366095</v>
          </cell>
          <cell r="R13">
            <v>4.2509078429731604</v>
          </cell>
          <cell r="S13">
            <v>0</v>
          </cell>
          <cell r="T13">
            <v>0</v>
          </cell>
          <cell r="U13">
            <v>0</v>
          </cell>
          <cell r="V13">
            <v>5.5741243793097697</v>
          </cell>
        </row>
        <row r="14">
          <cell r="C14" t="str">
            <v>RTPP Stage-IV</v>
          </cell>
          <cell r="D14">
            <v>600</v>
          </cell>
          <cell r="E14">
            <v>1</v>
          </cell>
          <cell r="F14">
            <v>600</v>
          </cell>
          <cell r="G14">
            <v>5.7500000000000002E-2</v>
          </cell>
          <cell r="H14">
            <v>1345.637967788691</v>
          </cell>
          <cell r="I14">
            <v>1268.2637846408413</v>
          </cell>
          <cell r="J14">
            <v>1196.4714853229868</v>
          </cell>
          <cell r="K14">
            <v>230.05443551765836</v>
          </cell>
          <cell r="L14">
            <v>483.53703600497209</v>
          </cell>
          <cell r="M14">
            <v>0</v>
          </cell>
          <cell r="N14">
            <v>0</v>
          </cell>
          <cell r="O14">
            <v>0</v>
          </cell>
          <cell r="P14">
            <v>713.5914715226304</v>
          </cell>
          <cell r="Q14">
            <v>1.9227740764382304</v>
          </cell>
          <cell r="R14">
            <v>4.041358627735633</v>
          </cell>
          <cell r="S14">
            <v>0</v>
          </cell>
          <cell r="T14">
            <v>0</v>
          </cell>
          <cell r="U14">
            <v>0</v>
          </cell>
          <cell r="V14">
            <v>5.9641327041738634</v>
          </cell>
        </row>
        <row r="15">
          <cell r="C15" t="str">
            <v>Genco-Thermal Total</v>
          </cell>
          <cell r="D15">
            <v>4210</v>
          </cell>
          <cell r="F15">
            <v>4210</v>
          </cell>
          <cell r="H15">
            <v>8847.5373283000918</v>
          </cell>
          <cell r="I15">
            <v>8130.4372712335708</v>
          </cell>
          <cell r="J15">
            <v>7788.4144143482572</v>
          </cell>
          <cell r="K15">
            <v>1090.512113598915</v>
          </cell>
          <cell r="L15">
            <v>3095.7575675023413</v>
          </cell>
          <cell r="M15">
            <v>0</v>
          </cell>
          <cell r="N15">
            <v>0</v>
          </cell>
          <cell r="O15">
            <v>0</v>
          </cell>
          <cell r="P15">
            <v>4186.2696811012574</v>
          </cell>
          <cell r="Q15">
            <v>1.4001721731574939</v>
          </cell>
          <cell r="R15">
            <v>3.9748238894416841</v>
          </cell>
          <cell r="S15">
            <v>0</v>
          </cell>
          <cell r="T15">
            <v>0</v>
          </cell>
          <cell r="U15">
            <v>0</v>
          </cell>
          <cell r="V15">
            <v>5.3749960625991795</v>
          </cell>
        </row>
        <row r="16">
          <cell r="C16" t="str">
            <v>Srisailam RCPH</v>
          </cell>
          <cell r="D16">
            <v>770</v>
          </cell>
          <cell r="E16">
            <v>1</v>
          </cell>
          <cell r="F16">
            <v>770</v>
          </cell>
          <cell r="G16">
            <v>0.01</v>
          </cell>
          <cell r="H16">
            <v>211.06557244304372</v>
          </cell>
          <cell r="I16">
            <v>208.95491671861328</v>
          </cell>
          <cell r="J16">
            <v>208.84166139869583</v>
          </cell>
          <cell r="K16">
            <v>89.365033768435325</v>
          </cell>
          <cell r="L16">
            <v>0</v>
          </cell>
          <cell r="M16">
            <v>0</v>
          </cell>
          <cell r="N16">
            <v>0</v>
          </cell>
          <cell r="O16">
            <v>0</v>
          </cell>
          <cell r="P16">
            <v>89.365033768435325</v>
          </cell>
          <cell r="Q16">
            <v>4.279080772003157</v>
          </cell>
          <cell r="R16">
            <v>0</v>
          </cell>
          <cell r="S16">
            <v>0</v>
          </cell>
          <cell r="T16">
            <v>0</v>
          </cell>
          <cell r="U16">
            <v>0</v>
          </cell>
          <cell r="V16">
            <v>4.279080772003157</v>
          </cell>
        </row>
        <row r="17">
          <cell r="C17" t="str">
            <v>NSRCPH</v>
          </cell>
          <cell r="D17">
            <v>90</v>
          </cell>
          <cell r="E17">
            <v>1</v>
          </cell>
          <cell r="F17">
            <v>90</v>
          </cell>
          <cell r="G17">
            <v>0.01</v>
          </cell>
          <cell r="H17">
            <v>27.899226912443599</v>
          </cell>
          <cell r="I17">
            <v>27.620234643319161</v>
          </cell>
          <cell r="J17">
            <v>27.620205992735226</v>
          </cell>
          <cell r="K17">
            <v>10.265945217712016</v>
          </cell>
          <cell r="L17">
            <v>0</v>
          </cell>
          <cell r="M17">
            <v>0</v>
          </cell>
          <cell r="N17">
            <v>0</v>
          </cell>
          <cell r="O17">
            <v>0</v>
          </cell>
          <cell r="P17">
            <v>10.265945217712016</v>
          </cell>
          <cell r="Q17">
            <v>3.7168242772744726</v>
          </cell>
          <cell r="R17">
            <v>0</v>
          </cell>
          <cell r="S17">
            <v>0</v>
          </cell>
          <cell r="T17">
            <v>0</v>
          </cell>
          <cell r="U17">
            <v>0</v>
          </cell>
          <cell r="V17">
            <v>3.7168242772744726</v>
          </cell>
        </row>
        <row r="18">
          <cell r="C18" t="str">
            <v>NSTPDC PH</v>
          </cell>
          <cell r="D18">
            <v>50</v>
          </cell>
          <cell r="E18">
            <v>1</v>
          </cell>
          <cell r="F18">
            <v>50</v>
          </cell>
          <cell r="G18">
            <v>0.01</v>
          </cell>
          <cell r="H18">
            <v>26.560428810060937</v>
          </cell>
          <cell r="I18">
            <v>26.294824521960329</v>
          </cell>
          <cell r="J18">
            <v>26.292301734512353</v>
          </cell>
          <cell r="K18">
            <v>19.081309737722037</v>
          </cell>
          <cell r="L18">
            <v>0</v>
          </cell>
          <cell r="M18">
            <v>0</v>
          </cell>
          <cell r="N18">
            <v>0</v>
          </cell>
          <cell r="O18">
            <v>0</v>
          </cell>
          <cell r="P18">
            <v>19.081309737722037</v>
          </cell>
          <cell r="Q18">
            <v>7.2573751550535146</v>
          </cell>
          <cell r="R18">
            <v>0</v>
          </cell>
          <cell r="S18">
            <v>0</v>
          </cell>
          <cell r="T18">
            <v>0</v>
          </cell>
          <cell r="U18">
            <v>0</v>
          </cell>
          <cell r="V18">
            <v>7.2573751550535146</v>
          </cell>
        </row>
        <row r="19">
          <cell r="C19" t="str">
            <v>Upper Sileru</v>
          </cell>
          <cell r="D19">
            <v>240</v>
          </cell>
          <cell r="E19">
            <v>1</v>
          </cell>
          <cell r="F19">
            <v>240</v>
          </cell>
          <cell r="G19">
            <v>0.01</v>
          </cell>
          <cell r="H19">
            <v>176.41869350252549</v>
          </cell>
          <cell r="I19">
            <v>174.65450656750022</v>
          </cell>
          <cell r="J19">
            <v>172.73328985267767</v>
          </cell>
          <cell r="K19">
            <v>65.360599121435754</v>
          </cell>
          <cell r="L19">
            <v>0</v>
          </cell>
          <cell r="M19">
            <v>0</v>
          </cell>
          <cell r="N19">
            <v>0</v>
          </cell>
          <cell r="O19">
            <v>0</v>
          </cell>
          <cell r="P19">
            <v>65.360599121435754</v>
          </cell>
          <cell r="Q19">
            <v>1.0498507996611603</v>
          </cell>
          <cell r="R19">
            <v>0</v>
          </cell>
          <cell r="S19">
            <v>0</v>
          </cell>
          <cell r="T19">
            <v>0</v>
          </cell>
          <cell r="U19">
            <v>0</v>
          </cell>
          <cell r="V19">
            <v>1.0498507996611603</v>
          </cell>
        </row>
        <row r="20">
          <cell r="C20" t="str">
            <v>Lower Sileru</v>
          </cell>
          <cell r="D20">
            <v>460</v>
          </cell>
          <cell r="E20">
            <v>1</v>
          </cell>
          <cell r="F20">
            <v>460</v>
          </cell>
          <cell r="G20">
            <v>0.01</v>
          </cell>
          <cell r="H20">
            <v>421.9253122761296</v>
          </cell>
          <cell r="I20">
            <v>417.7060591533683</v>
          </cell>
          <cell r="J20">
            <v>412.41188715417059</v>
          </cell>
          <cell r="L20">
            <v>0</v>
          </cell>
          <cell r="M20">
            <v>0</v>
          </cell>
          <cell r="N20">
            <v>0</v>
          </cell>
          <cell r="O20">
            <v>0</v>
          </cell>
          <cell r="Q20">
            <v>0</v>
          </cell>
          <cell r="R20">
            <v>0</v>
          </cell>
          <cell r="S20">
            <v>0</v>
          </cell>
          <cell r="T20">
            <v>0</v>
          </cell>
          <cell r="U20">
            <v>0</v>
          </cell>
        </row>
        <row r="21">
          <cell r="C21" t="str">
            <v>Donkarayi</v>
          </cell>
          <cell r="D21">
            <v>25</v>
          </cell>
          <cell r="E21">
            <v>1</v>
          </cell>
          <cell r="F21">
            <v>25</v>
          </cell>
          <cell r="G21">
            <v>0.01</v>
          </cell>
          <cell r="H21">
            <v>37.868778172462122</v>
          </cell>
          <cell r="I21">
            <v>37.4900903907375</v>
          </cell>
          <cell r="J21">
            <v>37.425183872344377</v>
          </cell>
          <cell r="L21">
            <v>0</v>
          </cell>
          <cell r="M21">
            <v>0</v>
          </cell>
          <cell r="N21">
            <v>0</v>
          </cell>
          <cell r="O21">
            <v>0</v>
          </cell>
          <cell r="Q21">
            <v>0</v>
          </cell>
          <cell r="R21">
            <v>0</v>
          </cell>
          <cell r="S21">
            <v>0</v>
          </cell>
          <cell r="T21">
            <v>0</v>
          </cell>
          <cell r="U21">
            <v>0</v>
          </cell>
        </row>
        <row r="22">
          <cell r="C22" t="str">
            <v>PABM</v>
          </cell>
          <cell r="D22">
            <v>20</v>
          </cell>
          <cell r="E22">
            <v>1</v>
          </cell>
          <cell r="F22">
            <v>20</v>
          </cell>
          <cell r="G22">
            <v>0.01</v>
          </cell>
          <cell r="H22">
            <v>1.040964476546439</v>
          </cell>
          <cell r="I22">
            <v>1.0305548317809745</v>
          </cell>
          <cell r="J22">
            <v>1.0315938048110267</v>
          </cell>
          <cell r="K22">
            <v>5.3162241054988524</v>
          </cell>
          <cell r="L22">
            <v>0</v>
          </cell>
          <cell r="M22">
            <v>0</v>
          </cell>
          <cell r="N22">
            <v>0</v>
          </cell>
          <cell r="O22">
            <v>0</v>
          </cell>
          <cell r="P22">
            <v>5.3162241054988524</v>
          </cell>
          <cell r="Q22">
            <v>51.534083286519049</v>
          </cell>
          <cell r="R22">
            <v>0</v>
          </cell>
          <cell r="S22">
            <v>0</v>
          </cell>
          <cell r="T22">
            <v>0</v>
          </cell>
          <cell r="U22">
            <v>0</v>
          </cell>
          <cell r="V22">
            <v>51.534083286519049</v>
          </cell>
        </row>
        <row r="23">
          <cell r="C23" t="str">
            <v>Minihydel(Chettipet)</v>
          </cell>
          <cell r="D23">
            <v>1</v>
          </cell>
          <cell r="E23">
            <v>1</v>
          </cell>
          <cell r="F23">
            <v>1</v>
          </cell>
          <cell r="G23">
            <v>0.01</v>
          </cell>
          <cell r="H23">
            <v>1.2097237859151573</v>
          </cell>
          <cell r="I23">
            <v>1.1976265480560058</v>
          </cell>
          <cell r="J23">
            <v>1.1901620529017563</v>
          </cell>
          <cell r="K23">
            <v>0.72529044201599735</v>
          </cell>
          <cell r="L23">
            <v>0</v>
          </cell>
          <cell r="M23">
            <v>0</v>
          </cell>
          <cell r="N23">
            <v>0</v>
          </cell>
          <cell r="O23">
            <v>0</v>
          </cell>
          <cell r="P23">
            <v>0.72529044201599735</v>
          </cell>
          <cell r="Q23">
            <v>6.0940477832212281</v>
          </cell>
          <cell r="R23">
            <v>0</v>
          </cell>
          <cell r="S23">
            <v>0</v>
          </cell>
          <cell r="T23">
            <v>0</v>
          </cell>
          <cell r="U23">
            <v>0</v>
          </cell>
          <cell r="V23">
            <v>6.0940477832212281</v>
          </cell>
        </row>
        <row r="24">
          <cell r="C24" t="str">
            <v>Machkund AP Share</v>
          </cell>
          <cell r="D24">
            <v>60</v>
          </cell>
          <cell r="E24">
            <v>1</v>
          </cell>
          <cell r="F24">
            <v>60</v>
          </cell>
          <cell r="G24">
            <v>0.01</v>
          </cell>
          <cell r="H24">
            <v>133.70525904990396</v>
          </cell>
          <cell r="I24">
            <v>132.36820645940492</v>
          </cell>
          <cell r="J24">
            <v>130.50160964451351</v>
          </cell>
          <cell r="K24">
            <v>20.973309099315198</v>
          </cell>
          <cell r="L24">
            <v>0</v>
          </cell>
          <cell r="M24">
            <v>0</v>
          </cell>
          <cell r="N24">
            <v>0</v>
          </cell>
          <cell r="O24">
            <v>0</v>
          </cell>
          <cell r="P24">
            <v>20.973309099315198</v>
          </cell>
          <cell r="Q24">
            <v>1.1712627086521135</v>
          </cell>
          <cell r="R24">
            <v>0</v>
          </cell>
          <cell r="S24">
            <v>0</v>
          </cell>
          <cell r="T24">
            <v>0</v>
          </cell>
          <cell r="U24">
            <v>0</v>
          </cell>
          <cell r="V24">
            <v>1.1712627086521135</v>
          </cell>
        </row>
        <row r="25">
          <cell r="C25" t="str">
            <v>TB Dam AP Share</v>
          </cell>
          <cell r="D25">
            <v>57.6</v>
          </cell>
          <cell r="E25">
            <v>1</v>
          </cell>
          <cell r="F25">
            <v>57.6</v>
          </cell>
          <cell r="G25">
            <v>0.01</v>
          </cell>
          <cell r="H25">
            <v>49.128201620045374</v>
          </cell>
          <cell r="I25">
            <v>48.636919603844923</v>
          </cell>
          <cell r="J25">
            <v>48.564187843833409</v>
          </cell>
          <cell r="L25">
            <v>0</v>
          </cell>
          <cell r="M25">
            <v>0</v>
          </cell>
          <cell r="N25">
            <v>0</v>
          </cell>
          <cell r="O25">
            <v>0</v>
          </cell>
          <cell r="Q25">
            <v>0</v>
          </cell>
          <cell r="R25">
            <v>0</v>
          </cell>
          <cell r="S25">
            <v>0</v>
          </cell>
          <cell r="T25">
            <v>0</v>
          </cell>
          <cell r="U25">
            <v>0</v>
          </cell>
        </row>
        <row r="26">
          <cell r="C26" t="str">
            <v>Genco Hydel Total</v>
          </cell>
          <cell r="D26">
            <v>1773.6</v>
          </cell>
          <cell r="F26">
            <v>1773.6</v>
          </cell>
          <cell r="H26">
            <v>1086.8221610490764</v>
          </cell>
          <cell r="I26">
            <v>1075.9539394385856</v>
          </cell>
          <cell r="J26">
            <v>1066.6120833511957</v>
          </cell>
          <cell r="K26">
            <v>211.08771149213518</v>
          </cell>
          <cell r="L26">
            <v>0</v>
          </cell>
          <cell r="M26">
            <v>0</v>
          </cell>
          <cell r="N26">
            <v>0</v>
          </cell>
          <cell r="O26">
            <v>0</v>
          </cell>
          <cell r="P26">
            <v>211.08771149213518</v>
          </cell>
          <cell r="Q26">
            <v>1.979048566831507</v>
          </cell>
          <cell r="R26">
            <v>0</v>
          </cell>
          <cell r="S26">
            <v>0</v>
          </cell>
          <cell r="T26">
            <v>0</v>
          </cell>
          <cell r="U26">
            <v>0</v>
          </cell>
          <cell r="V26">
            <v>1.979048566831507</v>
          </cell>
        </row>
        <row r="27">
          <cell r="C27" t="str">
            <v>APGENCO-TOTAL</v>
          </cell>
          <cell r="D27">
            <v>5983.6</v>
          </cell>
          <cell r="F27">
            <v>5983.6</v>
          </cell>
          <cell r="H27">
            <v>9934.3594893491681</v>
          </cell>
          <cell r="I27">
            <v>9206.3912106721564</v>
          </cell>
          <cell r="J27">
            <v>8855.0264976994531</v>
          </cell>
          <cell r="K27">
            <v>1301.5998250910502</v>
          </cell>
          <cell r="L27">
            <v>3095.7575675023413</v>
          </cell>
          <cell r="M27">
            <v>0</v>
          </cell>
          <cell r="N27">
            <v>0</v>
          </cell>
          <cell r="O27">
            <v>0</v>
          </cell>
          <cell r="P27">
            <v>4397.3573925933924</v>
          </cell>
          <cell r="Q27">
            <v>1.4698994129822283</v>
          </cell>
          <cell r="R27">
            <v>3.4960455152862875</v>
          </cell>
          <cell r="S27">
            <v>0</v>
          </cell>
          <cell r="T27">
            <v>0</v>
          </cell>
          <cell r="U27">
            <v>0</v>
          </cell>
          <cell r="V27">
            <v>4.9659449282685166</v>
          </cell>
        </row>
        <row r="28">
          <cell r="C28" t="str">
            <v>APPDCL Stage-I</v>
          </cell>
          <cell r="D28">
            <v>1600</v>
          </cell>
          <cell r="E28">
            <v>0.9</v>
          </cell>
          <cell r="F28">
            <v>1440</v>
          </cell>
          <cell r="G28">
            <v>6.5000000000000002E-2</v>
          </cell>
          <cell r="H28">
            <v>2936.8396275472251</v>
          </cell>
          <cell r="I28">
            <v>2745.9450517566556</v>
          </cell>
          <cell r="J28">
            <v>2683.7358374526634</v>
          </cell>
          <cell r="K28">
            <v>359.5547861755216</v>
          </cell>
          <cell r="L28">
            <v>970.26815110955306</v>
          </cell>
          <cell r="M28">
            <v>0</v>
          </cell>
          <cell r="N28">
            <v>0</v>
          </cell>
          <cell r="O28">
            <v>0</v>
          </cell>
          <cell r="P28">
            <v>1329.8229372850747</v>
          </cell>
          <cell r="Q28">
            <v>1.3397547596070494</v>
          </cell>
          <cell r="R28">
            <v>3.6153638430767012</v>
          </cell>
          <cell r="S28">
            <v>0</v>
          </cell>
          <cell r="T28">
            <v>0</v>
          </cell>
          <cell r="U28">
            <v>0</v>
          </cell>
          <cell r="V28">
            <v>4.9551186026837506</v>
          </cell>
        </row>
        <row r="29">
          <cell r="C29" t="str">
            <v>APPDCL Stage-II</v>
          </cell>
          <cell r="D29">
            <v>800</v>
          </cell>
          <cell r="E29">
            <v>1</v>
          </cell>
          <cell r="F29">
            <v>800</v>
          </cell>
          <cell r="G29">
            <v>5.7500000000000002E-2</v>
          </cell>
          <cell r="H29">
            <v>1287.0385555131745</v>
          </cell>
          <cell r="I29">
            <v>1213.0338385711671</v>
          </cell>
          <cell r="J29">
            <v>1179.7352332849728</v>
          </cell>
          <cell r="K29">
            <v>279.69758688800607</v>
          </cell>
          <cell r="L29">
            <v>429.17999442623233</v>
          </cell>
          <cell r="M29">
            <v>0</v>
          </cell>
          <cell r="N29">
            <v>0</v>
          </cell>
          <cell r="O29">
            <v>0</v>
          </cell>
          <cell r="P29">
            <v>708.87758131423834</v>
          </cell>
          <cell r="Q29">
            <v>2.3708505009991789</v>
          </cell>
          <cell r="R29">
            <v>3.6379348714641728</v>
          </cell>
          <cell r="S29">
            <v>0</v>
          </cell>
          <cell r="T29">
            <v>0</v>
          </cell>
          <cell r="U29">
            <v>0</v>
          </cell>
          <cell r="V29">
            <v>6.0087853724633522</v>
          </cell>
        </row>
        <row r="30">
          <cell r="C30" t="str">
            <v>Godavari Gas Power Plant</v>
          </cell>
          <cell r="D30">
            <v>216.82400000000001</v>
          </cell>
          <cell r="E30">
            <v>1</v>
          </cell>
          <cell r="F30">
            <v>216.82400000000001</v>
          </cell>
          <cell r="G30">
            <v>0.03</v>
          </cell>
          <cell r="H30">
            <v>0</v>
          </cell>
          <cell r="I30">
            <v>-0.94623368995508772</v>
          </cell>
          <cell r="J30">
            <v>-0.91904886539999997</v>
          </cell>
          <cell r="K30">
            <v>6.0461880729544557</v>
          </cell>
          <cell r="L30">
            <v>2.1434699999999998E-2</v>
          </cell>
          <cell r="M30">
            <v>0</v>
          </cell>
          <cell r="N30">
            <v>0</v>
          </cell>
          <cell r="O30">
            <v>0</v>
          </cell>
          <cell r="P30">
            <v>6.0676227729544561</v>
          </cell>
          <cell r="Q30">
            <v>-65.787449400995214</v>
          </cell>
          <cell r="R30">
            <v>-0.23322698941226502</v>
          </cell>
          <cell r="S30">
            <v>0</v>
          </cell>
          <cell r="T30">
            <v>0</v>
          </cell>
          <cell r="U30">
            <v>0</v>
          </cell>
          <cell r="V30">
            <v>-66.020676390407473</v>
          </cell>
        </row>
        <row r="31">
          <cell r="C31" t="str">
            <v>Joint Sector-TOTAL</v>
          </cell>
          <cell r="D31">
            <v>2616.8240000000001</v>
          </cell>
          <cell r="F31">
            <v>2456.8240000000001</v>
          </cell>
          <cell r="H31">
            <v>4223.8781830603994</v>
          </cell>
          <cell r="I31">
            <v>3958.0326566378676</v>
          </cell>
          <cell r="J31">
            <v>3862.5520218722363</v>
          </cell>
          <cell r="K31">
            <v>645.29856113648214</v>
          </cell>
          <cell r="L31">
            <v>1399.4695802357855</v>
          </cell>
          <cell r="M31">
            <v>0</v>
          </cell>
          <cell r="N31">
            <v>0</v>
          </cell>
          <cell r="O31">
            <v>0</v>
          </cell>
          <cell r="P31">
            <v>2044.7681413722676</v>
          </cell>
          <cell r="Q31">
            <v>1.6706533853327787</v>
          </cell>
          <cell r="R31">
            <v>3.6231734156875945</v>
          </cell>
          <cell r="S31">
            <v>0</v>
          </cell>
          <cell r="T31">
            <v>0</v>
          </cell>
          <cell r="U31">
            <v>0</v>
          </cell>
          <cell r="V31">
            <v>5.2938268010203728</v>
          </cell>
        </row>
        <row r="32">
          <cell r="C32" t="str">
            <v>NTPC(SR) Ramagundam I &amp; II</v>
          </cell>
          <cell r="D32">
            <v>2100</v>
          </cell>
          <cell r="E32">
            <v>0.14929999999999999</v>
          </cell>
          <cell r="F32">
            <v>300.13</v>
          </cell>
          <cell r="G32">
            <v>7.0400000000000004E-2</v>
          </cell>
          <cell r="H32">
            <v>845.59662233681752</v>
          </cell>
          <cell r="I32">
            <v>786.06662012430559</v>
          </cell>
          <cell r="J32">
            <v>743.1479958172049</v>
          </cell>
          <cell r="K32">
            <v>56.88707631164317</v>
          </cell>
          <cell r="L32">
            <v>266.73082214998169</v>
          </cell>
          <cell r="M32">
            <v>0</v>
          </cell>
          <cell r="N32">
            <v>0</v>
          </cell>
          <cell r="O32">
            <v>0</v>
          </cell>
          <cell r="P32">
            <v>323.61789846162486</v>
          </cell>
          <cell r="Q32">
            <v>0.7654878521079389</v>
          </cell>
          <cell r="R32">
            <v>3.5892019308572625</v>
          </cell>
          <cell r="S32">
            <v>0</v>
          </cell>
          <cell r="T32">
            <v>0</v>
          </cell>
          <cell r="U32">
            <v>0</v>
          </cell>
          <cell r="V32">
            <v>4.3546897829652016</v>
          </cell>
        </row>
        <row r="33">
          <cell r="C33" t="str">
            <v>NTPC(SR) Simhadri Stage-I</v>
          </cell>
          <cell r="D33">
            <v>1000</v>
          </cell>
          <cell r="E33">
            <v>0.46110000000000001</v>
          </cell>
          <cell r="F33">
            <v>461.1</v>
          </cell>
          <cell r="G33">
            <v>5.7500000000000002E-2</v>
          </cell>
          <cell r="H33">
            <v>1436.7396390457943</v>
          </cell>
          <cell r="I33">
            <v>1354.1271098006612</v>
          </cell>
          <cell r="J33">
            <v>1194.1051077521511</v>
          </cell>
          <cell r="K33">
            <v>126.71168345705375</v>
          </cell>
          <cell r="L33">
            <v>461.54205789737642</v>
          </cell>
          <cell r="M33">
            <v>0</v>
          </cell>
          <cell r="N33">
            <v>0</v>
          </cell>
          <cell r="O33">
            <v>0</v>
          </cell>
          <cell r="P33">
            <v>588.25374135443019</v>
          </cell>
          <cell r="Q33">
            <v>1.0611434674756794</v>
          </cell>
          <cell r="R33">
            <v>3.8651711218806235</v>
          </cell>
          <cell r="S33">
            <v>0</v>
          </cell>
          <cell r="T33">
            <v>0</v>
          </cell>
          <cell r="U33">
            <v>0</v>
          </cell>
          <cell r="V33">
            <v>4.926314589356303</v>
          </cell>
        </row>
        <row r="34">
          <cell r="C34" t="str">
            <v>NTPC(SR) Simhadri Stage-II</v>
          </cell>
          <cell r="D34">
            <v>1000</v>
          </cell>
          <cell r="E34">
            <v>0.21387</v>
          </cell>
          <cell r="F34">
            <v>222.37</v>
          </cell>
          <cell r="G34">
            <v>5.7500000000000002E-2</v>
          </cell>
          <cell r="H34">
            <v>666.64560441978051</v>
          </cell>
          <cell r="I34">
            <v>628.31348216564311</v>
          </cell>
          <cell r="J34">
            <v>535.18801696087189</v>
          </cell>
          <cell r="K34">
            <v>82.717409968446191</v>
          </cell>
          <cell r="L34">
            <v>197.08275712204198</v>
          </cell>
          <cell r="M34">
            <v>0</v>
          </cell>
          <cell r="N34">
            <v>0</v>
          </cell>
          <cell r="O34">
            <v>0</v>
          </cell>
          <cell r="P34">
            <v>279.80016709048817</v>
          </cell>
          <cell r="Q34">
            <v>1.5455766449736064</v>
          </cell>
          <cell r="R34">
            <v>3.682495700131696</v>
          </cell>
          <cell r="S34">
            <v>0</v>
          </cell>
          <cell r="T34">
            <v>0</v>
          </cell>
          <cell r="U34">
            <v>0</v>
          </cell>
          <cell r="V34">
            <v>5.2280723451053026</v>
          </cell>
        </row>
        <row r="35">
          <cell r="C35" t="str">
            <v>NTPC(SR) Talcher Stage-II</v>
          </cell>
          <cell r="D35">
            <v>2000</v>
          </cell>
          <cell r="E35">
            <v>8.8399999999999992E-2</v>
          </cell>
          <cell r="F35">
            <v>184.96</v>
          </cell>
          <cell r="G35">
            <v>6.25E-2</v>
          </cell>
          <cell r="H35">
            <v>477.33151418935336</v>
          </cell>
          <cell r="I35">
            <v>447.49829455251876</v>
          </cell>
          <cell r="J35">
            <v>418.42884803065829</v>
          </cell>
          <cell r="K35">
            <v>39.082376446919426</v>
          </cell>
          <cell r="L35">
            <v>78.463755725055535</v>
          </cell>
          <cell r="M35">
            <v>0</v>
          </cell>
          <cell r="N35">
            <v>0</v>
          </cell>
          <cell r="O35">
            <v>0</v>
          </cell>
          <cell r="P35">
            <v>117.54613217197496</v>
          </cell>
          <cell r="Q35">
            <v>0.93402681557118306</v>
          </cell>
          <cell r="R35">
            <v>1.8751994776255603</v>
          </cell>
          <cell r="S35">
            <v>0</v>
          </cell>
          <cell r="T35">
            <v>0</v>
          </cell>
          <cell r="U35">
            <v>0</v>
          </cell>
          <cell r="V35">
            <v>2.8092262931967431</v>
          </cell>
        </row>
        <row r="36">
          <cell r="C36" t="str">
            <v>NTPC(SR) Ramagundam III</v>
          </cell>
          <cell r="D36">
            <v>500</v>
          </cell>
          <cell r="E36">
            <v>0.14568</v>
          </cell>
          <cell r="F36">
            <v>75.25</v>
          </cell>
          <cell r="G36">
            <v>6.25E-2</v>
          </cell>
          <cell r="H36">
            <v>243.8739617146683</v>
          </cell>
          <cell r="I36">
            <v>228.63183910750152</v>
          </cell>
          <cell r="J36">
            <v>212.0380270506252</v>
          </cell>
          <cell r="K36">
            <v>16.575724673545508</v>
          </cell>
          <cell r="L36">
            <v>75.199069780339926</v>
          </cell>
          <cell r="M36">
            <v>0</v>
          </cell>
          <cell r="N36">
            <v>0</v>
          </cell>
          <cell r="O36">
            <v>0</v>
          </cell>
          <cell r="P36">
            <v>91.774794453885434</v>
          </cell>
          <cell r="Q36">
            <v>0.78173358355140543</v>
          </cell>
          <cell r="R36">
            <v>3.5464897889464773</v>
          </cell>
          <cell r="S36">
            <v>0</v>
          </cell>
          <cell r="T36">
            <v>0</v>
          </cell>
          <cell r="U36">
            <v>0</v>
          </cell>
          <cell r="V36">
            <v>4.3282233724978827</v>
          </cell>
        </row>
        <row r="37">
          <cell r="C37" t="str">
            <v>NTPC Kudgi Stage-I</v>
          </cell>
          <cell r="D37">
            <v>2400</v>
          </cell>
          <cell r="E37">
            <v>8.7851768958943588E-2</v>
          </cell>
          <cell r="F37">
            <v>239.54</v>
          </cell>
          <cell r="G37">
            <v>6.25E-2</v>
          </cell>
          <cell r="H37">
            <v>665.88666253395206</v>
          </cell>
          <cell r="I37">
            <v>624.26874612558004</v>
          </cell>
          <cell r="J37">
            <v>507.7380852222675</v>
          </cell>
          <cell r="K37">
            <v>97.600198192605092</v>
          </cell>
          <cell r="L37">
            <v>249.65398230712537</v>
          </cell>
          <cell r="M37">
            <v>0</v>
          </cell>
          <cell r="N37">
            <v>0</v>
          </cell>
          <cell r="O37">
            <v>0</v>
          </cell>
          <cell r="P37">
            <v>347.25418049973047</v>
          </cell>
          <cell r="Q37">
            <v>1.9222548206105046</v>
          </cell>
          <cell r="R37">
            <v>4.9169835703350238</v>
          </cell>
          <cell r="S37">
            <v>0</v>
          </cell>
          <cell r="T37">
            <v>0</v>
          </cell>
          <cell r="U37">
            <v>0</v>
          </cell>
          <cell r="V37">
            <v>6.8392383909455283</v>
          </cell>
        </row>
        <row r="38">
          <cell r="C38" t="str">
            <v>NTECL Valluru</v>
          </cell>
          <cell r="D38">
            <v>1500</v>
          </cell>
          <cell r="E38">
            <v>5.9749999999999998E-2</v>
          </cell>
          <cell r="F38">
            <v>86.44</v>
          </cell>
          <cell r="G38">
            <v>6.25E-2</v>
          </cell>
          <cell r="H38">
            <v>240.01229308620123</v>
          </cell>
          <cell r="I38">
            <v>225.01152476831365</v>
          </cell>
          <cell r="J38">
            <v>209.13182030574018</v>
          </cell>
          <cell r="K38">
            <v>38.779471826207342</v>
          </cell>
          <cell r="L38">
            <v>83.070169862824486</v>
          </cell>
          <cell r="M38">
            <v>0</v>
          </cell>
          <cell r="N38">
            <v>0</v>
          </cell>
          <cell r="O38">
            <v>0</v>
          </cell>
          <cell r="P38">
            <v>121.84964168903183</v>
          </cell>
          <cell r="Q38">
            <v>1.8543075735444614</v>
          </cell>
          <cell r="R38">
            <v>3.9721439684013697</v>
          </cell>
          <cell r="S38">
            <v>0</v>
          </cell>
          <cell r="T38">
            <v>0</v>
          </cell>
          <cell r="U38">
            <v>0</v>
          </cell>
          <cell r="V38">
            <v>5.8264515419458309</v>
          </cell>
        </row>
        <row r="39">
          <cell r="C39" t="str">
            <v>NLC Stage-I</v>
          </cell>
          <cell r="D39">
            <v>630</v>
          </cell>
          <cell r="E39">
            <v>7.8769999999999993E-2</v>
          </cell>
          <cell r="F39">
            <v>46.88</v>
          </cell>
          <cell r="G39">
            <v>0.1</v>
          </cell>
          <cell r="H39">
            <v>105.46110333680235</v>
          </cell>
          <cell r="I39">
            <v>94.91499300312212</v>
          </cell>
          <cell r="J39">
            <v>96.645006460533679</v>
          </cell>
          <cell r="K39">
            <v>8.0249185472052424</v>
          </cell>
          <cell r="L39">
            <v>30.952770386337569</v>
          </cell>
          <cell r="M39">
            <v>0</v>
          </cell>
          <cell r="N39">
            <v>0</v>
          </cell>
          <cell r="O39">
            <v>0</v>
          </cell>
          <cell r="P39">
            <v>38.977688933542808</v>
          </cell>
          <cell r="Q39">
            <v>0.83035004508818877</v>
          </cell>
          <cell r="R39">
            <v>3.202728368483017</v>
          </cell>
          <cell r="S39">
            <v>0</v>
          </cell>
          <cell r="T39">
            <v>0</v>
          </cell>
          <cell r="U39">
            <v>0</v>
          </cell>
          <cell r="V39">
            <v>4.0330784135712054</v>
          </cell>
        </row>
        <row r="40">
          <cell r="C40" t="str">
            <v>NLC Stage-II</v>
          </cell>
          <cell r="D40">
            <v>840</v>
          </cell>
          <cell r="E40">
            <v>0.10535</v>
          </cell>
          <cell r="F40">
            <v>85.83</v>
          </cell>
          <cell r="G40">
            <v>0.1</v>
          </cell>
          <cell r="H40">
            <v>170.72269643884343</v>
          </cell>
          <cell r="I40">
            <v>153.65042679495909</v>
          </cell>
          <cell r="J40">
            <v>154.87595183784154</v>
          </cell>
          <cell r="K40">
            <v>13.447224268165156</v>
          </cell>
          <cell r="L40">
            <v>49.638923190789754</v>
          </cell>
          <cell r="M40">
            <v>0</v>
          </cell>
          <cell r="N40">
            <v>0</v>
          </cell>
          <cell r="O40">
            <v>0</v>
          </cell>
          <cell r="P40">
            <v>63.086147458954912</v>
          </cell>
          <cell r="Q40">
            <v>0.86825773198441347</v>
          </cell>
          <cell r="R40">
            <v>3.2050762304765543</v>
          </cell>
          <cell r="S40">
            <v>0</v>
          </cell>
          <cell r="T40">
            <v>0</v>
          </cell>
          <cell r="U40">
            <v>0</v>
          </cell>
          <cell r="V40">
            <v>4.0733339624609677</v>
          </cell>
        </row>
        <row r="41">
          <cell r="C41" t="str">
            <v>NPC(MAPS)</v>
          </cell>
          <cell r="D41">
            <v>440</v>
          </cell>
          <cell r="E41">
            <v>4.1200000000000001E-2</v>
          </cell>
          <cell r="F41">
            <v>18.16</v>
          </cell>
          <cell r="G41">
            <v>0.105</v>
          </cell>
          <cell r="H41">
            <v>23.082174531683542</v>
          </cell>
          <cell r="I41">
            <v>20.658546205856769</v>
          </cell>
          <cell r="J41">
            <v>20.335427317294037</v>
          </cell>
          <cell r="K41">
            <v>3.9058962300000388E-3</v>
          </cell>
          <cell r="L41">
            <v>4.7215960157332626</v>
          </cell>
          <cell r="M41">
            <v>0</v>
          </cell>
          <cell r="N41">
            <v>0</v>
          </cell>
          <cell r="O41">
            <v>0</v>
          </cell>
          <cell r="P41">
            <v>4.7255019119632626</v>
          </cell>
          <cell r="Q41">
            <v>1.9207347694524782E-3</v>
          </cell>
          <cell r="R41">
            <v>2.3218572897742029</v>
          </cell>
          <cell r="S41">
            <v>0</v>
          </cell>
          <cell r="T41">
            <v>0</v>
          </cell>
          <cell r="U41">
            <v>0</v>
          </cell>
          <cell r="V41">
            <v>2.3237780245436555</v>
          </cell>
        </row>
        <row r="42">
          <cell r="C42" t="str">
            <v>NPC(KAIGA unit I,II,III,IV)</v>
          </cell>
          <cell r="D42">
            <v>880</v>
          </cell>
          <cell r="E42">
            <v>0.12984999999999999</v>
          </cell>
          <cell r="F42">
            <v>114.45</v>
          </cell>
          <cell r="G42">
            <v>0.105</v>
          </cell>
          <cell r="H42">
            <v>358.5521851282794</v>
          </cell>
          <cell r="I42">
            <v>320.90420568981006</v>
          </cell>
          <cell r="J42">
            <v>316.39986727938981</v>
          </cell>
          <cell r="K42">
            <v>0</v>
          </cell>
          <cell r="L42">
            <v>111.00876290073009</v>
          </cell>
          <cell r="M42">
            <v>0</v>
          </cell>
          <cell r="N42">
            <v>0</v>
          </cell>
          <cell r="O42">
            <v>0</v>
          </cell>
          <cell r="P42">
            <v>111.00876290073009</v>
          </cell>
          <cell r="Q42">
            <v>0</v>
          </cell>
          <cell r="R42">
            <v>3.5084958743900572</v>
          </cell>
          <cell r="S42">
            <v>0</v>
          </cell>
          <cell r="T42">
            <v>0</v>
          </cell>
          <cell r="U42">
            <v>0</v>
          </cell>
          <cell r="V42">
            <v>3.5084958743900572</v>
          </cell>
        </row>
        <row r="43">
          <cell r="C43" t="str">
            <v>NTPL(NLC TamilNadu)</v>
          </cell>
          <cell r="D43">
            <v>1000</v>
          </cell>
          <cell r="E43">
            <v>0.12819</v>
          </cell>
          <cell r="F43">
            <v>121.61</v>
          </cell>
          <cell r="G43">
            <v>5.7500000000000002E-2</v>
          </cell>
          <cell r="H43">
            <v>342.44170482619575</v>
          </cell>
          <cell r="I43">
            <v>322.75130679868948</v>
          </cell>
          <cell r="J43">
            <v>304.2885788069334</v>
          </cell>
          <cell r="K43">
            <v>46.177925540109861</v>
          </cell>
          <cell r="L43">
            <v>106.19381598352072</v>
          </cell>
          <cell r="M43">
            <v>0</v>
          </cell>
          <cell r="N43">
            <v>0</v>
          </cell>
          <cell r="O43">
            <v>0</v>
          </cell>
          <cell r="P43">
            <v>152.37174152363059</v>
          </cell>
          <cell r="Q43">
            <v>1.5175701211384958</v>
          </cell>
          <cell r="R43">
            <v>3.4899047607994227</v>
          </cell>
          <cell r="S43">
            <v>0</v>
          </cell>
          <cell r="T43">
            <v>0</v>
          </cell>
          <cell r="U43">
            <v>0</v>
          </cell>
          <cell r="V43">
            <v>5.0074748819379185</v>
          </cell>
        </row>
        <row r="44">
          <cell r="C44" t="str">
            <v>NLC NNTPS</v>
          </cell>
          <cell r="D44">
            <v>1000</v>
          </cell>
          <cell r="E44">
            <v>5.2740000000000002E-2</v>
          </cell>
          <cell r="F44">
            <v>52.71</v>
          </cell>
          <cell r="G44">
            <v>6.25E-2</v>
          </cell>
          <cell r="H44">
            <v>148.09332160988248</v>
          </cell>
          <cell r="I44">
            <v>138.83748900926483</v>
          </cell>
          <cell r="J44">
            <v>139.68288278873297</v>
          </cell>
          <cell r="K44">
            <v>24.684096694155166</v>
          </cell>
          <cell r="L44">
            <v>36.101595233670487</v>
          </cell>
          <cell r="M44">
            <v>0</v>
          </cell>
          <cell r="N44">
            <v>0</v>
          </cell>
          <cell r="O44">
            <v>0</v>
          </cell>
          <cell r="P44">
            <v>60.785691927825653</v>
          </cell>
          <cell r="Q44">
            <v>1.7671525817153468</v>
          </cell>
          <cell r="R44">
            <v>2.5845396739322233</v>
          </cell>
          <cell r="S44">
            <v>0</v>
          </cell>
          <cell r="T44">
            <v>0</v>
          </cell>
          <cell r="U44">
            <v>0</v>
          </cell>
          <cell r="V44">
            <v>4.3516922556475706</v>
          </cell>
        </row>
        <row r="45">
          <cell r="C45" t="str">
            <v>KKNPP Unit-I</v>
          </cell>
          <cell r="D45">
            <v>1000</v>
          </cell>
          <cell r="E45">
            <v>1.7000000000000001E-3</v>
          </cell>
          <cell r="F45">
            <v>1.78</v>
          </cell>
          <cell r="G45">
            <v>7.0000000000000007E-2</v>
          </cell>
          <cell r="H45">
            <v>4.6728174131291693</v>
          </cell>
          <cell r="I45">
            <v>4.3457201942101271</v>
          </cell>
          <cell r="J45">
            <v>4.2778185857495714</v>
          </cell>
          <cell r="K45">
            <v>0</v>
          </cell>
          <cell r="L45">
            <v>1.8385018955965993</v>
          </cell>
          <cell r="M45">
            <v>0</v>
          </cell>
          <cell r="N45">
            <v>0</v>
          </cell>
          <cell r="O45">
            <v>0</v>
          </cell>
          <cell r="P45">
            <v>1.8385018955965993</v>
          </cell>
          <cell r="Q45">
            <v>0</v>
          </cell>
          <cell r="R45">
            <v>4.2977556405058532</v>
          </cell>
          <cell r="S45">
            <v>0</v>
          </cell>
          <cell r="T45">
            <v>0</v>
          </cell>
          <cell r="U45">
            <v>0</v>
          </cell>
          <cell r="V45">
            <v>4.2977556405058532</v>
          </cell>
        </row>
        <row r="46">
          <cell r="C46" t="str">
            <v>NLC TPS- I Expn.</v>
          </cell>
          <cell r="D46">
            <v>420</v>
          </cell>
          <cell r="E46">
            <v>5.1000000000000004E-3</v>
          </cell>
          <cell r="F46">
            <v>2.2400000000000002</v>
          </cell>
          <cell r="G46">
            <v>8.5000000000000006E-2</v>
          </cell>
          <cell r="H46">
            <v>6.8514815119942591</v>
          </cell>
          <cell r="I46">
            <v>6.2691055834747473</v>
          </cell>
          <cell r="J46">
            <v>6.2504547534075243</v>
          </cell>
          <cell r="K46">
            <v>0.56218713072245208</v>
          </cell>
          <cell r="L46">
            <v>1.7819773107382262</v>
          </cell>
          <cell r="M46">
            <v>0</v>
          </cell>
          <cell r="N46">
            <v>0</v>
          </cell>
          <cell r="O46">
            <v>0</v>
          </cell>
          <cell r="P46">
            <v>2.3441644414606784</v>
          </cell>
          <cell r="Q46">
            <v>0.8994339658501932</v>
          </cell>
          <cell r="R46">
            <v>2.8509562600493279</v>
          </cell>
          <cell r="S46">
            <v>0</v>
          </cell>
          <cell r="T46">
            <v>0</v>
          </cell>
          <cell r="U46">
            <v>0</v>
          </cell>
          <cell r="V46">
            <v>3.7503902258995212</v>
          </cell>
        </row>
        <row r="47">
          <cell r="C47" t="str">
            <v>NLC TPS- II Expn.</v>
          </cell>
          <cell r="D47">
            <v>500</v>
          </cell>
          <cell r="E47">
            <v>5.1000000000000004E-3</v>
          </cell>
          <cell r="F47">
            <v>2.67</v>
          </cell>
          <cell r="G47">
            <v>0.1</v>
          </cell>
          <cell r="H47">
            <v>4.8081270290721898</v>
          </cell>
          <cell r="I47">
            <v>4.3273143261649709</v>
          </cell>
          <cell r="J47">
            <v>4.2029641544150742</v>
          </cell>
          <cell r="K47">
            <v>1.136255830830267</v>
          </cell>
          <cell r="L47">
            <v>1.2782498706887258</v>
          </cell>
          <cell r="M47">
            <v>0</v>
          </cell>
          <cell r="N47">
            <v>0</v>
          </cell>
          <cell r="O47">
            <v>0</v>
          </cell>
          <cell r="P47">
            <v>2.4145057015189928</v>
          </cell>
          <cell r="Q47">
            <v>2.7034630538941617</v>
          </cell>
          <cell r="R47">
            <v>3.0413056683958786</v>
          </cell>
          <cell r="S47">
            <v>0</v>
          </cell>
          <cell r="T47">
            <v>0</v>
          </cell>
          <cell r="U47">
            <v>0</v>
          </cell>
          <cell r="V47">
            <v>5.7447687222900399</v>
          </cell>
        </row>
        <row r="48">
          <cell r="C48" t="str">
            <v>NTPC Telangana STPS - I</v>
          </cell>
          <cell r="D48">
            <v>800</v>
          </cell>
          <cell r="E48">
            <v>1.0058000000000001E-2</v>
          </cell>
          <cell r="F48">
            <v>8.0500000000000007</v>
          </cell>
          <cell r="G48">
            <v>6.25E-2</v>
          </cell>
          <cell r="H48">
            <v>10.524125972413463</v>
          </cell>
          <cell r="I48">
            <v>9.8663680991376221</v>
          </cell>
          <cell r="J48">
            <v>9.4831723284874503</v>
          </cell>
          <cell r="K48">
            <v>0.22103434719547799</v>
          </cell>
          <cell r="L48">
            <v>3.5704143816755249</v>
          </cell>
          <cell r="M48">
            <v>0</v>
          </cell>
          <cell r="N48">
            <v>0</v>
          </cell>
          <cell r="O48">
            <v>0</v>
          </cell>
          <cell r="P48">
            <v>3.791448728871003</v>
          </cell>
          <cell r="Q48">
            <v>0.23308059744046916</v>
          </cell>
          <cell r="R48">
            <v>3.7649999999999997</v>
          </cell>
          <cell r="S48">
            <v>0</v>
          </cell>
          <cell r="T48">
            <v>0</v>
          </cell>
          <cell r="U48">
            <v>0</v>
          </cell>
          <cell r="V48">
            <v>3.998080597440469</v>
          </cell>
        </row>
        <row r="49">
          <cell r="C49" t="str">
            <v>JNNSM Ph-1 Thermal</v>
          </cell>
          <cell r="D49" t="str">
            <v>*39 MW clubbed into above capacities</v>
          </cell>
          <cell r="H49">
            <v>99.541099423047939</v>
          </cell>
          <cell r="I49">
            <v>99.541099423047939</v>
          </cell>
          <cell r="J49">
            <v>98.423359675214783</v>
          </cell>
          <cell r="K49">
            <v>20.629864470518179</v>
          </cell>
          <cell r="L49">
            <v>48.437890645149267</v>
          </cell>
          <cell r="M49">
            <v>0</v>
          </cell>
          <cell r="N49">
            <v>0</v>
          </cell>
          <cell r="O49">
            <v>0</v>
          </cell>
          <cell r="P49">
            <v>69.067755115667438</v>
          </cell>
          <cell r="Q49">
            <v>2.0960333541340437</v>
          </cell>
          <cell r="R49">
            <v>4.9213815505778769</v>
          </cell>
          <cell r="S49">
            <v>0</v>
          </cell>
          <cell r="T49">
            <v>0</v>
          </cell>
          <cell r="U49">
            <v>0</v>
          </cell>
          <cell r="V49">
            <v>7.0174149047119201</v>
          </cell>
        </row>
        <row r="50">
          <cell r="C50" t="str">
            <v>UI CHARGES (DSM)</v>
          </cell>
          <cell r="J50">
            <v>-11.1758520781</v>
          </cell>
          <cell r="K50">
            <v>5.9502464481600015</v>
          </cell>
          <cell r="L50">
            <v>57.080339698789984</v>
          </cell>
          <cell r="M50">
            <v>0</v>
          </cell>
          <cell r="N50">
            <v>0</v>
          </cell>
          <cell r="O50">
            <v>0</v>
          </cell>
          <cell r="P50">
            <v>63.030586146949986</v>
          </cell>
          <cell r="Q50">
            <v>-5.3241993599933179</v>
          </cell>
          <cell r="R50">
            <v>51.074709382243526</v>
          </cell>
          <cell r="S50">
            <v>0</v>
          </cell>
          <cell r="T50">
            <v>0</v>
          </cell>
          <cell r="U50">
            <v>0</v>
          </cell>
          <cell r="V50">
            <v>45.750510022250211</v>
          </cell>
        </row>
        <row r="51">
          <cell r="C51" t="str">
            <v>CGS TOTAL</v>
          </cell>
          <cell r="D51">
            <v>18010</v>
          </cell>
          <cell r="F51">
            <v>2024.17</v>
          </cell>
          <cell r="H51">
            <v>5850.8371345479127</v>
          </cell>
          <cell r="I51">
            <v>5469.9841917722606</v>
          </cell>
          <cell r="J51">
            <v>4963.4675330494183</v>
          </cell>
          <cell r="K51">
            <v>579.19160004971218</v>
          </cell>
          <cell r="L51">
            <v>1864.3474523581656</v>
          </cell>
          <cell r="M51">
            <v>0</v>
          </cell>
          <cell r="N51">
            <v>0</v>
          </cell>
          <cell r="O51">
            <v>0</v>
          </cell>
          <cell r="P51">
            <v>2443.5390524078775</v>
          </cell>
          <cell r="Q51">
            <v>1.1669092145624911</v>
          </cell>
          <cell r="R51">
            <v>3.7561391102980815</v>
          </cell>
          <cell r="S51">
            <v>0</v>
          </cell>
          <cell r="T51">
            <v>0</v>
          </cell>
          <cell r="U51">
            <v>0</v>
          </cell>
          <cell r="V51">
            <v>4.9230483248605719</v>
          </cell>
        </row>
        <row r="52">
          <cell r="C52" t="str">
            <v>SEIL P1 (Formerly Thermal Powertech)</v>
          </cell>
          <cell r="D52">
            <v>1320</v>
          </cell>
          <cell r="E52">
            <v>17.465909090909093</v>
          </cell>
          <cell r="F52">
            <v>230.55</v>
          </cell>
          <cell r="G52">
            <v>0.05</v>
          </cell>
          <cell r="H52">
            <v>764.40418083716315</v>
          </cell>
          <cell r="I52">
            <v>726.18397179530496</v>
          </cell>
          <cell r="J52">
            <v>703.02123296399282</v>
          </cell>
          <cell r="K52">
            <v>114.35556139531565</v>
          </cell>
          <cell r="L52">
            <v>172.88171175953732</v>
          </cell>
          <cell r="M52">
            <v>0.312620171725285</v>
          </cell>
          <cell r="N52">
            <v>0</v>
          </cell>
          <cell r="O52">
            <v>9.7420261013891931</v>
          </cell>
          <cell r="P52">
            <v>297.2919194279674</v>
          </cell>
          <cell r="Q52">
            <v>1.6266302642550865</v>
          </cell>
          <cell r="R52">
            <v>2.4591250399458695</v>
          </cell>
          <cell r="S52">
            <v>4.4468098126603343E-3</v>
          </cell>
          <cell r="T52">
            <v>0</v>
          </cell>
          <cell r="U52">
            <v>0.13857371078702765</v>
          </cell>
          <cell r="V52">
            <v>4.2287758248006435</v>
          </cell>
        </row>
        <row r="53">
          <cell r="C53" t="str">
            <v>SEIL P2 (500MW Firm)</v>
          </cell>
          <cell r="D53">
            <v>500</v>
          </cell>
          <cell r="E53">
            <v>100</v>
          </cell>
          <cell r="F53">
            <v>500</v>
          </cell>
          <cell r="G53">
            <v>0.05</v>
          </cell>
          <cell r="H53">
            <v>1607.1370428176972</v>
          </cell>
          <cell r="I53">
            <v>1526.7801906768123</v>
          </cell>
          <cell r="J53">
            <v>1597.3368172505193</v>
          </cell>
          <cell r="K53">
            <v>261.87821316504801</v>
          </cell>
          <cell r="L53">
            <v>419.68568809882481</v>
          </cell>
          <cell r="M53">
            <v>7.5497771471656332</v>
          </cell>
          <cell r="N53">
            <v>0</v>
          </cell>
          <cell r="O53">
            <v>0</v>
          </cell>
          <cell r="P53">
            <v>689.11367841103845</v>
          </cell>
          <cell r="Q53">
            <v>1.6394677086064822</v>
          </cell>
          <cell r="R53">
            <v>2.627408844311407</v>
          </cell>
          <cell r="S53">
            <v>4.7264778884649972E-2</v>
          </cell>
          <cell r="T53">
            <v>0</v>
          </cell>
          <cell r="U53">
            <v>0</v>
          </cell>
          <cell r="V53">
            <v>4.3141413318025394</v>
          </cell>
        </row>
        <row r="54">
          <cell r="C54" t="str">
            <v>SEIL P2 (125MW Open Cap)</v>
          </cell>
          <cell r="D54">
            <v>125</v>
          </cell>
          <cell r="E54">
            <v>100</v>
          </cell>
          <cell r="F54">
            <v>125</v>
          </cell>
          <cell r="G54">
            <v>0.05</v>
          </cell>
          <cell r="H54">
            <v>324.45330450640165</v>
          </cell>
          <cell r="I54">
            <v>308.23063928108155</v>
          </cell>
          <cell r="J54">
            <v>217.21378091797988</v>
          </cell>
          <cell r="K54">
            <v>40.782607804103513</v>
          </cell>
          <cell r="L54">
            <v>103.6109734978764</v>
          </cell>
          <cell r="M54">
            <v>1.567008610772991</v>
          </cell>
          <cell r="N54">
            <v>0</v>
          </cell>
          <cell r="O54">
            <v>0</v>
          </cell>
          <cell r="P54">
            <v>145.96058991275291</v>
          </cell>
          <cell r="Q54">
            <v>1.8775331671752018</v>
          </cell>
          <cell r="R54">
            <v>4.7699999999999996</v>
          </cell>
          <cell r="S54">
            <v>7.2141307248120456E-2</v>
          </cell>
          <cell r="T54">
            <v>0</v>
          </cell>
          <cell r="U54">
            <v>0</v>
          </cell>
          <cell r="V54">
            <v>6.7196744744233214</v>
          </cell>
        </row>
        <row r="55">
          <cell r="C55" t="str">
            <v>HNPCL</v>
          </cell>
          <cell r="D55">
            <v>1040</v>
          </cell>
          <cell r="E55">
            <v>100</v>
          </cell>
          <cell r="F55">
            <v>1040</v>
          </cell>
          <cell r="G55">
            <v>5.7500000000000002E-2</v>
          </cell>
          <cell r="H55">
            <v>2269.2989239427361</v>
          </cell>
          <cell r="I55">
            <v>2138.8142358160289</v>
          </cell>
          <cell r="J55">
            <v>2046.1246998479482</v>
          </cell>
          <cell r="K55">
            <v>301.61310363057839</v>
          </cell>
          <cell r="L55">
            <v>655.97280797505289</v>
          </cell>
          <cell r="M55">
            <v>0</v>
          </cell>
          <cell r="N55">
            <v>0</v>
          </cell>
          <cell r="O55">
            <v>0</v>
          </cell>
          <cell r="P55">
            <v>957.58591160563128</v>
          </cell>
          <cell r="Q55">
            <v>1.474070000000449</v>
          </cell>
          <cell r="R55">
            <v>3.2059278108699809</v>
          </cell>
          <cell r="S55">
            <v>0</v>
          </cell>
          <cell r="T55">
            <v>0</v>
          </cell>
          <cell r="U55">
            <v>0</v>
          </cell>
          <cell r="V55">
            <v>4.6799978108704297</v>
          </cell>
        </row>
        <row r="56">
          <cell r="C56" t="str">
            <v>IPP TOTAL</v>
          </cell>
          <cell r="D56">
            <v>2985</v>
          </cell>
          <cell r="F56">
            <v>1895.55</v>
          </cell>
          <cell r="H56">
            <v>4965.2934521039988</v>
          </cell>
          <cell r="I56">
            <v>4700.0090375692271</v>
          </cell>
          <cell r="J56">
            <v>4563.69653098044</v>
          </cell>
          <cell r="K56">
            <v>718.62948599504557</v>
          </cell>
          <cell r="L56">
            <v>1352.1511813312914</v>
          </cell>
          <cell r="M56">
            <v>9.4294059296639094</v>
          </cell>
          <cell r="N56">
            <v>0</v>
          </cell>
          <cell r="O56">
            <v>9.7420261013891931</v>
          </cell>
          <cell r="P56">
            <v>2089.9520993573901</v>
          </cell>
          <cell r="Q56">
            <v>1.5746653641771819</v>
          </cell>
          <cell r="R56">
            <v>2.9628420122860417</v>
          </cell>
          <cell r="S56">
            <v>2.0661772459349189E-2</v>
          </cell>
          <cell r="T56">
            <v>0</v>
          </cell>
          <cell r="U56">
            <v>2.1346787708726698E-2</v>
          </cell>
          <cell r="V56">
            <v>4.5795159366312994</v>
          </cell>
        </row>
        <row r="57">
          <cell r="C57" t="str">
            <v>NCE- Others</v>
          </cell>
          <cell r="D57">
            <v>155.06</v>
          </cell>
          <cell r="E57">
            <v>100</v>
          </cell>
          <cell r="F57">
            <v>155.06</v>
          </cell>
          <cell r="G57">
            <v>0.1</v>
          </cell>
          <cell r="H57">
            <v>122.07089668791586</v>
          </cell>
          <cell r="I57">
            <v>109.86380701912428</v>
          </cell>
          <cell r="J57">
            <v>108.64305733548517</v>
          </cell>
          <cell r="K57">
            <v>5.9469448688256961</v>
          </cell>
          <cell r="L57">
            <v>55.055566255960969</v>
          </cell>
          <cell r="M57">
            <v>0</v>
          </cell>
          <cell r="N57">
            <v>0</v>
          </cell>
          <cell r="O57">
            <v>0</v>
          </cell>
          <cell r="P57">
            <v>61.002511124786665</v>
          </cell>
          <cell r="Q57">
            <v>0.5473837919032214</v>
          </cell>
          <cell r="R57">
            <v>5.0675641505514433</v>
          </cell>
          <cell r="S57">
            <v>0</v>
          </cell>
          <cell r="T57">
            <v>0</v>
          </cell>
          <cell r="U57">
            <v>0</v>
          </cell>
          <cell r="V57">
            <v>5.6149479424546644</v>
          </cell>
        </row>
        <row r="58">
          <cell r="C58" t="str">
            <v>NCE Solar</v>
          </cell>
          <cell r="D58">
            <v>2466.4259999999999</v>
          </cell>
          <cell r="E58">
            <v>100</v>
          </cell>
          <cell r="F58">
            <v>2466.4259999999999</v>
          </cell>
          <cell r="G58">
            <v>0.01</v>
          </cell>
          <cell r="H58">
            <v>1895.6641087432117</v>
          </cell>
          <cell r="I58">
            <v>1876.7074676557795</v>
          </cell>
          <cell r="J58">
            <v>1841.8892059755503</v>
          </cell>
          <cell r="K58">
            <v>2.621702956340016</v>
          </cell>
          <cell r="L58">
            <v>776.50911006799777</v>
          </cell>
          <cell r="M58">
            <v>0</v>
          </cell>
          <cell r="N58">
            <v>0</v>
          </cell>
          <cell r="O58">
            <v>0</v>
          </cell>
          <cell r="P58">
            <v>779.13081302433784</v>
          </cell>
          <cell r="Q58">
            <v>1.4233771216176057E-2</v>
          </cell>
          <cell r="R58">
            <v>4.2158296359455694</v>
          </cell>
          <cell r="S58">
            <v>0</v>
          </cell>
          <cell r="T58">
            <v>0</v>
          </cell>
          <cell r="U58">
            <v>0</v>
          </cell>
          <cell r="V58">
            <v>4.2300634071617456</v>
          </cell>
        </row>
        <row r="59">
          <cell r="C59" t="str">
            <v>NCE WIND</v>
          </cell>
          <cell r="D59">
            <v>3636.45</v>
          </cell>
          <cell r="E59">
            <v>100</v>
          </cell>
          <cell r="F59">
            <v>3636.45</v>
          </cell>
          <cell r="G59">
            <v>5.0000000000000001E-3</v>
          </cell>
          <cell r="H59">
            <v>2734.9345743412155</v>
          </cell>
          <cell r="I59">
            <v>2721.2599014695093</v>
          </cell>
          <cell r="J59">
            <v>2690.8721842068308</v>
          </cell>
          <cell r="K59">
            <v>0</v>
          </cell>
          <cell r="L59">
            <v>1271.7433966997128</v>
          </cell>
          <cell r="M59">
            <v>0</v>
          </cell>
          <cell r="N59">
            <v>0</v>
          </cell>
          <cell r="O59">
            <v>0</v>
          </cell>
          <cell r="P59">
            <v>1271.7433966997128</v>
          </cell>
          <cell r="Q59">
            <v>0</v>
          </cell>
          <cell r="R59">
            <v>4.7261382542202588</v>
          </cell>
          <cell r="S59">
            <v>0</v>
          </cell>
          <cell r="T59">
            <v>0</v>
          </cell>
          <cell r="U59">
            <v>0</v>
          </cell>
          <cell r="V59">
            <v>4.7261382542202588</v>
          </cell>
        </row>
        <row r="60">
          <cell r="C60" t="str">
            <v>JNNSM PH 1 SOLAR</v>
          </cell>
          <cell r="D60">
            <v>39.200000000000003</v>
          </cell>
          <cell r="E60">
            <v>100</v>
          </cell>
          <cell r="F60">
            <v>39.200000000000003</v>
          </cell>
          <cell r="G60">
            <v>0.01</v>
          </cell>
          <cell r="H60">
            <v>17.344059175444045</v>
          </cell>
          <cell r="I60">
            <v>17.170618583689603</v>
          </cell>
          <cell r="J60">
            <v>16.840105322515548</v>
          </cell>
          <cell r="K60">
            <v>2.7091411160000689E-2</v>
          </cell>
          <cell r="L60">
            <v>18.125023942114026</v>
          </cell>
          <cell r="M60">
            <v>0</v>
          </cell>
          <cell r="N60">
            <v>0</v>
          </cell>
          <cell r="O60">
            <v>0</v>
          </cell>
          <cell r="P60">
            <v>18.152115353274027</v>
          </cell>
          <cell r="Q60">
            <v>1.608743570254216E-2</v>
          </cell>
          <cell r="R60">
            <v>10.763011035257907</v>
          </cell>
          <cell r="S60">
            <v>0</v>
          </cell>
          <cell r="T60">
            <v>0</v>
          </cell>
          <cell r="U60">
            <v>0</v>
          </cell>
          <cell r="V60">
            <v>10.779098470960449</v>
          </cell>
        </row>
        <row r="61">
          <cell r="C61" t="str">
            <v>JNNSM PH 2 SOLAR</v>
          </cell>
          <cell r="D61">
            <v>1250</v>
          </cell>
          <cell r="E61">
            <v>100</v>
          </cell>
          <cell r="F61">
            <v>1250</v>
          </cell>
          <cell r="G61">
            <v>0.01</v>
          </cell>
          <cell r="H61">
            <v>1090.5933814573057</v>
          </cell>
          <cell r="I61">
            <v>1079.6874476427326</v>
          </cell>
          <cell r="J61">
            <v>1065.1736887817592</v>
          </cell>
          <cell r="K61">
            <v>0.31193540805000453</v>
          </cell>
          <cell r="L61">
            <v>478.72210027882772</v>
          </cell>
          <cell r="M61">
            <v>0</v>
          </cell>
          <cell r="N61">
            <v>0</v>
          </cell>
          <cell r="O61">
            <v>0</v>
          </cell>
          <cell r="P61">
            <v>479.0340356868777</v>
          </cell>
          <cell r="Q61">
            <v>2.9284933653098916E-3</v>
          </cell>
          <cell r="R61">
            <v>4.4943102267794748</v>
          </cell>
          <cell r="S61">
            <v>0</v>
          </cell>
          <cell r="T61">
            <v>0</v>
          </cell>
          <cell r="U61">
            <v>0</v>
          </cell>
          <cell r="V61">
            <v>4.497238720144785</v>
          </cell>
        </row>
        <row r="62">
          <cell r="C62" t="str">
            <v>NCE TOTAL</v>
          </cell>
          <cell r="D62">
            <v>7547.1359999999995</v>
          </cell>
          <cell r="F62">
            <v>7547.1359999999995</v>
          </cell>
          <cell r="H62">
            <v>5860.607020405093</v>
          </cell>
          <cell r="I62">
            <v>5804.689242370835</v>
          </cell>
          <cell r="J62">
            <v>5723.4182416221411</v>
          </cell>
          <cell r="K62">
            <v>8.9076746443757173</v>
          </cell>
          <cell r="L62">
            <v>2600.1551972446136</v>
          </cell>
          <cell r="M62">
            <v>0</v>
          </cell>
          <cell r="N62">
            <v>0</v>
          </cell>
          <cell r="O62">
            <v>0</v>
          </cell>
          <cell r="P62">
            <v>2609.0628718889889</v>
          </cell>
          <cell r="Q62">
            <v>1.556355707083725E-2</v>
          </cell>
          <cell r="R62">
            <v>4.543010990068189</v>
          </cell>
          <cell r="S62">
            <v>0</v>
          </cell>
          <cell r="T62">
            <v>0</v>
          </cell>
          <cell r="U62">
            <v>0</v>
          </cell>
          <cell r="V62">
            <v>4.5585745471390258</v>
          </cell>
        </row>
        <row r="63">
          <cell r="C63" t="str">
            <v>NET SHORTTERM</v>
          </cell>
          <cell r="I63">
            <v>2596.3041345422134</v>
          </cell>
          <cell r="J63">
            <v>2596.3041345422134</v>
          </cell>
          <cell r="K63">
            <v>38.63456683481968</v>
          </cell>
          <cell r="L63">
            <v>2039.8602819714436</v>
          </cell>
          <cell r="M63">
            <v>0</v>
          </cell>
          <cell r="N63">
            <v>0</v>
          </cell>
          <cell r="O63">
            <v>0</v>
          </cell>
          <cell r="P63">
            <v>2078.4948488062632</v>
          </cell>
          <cell r="Q63">
            <v>0.14880601359760118</v>
          </cell>
          <cell r="R63">
            <v>7.8567847843107828</v>
          </cell>
          <cell r="S63">
            <v>0</v>
          </cell>
          <cell r="T63">
            <v>0</v>
          </cell>
          <cell r="U63">
            <v>0</v>
          </cell>
          <cell r="V63">
            <v>8.0055907979083845</v>
          </cell>
        </row>
        <row r="64">
          <cell r="C64" t="str">
            <v>Swapping Power to be Returned</v>
          </cell>
          <cell r="D64">
            <v>0</v>
          </cell>
          <cell r="E64">
            <v>0</v>
          </cell>
          <cell r="F64">
            <v>0</v>
          </cell>
          <cell r="G64">
            <v>0</v>
          </cell>
          <cell r="H64">
            <v>0</v>
          </cell>
          <cell r="I64">
            <v>-329.49734279999996</v>
          </cell>
          <cell r="J64">
            <v>-329.49734279999996</v>
          </cell>
          <cell r="K64">
            <v>0</v>
          </cell>
          <cell r="L64">
            <v>-178.74131045639996</v>
          </cell>
          <cell r="M64">
            <v>0</v>
          </cell>
          <cell r="N64">
            <v>0</v>
          </cell>
          <cell r="O64">
            <v>0</v>
          </cell>
          <cell r="P64">
            <v>-178.74131045639996</v>
          </cell>
          <cell r="Q64">
            <v>0</v>
          </cell>
          <cell r="R64">
            <v>5.424666218473674</v>
          </cell>
          <cell r="S64">
            <v>0</v>
          </cell>
          <cell r="T64">
            <v>0</v>
          </cell>
          <cell r="U64">
            <v>0</v>
          </cell>
          <cell r="V64">
            <v>5.424666218473674</v>
          </cell>
        </row>
        <row r="73">
          <cell r="C73" t="str">
            <v>Generating Station</v>
          </cell>
          <cell r="D73" t="str">
            <v>Plant Capacity</v>
          </cell>
          <cell r="E73" t="str">
            <v>DISCOM's share</v>
          </cell>
          <cell r="F73" t="str">
            <v>DISCOM's share</v>
          </cell>
          <cell r="G73" t="str">
            <v>Aux. Consumption</v>
          </cell>
          <cell r="H73" t="str">
            <v xml:space="preserve">Availability and Dispatch (MU) </v>
          </cell>
          <cell r="K73" t="str">
            <v>Cost (Rs. Crs.)</v>
          </cell>
          <cell r="Q73" t="str">
            <v>Unit Cost (Rs. / kWh)</v>
          </cell>
        </row>
        <row r="74">
          <cell r="D74" t="str">
            <v>(MW)</v>
          </cell>
          <cell r="E74" t="str">
            <v>(%)</v>
          </cell>
          <cell r="F74" t="str">
            <v>(MW)</v>
          </cell>
          <cell r="G74" t="str">
            <v>(%)</v>
          </cell>
          <cell r="H74" t="str">
            <v>Gross Availability(MU)</v>
          </cell>
          <cell r="I74" t="str">
            <v>Net  availability(MU)</v>
          </cell>
          <cell r="J74" t="str">
            <v>Despatch (MU)</v>
          </cell>
          <cell r="K74" t="str">
            <v>Fixed</v>
          </cell>
          <cell r="L74" t="str">
            <v>Variable</v>
          </cell>
          <cell r="M74" t="str">
            <v>Incentive</v>
          </cell>
          <cell r="N74" t="str">
            <v>Income Tax</v>
          </cell>
          <cell r="O74" t="str">
            <v>Others</v>
          </cell>
          <cell r="P74" t="str">
            <v>Total</v>
          </cell>
          <cell r="Q74" t="str">
            <v>Fixed</v>
          </cell>
          <cell r="R74" t="str">
            <v>Variable</v>
          </cell>
          <cell r="S74" t="str">
            <v>Incentive</v>
          </cell>
          <cell r="T74" t="str">
            <v>Income Tax</v>
          </cell>
          <cell r="U74" t="str">
            <v>Others</v>
          </cell>
          <cell r="V74" t="str">
            <v>Total</v>
          </cell>
        </row>
        <row r="75">
          <cell r="C75" t="str">
            <v>Apgenco-Thermal</v>
          </cell>
        </row>
        <row r="76">
          <cell r="C76" t="str">
            <v>Dr. NTTPS</v>
          </cell>
          <cell r="D76">
            <v>1260</v>
          </cell>
          <cell r="E76">
            <v>1</v>
          </cell>
          <cell r="F76">
            <v>1260</v>
          </cell>
          <cell r="G76">
            <v>0.09</v>
          </cell>
          <cell r="H76">
            <v>3504.3206443916638</v>
          </cell>
          <cell r="I76">
            <v>3188.9317863964143</v>
          </cell>
          <cell r="J76">
            <v>3048.8126275438117</v>
          </cell>
          <cell r="K76">
            <v>359.10610502261653</v>
          </cell>
          <cell r="L76">
            <v>1069.2185884796149</v>
          </cell>
          <cell r="M76" t="str">
            <v>-</v>
          </cell>
          <cell r="N76" t="str">
            <v>-</v>
          </cell>
          <cell r="O76" t="str">
            <v>-</v>
          </cell>
          <cell r="P76">
            <v>1428.3246935022314</v>
          </cell>
          <cell r="Q76">
            <v>1.1778556077154536</v>
          </cell>
          <cell r="R76">
            <v>3.5070000000000001</v>
          </cell>
          <cell r="S76">
            <v>0</v>
          </cell>
          <cell r="T76">
            <v>0</v>
          </cell>
          <cell r="U76">
            <v>0</v>
          </cell>
          <cell r="V76">
            <v>4.6848556077154537</v>
          </cell>
        </row>
        <row r="77">
          <cell r="C77" t="str">
            <v>Dr. NTTPS-IV</v>
          </cell>
          <cell r="D77">
            <v>500</v>
          </cell>
          <cell r="E77">
            <v>1</v>
          </cell>
          <cell r="F77">
            <v>500</v>
          </cell>
          <cell r="G77">
            <v>7.4999999999999997E-2</v>
          </cell>
          <cell r="H77">
            <v>1349.2454507444872</v>
          </cell>
          <cell r="I77">
            <v>1248.0520419386507</v>
          </cell>
          <cell r="J77">
            <v>1248.0520419386507</v>
          </cell>
          <cell r="K77">
            <v>132.84409532038373</v>
          </cell>
          <cell r="L77">
            <v>412.79321287120877</v>
          </cell>
          <cell r="M77" t="str">
            <v>-</v>
          </cell>
          <cell r="N77" t="str">
            <v>-</v>
          </cell>
          <cell r="O77" t="str">
            <v>-</v>
          </cell>
          <cell r="P77">
            <v>545.63730819159252</v>
          </cell>
          <cell r="Q77">
            <v>1.0644115057416317</v>
          </cell>
          <cell r="R77">
            <v>3.3075000000000001</v>
          </cell>
          <cell r="S77">
            <v>0</v>
          </cell>
          <cell r="T77">
            <v>0</v>
          </cell>
          <cell r="U77">
            <v>0</v>
          </cell>
          <cell r="V77">
            <v>4.3719115057416316</v>
          </cell>
        </row>
        <row r="78">
          <cell r="C78" t="str">
            <v>Dr. NTTPS-V</v>
          </cell>
          <cell r="D78">
            <v>800</v>
          </cell>
          <cell r="E78">
            <v>1</v>
          </cell>
          <cell r="F78">
            <v>800</v>
          </cell>
          <cell r="G78">
            <v>5.7500000000000002E-2</v>
          </cell>
          <cell r="H78">
            <v>2149.3718984006969</v>
          </cell>
          <cell r="I78">
            <v>2025.7830142426567</v>
          </cell>
          <cell r="J78">
            <v>2025.7830142426567</v>
          </cell>
          <cell r="K78">
            <v>667.01383868153766</v>
          </cell>
          <cell r="L78">
            <v>655.13822680607529</v>
          </cell>
          <cell r="M78" t="str">
            <v>-</v>
          </cell>
          <cell r="N78" t="str">
            <v>-</v>
          </cell>
          <cell r="O78" t="str">
            <v>-</v>
          </cell>
          <cell r="P78">
            <v>1322.1520654876131</v>
          </cell>
          <cell r="Q78">
            <v>3.2926223292029242</v>
          </cell>
          <cell r="R78">
            <v>3.2340000000000004</v>
          </cell>
          <cell r="S78">
            <v>0</v>
          </cell>
          <cell r="T78">
            <v>0</v>
          </cell>
          <cell r="U78">
            <v>0</v>
          </cell>
          <cell r="V78">
            <v>6.5266223292029242</v>
          </cell>
        </row>
        <row r="79">
          <cell r="C79" t="str">
            <v>RTPP Stage-I</v>
          </cell>
          <cell r="D79">
            <v>420</v>
          </cell>
          <cell r="E79">
            <v>1</v>
          </cell>
          <cell r="F79">
            <v>420</v>
          </cell>
          <cell r="G79">
            <v>0.09</v>
          </cell>
          <cell r="H79">
            <v>803.07348100642309</v>
          </cell>
          <cell r="I79">
            <v>730.796867715845</v>
          </cell>
          <cell r="J79">
            <v>484.92668665859668</v>
          </cell>
          <cell r="K79">
            <v>86.532690670691096</v>
          </cell>
          <cell r="L79">
            <v>196.54078610272921</v>
          </cell>
          <cell r="M79" t="str">
            <v>-</v>
          </cell>
          <cell r="N79" t="str">
            <v>-</v>
          </cell>
          <cell r="O79" t="str">
            <v>-</v>
          </cell>
          <cell r="P79">
            <v>283.07347677342034</v>
          </cell>
          <cell r="Q79">
            <v>1.7844489291143668</v>
          </cell>
          <cell r="R79">
            <v>4.0529999999999999</v>
          </cell>
          <cell r="S79">
            <v>0</v>
          </cell>
          <cell r="T79">
            <v>0</v>
          </cell>
          <cell r="U79">
            <v>0</v>
          </cell>
          <cell r="V79">
            <v>5.837448929114367</v>
          </cell>
        </row>
        <row r="80">
          <cell r="C80" t="str">
            <v>RTPP Stage-II</v>
          </cell>
          <cell r="D80">
            <v>420</v>
          </cell>
          <cell r="E80">
            <v>1</v>
          </cell>
          <cell r="F80">
            <v>420</v>
          </cell>
          <cell r="G80">
            <v>0.09</v>
          </cell>
          <cell r="H80">
            <v>876.08016109791595</v>
          </cell>
          <cell r="I80">
            <v>797.23294659910357</v>
          </cell>
          <cell r="J80">
            <v>431.01745525869131</v>
          </cell>
          <cell r="K80">
            <v>97.108006910922441</v>
          </cell>
          <cell r="L80">
            <v>174.69137461634759</v>
          </cell>
          <cell r="M80" t="str">
            <v>-</v>
          </cell>
          <cell r="N80" t="str">
            <v>-</v>
          </cell>
          <cell r="O80" t="str">
            <v>-</v>
          </cell>
          <cell r="P80">
            <v>271.79938152727004</v>
          </cell>
          <cell r="Q80">
            <v>2.2529947621875177</v>
          </cell>
          <cell r="R80">
            <v>4.0529999999999999</v>
          </cell>
          <cell r="S80">
            <v>0</v>
          </cell>
          <cell r="T80">
            <v>0</v>
          </cell>
          <cell r="U80">
            <v>0</v>
          </cell>
          <cell r="V80">
            <v>6.3059947621875176</v>
          </cell>
        </row>
        <row r="81">
          <cell r="C81" t="str">
            <v>RTPP Stage-III</v>
          </cell>
          <cell r="D81">
            <v>210</v>
          </cell>
          <cell r="E81">
            <v>1</v>
          </cell>
          <cell r="F81">
            <v>210</v>
          </cell>
          <cell r="G81">
            <v>0.09</v>
          </cell>
          <cell r="H81">
            <v>432.98955733834424</v>
          </cell>
          <cell r="I81">
            <v>394.02049717789328</v>
          </cell>
          <cell r="J81">
            <v>151.17185597083309</v>
          </cell>
          <cell r="K81">
            <v>58.700050191043317</v>
          </cell>
          <cell r="L81">
            <v>61.269953224978657</v>
          </cell>
          <cell r="M81" t="str">
            <v>-</v>
          </cell>
          <cell r="N81" t="str">
            <v>-</v>
          </cell>
          <cell r="O81" t="str">
            <v>-</v>
          </cell>
          <cell r="P81">
            <v>119.97000341602197</v>
          </cell>
          <cell r="Q81">
            <v>3.8830012249349397</v>
          </cell>
          <cell r="R81">
            <v>4.0529999999999999</v>
          </cell>
          <cell r="S81">
            <v>0</v>
          </cell>
          <cell r="T81">
            <v>0</v>
          </cell>
          <cell r="U81">
            <v>0</v>
          </cell>
          <cell r="V81">
            <v>7.9360012249349392</v>
          </cell>
        </row>
        <row r="82">
          <cell r="C82" t="str">
            <v>RTPP Stage-IV</v>
          </cell>
          <cell r="D82">
            <v>600</v>
          </cell>
          <cell r="E82">
            <v>1</v>
          </cell>
          <cell r="F82">
            <v>600</v>
          </cell>
          <cell r="G82">
            <v>5.7500000000000002E-2</v>
          </cell>
          <cell r="H82">
            <v>1233.7612572626676</v>
          </cell>
          <cell r="I82">
            <v>1162.8199849700643</v>
          </cell>
          <cell r="J82">
            <v>950.86457770023912</v>
          </cell>
          <cell r="K82">
            <v>239.13974245167077</v>
          </cell>
          <cell r="L82">
            <v>365.41725721020191</v>
          </cell>
          <cell r="M82" t="str">
            <v>-</v>
          </cell>
          <cell r="N82" t="str">
            <v>-</v>
          </cell>
          <cell r="O82" t="str">
            <v>-</v>
          </cell>
          <cell r="P82">
            <v>604.55699966187262</v>
          </cell>
          <cell r="Q82">
            <v>2.5149716169893943</v>
          </cell>
          <cell r="R82">
            <v>3.8430000000000004</v>
          </cell>
          <cell r="S82">
            <v>0</v>
          </cell>
          <cell r="T82">
            <v>0</v>
          </cell>
          <cell r="U82">
            <v>0</v>
          </cell>
          <cell r="V82">
            <v>6.3579716169893947</v>
          </cell>
        </row>
        <row r="83">
          <cell r="C83" t="str">
            <v>Genco-Thermal Total</v>
          </cell>
          <cell r="D83">
            <v>4210</v>
          </cell>
          <cell r="F83">
            <v>4210</v>
          </cell>
          <cell r="H83">
            <v>10348.842450242199</v>
          </cell>
          <cell r="I83">
            <v>9547.6371390406293</v>
          </cell>
          <cell r="J83">
            <v>8340.6282593134783</v>
          </cell>
          <cell r="K83">
            <v>1640.4445292488658</v>
          </cell>
          <cell r="L83">
            <v>2935.0693993111563</v>
          </cell>
          <cell r="M83">
            <v>0</v>
          </cell>
          <cell r="N83">
            <v>0</v>
          </cell>
          <cell r="O83">
            <v>0</v>
          </cell>
          <cell r="P83">
            <v>4575.5139285600217</v>
          </cell>
          <cell r="Q83">
            <v>1.9668117056015293</v>
          </cell>
          <cell r="R83">
            <v>3.5190027754009305</v>
          </cell>
          <cell r="S83">
            <v>0</v>
          </cell>
          <cell r="T83">
            <v>0</v>
          </cell>
          <cell r="U83">
            <v>0</v>
          </cell>
          <cell r="V83">
            <v>5.4858144810024596</v>
          </cell>
        </row>
        <row r="84">
          <cell r="C84" t="str">
            <v>Srisailam RCPH</v>
          </cell>
          <cell r="D84">
            <v>770</v>
          </cell>
          <cell r="E84">
            <v>1</v>
          </cell>
          <cell r="F84">
            <v>770</v>
          </cell>
          <cell r="G84">
            <v>0.01</v>
          </cell>
          <cell r="H84">
            <v>400.01516759475629</v>
          </cell>
          <cell r="I84">
            <v>396.01501591880873</v>
          </cell>
          <cell r="J84">
            <v>396.01501591880873</v>
          </cell>
          <cell r="K84">
            <v>97.805864699466227</v>
          </cell>
          <cell r="L84">
            <v>0</v>
          </cell>
          <cell r="M84">
            <v>0</v>
          </cell>
          <cell r="N84">
            <v>0</v>
          </cell>
          <cell r="O84">
            <v>0</v>
          </cell>
          <cell r="P84">
            <v>97.805864699466227</v>
          </cell>
          <cell r="Q84">
            <v>2.4697514176967079</v>
          </cell>
          <cell r="R84">
            <v>0</v>
          </cell>
          <cell r="S84">
            <v>0</v>
          </cell>
          <cell r="T84">
            <v>0</v>
          </cell>
          <cell r="U84">
            <v>0</v>
          </cell>
          <cell r="V84">
            <v>2.4697514176967079</v>
          </cell>
        </row>
        <row r="85">
          <cell r="C85" t="str">
            <v>NSRCPH</v>
          </cell>
          <cell r="D85">
            <v>90</v>
          </cell>
          <cell r="E85">
            <v>1</v>
          </cell>
          <cell r="F85">
            <v>90</v>
          </cell>
          <cell r="G85">
            <v>0.01</v>
          </cell>
          <cell r="H85">
            <v>51.740668792161685</v>
          </cell>
          <cell r="I85">
            <v>51.223262104240071</v>
          </cell>
          <cell r="J85">
            <v>51.223262104240071</v>
          </cell>
          <cell r="K85">
            <v>11.494546016668075</v>
          </cell>
          <cell r="L85">
            <v>0</v>
          </cell>
          <cell r="M85">
            <v>0</v>
          </cell>
          <cell r="N85">
            <v>0</v>
          </cell>
          <cell r="O85">
            <v>0</v>
          </cell>
          <cell r="P85">
            <v>11.494546016668075</v>
          </cell>
          <cell r="Q85">
            <v>2.2440089803879553</v>
          </cell>
          <cell r="R85">
            <v>0</v>
          </cell>
          <cell r="S85">
            <v>0</v>
          </cell>
          <cell r="T85">
            <v>0</v>
          </cell>
          <cell r="U85">
            <v>0</v>
          </cell>
          <cell r="V85">
            <v>2.2440089803879553</v>
          </cell>
        </row>
        <row r="86">
          <cell r="C86" t="str">
            <v>NSTPDC PH</v>
          </cell>
          <cell r="D86">
            <v>50</v>
          </cell>
          <cell r="E86">
            <v>1</v>
          </cell>
          <cell r="F86">
            <v>50</v>
          </cell>
          <cell r="G86">
            <v>0.01</v>
          </cell>
          <cell r="H86">
            <v>31.665051484643676</v>
          </cell>
          <cell r="I86">
            <v>31.34840096979724</v>
          </cell>
          <cell r="J86">
            <v>31.34840096979724</v>
          </cell>
          <cell r="K86">
            <v>21.419911957660027</v>
          </cell>
          <cell r="L86">
            <v>0</v>
          </cell>
          <cell r="M86">
            <v>0</v>
          </cell>
          <cell r="N86">
            <v>0</v>
          </cell>
          <cell r="O86">
            <v>0</v>
          </cell>
          <cell r="P86">
            <v>21.419911957660027</v>
          </cell>
          <cell r="Q86">
            <v>6.8328563164344933</v>
          </cell>
          <cell r="R86">
            <v>0</v>
          </cell>
          <cell r="S86">
            <v>0</v>
          </cell>
          <cell r="T86">
            <v>0</v>
          </cell>
          <cell r="U86">
            <v>0</v>
          </cell>
          <cell r="V86">
            <v>6.8328563164344933</v>
          </cell>
        </row>
        <row r="87">
          <cell r="C87" t="str">
            <v>Upper Sileru</v>
          </cell>
          <cell r="D87">
            <v>240</v>
          </cell>
          <cell r="E87">
            <v>1</v>
          </cell>
          <cell r="F87">
            <v>240</v>
          </cell>
          <cell r="G87">
            <v>0.01</v>
          </cell>
          <cell r="H87">
            <v>189.80108314649351</v>
          </cell>
          <cell r="I87">
            <v>187.90307231502857</v>
          </cell>
          <cell r="J87">
            <v>187.90307231502857</v>
          </cell>
          <cell r="K87">
            <v>117.09604719711187</v>
          </cell>
          <cell r="L87">
            <v>0</v>
          </cell>
          <cell r="M87">
            <v>0</v>
          </cell>
          <cell r="N87">
            <v>0</v>
          </cell>
          <cell r="O87">
            <v>0</v>
          </cell>
          <cell r="P87">
            <v>117.09604719711187</v>
          </cell>
          <cell r="Q87">
            <v>1.791468666294538</v>
          </cell>
          <cell r="R87">
            <v>0</v>
          </cell>
          <cell r="S87">
            <v>0</v>
          </cell>
          <cell r="T87">
            <v>0</v>
          </cell>
          <cell r="U87">
            <v>0</v>
          </cell>
          <cell r="V87">
            <v>1.791468666294538</v>
          </cell>
        </row>
        <row r="88">
          <cell r="C88" t="str">
            <v>Lower Sileru</v>
          </cell>
          <cell r="D88">
            <v>460</v>
          </cell>
          <cell r="E88">
            <v>1</v>
          </cell>
          <cell r="F88">
            <v>460</v>
          </cell>
          <cell r="G88">
            <v>0.01</v>
          </cell>
          <cell r="H88">
            <v>431.52185233371114</v>
          </cell>
          <cell r="I88">
            <v>427.206633810374</v>
          </cell>
          <cell r="J88">
            <v>427.206633810374</v>
          </cell>
          <cell r="L88">
            <v>0</v>
          </cell>
          <cell r="M88">
            <v>0</v>
          </cell>
          <cell r="N88">
            <v>0</v>
          </cell>
          <cell r="O88">
            <v>0</v>
          </cell>
          <cell r="R88">
            <v>0</v>
          </cell>
          <cell r="S88">
            <v>0</v>
          </cell>
          <cell r="T88">
            <v>0</v>
          </cell>
          <cell r="U88">
            <v>0</v>
          </cell>
        </row>
        <row r="89">
          <cell r="C89" t="str">
            <v>Donkarayi</v>
          </cell>
          <cell r="D89">
            <v>25</v>
          </cell>
          <cell r="E89">
            <v>1</v>
          </cell>
          <cell r="F89">
            <v>25</v>
          </cell>
          <cell r="G89">
            <v>0.01</v>
          </cell>
          <cell r="H89">
            <v>38.910970800084499</v>
          </cell>
          <cell r="I89">
            <v>38.521861092083654</v>
          </cell>
          <cell r="J89">
            <v>38.521861092083654</v>
          </cell>
          <cell r="L89">
            <v>0</v>
          </cell>
          <cell r="M89">
            <v>0</v>
          </cell>
          <cell r="N89">
            <v>0</v>
          </cell>
          <cell r="O89">
            <v>0</v>
          </cell>
          <cell r="R89">
            <v>0</v>
          </cell>
          <cell r="S89">
            <v>0</v>
          </cell>
          <cell r="T89">
            <v>0</v>
          </cell>
          <cell r="U89">
            <v>0</v>
          </cell>
        </row>
        <row r="90">
          <cell r="C90" t="str">
            <v>PABM</v>
          </cell>
          <cell r="D90">
            <v>20</v>
          </cell>
          <cell r="E90">
            <v>1</v>
          </cell>
          <cell r="F90">
            <v>20</v>
          </cell>
          <cell r="G90">
            <v>0.01</v>
          </cell>
          <cell r="H90">
            <v>2.661925375283352</v>
          </cell>
          <cell r="I90">
            <v>2.6353061215305185</v>
          </cell>
          <cell r="J90">
            <v>2.6353061215305185</v>
          </cell>
          <cell r="K90">
            <v>6.252316630987818</v>
          </cell>
          <cell r="L90">
            <v>0</v>
          </cell>
          <cell r="M90">
            <v>0</v>
          </cell>
          <cell r="N90">
            <v>0</v>
          </cell>
          <cell r="O90">
            <v>0</v>
          </cell>
          <cell r="P90">
            <v>6.252316630987818</v>
          </cell>
          <cell r="Q90">
            <v>23.725200575015673</v>
          </cell>
          <cell r="R90">
            <v>0</v>
          </cell>
          <cell r="S90">
            <v>0</v>
          </cell>
          <cell r="T90">
            <v>0</v>
          </cell>
          <cell r="U90">
            <v>0</v>
          </cell>
          <cell r="V90">
            <v>23.725200575015673</v>
          </cell>
        </row>
        <row r="91">
          <cell r="C91" t="str">
            <v>Minihydel(Chettipet)</v>
          </cell>
          <cell r="D91">
            <v>1</v>
          </cell>
          <cell r="E91">
            <v>1</v>
          </cell>
          <cell r="F91">
            <v>1</v>
          </cell>
          <cell r="G91">
            <v>0.01</v>
          </cell>
          <cell r="H91">
            <v>1.0457723413458744</v>
          </cell>
          <cell r="I91">
            <v>1.0353146179324155</v>
          </cell>
          <cell r="J91">
            <v>1.0353146179324155</v>
          </cell>
          <cell r="K91">
            <v>0.92219466385514626</v>
          </cell>
          <cell r="L91">
            <v>0</v>
          </cell>
          <cell r="M91">
            <v>0</v>
          </cell>
          <cell r="N91">
            <v>0</v>
          </cell>
          <cell r="O91">
            <v>0</v>
          </cell>
          <cell r="P91">
            <v>0.92219466385514626</v>
          </cell>
          <cell r="Q91">
            <v>8.9073857152410696</v>
          </cell>
          <cell r="R91">
            <v>0</v>
          </cell>
          <cell r="S91">
            <v>0</v>
          </cell>
          <cell r="T91">
            <v>0</v>
          </cell>
          <cell r="U91">
            <v>0</v>
          </cell>
          <cell r="V91">
            <v>8.9073857152410696</v>
          </cell>
        </row>
        <row r="92">
          <cell r="C92" t="str">
            <v>Machkund AP Share</v>
          </cell>
          <cell r="D92">
            <v>60</v>
          </cell>
          <cell r="E92">
            <v>1</v>
          </cell>
          <cell r="F92">
            <v>60</v>
          </cell>
          <cell r="G92">
            <v>0.01</v>
          </cell>
          <cell r="H92">
            <v>126.11363605497726</v>
          </cell>
          <cell r="I92">
            <v>124.85249969442749</v>
          </cell>
          <cell r="J92">
            <v>124.85249969442749</v>
          </cell>
          <cell r="K92">
            <v>31.753315080091504</v>
          </cell>
          <cell r="L92">
            <v>0</v>
          </cell>
          <cell r="M92">
            <v>0</v>
          </cell>
          <cell r="N92">
            <v>0</v>
          </cell>
          <cell r="O92">
            <v>0</v>
          </cell>
          <cell r="P92">
            <v>31.753315080091504</v>
          </cell>
          <cell r="Q92">
            <v>1.8088808727879262</v>
          </cell>
          <cell r="R92">
            <v>0</v>
          </cell>
          <cell r="S92">
            <v>0</v>
          </cell>
          <cell r="T92">
            <v>0</v>
          </cell>
          <cell r="U92">
            <v>0</v>
          </cell>
          <cell r="V92">
            <v>1.8088808727879262</v>
          </cell>
        </row>
        <row r="93">
          <cell r="C93" t="str">
            <v>TB Dam AP Share</v>
          </cell>
          <cell r="D93">
            <v>57.6</v>
          </cell>
          <cell r="E93">
            <v>1</v>
          </cell>
          <cell r="F93">
            <v>57.6</v>
          </cell>
          <cell r="G93">
            <v>0.01</v>
          </cell>
          <cell r="H93">
            <v>51.200725100393512</v>
          </cell>
          <cell r="I93">
            <v>50.688717849389576</v>
          </cell>
          <cell r="J93">
            <v>50.688717849389576</v>
          </cell>
          <cell r="L93">
            <v>0</v>
          </cell>
          <cell r="M93">
            <v>0</v>
          </cell>
          <cell r="N93">
            <v>0</v>
          </cell>
          <cell r="O93">
            <v>0</v>
          </cell>
          <cell r="R93">
            <v>0</v>
          </cell>
          <cell r="S93">
            <v>0</v>
          </cell>
          <cell r="T93">
            <v>0</v>
          </cell>
          <cell r="U93">
            <v>0</v>
          </cell>
        </row>
        <row r="94">
          <cell r="C94" t="str">
            <v>Genco Hydel Total</v>
          </cell>
          <cell r="D94">
            <v>1773.6</v>
          </cell>
          <cell r="F94">
            <v>1773.6</v>
          </cell>
          <cell r="H94">
            <v>1324.6768530238508</v>
          </cell>
          <cell r="I94">
            <v>1311.4300844936122</v>
          </cell>
          <cell r="J94">
            <v>1311.4300844936122</v>
          </cell>
          <cell r="K94">
            <v>286.74419624584067</v>
          </cell>
          <cell r="L94">
            <v>0</v>
          </cell>
          <cell r="M94">
            <v>0</v>
          </cell>
          <cell r="N94">
            <v>0</v>
          </cell>
          <cell r="O94">
            <v>0</v>
          </cell>
          <cell r="P94">
            <v>286.74419624584067</v>
          </cell>
          <cell r="Q94">
            <v>2.1865000630709366</v>
          </cell>
          <cell r="R94">
            <v>0</v>
          </cell>
          <cell r="S94">
            <v>0</v>
          </cell>
          <cell r="T94">
            <v>0</v>
          </cell>
          <cell r="U94">
            <v>0</v>
          </cell>
          <cell r="V94">
            <v>2.1865000630709366</v>
          </cell>
        </row>
        <row r="95">
          <cell r="C95" t="str">
            <v>APGENCO-TOTAL</v>
          </cell>
          <cell r="D95">
            <v>5983.6</v>
          </cell>
          <cell r="F95">
            <v>5983.6</v>
          </cell>
          <cell r="H95">
            <v>11673.51930326605</v>
          </cell>
          <cell r="I95">
            <v>10859.067223534241</v>
          </cell>
          <cell r="J95">
            <v>9652.0583438070898</v>
          </cell>
          <cell r="K95">
            <v>1927.1887254947064</v>
          </cell>
          <cell r="L95">
            <v>2935.0693993111563</v>
          </cell>
          <cell r="M95">
            <v>0</v>
          </cell>
          <cell r="N95">
            <v>0</v>
          </cell>
          <cell r="O95">
            <v>0</v>
          </cell>
          <cell r="P95">
            <v>4862.2581248058623</v>
          </cell>
          <cell r="Q95">
            <v>1.9966608746529393</v>
          </cell>
          <cell r="R95">
            <v>3.0408740755222872</v>
          </cell>
          <cell r="S95">
            <v>0</v>
          </cell>
          <cell r="T95">
            <v>0</v>
          </cell>
          <cell r="U95">
            <v>0</v>
          </cell>
          <cell r="V95">
            <v>5.0375349501752265</v>
          </cell>
        </row>
        <row r="96">
          <cell r="C96" t="str">
            <v>APPDCL Stage-I</v>
          </cell>
          <cell r="D96">
            <v>1600</v>
          </cell>
          <cell r="E96">
            <v>0.9</v>
          </cell>
          <cell r="F96">
            <v>1440</v>
          </cell>
          <cell r="G96">
            <v>6.5000000000000002E-2</v>
          </cell>
          <cell r="H96">
            <v>3036.9061588106711</v>
          </cell>
          <cell r="I96">
            <v>2839.5072584879777</v>
          </cell>
          <cell r="J96">
            <v>2839.5072584879777</v>
          </cell>
          <cell r="K96">
            <v>509.6606771606393</v>
          </cell>
          <cell r="L96">
            <v>936.18554312348624</v>
          </cell>
          <cell r="M96">
            <v>0</v>
          </cell>
          <cell r="N96">
            <v>0</v>
          </cell>
          <cell r="O96">
            <v>0</v>
          </cell>
          <cell r="P96">
            <v>1445.8462202841256</v>
          </cell>
          <cell r="Q96">
            <v>1.7948912637470447</v>
          </cell>
          <cell r="R96">
            <v>3.2970000000000002</v>
          </cell>
          <cell r="S96">
            <v>0</v>
          </cell>
          <cell r="T96">
            <v>0</v>
          </cell>
          <cell r="U96">
            <v>0</v>
          </cell>
          <cell r="V96">
            <v>5.091891263747045</v>
          </cell>
        </row>
        <row r="97">
          <cell r="C97" t="str">
            <v>APPDCL Stage-II</v>
          </cell>
          <cell r="D97">
            <v>800</v>
          </cell>
          <cell r="E97">
            <v>1</v>
          </cell>
          <cell r="F97">
            <v>800</v>
          </cell>
          <cell r="G97">
            <v>5.7500000000000002E-2</v>
          </cell>
          <cell r="H97">
            <v>1516.8738375835865</v>
          </cell>
          <cell r="I97">
            <v>1429.6535919225303</v>
          </cell>
          <cell r="J97">
            <v>1429.6535919225303</v>
          </cell>
          <cell r="K97">
            <v>396.55235968673747</v>
          </cell>
          <cell r="L97">
            <v>471.35678925685824</v>
          </cell>
          <cell r="M97">
            <v>0</v>
          </cell>
          <cell r="N97">
            <v>0</v>
          </cell>
          <cell r="O97">
            <v>0</v>
          </cell>
          <cell r="P97">
            <v>867.90914894359571</v>
          </cell>
          <cell r="Q97">
            <v>2.7737653507621567</v>
          </cell>
          <cell r="R97">
            <v>3.2970000000000002</v>
          </cell>
          <cell r="S97">
            <v>0</v>
          </cell>
          <cell r="T97">
            <v>0</v>
          </cell>
          <cell r="U97">
            <v>0</v>
          </cell>
          <cell r="V97">
            <v>6.0707653507621568</v>
          </cell>
        </row>
        <row r="98">
          <cell r="C98" t="str">
            <v>Godavari Gas Power Plant</v>
          </cell>
          <cell r="D98">
            <v>216.82400000000001</v>
          </cell>
          <cell r="E98">
            <v>1</v>
          </cell>
          <cell r="F98">
            <v>216.82400000000001</v>
          </cell>
          <cell r="G98">
            <v>4.7300000000000002E-2</v>
          </cell>
          <cell r="H98">
            <v>0</v>
          </cell>
          <cell r="I98">
            <v>0</v>
          </cell>
          <cell r="J98">
            <v>0</v>
          </cell>
          <cell r="K98">
            <v>6.8381998721974604</v>
          </cell>
          <cell r="L98">
            <v>0</v>
          </cell>
          <cell r="M98">
            <v>0</v>
          </cell>
          <cell r="N98">
            <v>0</v>
          </cell>
          <cell r="O98">
            <v>0</v>
          </cell>
          <cell r="P98">
            <v>6.8381998721974604</v>
          </cell>
          <cell r="Q98" t="e">
            <v>#DIV/0!</v>
          </cell>
          <cell r="R98">
            <v>14.62</v>
          </cell>
          <cell r="S98">
            <v>0</v>
          </cell>
          <cell r="T98">
            <v>0</v>
          </cell>
          <cell r="U98">
            <v>0</v>
          </cell>
          <cell r="V98" t="e">
            <v>#DIV/0!</v>
          </cell>
        </row>
        <row r="99">
          <cell r="C99" t="str">
            <v>Joint Sector-TOTAL</v>
          </cell>
          <cell r="D99">
            <v>2616.8240000000001</v>
          </cell>
          <cell r="F99">
            <v>2456.8240000000001</v>
          </cell>
          <cell r="H99">
            <v>4553.779996394258</v>
          </cell>
          <cell r="I99">
            <v>4269.1608504105079</v>
          </cell>
          <cell r="J99">
            <v>4269.1608504105079</v>
          </cell>
          <cell r="K99">
            <v>913.05123671957426</v>
          </cell>
          <cell r="L99">
            <v>1407.5423323803445</v>
          </cell>
          <cell r="M99">
            <v>0</v>
          </cell>
          <cell r="N99">
            <v>0</v>
          </cell>
          <cell r="O99">
            <v>0</v>
          </cell>
          <cell r="P99">
            <v>2320.593569099919</v>
          </cell>
          <cell r="Q99">
            <v>2.138713599024451</v>
          </cell>
          <cell r="R99">
            <v>3.2970000000000002</v>
          </cell>
          <cell r="S99">
            <v>0</v>
          </cell>
          <cell r="T99">
            <v>0</v>
          </cell>
          <cell r="U99">
            <v>0</v>
          </cell>
          <cell r="V99">
            <v>5.4357135990244521</v>
          </cell>
        </row>
        <row r="100">
          <cell r="C100" t="str">
            <v>NTPC(SR) Ramagundam I &amp; II</v>
          </cell>
          <cell r="D100">
            <v>2100</v>
          </cell>
          <cell r="E100">
            <v>14.93</v>
          </cell>
          <cell r="F100">
            <v>300.13</v>
          </cell>
          <cell r="G100">
            <v>7.0400000000000004E-2</v>
          </cell>
          <cell r="H100">
            <v>941.41012108147356</v>
          </cell>
          <cell r="I100">
            <v>875.13484855733782</v>
          </cell>
          <cell r="J100">
            <v>875.13484855733782</v>
          </cell>
          <cell r="K100">
            <v>62.148202178576931</v>
          </cell>
          <cell r="L100">
            <v>304.10935987367486</v>
          </cell>
          <cell r="M100">
            <v>0</v>
          </cell>
          <cell r="N100">
            <v>0</v>
          </cell>
          <cell r="O100">
            <v>0</v>
          </cell>
          <cell r="P100">
            <v>366.25756205225179</v>
          </cell>
          <cell r="Q100">
            <v>0.71015572378392211</v>
          </cell>
          <cell r="R100">
            <v>3.4750000000000001</v>
          </cell>
          <cell r="S100">
            <v>0</v>
          </cell>
          <cell r="T100">
            <v>0</v>
          </cell>
          <cell r="U100">
            <v>0</v>
          </cell>
          <cell r="V100">
            <v>4.1851557237839225</v>
          </cell>
        </row>
        <row r="101">
          <cell r="C101" t="str">
            <v>NTPC(SR) Simhadri Stage-I</v>
          </cell>
          <cell r="D101">
            <v>1000</v>
          </cell>
          <cell r="E101">
            <v>46.11</v>
          </cell>
          <cell r="F101">
            <v>461.1</v>
          </cell>
          <cell r="G101">
            <v>5.7500000000000002E-2</v>
          </cell>
          <cell r="H101">
            <v>1457.989916643593</v>
          </cell>
          <cell r="I101">
            <v>1374.1554964365864</v>
          </cell>
          <cell r="J101">
            <v>1374.1554964365864</v>
          </cell>
          <cell r="K101">
            <v>130.0250085672028</v>
          </cell>
          <cell r="L101">
            <v>451.82232722834959</v>
          </cell>
          <cell r="M101">
            <v>0</v>
          </cell>
          <cell r="N101">
            <v>0</v>
          </cell>
          <cell r="O101">
            <v>0</v>
          </cell>
          <cell r="P101">
            <v>581.84733579555245</v>
          </cell>
          <cell r="Q101">
            <v>0.94621757802795436</v>
          </cell>
          <cell r="R101">
            <v>3.2879999999999998</v>
          </cell>
          <cell r="S101">
            <v>0</v>
          </cell>
          <cell r="T101">
            <v>0</v>
          </cell>
          <cell r="U101">
            <v>0</v>
          </cell>
          <cell r="V101">
            <v>4.2342175780279545</v>
          </cell>
        </row>
        <row r="102">
          <cell r="C102" t="str">
            <v>NTPC(SR) Simhadri Stage-II</v>
          </cell>
          <cell r="D102">
            <v>1000</v>
          </cell>
          <cell r="E102">
            <v>21.387</v>
          </cell>
          <cell r="F102">
            <v>222.37</v>
          </cell>
          <cell r="G102">
            <v>5.7500000000000002E-2</v>
          </cell>
          <cell r="H102">
            <v>669.40666289688545</v>
          </cell>
          <cell r="I102">
            <v>630.91577978031455</v>
          </cell>
          <cell r="J102">
            <v>630.91577978031455</v>
          </cell>
          <cell r="K102">
            <v>86.361893405502784</v>
          </cell>
          <cell r="L102">
            <v>205.86781894231663</v>
          </cell>
          <cell r="M102">
            <v>0</v>
          </cell>
          <cell r="N102">
            <v>0</v>
          </cell>
          <cell r="O102">
            <v>0</v>
          </cell>
          <cell r="P102">
            <v>292.22971234781943</v>
          </cell>
          <cell r="Q102">
            <v>1.3688339422351121</v>
          </cell>
          <cell r="R102">
            <v>3.2629999999999999</v>
          </cell>
          <cell r="S102">
            <v>0</v>
          </cell>
          <cell r="T102">
            <v>0</v>
          </cell>
          <cell r="U102">
            <v>0</v>
          </cell>
          <cell r="V102">
            <v>4.6318339422351116</v>
          </cell>
        </row>
        <row r="103">
          <cell r="C103" t="str">
            <v>NTPC(SR) Talcher Stage-II</v>
          </cell>
          <cell r="D103">
            <v>2000</v>
          </cell>
          <cell r="E103">
            <v>8.84</v>
          </cell>
          <cell r="F103">
            <v>184.96</v>
          </cell>
          <cell r="G103">
            <v>6.25E-2</v>
          </cell>
          <cell r="H103">
            <v>564.19917025235736</v>
          </cell>
          <cell r="I103">
            <v>528.93672211158503</v>
          </cell>
          <cell r="J103">
            <v>528.93672211158503</v>
          </cell>
          <cell r="K103">
            <v>41.001548354080683</v>
          </cell>
          <cell r="L103">
            <v>92.934182075005481</v>
          </cell>
          <cell r="M103">
            <v>0</v>
          </cell>
          <cell r="N103">
            <v>0</v>
          </cell>
          <cell r="O103">
            <v>0</v>
          </cell>
          <cell r="P103">
            <v>133.93573042908616</v>
          </cell>
          <cell r="Q103">
            <v>0.77516925257896829</v>
          </cell>
          <cell r="R103">
            <v>1.7569999999999999</v>
          </cell>
          <cell r="S103">
            <v>0</v>
          </cell>
          <cell r="T103">
            <v>0</v>
          </cell>
          <cell r="U103">
            <v>0</v>
          </cell>
          <cell r="V103">
            <v>2.5321692525789681</v>
          </cell>
        </row>
        <row r="104">
          <cell r="C104" t="str">
            <v>NTPC(SR) Ramagundam III</v>
          </cell>
          <cell r="D104">
            <v>500</v>
          </cell>
          <cell r="E104">
            <v>14.568</v>
          </cell>
          <cell r="F104">
            <v>75.25</v>
          </cell>
          <cell r="G104">
            <v>6.25E-2</v>
          </cell>
          <cell r="H104">
            <v>224.83920740525616</v>
          </cell>
          <cell r="I104">
            <v>210.78675694242764</v>
          </cell>
          <cell r="J104">
            <v>210.78675694242764</v>
          </cell>
          <cell r="K104">
            <v>17.196647201637209</v>
          </cell>
          <cell r="L104">
            <v>72.278778955558437</v>
          </cell>
          <cell r="M104">
            <v>0</v>
          </cell>
          <cell r="N104">
            <v>0</v>
          </cell>
          <cell r="O104">
            <v>0</v>
          </cell>
          <cell r="P104">
            <v>89.475426157195642</v>
          </cell>
          <cell r="Q104">
            <v>0.81583148064345157</v>
          </cell>
          <cell r="R104">
            <v>3.4289999999999998</v>
          </cell>
          <cell r="S104">
            <v>0</v>
          </cell>
          <cell r="T104">
            <v>0</v>
          </cell>
          <cell r="U104">
            <v>0</v>
          </cell>
          <cell r="V104">
            <v>4.2448314806434517</v>
          </cell>
        </row>
        <row r="105">
          <cell r="C105" t="str">
            <v>NTPC Kudgi Stage-I</v>
          </cell>
          <cell r="D105">
            <v>2400</v>
          </cell>
          <cell r="E105">
            <v>8.7851768958943595</v>
          </cell>
          <cell r="F105">
            <v>239.54</v>
          </cell>
          <cell r="G105">
            <v>6.25E-2</v>
          </cell>
          <cell r="H105">
            <v>694.32929465087955</v>
          </cell>
          <cell r="I105">
            <v>650.9337137351996</v>
          </cell>
          <cell r="J105">
            <v>152.27233764235419</v>
          </cell>
          <cell r="K105">
            <v>103.93546623257258</v>
          </cell>
          <cell r="L105">
            <v>74.23276460064767</v>
          </cell>
          <cell r="M105">
            <v>0</v>
          </cell>
          <cell r="N105">
            <v>0</v>
          </cell>
          <cell r="O105">
            <v>0</v>
          </cell>
          <cell r="P105">
            <v>178.16823083322026</v>
          </cell>
          <cell r="Q105">
            <v>0</v>
          </cell>
          <cell r="R105">
            <v>4.875</v>
          </cell>
          <cell r="S105">
            <v>0</v>
          </cell>
          <cell r="T105">
            <v>0</v>
          </cell>
          <cell r="U105">
            <v>0</v>
          </cell>
          <cell r="V105">
            <v>4.875</v>
          </cell>
        </row>
        <row r="106">
          <cell r="C106" t="str">
            <v>NTECL Valluru</v>
          </cell>
          <cell r="D106">
            <v>1500</v>
          </cell>
          <cell r="E106">
            <v>5.9749999999999996</v>
          </cell>
          <cell r="F106">
            <v>86.44</v>
          </cell>
          <cell r="G106">
            <v>6.25E-2</v>
          </cell>
          <cell r="H106">
            <v>266.83249771043398</v>
          </cell>
          <cell r="I106">
            <v>250.15546660353186</v>
          </cell>
          <cell r="J106">
            <v>85.524381314740381</v>
          </cell>
          <cell r="K106">
            <v>40.630143406055119</v>
          </cell>
          <cell r="L106">
            <v>35.903135275928015</v>
          </cell>
          <cell r="M106">
            <v>0</v>
          </cell>
          <cell r="N106">
            <v>0</v>
          </cell>
          <cell r="O106">
            <v>0</v>
          </cell>
          <cell r="P106">
            <v>76.533278681983134</v>
          </cell>
          <cell r="Q106">
            <v>4.750708836645205</v>
          </cell>
          <cell r="R106">
            <v>4.1980000000000004</v>
          </cell>
          <cell r="S106">
            <v>0</v>
          </cell>
          <cell r="T106">
            <v>0</v>
          </cell>
          <cell r="U106">
            <v>0</v>
          </cell>
          <cell r="V106">
            <v>8.9487088366452063</v>
          </cell>
        </row>
        <row r="107">
          <cell r="C107" t="str">
            <v>NLC Stage-I</v>
          </cell>
          <cell r="D107">
            <v>630</v>
          </cell>
          <cell r="E107">
            <v>7.8769999999999998</v>
          </cell>
          <cell r="F107">
            <v>46.88</v>
          </cell>
          <cell r="G107">
            <v>0.1</v>
          </cell>
          <cell r="H107">
            <v>141.17531863295648</v>
          </cell>
          <cell r="I107">
            <v>127.05778676966082</v>
          </cell>
          <cell r="J107">
            <v>127.05778676966082</v>
          </cell>
          <cell r="K107">
            <v>10.517134184718858</v>
          </cell>
          <cell r="L107">
            <v>40.663574077762249</v>
          </cell>
          <cell r="M107">
            <v>0</v>
          </cell>
          <cell r="N107">
            <v>0</v>
          </cell>
          <cell r="O107">
            <v>0</v>
          </cell>
          <cell r="P107">
            <v>51.180708262481104</v>
          </cell>
          <cell r="Q107">
            <v>0.82774416681639895</v>
          </cell>
          <cell r="R107">
            <v>3.2004000000000001</v>
          </cell>
          <cell r="S107">
            <v>0</v>
          </cell>
          <cell r="T107">
            <v>0</v>
          </cell>
          <cell r="U107">
            <v>0</v>
          </cell>
          <cell r="V107">
            <v>4.0281441668163991</v>
          </cell>
        </row>
        <row r="108">
          <cell r="C108" t="str">
            <v>NLC Stage-II</v>
          </cell>
          <cell r="D108">
            <v>840</v>
          </cell>
          <cell r="E108">
            <v>10.535</v>
          </cell>
          <cell r="F108">
            <v>85.83</v>
          </cell>
          <cell r="G108">
            <v>0.1</v>
          </cell>
          <cell r="H108">
            <v>263.63087022031124</v>
          </cell>
          <cell r="I108">
            <v>237.26778319828014</v>
          </cell>
          <cell r="J108">
            <v>237.26778319828014</v>
          </cell>
          <cell r="K108">
            <v>19.804113510275688</v>
          </cell>
          <cell r="L108">
            <v>76.020597736728959</v>
          </cell>
          <cell r="M108">
            <v>0</v>
          </cell>
          <cell r="N108">
            <v>0</v>
          </cell>
          <cell r="O108">
            <v>0</v>
          </cell>
          <cell r="P108">
            <v>95.824711247004643</v>
          </cell>
          <cell r="Q108">
            <v>0.83467351712582771</v>
          </cell>
          <cell r="R108">
            <v>3.2040000000000002</v>
          </cell>
          <cell r="S108">
            <v>0</v>
          </cell>
          <cell r="T108">
            <v>0</v>
          </cell>
          <cell r="U108">
            <v>0</v>
          </cell>
          <cell r="V108">
            <v>4.0386735171258277</v>
          </cell>
        </row>
        <row r="109">
          <cell r="C109" t="str">
            <v>NPC(MAPS)</v>
          </cell>
          <cell r="D109">
            <v>440</v>
          </cell>
          <cell r="E109">
            <v>4.12</v>
          </cell>
          <cell r="F109">
            <v>18.16</v>
          </cell>
          <cell r="G109">
            <v>0.105</v>
          </cell>
          <cell r="H109">
            <v>41.251479617980031</v>
          </cell>
          <cell r="I109">
            <v>36.920074258092129</v>
          </cell>
          <cell r="J109">
            <v>36.920074258092129</v>
          </cell>
          <cell r="K109">
            <v>0</v>
          </cell>
          <cell r="L109">
            <v>9.4161182578908438</v>
          </cell>
          <cell r="M109">
            <v>0</v>
          </cell>
          <cell r="N109">
            <v>0</v>
          </cell>
          <cell r="O109">
            <v>0</v>
          </cell>
          <cell r="P109">
            <v>9.4161182578908438</v>
          </cell>
          <cell r="Q109">
            <v>0</v>
          </cell>
          <cell r="R109">
            <v>2.550406099420838</v>
          </cell>
          <cell r="S109">
            <v>0</v>
          </cell>
          <cell r="T109">
            <v>0</v>
          </cell>
          <cell r="U109">
            <v>0</v>
          </cell>
          <cell r="V109">
            <v>2.550406099420838</v>
          </cell>
        </row>
        <row r="110">
          <cell r="C110" t="str">
            <v>NPC(KAIGA unit I,II,III,IV)</v>
          </cell>
          <cell r="D110">
            <v>880</v>
          </cell>
          <cell r="E110">
            <v>12.984999999999999</v>
          </cell>
          <cell r="F110">
            <v>114.45</v>
          </cell>
          <cell r="G110">
            <v>0.105</v>
          </cell>
          <cell r="H110">
            <v>287.41946763155096</v>
          </cell>
          <cell r="I110">
            <v>257.2404235302381</v>
          </cell>
          <cell r="J110">
            <v>257.2404235302381</v>
          </cell>
          <cell r="K110">
            <v>0</v>
          </cell>
          <cell r="L110">
            <v>89.998187914389774</v>
          </cell>
          <cell r="M110">
            <v>0</v>
          </cell>
          <cell r="N110">
            <v>0</v>
          </cell>
          <cell r="O110">
            <v>0</v>
          </cell>
          <cell r="P110">
            <v>89.998187914389774</v>
          </cell>
          <cell r="Q110">
            <v>0</v>
          </cell>
          <cell r="R110">
            <v>3.4986020734727434</v>
          </cell>
          <cell r="S110">
            <v>0</v>
          </cell>
          <cell r="T110">
            <v>0</v>
          </cell>
          <cell r="U110">
            <v>0</v>
          </cell>
          <cell r="V110">
            <v>3.4986020734727434</v>
          </cell>
        </row>
        <row r="111">
          <cell r="C111" t="str">
            <v>NTPL(NLC TamilNadu)</v>
          </cell>
          <cell r="D111">
            <v>1000</v>
          </cell>
          <cell r="E111">
            <v>12.819000000000001</v>
          </cell>
          <cell r="F111">
            <v>121.61</v>
          </cell>
          <cell r="G111">
            <v>5.7500000000000002E-2</v>
          </cell>
          <cell r="H111">
            <v>362.58543786638563</v>
          </cell>
          <cell r="I111">
            <v>341.73677518906845</v>
          </cell>
          <cell r="J111">
            <v>341.73677518906845</v>
          </cell>
          <cell r="K111">
            <v>52.547690263407794</v>
          </cell>
          <cell r="L111">
            <v>118.17257686037988</v>
          </cell>
          <cell r="M111">
            <v>0</v>
          </cell>
          <cell r="N111">
            <v>0</v>
          </cell>
          <cell r="O111">
            <v>0</v>
          </cell>
          <cell r="P111">
            <v>170.72026712378766</v>
          </cell>
          <cell r="Q111">
            <v>1.5376656560984809</v>
          </cell>
          <cell r="R111">
            <v>3.4580000000000002</v>
          </cell>
          <cell r="S111">
            <v>0</v>
          </cell>
          <cell r="T111">
            <v>0</v>
          </cell>
          <cell r="U111">
            <v>0</v>
          </cell>
          <cell r="V111">
            <v>4.9956656560984811</v>
          </cell>
        </row>
        <row r="112">
          <cell r="C112" t="str">
            <v>NLC NNTPS</v>
          </cell>
          <cell r="D112">
            <v>1000</v>
          </cell>
          <cell r="E112">
            <v>5.274</v>
          </cell>
          <cell r="F112">
            <v>52.71</v>
          </cell>
          <cell r="G112">
            <v>6.25E-2</v>
          </cell>
          <cell r="H112">
            <v>157.98824902799808</v>
          </cell>
          <cell r="I112">
            <v>148.11398346374821</v>
          </cell>
          <cell r="J112">
            <v>148.11398346374821</v>
          </cell>
          <cell r="K112">
            <v>26.31548944444771</v>
          </cell>
          <cell r="L112">
            <v>38.228219131993413</v>
          </cell>
          <cell r="M112">
            <v>0</v>
          </cell>
          <cell r="N112">
            <v>0</v>
          </cell>
          <cell r="O112">
            <v>0</v>
          </cell>
          <cell r="P112">
            <v>64.543708576441119</v>
          </cell>
          <cell r="Q112">
            <v>1.7767052663794292</v>
          </cell>
          <cell r="R112">
            <v>2.581</v>
          </cell>
          <cell r="S112">
            <v>0</v>
          </cell>
          <cell r="T112">
            <v>0</v>
          </cell>
          <cell r="U112">
            <v>0</v>
          </cell>
          <cell r="V112">
            <v>4.3577052663794289</v>
          </cell>
        </row>
        <row r="113">
          <cell r="C113" t="str">
            <v>KKNPP Unit-I</v>
          </cell>
          <cell r="D113">
            <v>1000</v>
          </cell>
          <cell r="E113">
            <v>0.17</v>
          </cell>
          <cell r="F113">
            <v>1.78</v>
          </cell>
          <cell r="G113">
            <v>7.0000000000000007E-2</v>
          </cell>
          <cell r="H113">
            <v>6.0036852827028548</v>
          </cell>
          <cell r="I113">
            <v>5.5834273129136545</v>
          </cell>
          <cell r="J113">
            <v>5.5834273129136545</v>
          </cell>
          <cell r="K113">
            <v>0</v>
          </cell>
          <cell r="L113">
            <v>2.4000661068507889</v>
          </cell>
          <cell r="M113">
            <v>0</v>
          </cell>
          <cell r="N113">
            <v>0</v>
          </cell>
          <cell r="O113">
            <v>0</v>
          </cell>
          <cell r="P113">
            <v>2.4000661068507889</v>
          </cell>
          <cell r="Q113">
            <v>0</v>
          </cell>
          <cell r="R113">
            <v>4.2985535090602598</v>
          </cell>
          <cell r="S113">
            <v>0</v>
          </cell>
          <cell r="T113">
            <v>0</v>
          </cell>
          <cell r="U113">
            <v>0</v>
          </cell>
          <cell r="V113">
            <v>4.2985535090602598</v>
          </cell>
        </row>
        <row r="114">
          <cell r="C114" t="str">
            <v>NLC TPS- I Expn.</v>
          </cell>
          <cell r="D114">
            <v>420</v>
          </cell>
          <cell r="E114">
            <v>0.51</v>
          </cell>
          <cell r="F114">
            <v>2.2400000000000002</v>
          </cell>
          <cell r="G114">
            <v>8.5000000000000006E-2</v>
          </cell>
          <cell r="H114">
            <v>7.194032403843206</v>
          </cell>
          <cell r="I114">
            <v>6.5825396495165336</v>
          </cell>
          <cell r="J114">
            <v>6.5825396495165336</v>
          </cell>
          <cell r="K114">
            <v>0.59741554877525171</v>
          </cell>
          <cell r="L114">
            <v>1.8773403080421154</v>
          </cell>
          <cell r="M114">
            <v>0</v>
          </cell>
          <cell r="N114">
            <v>0</v>
          </cell>
          <cell r="O114">
            <v>0</v>
          </cell>
          <cell r="P114">
            <v>2.4747558568173673</v>
          </cell>
          <cell r="Q114">
            <v>0.90757607334599188</v>
          </cell>
          <cell r="R114">
            <v>2.8519999999999999</v>
          </cell>
          <cell r="S114">
            <v>0</v>
          </cell>
          <cell r="T114">
            <v>0</v>
          </cell>
          <cell r="U114">
            <v>0</v>
          </cell>
          <cell r="V114">
            <v>3.7595760733459915</v>
          </cell>
        </row>
        <row r="115">
          <cell r="C115" t="str">
            <v>NLC TPS- II Expn.</v>
          </cell>
          <cell r="D115">
            <v>500</v>
          </cell>
          <cell r="E115">
            <v>0.51</v>
          </cell>
          <cell r="F115">
            <v>2.67</v>
          </cell>
          <cell r="G115">
            <v>0.1</v>
          </cell>
          <cell r="H115">
            <v>6.1611794516272864</v>
          </cell>
          <cell r="I115">
            <v>5.5450615064645579</v>
          </cell>
          <cell r="J115">
            <v>5.5450615064645579</v>
          </cell>
          <cell r="K115">
            <v>1.4070254006607461</v>
          </cell>
          <cell r="L115">
            <v>1.6868077102665182</v>
          </cell>
          <cell r="M115">
            <v>0</v>
          </cell>
          <cell r="N115">
            <v>0</v>
          </cell>
          <cell r="O115">
            <v>0</v>
          </cell>
          <cell r="P115">
            <v>3.0938331109272643</v>
          </cell>
          <cell r="Q115">
            <v>2.5374387624382599</v>
          </cell>
          <cell r="R115">
            <v>3.0419999999999998</v>
          </cell>
          <cell r="S115">
            <v>0</v>
          </cell>
          <cell r="T115">
            <v>0</v>
          </cell>
          <cell r="U115">
            <v>0</v>
          </cell>
          <cell r="V115">
            <v>5.5794387624382598</v>
          </cell>
        </row>
        <row r="116">
          <cell r="C116" t="str">
            <v>NTPC Telangana STPS - I</v>
          </cell>
          <cell r="D116">
            <v>800</v>
          </cell>
          <cell r="E116">
            <v>1.0058</v>
          </cell>
          <cell r="F116">
            <v>8.0500000000000007</v>
          </cell>
          <cell r="G116">
            <v>6.25E-2</v>
          </cell>
          <cell r="H116">
            <v>23.778104661577341</v>
          </cell>
          <cell r="I116">
            <v>22.291973120228757</v>
          </cell>
          <cell r="J116">
            <v>20.318738630277082</v>
          </cell>
          <cell r="K116">
            <v>0.44433227380159879</v>
          </cell>
          <cell r="L116">
            <v>7.6500050942993214</v>
          </cell>
          <cell r="M116">
            <v>0</v>
          </cell>
          <cell r="N116">
            <v>0</v>
          </cell>
          <cell r="O116">
            <v>0</v>
          </cell>
          <cell r="P116">
            <v>8.0943373681009199</v>
          </cell>
          <cell r="Q116">
            <v>0.21868103226619415</v>
          </cell>
          <cell r="R116">
            <v>3.7650000000000001</v>
          </cell>
          <cell r="S116">
            <v>0</v>
          </cell>
          <cell r="T116">
            <v>0</v>
          </cell>
          <cell r="U116">
            <v>0</v>
          </cell>
          <cell r="V116">
            <v>3.9836810322661944</v>
          </cell>
        </row>
        <row r="117">
          <cell r="C117" t="str">
            <v>JNNSM Ph-1 Thermal</v>
          </cell>
          <cell r="D117" t="str">
            <v>*39 MW clubbed into above capacities</v>
          </cell>
          <cell r="E117">
            <v>100</v>
          </cell>
          <cell r="F117">
            <v>0</v>
          </cell>
          <cell r="G117">
            <v>6.25E-2</v>
          </cell>
          <cell r="H117">
            <v>123.3303193116873</v>
          </cell>
          <cell r="I117">
            <v>115.62217435470684</v>
          </cell>
          <cell r="J117">
            <v>115.62217435470684</v>
          </cell>
          <cell r="K117">
            <v>13.184176509550738</v>
          </cell>
          <cell r="L117">
            <v>62.077545411042102</v>
          </cell>
          <cell r="M117">
            <v>0</v>
          </cell>
          <cell r="N117">
            <v>0</v>
          </cell>
          <cell r="O117">
            <v>0</v>
          </cell>
          <cell r="P117">
            <v>75.261721920592834</v>
          </cell>
          <cell r="Q117">
            <v>1.1402809697302692</v>
          </cell>
          <cell r="R117">
            <v>5.3689999999999998</v>
          </cell>
          <cell r="S117">
            <v>0</v>
          </cell>
          <cell r="T117">
            <v>0</v>
          </cell>
          <cell r="U117">
            <v>0</v>
          </cell>
          <cell r="V117">
            <v>6.5092809697302689</v>
          </cell>
        </row>
        <row r="118">
          <cell r="C118" t="str">
            <v>CGS TOTAL</v>
          </cell>
          <cell r="D118">
            <v>18010</v>
          </cell>
          <cell r="F118">
            <v>2024.17</v>
          </cell>
          <cell r="H118">
            <v>6239.525014749499</v>
          </cell>
          <cell r="I118">
            <v>5824.9807865199018</v>
          </cell>
          <cell r="J118">
            <v>5159.715090648313</v>
          </cell>
          <cell r="K118">
            <v>606.11628648126657</v>
          </cell>
          <cell r="L118">
            <v>1685.3394055611266</v>
          </cell>
          <cell r="M118">
            <v>0</v>
          </cell>
          <cell r="N118">
            <v>0</v>
          </cell>
          <cell r="O118">
            <v>0</v>
          </cell>
          <cell r="P118">
            <v>2291.4556920423934</v>
          </cell>
          <cell r="Q118">
            <v>1.1747088275858828</v>
          </cell>
          <cell r="R118">
            <v>3.2663419897267336</v>
          </cell>
          <cell r="S118">
            <v>0</v>
          </cell>
          <cell r="T118">
            <v>0</v>
          </cell>
          <cell r="U118">
            <v>0</v>
          </cell>
          <cell r="V118">
            <v>4.4410508173126164</v>
          </cell>
        </row>
        <row r="119">
          <cell r="C119" t="str">
            <v>SEIL P1 (Formerly Thermal Powertech)</v>
          </cell>
          <cell r="D119">
            <v>1320</v>
          </cell>
          <cell r="E119">
            <v>17.465909090909093</v>
          </cell>
          <cell r="F119">
            <v>230.55</v>
          </cell>
          <cell r="G119">
            <v>0.05</v>
          </cell>
          <cell r="H119">
            <v>843.69373910244167</v>
          </cell>
          <cell r="I119">
            <v>801.50905214731949</v>
          </cell>
          <cell r="J119">
            <v>801.50905214731949</v>
          </cell>
          <cell r="K119">
            <v>101.15772056282979</v>
          </cell>
          <cell r="L119">
            <v>205.18631734971376</v>
          </cell>
          <cell r="M119">
            <v>3.0019457634233051</v>
          </cell>
          <cell r="N119">
            <v>0</v>
          </cell>
          <cell r="O119">
            <v>22.414804241407744</v>
          </cell>
          <cell r="P119">
            <v>331.76078791737461</v>
          </cell>
          <cell r="Q119">
            <v>1.262090805984269</v>
          </cell>
          <cell r="R119">
            <v>2.56</v>
          </cell>
          <cell r="S119">
            <v>0.25</v>
          </cell>
          <cell r="T119">
            <v>0</v>
          </cell>
          <cell r="U119">
            <v>0.28000000000000003</v>
          </cell>
          <cell r="V119">
            <v>4.3520908059842691</v>
          </cell>
        </row>
        <row r="120">
          <cell r="C120" t="str">
            <v>SEIL P1 (625MW)</v>
          </cell>
          <cell r="D120">
            <v>625</v>
          </cell>
          <cell r="E120">
            <v>100</v>
          </cell>
          <cell r="F120">
            <v>625</v>
          </cell>
          <cell r="G120">
            <v>0.05</v>
          </cell>
          <cell r="H120">
            <v>2058.4590251360805</v>
          </cell>
          <cell r="I120">
            <v>1955.5360738792763</v>
          </cell>
          <cell r="J120">
            <v>1955.5360738792763</v>
          </cell>
          <cell r="K120">
            <v>329.62247934844709</v>
          </cell>
          <cell r="L120">
            <v>483.01741024818131</v>
          </cell>
          <cell r="M120">
            <v>0</v>
          </cell>
          <cell r="N120">
            <v>0</v>
          </cell>
          <cell r="O120">
            <v>0</v>
          </cell>
          <cell r="P120">
            <v>812.63988959662834</v>
          </cell>
          <cell r="Q120">
            <v>1.6855862888510238</v>
          </cell>
          <cell r="R120">
            <v>2.4700000000000002</v>
          </cell>
          <cell r="S120">
            <v>0.25</v>
          </cell>
          <cell r="T120">
            <v>0</v>
          </cell>
          <cell r="U120">
            <v>0.28000000000000003</v>
          </cell>
          <cell r="V120">
            <v>4.6855862888510247</v>
          </cell>
        </row>
        <row r="121">
          <cell r="C121" t="str">
            <v>SEIL P2 (500MW Firm)</v>
          </cell>
          <cell r="D121">
            <v>500</v>
          </cell>
          <cell r="E121">
            <v>100</v>
          </cell>
          <cell r="F121">
            <v>500</v>
          </cell>
          <cell r="G121">
            <v>0.05</v>
          </cell>
          <cell r="H121">
            <v>1751.791411429705</v>
          </cell>
          <cell r="I121">
            <v>1664.2018408582196</v>
          </cell>
          <cell r="J121">
            <v>1664.2018408582196</v>
          </cell>
          <cell r="K121">
            <v>263.69798347875769</v>
          </cell>
          <cell r="L121">
            <v>411.0578546919802</v>
          </cell>
          <cell r="M121">
            <v>14.649887971042087</v>
          </cell>
          <cell r="N121">
            <v>0</v>
          </cell>
          <cell r="O121">
            <v>0</v>
          </cell>
          <cell r="P121">
            <v>689.40572614177995</v>
          </cell>
          <cell r="Q121">
            <v>1.5845312569944647</v>
          </cell>
          <cell r="R121">
            <v>2.4699999999999998</v>
          </cell>
          <cell r="S121">
            <v>0.88</v>
          </cell>
          <cell r="T121">
            <v>0</v>
          </cell>
          <cell r="U121">
            <v>0</v>
          </cell>
          <cell r="V121">
            <v>4.9345312569944646</v>
          </cell>
        </row>
        <row r="122">
          <cell r="C122" t="str">
            <v>SEIL P2 (125MW Open Cap)</v>
          </cell>
          <cell r="D122">
            <v>125</v>
          </cell>
          <cell r="E122">
            <v>100</v>
          </cell>
          <cell r="F122">
            <v>125</v>
          </cell>
          <cell r="G122">
            <v>0.05</v>
          </cell>
          <cell r="H122">
            <v>437.94785285742626</v>
          </cell>
          <cell r="I122">
            <v>416.0504602145549</v>
          </cell>
          <cell r="J122">
            <v>125.65997856647184</v>
          </cell>
          <cell r="K122">
            <v>73.249439855210468</v>
          </cell>
          <cell r="L122">
            <v>55.290390569247606</v>
          </cell>
          <cell r="M122">
            <v>0</v>
          </cell>
          <cell r="N122">
            <v>0</v>
          </cell>
          <cell r="O122">
            <v>0</v>
          </cell>
          <cell r="P122">
            <v>128.53983042445807</v>
          </cell>
          <cell r="Q122">
            <v>5.8291781274228738</v>
          </cell>
          <cell r="R122">
            <v>4.4000000000000004</v>
          </cell>
          <cell r="S122">
            <v>0</v>
          </cell>
          <cell r="T122">
            <v>0</v>
          </cell>
          <cell r="U122">
            <v>0</v>
          </cell>
          <cell r="V122">
            <v>10.229178127422873</v>
          </cell>
        </row>
        <row r="123">
          <cell r="C123" t="str">
            <v>HNPCL</v>
          </cell>
          <cell r="D123">
            <v>1040</v>
          </cell>
          <cell r="E123">
            <v>100</v>
          </cell>
          <cell r="F123">
            <v>1040</v>
          </cell>
          <cell r="G123">
            <v>5.7500000000000002E-2</v>
          </cell>
          <cell r="H123">
            <v>2169.3413512900779</v>
          </cell>
          <cell r="I123">
            <v>2044.6042235908983</v>
          </cell>
          <cell r="J123">
            <v>2044.6042235908983</v>
          </cell>
          <cell r="K123">
            <v>291.81983680132146</v>
          </cell>
          <cell r="L123">
            <v>674.71939378499633</v>
          </cell>
          <cell r="M123">
            <v>0</v>
          </cell>
          <cell r="N123">
            <v>0</v>
          </cell>
          <cell r="O123">
            <v>0</v>
          </cell>
          <cell r="P123">
            <v>966.53923058631779</v>
          </cell>
          <cell r="Q123">
            <v>1.4272680914685971</v>
          </cell>
          <cell r="R123">
            <v>3.3</v>
          </cell>
          <cell r="S123">
            <v>0</v>
          </cell>
          <cell r="T123">
            <v>0</v>
          </cell>
          <cell r="U123">
            <v>0</v>
          </cell>
          <cell r="V123">
            <v>4.7272680914685967</v>
          </cell>
        </row>
        <row r="124">
          <cell r="C124" t="str">
            <v>IPP TOTAL</v>
          </cell>
          <cell r="D124">
            <v>3610</v>
          </cell>
          <cell r="F124">
            <v>2520.5500000000002</v>
          </cell>
          <cell r="H124">
            <v>7261.2333798157315</v>
          </cell>
          <cell r="I124">
            <v>6881.9016506902681</v>
          </cell>
          <cell r="J124">
            <v>6591.5111690421854</v>
          </cell>
          <cell r="K124">
            <v>1059.5474600465664</v>
          </cell>
          <cell r="L124">
            <v>1829.2713666441191</v>
          </cell>
          <cell r="M124">
            <v>17.651833734465392</v>
          </cell>
          <cell r="N124">
            <v>0</v>
          </cell>
          <cell r="O124">
            <v>22.414804241407744</v>
          </cell>
          <cell r="P124">
            <v>2928.8854646665586</v>
          </cell>
          <cell r="Q124">
            <v>1.6074424102061098</v>
          </cell>
          <cell r="R124">
            <v>2.7751926982017556</v>
          </cell>
          <cell r="S124">
            <v>2.6779646247691004E-2</v>
          </cell>
          <cell r="T124">
            <v>0</v>
          </cell>
          <cell r="U124">
            <v>3.4005562103393734E-2</v>
          </cell>
          <cell r="V124">
            <v>4.4434203167589503</v>
          </cell>
        </row>
        <row r="125">
          <cell r="C125" t="str">
            <v>NCE- Others</v>
          </cell>
          <cell r="D125">
            <v>150.36000000000001</v>
          </cell>
          <cell r="E125">
            <v>1</v>
          </cell>
          <cell r="F125">
            <v>150.36000000000001</v>
          </cell>
          <cell r="G125">
            <v>10</v>
          </cell>
          <cell r="H125">
            <v>102.28481952044746</v>
          </cell>
          <cell r="I125">
            <v>92.056337568402711</v>
          </cell>
          <cell r="J125">
            <v>92.056337568402711</v>
          </cell>
          <cell r="K125">
            <v>4.9644309007831557</v>
          </cell>
          <cell r="L125">
            <v>48.600528550102354</v>
          </cell>
          <cell r="M125">
            <v>0</v>
          </cell>
          <cell r="N125">
            <v>0</v>
          </cell>
          <cell r="O125">
            <v>0</v>
          </cell>
          <cell r="P125">
            <v>53.56495945088551</v>
          </cell>
          <cell r="Q125">
            <v>0.53928181719094814</v>
          </cell>
          <cell r="R125">
            <v>5.2794332072997801</v>
          </cell>
          <cell r="S125">
            <v>0</v>
          </cell>
          <cell r="T125">
            <v>0</v>
          </cell>
          <cell r="U125">
            <v>0</v>
          </cell>
          <cell r="V125">
            <v>5.8187150244907286</v>
          </cell>
        </row>
        <row r="126">
          <cell r="C126" t="str">
            <v>NCE Solar</v>
          </cell>
          <cell r="D126">
            <v>2466.4260000000004</v>
          </cell>
          <cell r="E126">
            <v>1</v>
          </cell>
          <cell r="F126">
            <v>2466.4260000000004</v>
          </cell>
          <cell r="G126">
            <v>1</v>
          </cell>
          <cell r="H126">
            <v>1877.7352105282812</v>
          </cell>
          <cell r="I126">
            <v>1858.9578584229985</v>
          </cell>
          <cell r="J126">
            <v>1858.9578584229985</v>
          </cell>
          <cell r="K126">
            <v>0</v>
          </cell>
          <cell r="L126">
            <v>797.49292126346631</v>
          </cell>
          <cell r="M126">
            <v>0</v>
          </cell>
          <cell r="N126">
            <v>0</v>
          </cell>
          <cell r="O126">
            <v>0</v>
          </cell>
          <cell r="P126">
            <v>797.49292126346631</v>
          </cell>
          <cell r="Q126">
            <v>0</v>
          </cell>
          <cell r="R126">
            <v>4.29</v>
          </cell>
          <cell r="S126">
            <v>0</v>
          </cell>
          <cell r="T126">
            <v>0</v>
          </cell>
          <cell r="U126">
            <v>0</v>
          </cell>
          <cell r="V126">
            <v>4.29</v>
          </cell>
        </row>
        <row r="127">
          <cell r="C127" t="str">
            <v>NCE WIND</v>
          </cell>
          <cell r="D127">
            <v>3636.45</v>
          </cell>
          <cell r="E127">
            <v>1</v>
          </cell>
          <cell r="F127">
            <v>3636.45</v>
          </cell>
          <cell r="G127">
            <v>0.5</v>
          </cell>
          <cell r="H127">
            <v>2763.4660639043032</v>
          </cell>
          <cell r="I127">
            <v>2749.6487335847814</v>
          </cell>
          <cell r="J127">
            <v>2749.6487335847814</v>
          </cell>
          <cell r="K127">
            <v>0</v>
          </cell>
          <cell r="L127">
            <v>1298.0261568656099</v>
          </cell>
          <cell r="M127">
            <v>0</v>
          </cell>
          <cell r="N127">
            <v>0</v>
          </cell>
          <cell r="O127">
            <v>0</v>
          </cell>
          <cell r="P127">
            <v>1298.0261568656099</v>
          </cell>
          <cell r="Q127">
            <v>0</v>
          </cell>
          <cell r="R127">
            <v>4.7206981059480375</v>
          </cell>
          <cell r="S127">
            <v>0</v>
          </cell>
          <cell r="T127">
            <v>0</v>
          </cell>
          <cell r="U127">
            <v>0</v>
          </cell>
          <cell r="V127">
            <v>4.7206981059480375</v>
          </cell>
        </row>
        <row r="128">
          <cell r="C128" t="str">
            <v>JNNSM PH 1 SOLAR</v>
          </cell>
          <cell r="D128">
            <v>39.200000000000003</v>
          </cell>
          <cell r="E128">
            <v>1</v>
          </cell>
          <cell r="F128">
            <v>39.200000000000003</v>
          </cell>
          <cell r="G128">
            <v>1</v>
          </cell>
          <cell r="H128">
            <v>17.736264984558193</v>
          </cell>
          <cell r="I128">
            <v>17.558902334712613</v>
          </cell>
          <cell r="J128">
            <v>17.558902334712613</v>
          </cell>
          <cell r="K128">
            <v>0</v>
          </cell>
          <cell r="L128">
            <v>18.928496716820195</v>
          </cell>
          <cell r="M128">
            <v>0</v>
          </cell>
          <cell r="N128">
            <v>0</v>
          </cell>
          <cell r="O128">
            <v>0</v>
          </cell>
          <cell r="P128">
            <v>18.928496716820195</v>
          </cell>
          <cell r="Q128">
            <v>0</v>
          </cell>
          <cell r="R128">
            <v>10.78</v>
          </cell>
          <cell r="S128">
            <v>0</v>
          </cell>
          <cell r="T128">
            <v>0</v>
          </cell>
          <cell r="U128">
            <v>0</v>
          </cell>
          <cell r="V128">
            <v>10.78</v>
          </cell>
        </row>
        <row r="129">
          <cell r="C129" t="str">
            <v>JNNSM PH 2 SOLAR</v>
          </cell>
          <cell r="D129">
            <v>1250</v>
          </cell>
          <cell r="E129">
            <v>1</v>
          </cell>
          <cell r="F129">
            <v>1250</v>
          </cell>
          <cell r="G129">
            <v>1</v>
          </cell>
          <cell r="H129">
            <v>1097.6859864465905</v>
          </cell>
          <cell r="I129">
            <v>1086.7091265821246</v>
          </cell>
          <cell r="J129">
            <v>1086.7091265821246</v>
          </cell>
          <cell r="K129">
            <v>0</v>
          </cell>
          <cell r="L129">
            <v>487.93239783537393</v>
          </cell>
          <cell r="M129">
            <v>0</v>
          </cell>
          <cell r="N129">
            <v>0</v>
          </cell>
          <cell r="O129">
            <v>0</v>
          </cell>
          <cell r="P129">
            <v>487.93239783537393</v>
          </cell>
          <cell r="Q129">
            <v>0</v>
          </cell>
          <cell r="R129">
            <v>4.49</v>
          </cell>
          <cell r="S129">
            <v>0</v>
          </cell>
          <cell r="T129">
            <v>0</v>
          </cell>
          <cell r="U129">
            <v>0</v>
          </cell>
          <cell r="V129">
            <v>4.49</v>
          </cell>
        </row>
        <row r="130">
          <cell r="C130" t="str">
            <v>SECI 3000 MW APRAPL</v>
          </cell>
          <cell r="D130">
            <v>3000</v>
          </cell>
          <cell r="F130">
            <v>3000</v>
          </cell>
          <cell r="G130">
            <v>1</v>
          </cell>
          <cell r="H130">
            <v>1315.9045462953684</v>
          </cell>
          <cell r="I130">
            <v>1302.7455008324148</v>
          </cell>
          <cell r="J130">
            <v>1302.7455008324148</v>
          </cell>
          <cell r="K130">
            <v>0</v>
          </cell>
          <cell r="L130">
            <v>324.38362970727133</v>
          </cell>
          <cell r="M130">
            <v>0</v>
          </cell>
          <cell r="N130">
            <v>0</v>
          </cell>
          <cell r="O130">
            <v>0</v>
          </cell>
          <cell r="P130">
            <v>324.38362970727133</v>
          </cell>
          <cell r="Q130">
            <v>0</v>
          </cell>
          <cell r="R130">
            <v>2.4900000000000002</v>
          </cell>
          <cell r="S130">
            <v>0</v>
          </cell>
          <cell r="T130">
            <v>0</v>
          </cell>
          <cell r="U130">
            <v>0</v>
          </cell>
          <cell r="V130">
            <v>2.4900000000000002</v>
          </cell>
        </row>
        <row r="131">
          <cell r="C131" t="str">
            <v>NCE TOTAL</v>
          </cell>
          <cell r="D131">
            <v>10542.436000000002</v>
          </cell>
          <cell r="F131">
            <v>10542.436000000002</v>
          </cell>
          <cell r="H131">
            <v>7174.8128916795486</v>
          </cell>
          <cell r="I131">
            <v>7107.6764593254356</v>
          </cell>
          <cell r="J131">
            <v>7107.6764593254356</v>
          </cell>
          <cell r="K131">
            <v>4.9644309007831557</v>
          </cell>
          <cell r="L131">
            <v>2975.3641309386439</v>
          </cell>
          <cell r="M131">
            <v>0</v>
          </cell>
          <cell r="N131">
            <v>0</v>
          </cell>
          <cell r="O131">
            <v>0</v>
          </cell>
          <cell r="P131">
            <v>2980.328561839427</v>
          </cell>
          <cell r="Q131">
            <v>6.9846045035852865E-3</v>
          </cell>
          <cell r="R131">
            <v>4.1861277000515376</v>
          </cell>
          <cell r="S131">
            <v>0</v>
          </cell>
          <cell r="T131">
            <v>0</v>
          </cell>
          <cell r="U131">
            <v>0</v>
          </cell>
          <cell r="V131">
            <v>4.1931123045551226</v>
          </cell>
        </row>
        <row r="132">
          <cell r="C132" t="str">
            <v>NET SHORTTERM</v>
          </cell>
          <cell r="I132">
            <v>165.52816660244889</v>
          </cell>
          <cell r="J132">
            <v>165.52816660244889</v>
          </cell>
          <cell r="K132">
            <v>0</v>
          </cell>
          <cell r="L132">
            <v>80.694981218693826</v>
          </cell>
          <cell r="M132">
            <v>0</v>
          </cell>
          <cell r="N132">
            <v>0</v>
          </cell>
          <cell r="O132">
            <v>0</v>
          </cell>
          <cell r="P132">
            <v>80.694981218693826</v>
          </cell>
          <cell r="R132">
            <v>4.875</v>
          </cell>
          <cell r="S132">
            <v>0</v>
          </cell>
          <cell r="T132">
            <v>0</v>
          </cell>
          <cell r="U132">
            <v>0</v>
          </cell>
          <cell r="V132">
            <v>4.875</v>
          </cell>
        </row>
      </sheetData>
      <sheetData sheetId="1">
        <row r="7">
          <cell r="E7">
            <v>71.112191780821917</v>
          </cell>
          <cell r="I7">
            <v>718.06512960000009</v>
          </cell>
          <cell r="J7">
            <v>699.43242096000006</v>
          </cell>
          <cell r="K7">
            <v>604.96450560000005</v>
          </cell>
          <cell r="L7">
            <v>564.81791183999997</v>
          </cell>
          <cell r="M7">
            <v>490.34486592000002</v>
          </cell>
          <cell r="N7">
            <v>488.80933920000007</v>
          </cell>
          <cell r="O7">
            <v>430.11809568000001</v>
          </cell>
          <cell r="P7">
            <v>464.86833120000011</v>
          </cell>
          <cell r="Q7">
            <v>593.73699840000006</v>
          </cell>
          <cell r="R7">
            <v>686.55105792000018</v>
          </cell>
          <cell r="S7">
            <v>663.64474175999999</v>
          </cell>
          <cell r="T7">
            <v>737.30874672000004</v>
          </cell>
        </row>
        <row r="8">
          <cell r="E8">
            <v>82.200054794520554</v>
          </cell>
          <cell r="I8">
            <v>322.04429999999996</v>
          </cell>
          <cell r="J8">
            <v>324.10778999999997</v>
          </cell>
          <cell r="K8">
            <v>326.50650000000002</v>
          </cell>
          <cell r="L8">
            <v>167.09495999999999</v>
          </cell>
          <cell r="M8">
            <v>241.24850999999998</v>
          </cell>
          <cell r="N8">
            <v>257.9085</v>
          </cell>
          <cell r="O8">
            <v>282.23081999999999</v>
          </cell>
          <cell r="P8">
            <v>273.89249999999998</v>
          </cell>
          <cell r="Q8">
            <v>239.28714000000002</v>
          </cell>
          <cell r="R8">
            <v>289.59456</v>
          </cell>
          <cell r="S8">
            <v>278.01060000000001</v>
          </cell>
          <cell r="T8">
            <v>328.40904</v>
          </cell>
        </row>
        <row r="9">
          <cell r="E9">
            <v>60.883999999999993</v>
          </cell>
          <cell r="I9">
            <v>241.22629439999994</v>
          </cell>
          <cell r="J9">
            <v>201.04025760000005</v>
          </cell>
          <cell r="K9">
            <v>176.39294399999997</v>
          </cell>
          <cell r="L9">
            <v>107.82809855999999</v>
          </cell>
          <cell r="M9">
            <v>152.27306639999998</v>
          </cell>
          <cell r="N9">
            <v>203.63615999999996</v>
          </cell>
          <cell r="O9">
            <v>172.71832032</v>
          </cell>
          <cell r="P9">
            <v>132.8313168</v>
          </cell>
          <cell r="Q9">
            <v>119.429856</v>
          </cell>
          <cell r="R9">
            <v>133.05054672</v>
          </cell>
          <cell r="S9">
            <v>193.21952831999999</v>
          </cell>
          <cell r="T9">
            <v>204.79376735999998</v>
          </cell>
        </row>
        <row r="10">
          <cell r="E10">
            <v>82.623753424657536</v>
          </cell>
          <cell r="I10">
            <v>203.99389920000002</v>
          </cell>
          <cell r="J10">
            <v>231.35269248</v>
          </cell>
          <cell r="K10">
            <v>259.93880639999992</v>
          </cell>
          <cell r="L10">
            <v>265.61768688000001</v>
          </cell>
          <cell r="M10">
            <v>235.64648016000001</v>
          </cell>
          <cell r="N10">
            <v>249.9771456</v>
          </cell>
          <cell r="O10">
            <v>191.94084000000001</v>
          </cell>
          <cell r="P10">
            <v>81.124243200000009</v>
          </cell>
          <cell r="Q10">
            <v>276.93508752000002</v>
          </cell>
          <cell r="R10">
            <v>271.73135807999995</v>
          </cell>
          <cell r="S10">
            <v>227.50745471999997</v>
          </cell>
          <cell r="T10">
            <v>270.53705952000001</v>
          </cell>
        </row>
        <row r="11">
          <cell r="E11">
            <v>80.875726027397249</v>
          </cell>
          <cell r="I11">
            <v>79.528175999999988</v>
          </cell>
          <cell r="J11">
            <v>116.18818847999999</v>
          </cell>
          <cell r="K11">
            <v>117.21462480000001</v>
          </cell>
          <cell r="L11">
            <v>120.70946160000001</v>
          </cell>
          <cell r="M11">
            <v>119.13128135999999</v>
          </cell>
          <cell r="N11">
            <v>108.51881040000001</v>
          </cell>
          <cell r="O11">
            <v>111.80909376000001</v>
          </cell>
          <cell r="P11">
            <v>106.77139199999998</v>
          </cell>
          <cell r="Q11">
            <v>121.50566063999999</v>
          </cell>
          <cell r="R11">
            <v>122.18811695999999</v>
          </cell>
          <cell r="S11">
            <v>106.07425919999999</v>
          </cell>
          <cell r="T11">
            <v>124.24970375999999</v>
          </cell>
        </row>
        <row r="12">
          <cell r="E12">
            <v>60.799698630137001</v>
          </cell>
          <cell r="I12">
            <v>296.49391200000002</v>
          </cell>
          <cell r="J12">
            <v>310.16363039999999</v>
          </cell>
          <cell r="K12">
            <v>239.36936399999999</v>
          </cell>
          <cell r="L12">
            <v>297.54167039999999</v>
          </cell>
          <cell r="M12">
            <v>64.203703199999993</v>
          </cell>
          <cell r="N12">
            <v>84.241404000000003</v>
          </cell>
          <cell r="O12">
            <v>264.59835480000004</v>
          </cell>
          <cell r="P12">
            <v>244.62172799999999</v>
          </cell>
          <cell r="Q12">
            <v>315.71729280000005</v>
          </cell>
          <cell r="R12">
            <v>266.61786839999991</v>
          </cell>
          <cell r="S12">
            <v>305.57086559999988</v>
          </cell>
          <cell r="T12">
            <v>322.74351719999993</v>
          </cell>
        </row>
        <row r="14">
          <cell r="E14">
            <v>99.36</v>
          </cell>
          <cell r="I14">
            <v>-0.29270000000000002</v>
          </cell>
          <cell r="J14">
            <v>-0.31180000000000002</v>
          </cell>
          <cell r="K14">
            <v>-0.29665000000000002</v>
          </cell>
          <cell r="L14">
            <v>127.7188</v>
          </cell>
          <cell r="M14">
            <v>447.42984999999999</v>
          </cell>
          <cell r="N14">
            <v>428.00130000000001</v>
          </cell>
          <cell r="O14">
            <v>442.66135000000003</v>
          </cell>
          <cell r="P14">
            <v>225.0104</v>
          </cell>
          <cell r="Q14">
            <v>70.032049999999998</v>
          </cell>
          <cell r="R14">
            <v>54.32855</v>
          </cell>
          <cell r="S14">
            <v>28.740600000000001</v>
          </cell>
          <cell r="T14">
            <v>20.601099999999999</v>
          </cell>
        </row>
        <row r="15">
          <cell r="E15">
            <v>100</v>
          </cell>
          <cell r="I15">
            <v>7.1464499999999997</v>
          </cell>
          <cell r="J15">
            <v>1.0957429999999999</v>
          </cell>
          <cell r="K15">
            <v>3.4304869999999998</v>
          </cell>
          <cell r="L15">
            <v>2.2886890000000002</v>
          </cell>
          <cell r="M15">
            <v>30.458599</v>
          </cell>
          <cell r="N15">
            <v>44.754998000000001</v>
          </cell>
          <cell r="O15">
            <v>41.845174</v>
          </cell>
          <cell r="P15">
            <v>44.178418999999998</v>
          </cell>
          <cell r="Q15">
            <v>39.003574</v>
          </cell>
          <cell r="R15">
            <v>39.400967000000001</v>
          </cell>
          <cell r="S15">
            <v>26.614388000000002</v>
          </cell>
          <cell r="T15">
            <v>14.817745</v>
          </cell>
        </row>
        <row r="16">
          <cell r="E16">
            <v>92.86</v>
          </cell>
          <cell r="I16">
            <v>1.5546</v>
          </cell>
          <cell r="J16">
            <v>0.65300000000000002</v>
          </cell>
          <cell r="K16">
            <v>1.2186999999999999</v>
          </cell>
          <cell r="L16">
            <v>0.54830000000000001</v>
          </cell>
          <cell r="M16">
            <v>6.1588000000000003</v>
          </cell>
          <cell r="N16">
            <v>11.3385</v>
          </cell>
          <cell r="O16">
            <v>17.623899999999999</v>
          </cell>
          <cell r="P16">
            <v>27.364100000000001</v>
          </cell>
          <cell r="Q16">
            <v>16.598700000000001</v>
          </cell>
          <cell r="R16">
            <v>4.2443999999999997</v>
          </cell>
          <cell r="S16">
            <v>6.5098000000000003</v>
          </cell>
          <cell r="T16">
            <v>1.4325000000000001</v>
          </cell>
        </row>
        <row r="17">
          <cell r="E17">
            <v>99.54</v>
          </cell>
          <cell r="I17">
            <v>59.134827000000001</v>
          </cell>
          <cell r="J17">
            <v>20.114695000000001</v>
          </cell>
          <cell r="K17">
            <v>20.619496999999999</v>
          </cell>
          <cell r="L17">
            <v>16.352865000000001</v>
          </cell>
          <cell r="M17">
            <v>15.842498000000001</v>
          </cell>
          <cell r="N17">
            <v>25.758226000000001</v>
          </cell>
          <cell r="O17">
            <v>8.7234719999999992</v>
          </cell>
          <cell r="P17">
            <v>35.846103999999997</v>
          </cell>
          <cell r="Q17">
            <v>42.373413999999997</v>
          </cell>
          <cell r="R17">
            <v>35.577514000000001</v>
          </cell>
          <cell r="S17">
            <v>42.100746000000001</v>
          </cell>
          <cell r="T17">
            <v>58.786386999999998</v>
          </cell>
        </row>
        <row r="18">
          <cell r="E18">
            <v>99.92</v>
          </cell>
          <cell r="I18">
            <v>100.35743100000001</v>
          </cell>
          <cell r="J18">
            <v>93.035003000000003</v>
          </cell>
          <cell r="K18">
            <v>40.639629999999997</v>
          </cell>
          <cell r="L18">
            <v>113.846447</v>
          </cell>
          <cell r="M18">
            <v>106.83748799999999</v>
          </cell>
          <cell r="N18">
            <v>94.870194999999995</v>
          </cell>
          <cell r="O18">
            <v>108.323193</v>
          </cell>
          <cell r="P18">
            <v>83.964044999999999</v>
          </cell>
          <cell r="Q18">
            <v>38.704192999999997</v>
          </cell>
          <cell r="R18">
            <v>77.010707999999994</v>
          </cell>
          <cell r="S18">
            <v>99.158874999999995</v>
          </cell>
          <cell r="T18">
            <v>101.448814</v>
          </cell>
        </row>
        <row r="19">
          <cell r="E19">
            <v>99.54</v>
          </cell>
          <cell r="I19">
            <v>6.6202500000000004</v>
          </cell>
          <cell r="J19">
            <v>10.40025</v>
          </cell>
          <cell r="K19">
            <v>5.0425000000000004</v>
          </cell>
          <cell r="L19">
            <v>10.560333999999999</v>
          </cell>
          <cell r="M19">
            <v>9.6213719999999991</v>
          </cell>
          <cell r="N19">
            <v>8.5240729999999996</v>
          </cell>
          <cell r="O19">
            <v>9.6072290000000002</v>
          </cell>
          <cell r="P19">
            <v>6.5332160000000004</v>
          </cell>
          <cell r="Q19">
            <v>2.7655180000000001</v>
          </cell>
          <cell r="R19">
            <v>9.7106820000000003</v>
          </cell>
          <cell r="S19">
            <v>10.460903</v>
          </cell>
          <cell r="T19">
            <v>7.2284139999999999</v>
          </cell>
        </row>
        <row r="20">
          <cell r="E20">
            <v>100</v>
          </cell>
          <cell r="I20">
            <v>-2.8343E-2</v>
          </cell>
          <cell r="J20">
            <v>-3.0506999999999999E-2</v>
          </cell>
          <cell r="K20">
            <v>-2.1107000000000001E-2</v>
          </cell>
          <cell r="L20">
            <v>-2.9638000000000001E-2</v>
          </cell>
          <cell r="M20">
            <v>0.98047700000000004</v>
          </cell>
          <cell r="N20">
            <v>3.5966849999999999</v>
          </cell>
          <cell r="O20">
            <v>4.2029439999999996</v>
          </cell>
          <cell r="P20">
            <v>2.5330910000000002</v>
          </cell>
          <cell r="Q20">
            <v>1.5852040000000001</v>
          </cell>
          <cell r="R20">
            <v>0.70328000000000002</v>
          </cell>
          <cell r="S20">
            <v>-1.1428000000000001E-2</v>
          </cell>
          <cell r="T20">
            <v>-1.1681E-2</v>
          </cell>
        </row>
        <row r="21">
          <cell r="E21">
            <v>100</v>
          </cell>
          <cell r="I21">
            <v>0.29915000000000003</v>
          </cell>
          <cell r="J21">
            <v>-3.4499999999999999E-3</v>
          </cell>
          <cell r="K21">
            <v>0.13625000000000001</v>
          </cell>
          <cell r="L21">
            <v>0.24015</v>
          </cell>
          <cell r="M21">
            <v>0.13289999999999999</v>
          </cell>
          <cell r="N21">
            <v>0.18725</v>
          </cell>
          <cell r="O21">
            <v>0.15765000000000001</v>
          </cell>
          <cell r="P21">
            <v>0.28489999999999999</v>
          </cell>
          <cell r="Q21">
            <v>0.37945000000000001</v>
          </cell>
          <cell r="R21">
            <v>0.38190000000000002</v>
          </cell>
          <cell r="S21">
            <v>0.29054999999999997</v>
          </cell>
          <cell r="T21">
            <v>0.38485000000000003</v>
          </cell>
        </row>
        <row r="22">
          <cell r="E22">
            <v>100</v>
          </cell>
          <cell r="I22">
            <v>23.9331</v>
          </cell>
          <cell r="J22">
            <v>19.504799999999999</v>
          </cell>
          <cell r="K22">
            <v>22.334399999999999</v>
          </cell>
          <cell r="L22">
            <v>26.293800000000001</v>
          </cell>
          <cell r="M22">
            <v>19.627199999999998</v>
          </cell>
          <cell r="N22">
            <v>19.05</v>
          </cell>
          <cell r="O22">
            <v>25.461600000000001</v>
          </cell>
          <cell r="P22">
            <v>22.778400000000001</v>
          </cell>
          <cell r="Q22">
            <v>25.4316</v>
          </cell>
          <cell r="R22">
            <v>20.358599999999999</v>
          </cell>
          <cell r="S22">
            <v>17.496600000000001</v>
          </cell>
          <cell r="T22">
            <v>22.875</v>
          </cell>
        </row>
        <row r="23">
          <cell r="E23">
            <v>100</v>
          </cell>
          <cell r="I23">
            <v>6.51</v>
          </cell>
          <cell r="J23">
            <v>-0.40079999999999999</v>
          </cell>
          <cell r="K23">
            <v>-7.8E-2</v>
          </cell>
          <cell r="L23">
            <v>14.263999999999999</v>
          </cell>
          <cell r="M23">
            <v>31.364000000000001</v>
          </cell>
          <cell r="N23">
            <v>21.846</v>
          </cell>
          <cell r="O23">
            <v>18.530999999999999</v>
          </cell>
          <cell r="P23">
            <v>15.704000000000001</v>
          </cell>
          <cell r="Q23">
            <v>10.7859</v>
          </cell>
          <cell r="R23">
            <v>19.1754</v>
          </cell>
          <cell r="S23">
            <v>16.974399999999999</v>
          </cell>
          <cell r="T23">
            <v>19.141999999999999</v>
          </cell>
        </row>
        <row r="26">
          <cell r="E26">
            <v>41.815780821917819</v>
          </cell>
          <cell r="I26">
            <v>515.4019199999999</v>
          </cell>
          <cell r="J26">
            <v>458.56588800000009</v>
          </cell>
          <cell r="K26">
            <v>276.38899200000003</v>
          </cell>
          <cell r="L26">
            <v>488.61753599999997</v>
          </cell>
          <cell r="M26">
            <v>571.20391680000012</v>
          </cell>
          <cell r="N26">
            <v>554.50137599999994</v>
          </cell>
          <cell r="O26">
            <v>349.93474560000004</v>
          </cell>
          <cell r="P26">
            <v>414.79891200000003</v>
          </cell>
          <cell r="Q26">
            <v>475.14994559999997</v>
          </cell>
          <cell r="R26">
            <v>408.92501760000005</v>
          </cell>
          <cell r="S26">
            <v>459.02545920000006</v>
          </cell>
          <cell r="T26">
            <v>507.42764160000002</v>
          </cell>
        </row>
        <row r="27">
          <cell r="E27">
            <v>30.421087533156498</v>
          </cell>
          <cell r="I27">
            <v>0</v>
          </cell>
          <cell r="J27">
            <v>0</v>
          </cell>
          <cell r="K27">
            <v>0</v>
          </cell>
          <cell r="L27">
            <v>0</v>
          </cell>
          <cell r="M27">
            <v>0</v>
          </cell>
          <cell r="N27">
            <v>0</v>
          </cell>
          <cell r="O27">
            <v>0</v>
          </cell>
          <cell r="P27">
            <v>0</v>
          </cell>
          <cell r="Q27">
            <v>0</v>
          </cell>
          <cell r="R27">
            <v>0</v>
          </cell>
          <cell r="S27">
            <v>0</v>
          </cell>
          <cell r="T27">
            <v>121.11</v>
          </cell>
        </row>
        <row r="28">
          <cell r="E28">
            <v>12.624064604808089</v>
          </cell>
          <cell r="I28">
            <v>43.918939000000002</v>
          </cell>
          <cell r="J28">
            <v>42.790317000000002</v>
          </cell>
          <cell r="K28">
            <v>41.037880999999999</v>
          </cell>
          <cell r="L28">
            <v>28.036704000000004</v>
          </cell>
          <cell r="M28">
            <v>31.579059000000001</v>
          </cell>
          <cell r="N28">
            <v>37.222841000000003</v>
          </cell>
          <cell r="O28">
            <v>6.2039439999999999</v>
          </cell>
          <cell r="P28">
            <v>-0.38803899999999997</v>
          </cell>
          <cell r="Q28">
            <v>-0.51196399999999997</v>
          </cell>
          <cell r="R28">
            <v>-0.55162100000000003</v>
          </cell>
          <cell r="S28">
            <v>-0.65959883559999999</v>
          </cell>
          <cell r="T28">
            <v>-0.67286199999999996</v>
          </cell>
        </row>
        <row r="30">
          <cell r="E30">
            <v>86.933999999999997</v>
          </cell>
          <cell r="I30">
            <v>161.44</v>
          </cell>
          <cell r="J30">
            <v>172.02</v>
          </cell>
          <cell r="K30">
            <v>181.23</v>
          </cell>
          <cell r="L30">
            <v>190.31</v>
          </cell>
          <cell r="M30">
            <v>218.73</v>
          </cell>
          <cell r="N30">
            <v>209.94</v>
          </cell>
          <cell r="O30">
            <v>220.01</v>
          </cell>
          <cell r="P30">
            <v>267.98</v>
          </cell>
          <cell r="Q30">
            <v>132.63999999999999</v>
          </cell>
          <cell r="R30">
            <v>130.47</v>
          </cell>
          <cell r="S30">
            <v>133.69999999999999</v>
          </cell>
          <cell r="T30">
            <v>156.04</v>
          </cell>
        </row>
        <row r="31">
          <cell r="E31">
            <v>93.94</v>
          </cell>
          <cell r="I31">
            <v>303.89</v>
          </cell>
          <cell r="J31">
            <v>318.64</v>
          </cell>
          <cell r="K31">
            <v>320.43</v>
          </cell>
          <cell r="L31">
            <v>332.77</v>
          </cell>
          <cell r="M31">
            <v>329.52</v>
          </cell>
          <cell r="N31">
            <v>323.67</v>
          </cell>
          <cell r="O31">
            <v>283.19</v>
          </cell>
          <cell r="P31">
            <v>216.86</v>
          </cell>
          <cell r="Q31">
            <v>280.10000000000002</v>
          </cell>
          <cell r="R31">
            <v>326.20999999999998</v>
          </cell>
          <cell r="S31">
            <v>293.31</v>
          </cell>
          <cell r="T31">
            <v>318.33</v>
          </cell>
        </row>
        <row r="32">
          <cell r="E32">
            <v>93.688999999999993</v>
          </cell>
          <cell r="I32">
            <v>140.01</v>
          </cell>
          <cell r="J32">
            <v>120.1</v>
          </cell>
          <cell r="K32">
            <v>74.260000000000005</v>
          </cell>
          <cell r="L32">
            <v>119.95</v>
          </cell>
          <cell r="M32">
            <v>152.74</v>
          </cell>
          <cell r="N32">
            <v>132.16999999999999</v>
          </cell>
          <cell r="O32">
            <v>156.71</v>
          </cell>
          <cell r="P32">
            <v>150.43</v>
          </cell>
          <cell r="Q32">
            <v>154.46</v>
          </cell>
          <cell r="R32">
            <v>144.12</v>
          </cell>
          <cell r="S32">
            <v>120.12</v>
          </cell>
          <cell r="T32">
            <v>149.49</v>
          </cell>
        </row>
        <row r="33">
          <cell r="E33">
            <v>96.316000000000003</v>
          </cell>
          <cell r="I33">
            <v>119.23</v>
          </cell>
          <cell r="J33">
            <v>121.73</v>
          </cell>
          <cell r="K33">
            <v>124.14</v>
          </cell>
          <cell r="L33">
            <v>121.06</v>
          </cell>
          <cell r="M33">
            <v>127.9</v>
          </cell>
          <cell r="N33">
            <v>125.07</v>
          </cell>
          <cell r="O33">
            <v>131.72999999999999</v>
          </cell>
          <cell r="P33">
            <v>93.89</v>
          </cell>
          <cell r="Q33">
            <v>107.27</v>
          </cell>
          <cell r="R33">
            <v>106.07</v>
          </cell>
          <cell r="S33">
            <v>106.25</v>
          </cell>
          <cell r="T33">
            <v>124.24</v>
          </cell>
        </row>
        <row r="34">
          <cell r="E34">
            <v>84.826999999999998</v>
          </cell>
          <cell r="I34">
            <v>48.47</v>
          </cell>
          <cell r="J34">
            <v>50.25</v>
          </cell>
          <cell r="K34">
            <v>17.86</v>
          </cell>
          <cell r="L34">
            <v>0</v>
          </cell>
          <cell r="M34">
            <v>27.96</v>
          </cell>
          <cell r="N34">
            <v>56.86</v>
          </cell>
          <cell r="O34">
            <v>67.349999999999994</v>
          </cell>
          <cell r="P34">
            <v>74.19</v>
          </cell>
          <cell r="Q34">
            <v>51.04</v>
          </cell>
          <cell r="R34">
            <v>43.03</v>
          </cell>
          <cell r="S34">
            <v>34.71</v>
          </cell>
          <cell r="T34">
            <v>39.78</v>
          </cell>
        </row>
        <row r="35">
          <cell r="E35">
            <v>89.79</v>
          </cell>
          <cell r="I35">
            <v>116.2</v>
          </cell>
          <cell r="J35">
            <v>162.38</v>
          </cell>
          <cell r="K35">
            <v>173.24</v>
          </cell>
          <cell r="L35">
            <v>174.18</v>
          </cell>
          <cell r="M35">
            <v>181.5</v>
          </cell>
          <cell r="N35">
            <v>232.13</v>
          </cell>
          <cell r="O35">
            <v>301</v>
          </cell>
          <cell r="P35">
            <v>102.17</v>
          </cell>
          <cell r="Q35">
            <v>113.07</v>
          </cell>
          <cell r="R35">
            <v>113.86</v>
          </cell>
          <cell r="S35">
            <v>115.55</v>
          </cell>
          <cell r="T35">
            <v>137.59</v>
          </cell>
        </row>
        <row r="36">
          <cell r="E36">
            <v>88.873000000000005</v>
          </cell>
          <cell r="I36">
            <v>62.5</v>
          </cell>
          <cell r="J36">
            <v>62.22</v>
          </cell>
          <cell r="K36">
            <v>57.12</v>
          </cell>
          <cell r="L36">
            <v>39.53</v>
          </cell>
          <cell r="M36">
            <v>46.14</v>
          </cell>
          <cell r="N36">
            <v>58.45</v>
          </cell>
          <cell r="O36">
            <v>60.46</v>
          </cell>
          <cell r="P36">
            <v>55.99</v>
          </cell>
          <cell r="Q36">
            <v>50.33</v>
          </cell>
          <cell r="R36">
            <v>38.32</v>
          </cell>
          <cell r="S36">
            <v>47.91</v>
          </cell>
          <cell r="T36">
            <v>57.68</v>
          </cell>
        </row>
        <row r="37">
          <cell r="E37">
            <v>59.463999999999999</v>
          </cell>
          <cell r="I37">
            <v>26.48</v>
          </cell>
          <cell r="J37">
            <v>22.82</v>
          </cell>
          <cell r="K37">
            <v>26.32</v>
          </cell>
          <cell r="L37">
            <v>16.47</v>
          </cell>
          <cell r="M37">
            <v>13.52</v>
          </cell>
          <cell r="N37">
            <v>11.68</v>
          </cell>
          <cell r="O37">
            <v>11.19</v>
          </cell>
          <cell r="P37">
            <v>14.78</v>
          </cell>
          <cell r="Q37">
            <v>15.67</v>
          </cell>
          <cell r="R37">
            <v>19.41</v>
          </cell>
          <cell r="S37">
            <v>13.68</v>
          </cell>
          <cell r="T37">
            <v>16.829999999999998</v>
          </cell>
        </row>
        <row r="38">
          <cell r="E38">
            <v>67.063999999999993</v>
          </cell>
          <cell r="I38">
            <v>51.58</v>
          </cell>
          <cell r="J38">
            <v>46.7</v>
          </cell>
          <cell r="K38">
            <v>40.64</v>
          </cell>
          <cell r="L38">
            <v>44.75</v>
          </cell>
          <cell r="M38">
            <v>48.52</v>
          </cell>
          <cell r="N38">
            <v>44.99</v>
          </cell>
          <cell r="O38">
            <v>35.14</v>
          </cell>
          <cell r="P38">
            <v>20.43</v>
          </cell>
          <cell r="Q38">
            <v>16.02</v>
          </cell>
          <cell r="R38">
            <v>19.190000000000001</v>
          </cell>
          <cell r="S38">
            <v>29.31</v>
          </cell>
          <cell r="T38">
            <v>37.619999999999997</v>
          </cell>
        </row>
        <row r="39">
          <cell r="E39">
            <v>17.675000000000001</v>
          </cell>
          <cell r="I39">
            <v>4.6316750000000004</v>
          </cell>
          <cell r="J39">
            <v>3.4795159999999998</v>
          </cell>
          <cell r="K39">
            <v>4.0798649999999999</v>
          </cell>
          <cell r="L39">
            <v>5.8127649999999997</v>
          </cell>
          <cell r="M39">
            <v>4.2172669999999997</v>
          </cell>
          <cell r="N39">
            <v>5.1865519999999998</v>
          </cell>
          <cell r="O39">
            <v>5.1723879999999998</v>
          </cell>
          <cell r="P39">
            <v>5.6180510000000004</v>
          </cell>
          <cell r="Q39">
            <v>5.8571010000000001</v>
          </cell>
          <cell r="R39">
            <v>5.8302519999999998</v>
          </cell>
          <cell r="S39">
            <v>3.9677660000000001</v>
          </cell>
          <cell r="T39">
            <v>5.4863980000000003</v>
          </cell>
        </row>
        <row r="40">
          <cell r="E40">
            <v>95.26</v>
          </cell>
          <cell r="I40">
            <v>76.047753</v>
          </cell>
          <cell r="J40">
            <v>78.952562999999998</v>
          </cell>
          <cell r="K40">
            <v>73.466387999999995</v>
          </cell>
          <cell r="L40">
            <v>78.801261999999994</v>
          </cell>
          <cell r="M40">
            <v>77.314705000000004</v>
          </cell>
          <cell r="N40">
            <v>60.927061000000002</v>
          </cell>
          <cell r="O40">
            <v>76.904002000000006</v>
          </cell>
          <cell r="P40">
            <v>71.201136000000005</v>
          </cell>
          <cell r="Q40">
            <v>57.373614000000011</v>
          </cell>
          <cell r="R40">
            <v>79.220318000000006</v>
          </cell>
          <cell r="S40">
            <v>70.153097000000002</v>
          </cell>
          <cell r="T40">
            <v>78.376576999999997</v>
          </cell>
        </row>
        <row r="41">
          <cell r="I41">
            <v>0</v>
          </cell>
          <cell r="J41">
            <v>0</v>
          </cell>
          <cell r="K41">
            <v>0</v>
          </cell>
          <cell r="L41">
            <v>0</v>
          </cell>
          <cell r="M41">
            <v>0</v>
          </cell>
          <cell r="N41">
            <v>0</v>
          </cell>
          <cell r="O41">
            <v>0.62233700000000003</v>
          </cell>
          <cell r="P41">
            <v>1.0999369999999999</v>
          </cell>
          <cell r="Q41">
            <v>1.198332</v>
          </cell>
          <cell r="R41">
            <v>1.1453340000000001</v>
          </cell>
          <cell r="S41">
            <v>1.0656969999999999</v>
          </cell>
          <cell r="T41">
            <v>1.235074</v>
          </cell>
        </row>
        <row r="42">
          <cell r="E42">
            <v>87.683999999999997</v>
          </cell>
          <cell r="I42">
            <v>0</v>
          </cell>
          <cell r="J42">
            <v>0</v>
          </cell>
          <cell r="K42">
            <v>0</v>
          </cell>
          <cell r="L42">
            <v>0</v>
          </cell>
          <cell r="M42">
            <v>0</v>
          </cell>
          <cell r="N42">
            <v>0</v>
          </cell>
          <cell r="O42">
            <v>2.7</v>
          </cell>
          <cell r="P42">
            <v>2.48</v>
          </cell>
          <cell r="Q42">
            <v>1.45</v>
          </cell>
          <cell r="R42">
            <v>1.17</v>
          </cell>
          <cell r="S42">
            <v>1.22</v>
          </cell>
          <cell r="T42">
            <v>0.82</v>
          </cell>
        </row>
        <row r="43">
          <cell r="E43">
            <v>44.993000000000002</v>
          </cell>
          <cell r="I43">
            <v>0</v>
          </cell>
          <cell r="J43">
            <v>0</v>
          </cell>
          <cell r="K43">
            <v>0</v>
          </cell>
          <cell r="L43">
            <v>0</v>
          </cell>
          <cell r="M43">
            <v>0</v>
          </cell>
          <cell r="N43">
            <v>0</v>
          </cell>
          <cell r="O43">
            <v>0.85</v>
          </cell>
          <cell r="P43">
            <v>0.42</v>
          </cell>
          <cell r="Q43">
            <v>0.7</v>
          </cell>
          <cell r="R43">
            <v>0.36</v>
          </cell>
          <cell r="S43">
            <v>0.86</v>
          </cell>
          <cell r="T43">
            <v>0.45</v>
          </cell>
        </row>
        <row r="44">
          <cell r="E44">
            <v>84.73</v>
          </cell>
          <cell r="I44">
            <v>39.46</v>
          </cell>
          <cell r="J44">
            <v>90.07</v>
          </cell>
          <cell r="K44">
            <v>80.92</v>
          </cell>
          <cell r="L44">
            <v>76.819999999999993</v>
          </cell>
          <cell r="M44">
            <v>85.86</v>
          </cell>
          <cell r="N44">
            <v>62.45</v>
          </cell>
          <cell r="O44">
            <v>85.26</v>
          </cell>
          <cell r="P44">
            <v>41.74</v>
          </cell>
          <cell r="Q44">
            <v>83.62</v>
          </cell>
          <cell r="R44">
            <v>81.14</v>
          </cell>
          <cell r="S44">
            <v>64.16</v>
          </cell>
          <cell r="T44">
            <v>75.930000000000007</v>
          </cell>
        </row>
        <row r="45">
          <cell r="E45">
            <v>86.921999999999997</v>
          </cell>
          <cell r="I45">
            <v>27.72</v>
          </cell>
          <cell r="J45">
            <v>34.94</v>
          </cell>
          <cell r="K45">
            <v>28.13</v>
          </cell>
          <cell r="L45">
            <v>34.869999999999997</v>
          </cell>
          <cell r="M45">
            <v>32.04</v>
          </cell>
          <cell r="N45">
            <v>29.4</v>
          </cell>
          <cell r="O45">
            <v>32.19</v>
          </cell>
          <cell r="P45">
            <v>27.73</v>
          </cell>
          <cell r="Q45">
            <v>11.84</v>
          </cell>
          <cell r="R45">
            <v>29.17</v>
          </cell>
          <cell r="S45">
            <v>28.35</v>
          </cell>
          <cell r="T45">
            <v>35.01</v>
          </cell>
        </row>
        <row r="46">
          <cell r="I46">
            <v>22.920300000000001</v>
          </cell>
          <cell r="J46">
            <v>20.587672000000001</v>
          </cell>
          <cell r="K46">
            <v>22.142683000000002</v>
          </cell>
          <cell r="L46">
            <v>15.032525</v>
          </cell>
          <cell r="M46">
            <v>13.22195</v>
          </cell>
          <cell r="N46">
            <v>17.730989000000001</v>
          </cell>
          <cell r="O46">
            <v>12.495611999999999</v>
          </cell>
          <cell r="P46">
            <v>15.706534</v>
          </cell>
          <cell r="Q46">
            <v>18.666333999999999</v>
          </cell>
          <cell r="R46">
            <v>26.299678</v>
          </cell>
          <cell r="S46">
            <v>12.782181</v>
          </cell>
          <cell r="T46">
            <v>28.314458999999999</v>
          </cell>
        </row>
        <row r="48">
          <cell r="E48">
            <v>97.258757549611744</v>
          </cell>
          <cell r="I48">
            <v>152.63332199999999</v>
          </cell>
          <cell r="J48">
            <v>163.51878636000001</v>
          </cell>
          <cell r="K48">
            <v>103.83049799999999</v>
          </cell>
          <cell r="L48">
            <v>165.55998384</v>
          </cell>
          <cell r="M48">
            <v>171.40912956</v>
          </cell>
          <cell r="N48">
            <v>149.87778840000001</v>
          </cell>
          <cell r="O48">
            <v>171.42628248000003</v>
          </cell>
          <cell r="P48">
            <v>153.04831200000001</v>
          </cell>
          <cell r="Q48">
            <v>161.35751844000001</v>
          </cell>
          <cell r="R48">
            <v>152.90112888000002</v>
          </cell>
          <cell r="S48">
            <v>154.85213519999999</v>
          </cell>
          <cell r="T48">
            <v>170.74016568000005</v>
          </cell>
        </row>
        <row r="49">
          <cell r="E49">
            <v>76.32784216682056</v>
          </cell>
          <cell r="I49">
            <v>0</v>
          </cell>
          <cell r="J49">
            <v>0</v>
          </cell>
          <cell r="K49">
            <v>0</v>
          </cell>
          <cell r="L49">
            <v>0</v>
          </cell>
          <cell r="M49">
            <v>0</v>
          </cell>
          <cell r="N49">
            <v>0</v>
          </cell>
          <cell r="O49">
            <v>0</v>
          </cell>
          <cell r="P49">
            <v>0</v>
          </cell>
          <cell r="Q49">
            <v>0</v>
          </cell>
          <cell r="R49">
            <v>0</v>
          </cell>
          <cell r="S49">
            <v>268.87737800000002</v>
          </cell>
          <cell r="T49">
            <v>351.09552000000002</v>
          </cell>
        </row>
        <row r="50">
          <cell r="E50">
            <v>54.637404371584708</v>
          </cell>
          <cell r="I50">
            <v>293.94237599999997</v>
          </cell>
          <cell r="J50">
            <v>435.30054671999994</v>
          </cell>
          <cell r="K50">
            <v>357.45933600000001</v>
          </cell>
          <cell r="L50">
            <v>396.64930032000012</v>
          </cell>
          <cell r="M50">
            <v>458.27251392000011</v>
          </cell>
          <cell r="N50">
            <v>378.70223040000002</v>
          </cell>
          <cell r="O50">
            <v>331.81730400000004</v>
          </cell>
          <cell r="P50">
            <v>476.02432799999997</v>
          </cell>
          <cell r="Q50">
            <v>357.05000447999998</v>
          </cell>
          <cell r="R50">
            <v>345.52755744000001</v>
          </cell>
          <cell r="S50">
            <v>359.51540352000001</v>
          </cell>
          <cell r="T50">
            <v>514.06157712000004</v>
          </cell>
        </row>
        <row r="52">
          <cell r="E52">
            <v>15.986271522586179</v>
          </cell>
          <cell r="I52">
            <v>29.812381670000001</v>
          </cell>
          <cell r="J52">
            <v>29.766290000000001</v>
          </cell>
          <cell r="K52">
            <v>24.987847000000013</v>
          </cell>
          <cell r="L52">
            <v>29.716353329999986</v>
          </cell>
          <cell r="M52">
            <v>35.894996670000019</v>
          </cell>
          <cell r="N52">
            <v>40.218903329999996</v>
          </cell>
          <cell r="O52">
            <v>40.623017261347997</v>
          </cell>
          <cell r="P52">
            <v>29.623152999999999</v>
          </cell>
          <cell r="Q52">
            <v>30.645026999999999</v>
          </cell>
          <cell r="R52">
            <v>29.784976670000002</v>
          </cell>
          <cell r="S52">
            <v>21.255047000000001</v>
          </cell>
          <cell r="T52">
            <v>23.755489169999986</v>
          </cell>
        </row>
        <row r="53">
          <cell r="E53">
            <v>21.576976174566148</v>
          </cell>
          <cell r="I53">
            <v>422.73165996406959</v>
          </cell>
          <cell r="J53">
            <v>378.60666525713964</v>
          </cell>
          <cell r="K53">
            <v>391.22465696296365</v>
          </cell>
          <cell r="L53">
            <v>333.110682</v>
          </cell>
          <cell r="M53">
            <v>364.31903</v>
          </cell>
          <cell r="N53">
            <v>362.03188899999998</v>
          </cell>
          <cell r="O53">
            <v>361.33587699999998</v>
          </cell>
          <cell r="P53">
            <v>320.654651</v>
          </cell>
          <cell r="Q53">
            <v>360.18664000000001</v>
          </cell>
          <cell r="R53">
            <v>452.65950499999991</v>
          </cell>
          <cell r="S53">
            <v>426.80715200000009</v>
          </cell>
          <cell r="T53">
            <v>441.61072799999988</v>
          </cell>
        </row>
        <row r="54">
          <cell r="E54">
            <v>20.338670725339476</v>
          </cell>
          <cell r="I54">
            <v>346.67067809150018</v>
          </cell>
          <cell r="J54">
            <v>896.12824549727611</v>
          </cell>
          <cell r="K54">
            <v>951.32284665557404</v>
          </cell>
          <cell r="L54">
            <v>1210.2167568965947</v>
          </cell>
          <cell r="M54">
            <v>985.15883544865005</v>
          </cell>
          <cell r="N54">
            <v>713.54475183794148</v>
          </cell>
          <cell r="O54">
            <v>217.19379684119997</v>
          </cell>
          <cell r="P54">
            <v>191.75114888654909</v>
          </cell>
          <cell r="Q54">
            <v>289.23026601491301</v>
          </cell>
          <cell r="R54">
            <v>327.83073597679999</v>
          </cell>
          <cell r="S54">
            <v>240.99730761993766</v>
          </cell>
          <cell r="T54">
            <v>309.62272479954021</v>
          </cell>
        </row>
        <row r="55">
          <cell r="E55">
            <v>12.056406483999439</v>
          </cell>
          <cell r="I55">
            <v>4.1211149999999996</v>
          </cell>
          <cell r="J55">
            <v>5.1743699999999997</v>
          </cell>
          <cell r="K55">
            <v>0.92475700000000005</v>
          </cell>
          <cell r="L55">
            <v>4.7760030000000002</v>
          </cell>
          <cell r="M55">
            <v>-0.38426100000000002</v>
          </cell>
          <cell r="N55">
            <v>2.7138239999999998</v>
          </cell>
          <cell r="O55">
            <v>5.4215220000000004</v>
          </cell>
          <cell r="P55">
            <v>2.796135</v>
          </cell>
          <cell r="Q55">
            <v>0.497782</v>
          </cell>
          <cell r="R55">
            <v>2.180202</v>
          </cell>
          <cell r="S55">
            <v>4.6747509999999997</v>
          </cell>
          <cell r="T55">
            <v>8.0905280000000008</v>
          </cell>
        </row>
        <row r="56">
          <cell r="E56">
            <v>24.859294294543609</v>
          </cell>
          <cell r="I56">
            <v>209.63539800000001</v>
          </cell>
          <cell r="J56">
            <v>286.32280100000003</v>
          </cell>
          <cell r="K56">
            <v>183.788599</v>
          </cell>
          <cell r="L56">
            <v>224.197799</v>
          </cell>
          <cell r="M56">
            <v>141.46449899999999</v>
          </cell>
          <cell r="N56">
            <v>227.41200000000001</v>
          </cell>
          <cell r="O56">
            <v>200.30960199999998</v>
          </cell>
          <cell r="P56">
            <v>223.3768</v>
          </cell>
          <cell r="Q56">
            <v>211.14030099999999</v>
          </cell>
          <cell r="R56">
            <v>235.84189799999999</v>
          </cell>
          <cell r="S56">
            <v>279.84400099999999</v>
          </cell>
          <cell r="T56">
            <v>271.53809999999999</v>
          </cell>
        </row>
        <row r="66">
          <cell r="C66" t="str">
            <v>Dr. NTTPS</v>
          </cell>
          <cell r="D66">
            <v>1260</v>
          </cell>
          <cell r="E66">
            <v>30.099620128656685</v>
          </cell>
          <cell r="F66">
            <v>1260</v>
          </cell>
          <cell r="G66">
            <v>1</v>
          </cell>
          <cell r="H66">
            <v>0.09</v>
          </cell>
          <cell r="I66">
            <v>278.18919885354762</v>
          </cell>
          <cell r="J66">
            <v>296.22524944173961</v>
          </cell>
          <cell r="K66">
            <v>280.23291535842037</v>
          </cell>
          <cell r="L66">
            <v>235.48076582105719</v>
          </cell>
          <cell r="M66">
            <v>204.01591067026914</v>
          </cell>
          <cell r="N66">
            <v>206.87218804986119</v>
          </cell>
          <cell r="O66">
            <v>292.24882445448179</v>
          </cell>
          <cell r="P66">
            <v>244.97977306657205</v>
          </cell>
          <cell r="Q66">
            <v>273.19673379104262</v>
          </cell>
          <cell r="R66">
            <v>254.34546017933991</v>
          </cell>
          <cell r="S66">
            <v>228.35070300899196</v>
          </cell>
          <cell r="T66">
            <v>237.41607207191632</v>
          </cell>
          <cell r="U66">
            <v>3031.5537947672401</v>
          </cell>
        </row>
        <row r="67">
          <cell r="C67" t="str">
            <v>Dr. NTTPS-IV</v>
          </cell>
          <cell r="D67">
            <v>500</v>
          </cell>
          <cell r="E67">
            <v>28.769709113623044</v>
          </cell>
          <cell r="F67">
            <v>500</v>
          </cell>
          <cell r="G67">
            <v>1</v>
          </cell>
          <cell r="H67">
            <v>7.4999999999999997E-2</v>
          </cell>
          <cell r="I67">
            <v>113.40772107197698</v>
          </cell>
          <cell r="J67">
            <v>110.81497691697543</v>
          </cell>
          <cell r="K67">
            <v>127.76771100480545</v>
          </cell>
          <cell r="L67">
            <v>112.96372154986366</v>
          </cell>
          <cell r="M67">
            <v>94.08328314129227</v>
          </cell>
          <cell r="N67">
            <v>102.16708935662497</v>
          </cell>
          <cell r="O67">
            <v>117.88337808320061</v>
          </cell>
          <cell r="P67">
            <v>116.27246884442404</v>
          </cell>
          <cell r="Q67">
            <v>58.074754787916248</v>
          </cell>
          <cell r="R67">
            <v>24.597618748459141</v>
          </cell>
          <cell r="S67">
            <v>94.999794893175448</v>
          </cell>
          <cell r="T67">
            <v>95.765684051335498</v>
          </cell>
          <cell r="U67">
            <v>1168.7982024500498</v>
          </cell>
        </row>
        <row r="68">
          <cell r="C68" t="str">
            <v>Dr.NTTPS V</v>
          </cell>
          <cell r="D68">
            <v>800</v>
          </cell>
          <cell r="E68">
            <v>7.2209892826558129</v>
          </cell>
          <cell r="F68">
            <v>800</v>
          </cell>
          <cell r="G68">
            <v>1</v>
          </cell>
          <cell r="H68">
            <v>5.7500000000000002E-2</v>
          </cell>
          <cell r="I68">
            <v>0</v>
          </cell>
          <cell r="J68">
            <v>0</v>
          </cell>
          <cell r="K68">
            <v>0</v>
          </cell>
          <cell r="L68">
            <v>0</v>
          </cell>
          <cell r="M68">
            <v>0</v>
          </cell>
          <cell r="N68">
            <v>0</v>
          </cell>
          <cell r="O68">
            <v>0</v>
          </cell>
          <cell r="P68">
            <v>0</v>
          </cell>
          <cell r="Q68">
            <v>0</v>
          </cell>
          <cell r="R68">
            <v>167.25665181861351</v>
          </cell>
          <cell r="S68">
            <v>154.8753412961174</v>
          </cell>
          <cell r="T68">
            <v>156.12394762098805</v>
          </cell>
          <cell r="U68">
            <v>478.25594073571892</v>
          </cell>
        </row>
        <row r="69">
          <cell r="C69" t="str">
            <v>RTPP Stage-I</v>
          </cell>
          <cell r="D69">
            <v>420</v>
          </cell>
          <cell r="E69">
            <v>24.565187361390308</v>
          </cell>
          <cell r="F69">
            <v>420</v>
          </cell>
          <cell r="G69">
            <v>1</v>
          </cell>
          <cell r="H69">
            <v>0.09</v>
          </cell>
          <cell r="I69">
            <v>76.848079753563326</v>
          </cell>
          <cell r="J69">
            <v>85.356481179863465</v>
          </cell>
          <cell r="K69">
            <v>92.628782967079388</v>
          </cell>
          <cell r="L69">
            <v>85.219018175573069</v>
          </cell>
          <cell r="M69">
            <v>76.012612924195793</v>
          </cell>
          <cell r="N69">
            <v>73.062873464663369</v>
          </cell>
          <cell r="O69">
            <v>66.97368893748542</v>
          </cell>
          <cell r="P69">
            <v>66.058474799422655</v>
          </cell>
          <cell r="Q69">
            <v>49.07725756725317</v>
          </cell>
          <cell r="R69">
            <v>45.095634372175091</v>
          </cell>
          <cell r="S69">
            <v>53.972721309444367</v>
          </cell>
          <cell r="T69">
            <v>54.407849849814156</v>
          </cell>
          <cell r="U69">
            <v>824.71347530053333</v>
          </cell>
        </row>
        <row r="70">
          <cell r="C70" t="str">
            <v>RTPP Stage-II</v>
          </cell>
          <cell r="D70">
            <v>420</v>
          </cell>
          <cell r="E70">
            <v>28.169139367476316</v>
          </cell>
          <cell r="F70">
            <v>420</v>
          </cell>
          <cell r="G70">
            <v>1</v>
          </cell>
          <cell r="H70">
            <v>0.09</v>
          </cell>
          <cell r="I70">
            <v>104.13902762291698</v>
          </cell>
          <cell r="J70">
            <v>106.30341084663942</v>
          </cell>
          <cell r="K70">
            <v>101.83878089292126</v>
          </cell>
          <cell r="L70">
            <v>54.642697573850285</v>
          </cell>
          <cell r="M70">
            <v>92.233871900814989</v>
          </cell>
          <cell r="N70">
            <v>96.42126423775278</v>
          </cell>
          <cell r="O70">
            <v>73.062206113620462</v>
          </cell>
          <cell r="P70">
            <v>65.468732457445981</v>
          </cell>
          <cell r="Q70">
            <v>69.777259572999498</v>
          </cell>
          <cell r="R70">
            <v>63.586365044834977</v>
          </cell>
          <cell r="S70">
            <v>58.879332337575669</v>
          </cell>
          <cell r="T70">
            <v>59.35401801797908</v>
          </cell>
          <cell r="U70">
            <v>945.70696661935142</v>
          </cell>
        </row>
        <row r="71">
          <cell r="C71" t="str">
            <v>RTPP Stage-III</v>
          </cell>
          <cell r="D71">
            <v>210</v>
          </cell>
          <cell r="E71">
            <v>24.6121526032201</v>
          </cell>
          <cell r="F71">
            <v>210</v>
          </cell>
          <cell r="G71">
            <v>1</v>
          </cell>
          <cell r="H71">
            <v>0.09</v>
          </cell>
          <cell r="I71">
            <v>43.634709370716266</v>
          </cell>
          <cell r="J71">
            <v>45.313535890143037</v>
          </cell>
          <cell r="K71">
            <v>41.301772995192742</v>
          </cell>
          <cell r="L71">
            <v>40.205139663615462</v>
          </cell>
          <cell r="M71">
            <v>2.9446234448002997</v>
          </cell>
          <cell r="N71">
            <v>41.383839466723465</v>
          </cell>
          <cell r="O71">
            <v>36.531103056810231</v>
          </cell>
          <cell r="P71">
            <v>36.031895345139631</v>
          </cell>
          <cell r="Q71">
            <v>34.888629786499749</v>
          </cell>
          <cell r="R71">
            <v>31.793182522417489</v>
          </cell>
          <cell r="S71">
            <v>29.439666168787834</v>
          </cell>
          <cell r="T71">
            <v>29.67700900898954</v>
          </cell>
          <cell r="U71">
            <v>413.14510671983572</v>
          </cell>
        </row>
        <row r="72">
          <cell r="C72" t="str">
            <v>RTPP Stage-IV</v>
          </cell>
          <cell r="D72">
            <v>600</v>
          </cell>
          <cell r="E72">
            <v>25.531989370611168</v>
          </cell>
          <cell r="F72">
            <v>600</v>
          </cell>
          <cell r="G72">
            <v>1</v>
          </cell>
          <cell r="H72">
            <v>5.7500000000000002E-2</v>
          </cell>
          <cell r="I72">
            <v>107.30657787947031</v>
          </cell>
          <cell r="J72">
            <v>129.24843400896518</v>
          </cell>
          <cell r="K72">
            <v>131.11948760794149</v>
          </cell>
          <cell r="L72">
            <v>129.21055362374906</v>
          </cell>
          <cell r="M72">
            <v>108.06493927810708</v>
          </cell>
          <cell r="N72">
            <v>94.346886319621277</v>
          </cell>
          <cell r="O72">
            <v>117.11076405116884</v>
          </cell>
          <cell r="P72">
            <v>48.573575694234108</v>
          </cell>
          <cell r="Q72">
            <v>111.84535229175512</v>
          </cell>
          <cell r="R72">
            <v>101.92202220196761</v>
          </cell>
          <cell r="S72">
            <v>94.377161102321537</v>
          </cell>
          <cell r="T72">
            <v>95.138030581539596</v>
          </cell>
          <cell r="U72">
            <v>1268.2637846408413</v>
          </cell>
        </row>
        <row r="73">
          <cell r="C73" t="str">
            <v>Genco-Thermal Total</v>
          </cell>
          <cell r="D73">
            <v>4210</v>
          </cell>
          <cell r="F73">
            <v>4210</v>
          </cell>
          <cell r="I73">
            <v>723.52531455219139</v>
          </cell>
          <cell r="J73">
            <v>773.26208828432618</v>
          </cell>
          <cell r="K73">
            <v>774.88945082636064</v>
          </cell>
          <cell r="L73">
            <v>657.72189640770875</v>
          </cell>
          <cell r="M73">
            <v>577.35524135947958</v>
          </cell>
          <cell r="N73">
            <v>614.25414089524702</v>
          </cell>
          <cell r="O73">
            <v>703.80996469676745</v>
          </cell>
          <cell r="P73">
            <v>577.38492020723845</v>
          </cell>
          <cell r="Q73">
            <v>596.85998779746637</v>
          </cell>
          <cell r="R73">
            <v>688.59693488780772</v>
          </cell>
          <cell r="S73">
            <v>714.89472011641431</v>
          </cell>
          <cell r="T73">
            <v>727.88261120256232</v>
          </cell>
          <cell r="U73">
            <v>8130.4372712335708</v>
          </cell>
        </row>
        <row r="74">
          <cell r="C74" t="str">
            <v>Srisailam RCPH</v>
          </cell>
          <cell r="D74">
            <v>770</v>
          </cell>
          <cell r="E74">
            <v>3.1205730082298948</v>
          </cell>
          <cell r="F74">
            <v>770</v>
          </cell>
          <cell r="G74">
            <v>1</v>
          </cell>
          <cell r="H74">
            <v>0.01</v>
          </cell>
          <cell r="I74">
            <v>1.884990503615233</v>
          </cell>
          <cell r="J74">
            <v>-2.9271218998878509E-2</v>
          </cell>
          <cell r="K74">
            <v>-0.12470622326624485</v>
          </cell>
          <cell r="L74">
            <v>-7.2031003184336001E-2</v>
          </cell>
          <cell r="M74">
            <v>9.4397487248675985E-2</v>
          </cell>
          <cell r="N74">
            <v>-8.6021665497016023E-2</v>
          </cell>
          <cell r="O74">
            <v>53.100620758198481</v>
          </cell>
          <cell r="P74">
            <v>50.685470289635596</v>
          </cell>
          <cell r="Q74">
            <v>43.351577517740303</v>
          </cell>
          <cell r="R74">
            <v>24.970309941617611</v>
          </cell>
          <cell r="S74">
            <v>18.445129483763488</v>
          </cell>
          <cell r="T74">
            <v>16.734450847740362</v>
          </cell>
          <cell r="U74">
            <v>208.95491671861328</v>
          </cell>
        </row>
        <row r="75">
          <cell r="C75" t="str">
            <v>NSRCPH</v>
          </cell>
          <cell r="D75">
            <v>90</v>
          </cell>
          <cell r="E75">
            <v>3.5290461081314008</v>
          </cell>
          <cell r="F75">
            <v>90</v>
          </cell>
          <cell r="G75">
            <v>1</v>
          </cell>
          <cell r="H75">
            <v>0.01</v>
          </cell>
          <cell r="I75">
            <v>2.2511872292760925E-2</v>
          </cell>
          <cell r="J75">
            <v>-1.4489947975743142E-2</v>
          </cell>
          <cell r="K75">
            <v>-1.4485138267156568E-2</v>
          </cell>
          <cell r="L75">
            <v>-1.1788994419283518E-2</v>
          </cell>
          <cell r="M75">
            <v>-1.1095156545902887E-2</v>
          </cell>
          <cell r="N75">
            <v>-1.1294424500737955E-2</v>
          </cell>
          <cell r="O75">
            <v>8.992847063888453</v>
          </cell>
          <cell r="P75">
            <v>8.4475783816059327</v>
          </cell>
          <cell r="Q75">
            <v>6.1346571959066463</v>
          </cell>
          <cell r="R75">
            <v>1.8634559657923591</v>
          </cell>
          <cell r="S75">
            <v>1.1067077690258091</v>
          </cell>
          <cell r="T75">
            <v>1.1156300565160242</v>
          </cell>
          <cell r="U75">
            <v>27.620234643319161</v>
          </cell>
        </row>
        <row r="76">
          <cell r="C76" t="str">
            <v>NSTPDC PH</v>
          </cell>
          <cell r="D76">
            <v>50</v>
          </cell>
          <cell r="E76">
            <v>6.0474564685931096</v>
          </cell>
          <cell r="F76">
            <v>50</v>
          </cell>
          <cell r="G76">
            <v>1</v>
          </cell>
          <cell r="H76">
            <v>0.01</v>
          </cell>
          <cell r="I76">
            <v>8.3538869315844366E-2</v>
          </cell>
          <cell r="J76">
            <v>-2.6989056161677811E-2</v>
          </cell>
          <cell r="K76">
            <v>-4.1195089483456168E-2</v>
          </cell>
          <cell r="L76">
            <v>-3.6015501592168001E-2</v>
          </cell>
          <cell r="M76">
            <v>5.0650537807796124E-2</v>
          </cell>
          <cell r="N76">
            <v>-3.4013862438361145E-2</v>
          </cell>
          <cell r="O76">
            <v>9.4210778764545697</v>
          </cell>
          <cell r="P76">
            <v>8.4475783816059327</v>
          </cell>
          <cell r="Q76">
            <v>2.862840024756435</v>
          </cell>
          <cell r="R76">
            <v>1.8634559657923591</v>
          </cell>
          <cell r="S76">
            <v>1.8445129483763487</v>
          </cell>
          <cell r="T76">
            <v>1.8593834275267067</v>
          </cell>
          <cell r="U76">
            <v>26.294824521960329</v>
          </cell>
        </row>
        <row r="77">
          <cell r="C77" t="str">
            <v>Upper Sileru</v>
          </cell>
          <cell r="D77">
            <v>240</v>
          </cell>
          <cell r="E77">
            <v>8.368373060039346</v>
          </cell>
          <cell r="F77">
            <v>240</v>
          </cell>
          <cell r="G77">
            <v>1</v>
          </cell>
          <cell r="H77">
            <v>0.01</v>
          </cell>
          <cell r="I77">
            <v>9.3284523847248355</v>
          </cell>
          <cell r="J77">
            <v>14.13403852936448</v>
          </cell>
          <cell r="K77">
            <v>13.589893708571999</v>
          </cell>
          <cell r="L77">
            <v>14.145899097663259</v>
          </cell>
          <cell r="M77">
            <v>15.321814937865041</v>
          </cell>
          <cell r="N77">
            <v>9.7675372808329186</v>
          </cell>
          <cell r="O77">
            <v>19.270386565475256</v>
          </cell>
          <cell r="P77">
            <v>18.162293520452756</v>
          </cell>
          <cell r="Q77">
            <v>16.768063002144832</v>
          </cell>
          <cell r="R77">
            <v>14.5349565331804</v>
          </cell>
          <cell r="S77">
            <v>14.75610358701079</v>
          </cell>
          <cell r="T77">
            <v>14.875067420213654</v>
          </cell>
          <cell r="U77">
            <v>174.65450656750022</v>
          </cell>
        </row>
        <row r="78">
          <cell r="C78" t="str">
            <v>Lower Sileru</v>
          </cell>
          <cell r="D78">
            <v>460</v>
          </cell>
          <cell r="E78">
            <v>10.442041663601053</v>
          </cell>
          <cell r="F78">
            <v>460</v>
          </cell>
          <cell r="G78">
            <v>1</v>
          </cell>
          <cell r="H78">
            <v>0.01</v>
          </cell>
          <cell r="I78">
            <v>31.650334743975911</v>
          </cell>
          <cell r="J78">
            <v>35.062670378106759</v>
          </cell>
          <cell r="K78">
            <v>30.389828091314595</v>
          </cell>
          <cell r="L78">
            <v>34.95039877114521</v>
          </cell>
          <cell r="M78">
            <v>35.071779667889857</v>
          </cell>
          <cell r="N78">
            <v>34.665725584565322</v>
          </cell>
          <cell r="O78">
            <v>41.966619631479446</v>
          </cell>
          <cell r="P78">
            <v>41.39313406986907</v>
          </cell>
          <cell r="Q78">
            <v>36.807943175439874</v>
          </cell>
          <cell r="R78">
            <v>29.815295452677745</v>
          </cell>
          <cell r="S78">
            <v>32.463427891423734</v>
          </cell>
          <cell r="T78">
            <v>33.468901695480724</v>
          </cell>
          <cell r="U78">
            <v>417.7060591533683</v>
          </cell>
        </row>
        <row r="79">
          <cell r="C79" t="str">
            <v>Donkarayi</v>
          </cell>
          <cell r="D79">
            <v>25</v>
          </cell>
          <cell r="E79">
            <v>17.244434504764172</v>
          </cell>
          <cell r="F79">
            <v>25</v>
          </cell>
          <cell r="G79">
            <v>1</v>
          </cell>
          <cell r="H79">
            <v>0.01</v>
          </cell>
          <cell r="I79">
            <v>1.0307773840037002</v>
          </cell>
          <cell r="J79">
            <v>-6.2384806419833544E-2</v>
          </cell>
          <cell r="K79">
            <v>-6.4382840531869975E-2</v>
          </cell>
          <cell r="L79">
            <v>0.62139981826255686</v>
          </cell>
          <cell r="M79">
            <v>3.3470874586971102</v>
          </cell>
          <cell r="N79">
            <v>3.8086771916814608</v>
          </cell>
          <cell r="O79">
            <v>5.1987220645526584</v>
          </cell>
          <cell r="P79">
            <v>5.1276800776348015</v>
          </cell>
          <cell r="Q79">
            <v>4.9649825572204458</v>
          </cell>
          <cell r="R79">
            <v>4.5244710849438485</v>
          </cell>
          <cell r="S79">
            <v>4.4784774386577748</v>
          </cell>
          <cell r="T79">
            <v>4.5145829620348445</v>
          </cell>
          <cell r="U79">
            <v>37.4900903907375</v>
          </cell>
        </row>
        <row r="80">
          <cell r="C80" t="str">
            <v>PABM</v>
          </cell>
          <cell r="D80">
            <v>20</v>
          </cell>
          <cell r="E80">
            <v>0.5925344242636833</v>
          </cell>
          <cell r="F80">
            <v>20</v>
          </cell>
          <cell r="G80">
            <v>1</v>
          </cell>
          <cell r="H80">
            <v>0.01</v>
          </cell>
          <cell r="I80">
            <v>-4.3182337900509937E-3</v>
          </cell>
          <cell r="J80">
            <v>-8.0931447675407688E-3</v>
          </cell>
          <cell r="K80">
            <v>-7.8939239498035819E-3</v>
          </cell>
          <cell r="L80">
            <v>-8.1248259461135577E-3</v>
          </cell>
          <cell r="M80">
            <v>-1.0080329055966196E-2</v>
          </cell>
          <cell r="N80">
            <v>-8.4916974205770136E-3</v>
          </cell>
          <cell r="O80">
            <v>0.37256080693252158</v>
          </cell>
          <cell r="P80">
            <v>0.27581343415943371</v>
          </cell>
          <cell r="Q80">
            <v>0.26706207659513603</v>
          </cell>
          <cell r="R80">
            <v>0.16212066902393524</v>
          </cell>
          <cell r="S80">
            <v>0</v>
          </cell>
          <cell r="T80">
            <v>0</v>
          </cell>
          <cell r="U80">
            <v>1.0305548317809745</v>
          </cell>
        </row>
        <row r="81">
          <cell r="C81" t="str">
            <v>Minihydel(Chettipet)</v>
          </cell>
          <cell r="D81">
            <v>1</v>
          </cell>
          <cell r="E81">
            <v>13.771901023624288</v>
          </cell>
          <cell r="F81">
            <v>1</v>
          </cell>
          <cell r="G81">
            <v>1</v>
          </cell>
          <cell r="H81">
            <v>0.01</v>
          </cell>
          <cell r="I81">
            <v>0.10421126511927997</v>
          </cell>
          <cell r="J81">
            <v>-9.5255492335333453E-4</v>
          </cell>
          <cell r="K81">
            <v>0.10103606130599854</v>
          </cell>
          <cell r="L81">
            <v>0.14241677996703639</v>
          </cell>
          <cell r="M81">
            <v>0.14418507651060761</v>
          </cell>
          <cell r="N81">
            <v>0.15488455217468022</v>
          </cell>
          <cell r="O81">
            <v>2.9976156879628176E-2</v>
          </cell>
          <cell r="P81">
            <v>2.1118945954014832E-2</v>
          </cell>
          <cell r="Q81">
            <v>0.11451360099025741</v>
          </cell>
          <cell r="R81">
            <v>0.14534956533180401</v>
          </cell>
          <cell r="S81">
            <v>0.10329272510907553</v>
          </cell>
          <cell r="T81">
            <v>0.1375943736369763</v>
          </cell>
          <cell r="U81">
            <v>1.1976265480560058</v>
          </cell>
        </row>
        <row r="82">
          <cell r="C82" t="str">
            <v>Machkund AP Share</v>
          </cell>
          <cell r="D82">
            <v>60</v>
          </cell>
          <cell r="E82">
            <v>25.369091349784451</v>
          </cell>
          <cell r="F82">
            <v>60</v>
          </cell>
          <cell r="G82">
            <v>1</v>
          </cell>
          <cell r="H82">
            <v>0.01</v>
          </cell>
          <cell r="I82">
            <v>9.7219324264157176</v>
          </cell>
          <cell r="J82">
            <v>12.918788009248763</v>
          </cell>
          <cell r="K82">
            <v>16.956763567962806</v>
          </cell>
          <cell r="L82">
            <v>17.54373712440816</v>
          </cell>
          <cell r="M82">
            <v>15.955355425563162</v>
          </cell>
          <cell r="N82">
            <v>14.446401061292784</v>
          </cell>
          <cell r="O82">
            <v>8.5646162513223363</v>
          </cell>
          <cell r="P82">
            <v>8.4475783816059327</v>
          </cell>
          <cell r="Q82">
            <v>7.7705657814817517</v>
          </cell>
          <cell r="R82">
            <v>6.7084414768524931</v>
          </cell>
          <cell r="S82">
            <v>6.6402466141548553</v>
          </cell>
          <cell r="T82">
            <v>6.6937803390961443</v>
          </cell>
          <cell r="U82">
            <v>132.36820645940492</v>
          </cell>
        </row>
        <row r="83">
          <cell r="C83" t="str">
            <v>TB Dam AP Share</v>
          </cell>
          <cell r="D83">
            <v>57.6</v>
          </cell>
          <cell r="E83">
            <v>9.7099290416060633</v>
          </cell>
          <cell r="F83">
            <v>57.6</v>
          </cell>
          <cell r="G83">
            <v>1</v>
          </cell>
          <cell r="H83">
            <v>0.01</v>
          </cell>
          <cell r="I83">
            <v>1.1982654822383592</v>
          </cell>
          <cell r="J83">
            <v>-8.3427935370362888E-2</v>
          </cell>
          <cell r="K83">
            <v>-9.6522216467067851E-2</v>
          </cell>
          <cell r="L83">
            <v>0.16835153069827363</v>
          </cell>
          <cell r="M83">
            <v>5.1332903015852374</v>
          </cell>
          <cell r="N83">
            <v>7.4720787473270791</v>
          </cell>
          <cell r="O83">
            <v>8.5646162513223363</v>
          </cell>
          <cell r="P83">
            <v>8.4475783816059327</v>
          </cell>
          <cell r="Q83">
            <v>8.1795429278755289</v>
          </cell>
          <cell r="R83">
            <v>3.7269119315847181</v>
          </cell>
          <cell r="S83">
            <v>2.9512207174021579</v>
          </cell>
          <cell r="T83">
            <v>2.9750134840427309</v>
          </cell>
          <cell r="U83">
            <v>48.636919603844923</v>
          </cell>
        </row>
        <row r="84">
          <cell r="C84" t="str">
            <v>Genco Hydel Total</v>
          </cell>
          <cell r="D84">
            <v>1773.6</v>
          </cell>
          <cell r="F84">
            <v>1773.6</v>
          </cell>
          <cell r="I84">
            <v>55.020696697911596</v>
          </cell>
          <cell r="J84">
            <v>61.889888252102608</v>
          </cell>
          <cell r="K84">
            <v>60.688335997189796</v>
          </cell>
          <cell r="L84">
            <v>67.444242797002602</v>
          </cell>
          <cell r="M84">
            <v>75.097385407565625</v>
          </cell>
          <cell r="N84">
            <v>70.175482768017559</v>
          </cell>
          <cell r="O84">
            <v>155.48204342650573</v>
          </cell>
          <cell r="P84">
            <v>149.45582386412937</v>
          </cell>
          <cell r="Q84">
            <v>127.22174786015123</v>
          </cell>
          <cell r="R84">
            <v>88.314768586797285</v>
          </cell>
          <cell r="S84">
            <v>82.789119174924025</v>
          </cell>
          <cell r="T84">
            <v>82.374404606288181</v>
          </cell>
          <cell r="U84">
            <v>1075.9539394385856</v>
          </cell>
        </row>
        <row r="85">
          <cell r="C85" t="str">
            <v>APGENCO-TOTAL</v>
          </cell>
          <cell r="D85">
            <v>5983.6</v>
          </cell>
          <cell r="F85">
            <v>5983.6</v>
          </cell>
          <cell r="I85">
            <v>778.54601125010299</v>
          </cell>
          <cell r="J85">
            <v>835.15197653642883</v>
          </cell>
          <cell r="K85">
            <v>835.57778682355047</v>
          </cell>
          <cell r="L85">
            <v>725.16613920471138</v>
          </cell>
          <cell r="M85">
            <v>652.45262676704522</v>
          </cell>
          <cell r="N85">
            <v>684.42962366326458</v>
          </cell>
          <cell r="O85">
            <v>859.29200812327315</v>
          </cell>
          <cell r="P85">
            <v>726.84074407136779</v>
          </cell>
          <cell r="Q85">
            <v>724.08173565761763</v>
          </cell>
          <cell r="R85">
            <v>776.91170347460502</v>
          </cell>
          <cell r="S85">
            <v>797.68383929133836</v>
          </cell>
          <cell r="T85">
            <v>810.2570158088505</v>
          </cell>
          <cell r="U85">
            <v>9206.3912106721564</v>
          </cell>
        </row>
        <row r="86">
          <cell r="C86" t="str">
            <v>APPDCL Stage-I</v>
          </cell>
          <cell r="D86">
            <v>1600</v>
          </cell>
          <cell r="E86">
            <v>23.218032372204711</v>
          </cell>
          <cell r="F86">
            <v>1440</v>
          </cell>
          <cell r="G86">
            <v>0.9</v>
          </cell>
          <cell r="H86">
            <v>6.5000000000000002E-2</v>
          </cell>
          <cell r="I86">
            <v>235.76453965902246</v>
          </cell>
          <cell r="J86">
            <v>284.93318195905096</v>
          </cell>
          <cell r="K86">
            <v>212.33041570309584</v>
          </cell>
          <cell r="L86">
            <v>203.49364704391093</v>
          </cell>
          <cell r="M86">
            <v>228.49371785535311</v>
          </cell>
          <cell r="N86">
            <v>163.72164518355873</v>
          </cell>
          <cell r="O86">
            <v>255.9133029743868</v>
          </cell>
          <cell r="P86">
            <v>258.56483071673546</v>
          </cell>
          <cell r="Q86">
            <v>250.36075866328267</v>
          </cell>
          <cell r="R86">
            <v>228.14783341570825</v>
          </cell>
          <cell r="S86">
            <v>211.25900334622912</v>
          </cell>
          <cell r="T86">
            <v>212.96217523632126</v>
          </cell>
          <cell r="U86">
            <v>2745.9450517566556</v>
          </cell>
        </row>
        <row r="87">
          <cell r="C87" t="str">
            <v>APPDCL Stage-II</v>
          </cell>
          <cell r="D87">
            <v>800</v>
          </cell>
          <cell r="E87">
            <v>18.315097841432927</v>
          </cell>
          <cell r="F87">
            <v>800</v>
          </cell>
          <cell r="G87">
            <v>1</v>
          </cell>
          <cell r="H87">
            <v>5.7500000000000002E-2</v>
          </cell>
          <cell r="I87">
            <v>142.69820590426514</v>
          </cell>
          <cell r="J87">
            <v>147.90651974531542</v>
          </cell>
          <cell r="K87">
            <v>158.11275855258984</v>
          </cell>
          <cell r="L87">
            <v>102.69721924381091</v>
          </cell>
          <cell r="M87">
            <v>1.3248872642197318</v>
          </cell>
          <cell r="N87">
            <v>11.726382331993124</v>
          </cell>
          <cell r="O87">
            <v>63.262966171204994</v>
          </cell>
          <cell r="P87">
            <v>130.31944008049365</v>
          </cell>
          <cell r="Q87">
            <v>126.1845000214673</v>
          </cell>
          <cell r="R87">
            <v>114.98894812529677</v>
          </cell>
          <cell r="S87">
            <v>106.47679714108072</v>
          </cell>
          <cell r="T87">
            <v>107.33521398942929</v>
          </cell>
          <cell r="U87">
            <v>1213.0338385711671</v>
          </cell>
        </row>
        <row r="88">
          <cell r="C88" t="str">
            <v>Godavari Gas Power Plant</v>
          </cell>
          <cell r="D88">
            <v>216.82400000000001</v>
          </cell>
          <cell r="E88">
            <v>-5.1218516254131985E-2</v>
          </cell>
          <cell r="F88">
            <v>216.82400000000001</v>
          </cell>
          <cell r="G88">
            <v>1</v>
          </cell>
          <cell r="H88">
            <v>0.03</v>
          </cell>
          <cell r="I88">
            <v>-0.18402485675999544</v>
          </cell>
          <cell r="J88">
            <v>-0.17463506928144468</v>
          </cell>
          <cell r="K88">
            <v>-0.17206656423702099</v>
          </cell>
          <cell r="L88">
            <v>-0.14557760887199689</v>
          </cell>
          <cell r="M88">
            <v>-0.1229111239378209</v>
          </cell>
          <cell r="N88">
            <v>-0.14701846686680878</v>
          </cell>
          <cell r="O88">
            <v>0</v>
          </cell>
          <cell r="P88">
            <v>0</v>
          </cell>
          <cell r="Q88">
            <v>0</v>
          </cell>
          <cell r="R88">
            <v>0</v>
          </cell>
          <cell r="S88">
            <v>0</v>
          </cell>
          <cell r="T88">
            <v>0</v>
          </cell>
          <cell r="U88">
            <v>-0.94623368995508772</v>
          </cell>
        </row>
        <row r="89">
          <cell r="C89" t="str">
            <v>Joint Sector-TOTAL</v>
          </cell>
          <cell r="D89">
            <v>2616.8240000000001</v>
          </cell>
          <cell r="F89">
            <v>2456.8240000000001</v>
          </cell>
          <cell r="I89">
            <v>378.27872070652762</v>
          </cell>
          <cell r="J89">
            <v>432.66506663508488</v>
          </cell>
          <cell r="K89">
            <v>370.27110769144866</v>
          </cell>
          <cell r="L89">
            <v>306.04528867884989</v>
          </cell>
          <cell r="M89">
            <v>229.69569399563503</v>
          </cell>
          <cell r="N89">
            <v>175.30100904868507</v>
          </cell>
          <cell r="O89">
            <v>319.17626914559179</v>
          </cell>
          <cell r="P89">
            <v>388.88427079722908</v>
          </cell>
          <cell r="Q89">
            <v>376.54525868474997</v>
          </cell>
          <cell r="R89">
            <v>343.13678154100501</v>
          </cell>
          <cell r="S89">
            <v>317.73580048730986</v>
          </cell>
          <cell r="T89">
            <v>320.29738922575052</v>
          </cell>
          <cell r="U89">
            <v>3958.0326566378676</v>
          </cell>
        </row>
        <row r="90">
          <cell r="C90" t="str">
            <v>NTPC(SR) Ramagundam I &amp; II</v>
          </cell>
          <cell r="D90">
            <v>2100</v>
          </cell>
          <cell r="E90">
            <v>32.074618846739639</v>
          </cell>
          <cell r="F90">
            <v>300.13</v>
          </cell>
          <cell r="G90">
            <v>0.14929999999999999</v>
          </cell>
          <cell r="H90">
            <v>7.0400000000000004E-2</v>
          </cell>
          <cell r="I90">
            <v>63.827228627154213</v>
          </cell>
          <cell r="J90">
            <v>66.012125506812552</v>
          </cell>
          <cell r="K90">
            <v>56.305755538682767</v>
          </cell>
          <cell r="L90">
            <v>64.937162903529654</v>
          </cell>
          <cell r="M90">
            <v>58.88808414521538</v>
          </cell>
          <cell r="N90">
            <v>58.62070579890613</v>
          </cell>
          <cell r="O90">
            <v>62.927617719266401</v>
          </cell>
          <cell r="P90">
            <v>76.509774582369303</v>
          </cell>
          <cell r="Q90">
            <v>73.30352629063205</v>
          </cell>
          <cell r="R90">
            <v>72.244681949153389</v>
          </cell>
          <cell r="S90">
            <v>63.662972400412066</v>
          </cell>
          <cell r="T90">
            <v>68.826984662171725</v>
          </cell>
          <cell r="U90">
            <v>786.06662012430559</v>
          </cell>
        </row>
        <row r="91">
          <cell r="C91" t="str">
            <v>NTPC(SR) Simhadri Stage-I</v>
          </cell>
          <cell r="D91">
            <v>1000</v>
          </cell>
          <cell r="E91">
            <v>35.472404209764534</v>
          </cell>
          <cell r="F91">
            <v>461.1</v>
          </cell>
          <cell r="G91">
            <v>0.46110000000000001</v>
          </cell>
          <cell r="H91">
            <v>5.7500000000000002E-2</v>
          </cell>
          <cell r="I91">
            <v>117.44180911804395</v>
          </cell>
          <cell r="J91">
            <v>127.61777047334053</v>
          </cell>
          <cell r="K91">
            <v>127.74046962508473</v>
          </cell>
          <cell r="L91">
            <v>135.37841604486042</v>
          </cell>
          <cell r="M91">
            <v>118.60558902201706</v>
          </cell>
          <cell r="N91">
            <v>122.21200981866389</v>
          </cell>
          <cell r="O91">
            <v>131.53790933024169</v>
          </cell>
          <cell r="P91">
            <v>81.61090124898584</v>
          </cell>
          <cell r="Q91">
            <v>62.81191967261779</v>
          </cell>
          <cell r="R91">
            <v>108.93877174161263</v>
          </cell>
          <cell r="S91">
            <v>106.00370137196525</v>
          </cell>
          <cell r="T91">
            <v>114.22784233322776</v>
          </cell>
          <cell r="U91">
            <v>1354.1271098006612</v>
          </cell>
        </row>
        <row r="92">
          <cell r="C92" t="str">
            <v>NTPC(SR) Simhadri Stage-II</v>
          </cell>
          <cell r="D92">
            <v>1000</v>
          </cell>
          <cell r="E92">
            <v>34.12923051763714</v>
          </cell>
          <cell r="F92">
            <v>222.37</v>
          </cell>
          <cell r="G92">
            <v>0.21387</v>
          </cell>
          <cell r="H92">
            <v>5.7500000000000002E-2</v>
          </cell>
          <cell r="I92">
            <v>57.38178057926239</v>
          </cell>
          <cell r="J92">
            <v>57.902073581670848</v>
          </cell>
          <cell r="K92">
            <v>56.249239133992901</v>
          </cell>
          <cell r="L92">
            <v>29.571031429219122</v>
          </cell>
          <cell r="M92">
            <v>40.795323319245831</v>
          </cell>
          <cell r="N92">
            <v>49.447104661780315</v>
          </cell>
          <cell r="O92">
            <v>61.781829818931733</v>
          </cell>
          <cell r="P92">
            <v>58.971836016499054</v>
          </cell>
          <cell r="Q92">
            <v>59.004059766090428</v>
          </cell>
          <cell r="R92">
            <v>53.769003058779866</v>
          </cell>
          <cell r="S92">
            <v>49.78870860640874</v>
          </cell>
          <cell r="T92">
            <v>53.651492193762053</v>
          </cell>
          <cell r="U92">
            <v>628.31348216564311</v>
          </cell>
        </row>
        <row r="93">
          <cell r="C93" t="str">
            <v>NTPC(SR) Talcher Stage-II</v>
          </cell>
          <cell r="D93">
            <v>2000</v>
          </cell>
          <cell r="E93">
            <v>29.379876392153104</v>
          </cell>
          <cell r="F93">
            <v>184.96</v>
          </cell>
          <cell r="G93">
            <v>8.8399999999999992E-2</v>
          </cell>
          <cell r="H93">
            <v>6.25E-2</v>
          </cell>
          <cell r="I93">
            <v>47.793440934494186</v>
          </cell>
          <cell r="J93">
            <v>50.481803263358756</v>
          </cell>
          <cell r="K93">
            <v>37.945190330310922</v>
          </cell>
          <cell r="L93">
            <v>38.570967335959189</v>
          </cell>
          <cell r="M93">
            <v>29.133849630907818</v>
          </cell>
          <cell r="N93">
            <v>34.832607017729607</v>
          </cell>
          <cell r="O93">
            <v>38.467898931545825</v>
          </cell>
          <cell r="P93">
            <v>36.718281642659264</v>
          </cell>
          <cell r="Q93">
            <v>36.738345469614686</v>
          </cell>
          <cell r="R93">
            <v>33.478784642298031</v>
          </cell>
          <cell r="S93">
            <v>29.931507791244652</v>
          </cell>
          <cell r="T93">
            <v>33.405617562395868</v>
          </cell>
          <cell r="U93">
            <v>447.49829455251876</v>
          </cell>
        </row>
        <row r="94">
          <cell r="C94" t="str">
            <v>NTPC(SR) Ramagundam III</v>
          </cell>
          <cell r="D94">
            <v>500</v>
          </cell>
          <cell r="E94">
            <v>36.894922467710586</v>
          </cell>
          <cell r="F94">
            <v>75.25</v>
          </cell>
          <cell r="G94">
            <v>0.14568</v>
          </cell>
          <cell r="H94">
            <v>6.25E-2</v>
          </cell>
          <cell r="I94">
            <v>17.449936276134917</v>
          </cell>
          <cell r="J94">
            <v>20.250881993302436</v>
          </cell>
          <cell r="K94">
            <v>19.733424774697543</v>
          </cell>
          <cell r="L94">
            <v>19.933878791890084</v>
          </cell>
          <cell r="M94">
            <v>18.407694586059083</v>
          </cell>
          <cell r="N94">
            <v>17.938377689092256</v>
          </cell>
          <cell r="O94">
            <v>21.069789838792545</v>
          </cell>
          <cell r="P94">
            <v>20.111482533245187</v>
          </cell>
          <cell r="Q94">
            <v>20.122471971947437</v>
          </cell>
          <cell r="R94">
            <v>18.337132415957218</v>
          </cell>
          <cell r="S94">
            <v>16.979711182986982</v>
          </cell>
          <cell r="T94">
            <v>18.297057053395825</v>
          </cell>
          <cell r="U94">
            <v>228.63183910750152</v>
          </cell>
        </row>
        <row r="95">
          <cell r="C95" t="str">
            <v>NTPC Kudgi Stage-I</v>
          </cell>
          <cell r="D95">
            <v>2400</v>
          </cell>
          <cell r="E95">
            <v>31.64681030899084</v>
          </cell>
          <cell r="F95">
            <v>239.54</v>
          </cell>
          <cell r="G95">
            <v>8.7851768958943588E-2</v>
          </cell>
          <cell r="H95">
            <v>6.25E-2</v>
          </cell>
          <cell r="I95">
            <v>56.104395801211226</v>
          </cell>
          <cell r="J95">
            <v>59.864274875506808</v>
          </cell>
          <cell r="K95">
            <v>59.520162432949554</v>
          </cell>
          <cell r="L95">
            <v>46.155654252358367</v>
          </cell>
          <cell r="M95">
            <v>45.379202024394274</v>
          </cell>
          <cell r="N95">
            <v>41.30121099529228</v>
          </cell>
          <cell r="O95">
            <v>63.884909501283609</v>
          </cell>
          <cell r="P95">
            <v>54.203788727455077</v>
          </cell>
          <cell r="Q95">
            <v>40.675055318718137</v>
          </cell>
          <cell r="R95">
            <v>50.218743102658991</v>
          </cell>
          <cell r="S95">
            <v>51.483537357637957</v>
          </cell>
          <cell r="T95">
            <v>55.477811736113743</v>
          </cell>
          <cell r="U95">
            <v>624.26874612558004</v>
          </cell>
        </row>
        <row r="96">
          <cell r="C96" t="str">
            <v>NTECL Valluru</v>
          </cell>
          <cell r="D96">
            <v>1500</v>
          </cell>
          <cell r="E96">
            <v>31.610138660017036</v>
          </cell>
          <cell r="F96">
            <v>86.44</v>
          </cell>
          <cell r="G96">
            <v>5.9749999999999998E-2</v>
          </cell>
          <cell r="H96">
            <v>6.25E-2</v>
          </cell>
          <cell r="I96">
            <v>22.909720369220771</v>
          </cell>
          <cell r="J96">
            <v>16.812729646739005</v>
          </cell>
          <cell r="K96">
            <v>20.423878414832405</v>
          </cell>
          <cell r="L96">
            <v>24.970419941233736</v>
          </cell>
          <cell r="M96">
            <v>17.453347099215115</v>
          </cell>
          <cell r="N96">
            <v>13.371821195132421</v>
          </cell>
          <cell r="O96">
            <v>16.703065135389174</v>
          </cell>
          <cell r="P96">
            <v>15.943367508277291</v>
          </cell>
          <cell r="Q96">
            <v>15.952079380196729</v>
          </cell>
          <cell r="R96">
            <v>18.522636070174702</v>
          </cell>
          <cell r="S96">
            <v>20.19098605440438</v>
          </cell>
          <cell r="T96">
            <v>21.757473953497907</v>
          </cell>
          <cell r="U96">
            <v>225.01152476831365</v>
          </cell>
        </row>
        <row r="97">
          <cell r="C97" t="str">
            <v>NLC Stage-I</v>
          </cell>
          <cell r="D97">
            <v>630</v>
          </cell>
          <cell r="E97">
            <v>25.610165234300293</v>
          </cell>
          <cell r="F97">
            <v>46.88</v>
          </cell>
          <cell r="G97">
            <v>7.8769999999999993E-2</v>
          </cell>
          <cell r="H97">
            <v>0.1</v>
          </cell>
          <cell r="I97">
            <v>5.5084839400770633</v>
          </cell>
          <cell r="J97">
            <v>5.4791062676578983</v>
          </cell>
          <cell r="K97">
            <v>7.8148446595681698</v>
          </cell>
          <cell r="L97">
            <v>4.3445901791383372</v>
          </cell>
          <cell r="M97">
            <v>4.1610750288983906</v>
          </cell>
          <cell r="N97">
            <v>3.9915508580485821</v>
          </cell>
          <cell r="O97">
            <v>8.6671587263016292</v>
          </cell>
          <cell r="P97">
            <v>11.691631197222467</v>
          </cell>
          <cell r="Q97">
            <v>11.685847052160955</v>
          </cell>
          <cell r="R97">
            <v>10.732231410935613</v>
          </cell>
          <cell r="S97">
            <v>10.046683535846933</v>
          </cell>
          <cell r="T97">
            <v>10.791790147266084</v>
          </cell>
          <cell r="U97">
            <v>94.91499300312212</v>
          </cell>
        </row>
        <row r="98">
          <cell r="C98" t="str">
            <v>NLC Stage-II</v>
          </cell>
          <cell r="D98">
            <v>840</v>
          </cell>
          <cell r="E98">
            <v>22.644348069388055</v>
          </cell>
          <cell r="F98">
            <v>85.83</v>
          </cell>
          <cell r="G98">
            <v>0.10535</v>
          </cell>
          <cell r="H98">
            <v>0.1</v>
          </cell>
          <cell r="I98">
            <v>9.6961480119980319</v>
          </cell>
          <cell r="J98">
            <v>3.9309859326795982</v>
          </cell>
          <cell r="K98">
            <v>5.929191868714101</v>
          </cell>
          <cell r="L98">
            <v>5.9163399575884057</v>
          </cell>
          <cell r="M98">
            <v>8.5625110651343146</v>
          </cell>
          <cell r="N98">
            <v>5.8749601727030845</v>
          </cell>
          <cell r="O98">
            <v>22.40226817475401</v>
          </cell>
          <cell r="P98">
            <v>19.420431092780515</v>
          </cell>
          <cell r="Q98">
            <v>15.753770283766695</v>
          </cell>
          <cell r="R98">
            <v>18.011686900067073</v>
          </cell>
          <cell r="S98">
            <v>18.393977201052021</v>
          </cell>
          <cell r="T98">
            <v>19.758156133721233</v>
          </cell>
          <cell r="U98">
            <v>153.65042679495909</v>
          </cell>
        </row>
        <row r="99">
          <cell r="C99" t="str">
            <v>NPC(MAPS)</v>
          </cell>
          <cell r="D99">
            <v>440</v>
          </cell>
          <cell r="E99">
            <v>14.470000604124253</v>
          </cell>
          <cell r="F99">
            <v>18.16</v>
          </cell>
          <cell r="G99">
            <v>4.1200000000000001E-2</v>
          </cell>
          <cell r="H99">
            <v>0.105</v>
          </cell>
          <cell r="I99">
            <v>2.0892438111707476</v>
          </cell>
          <cell r="J99">
            <v>2.2003224933692569</v>
          </cell>
          <cell r="K99">
            <v>1.9940985492429071</v>
          </cell>
          <cell r="L99">
            <v>0</v>
          </cell>
          <cell r="M99">
            <v>0</v>
          </cell>
          <cell r="N99">
            <v>1.6561440729798145</v>
          </cell>
          <cell r="O99">
            <v>2.3727221272197854</v>
          </cell>
          <cell r="P99">
            <v>2.2154823126682133</v>
          </cell>
          <cell r="Q99">
            <v>2.2207214295990845</v>
          </cell>
          <cell r="R99">
            <v>2.0236908750715092</v>
          </cell>
          <cell r="S99">
            <v>1.8668523872760634</v>
          </cell>
          <cell r="T99">
            <v>2.0192681472593841</v>
          </cell>
          <cell r="U99">
            <v>20.658546205856769</v>
          </cell>
        </row>
        <row r="100">
          <cell r="C100" t="str">
            <v>NPC(KAIGA unit I,II,III,IV)</v>
          </cell>
          <cell r="D100">
            <v>880</v>
          </cell>
          <cell r="E100">
            <v>35.665165976373039</v>
          </cell>
          <cell r="F100">
            <v>114.45</v>
          </cell>
          <cell r="G100">
            <v>0.12984999999999999</v>
          </cell>
          <cell r="H100">
            <v>0.105</v>
          </cell>
          <cell r="I100">
            <v>29.945673544459122</v>
          </cell>
          <cell r="J100">
            <v>27.738399368049105</v>
          </cell>
          <cell r="K100">
            <v>26.123451642992858</v>
          </cell>
          <cell r="L100">
            <v>29.343260992662142</v>
          </cell>
          <cell r="M100">
            <v>27.98273003296395</v>
          </cell>
          <cell r="N100">
            <v>29.200034992393068</v>
          </cell>
          <cell r="O100">
            <v>22.216748704242473</v>
          </cell>
          <cell r="P100">
            <v>25.87784455854251</v>
          </cell>
          <cell r="Q100">
            <v>27.989652225698666</v>
          </cell>
          <cell r="R100">
            <v>25.506307567715606</v>
          </cell>
          <cell r="S100">
            <v>23.529537915075508</v>
          </cell>
          <cell r="T100">
            <v>25.450564145015058</v>
          </cell>
          <cell r="U100">
            <v>320.90420568981006</v>
          </cell>
        </row>
        <row r="101">
          <cell r="C101" t="str">
            <v>NTPL(NLC TamilNadu)</v>
          </cell>
          <cell r="D101">
            <v>1000</v>
          </cell>
          <cell r="E101">
            <v>32.057159269235562</v>
          </cell>
          <cell r="F101">
            <v>121.61</v>
          </cell>
          <cell r="G101">
            <v>0.12819</v>
          </cell>
          <cell r="H101">
            <v>5.7500000000000002E-2</v>
          </cell>
          <cell r="I101">
            <v>31.083219411330084</v>
          </cell>
          <cell r="J101">
            <v>23.399898847226034</v>
          </cell>
          <cell r="K101">
            <v>25.256120297028232</v>
          </cell>
          <cell r="L101">
            <v>18.063235011689798</v>
          </cell>
          <cell r="M101">
            <v>14.383602913959784</v>
          </cell>
          <cell r="N101">
            <v>25.725231167222141</v>
          </cell>
          <cell r="O101">
            <v>34.370095956570587</v>
          </cell>
          <cell r="P101">
            <v>24.552121646362767</v>
          </cell>
          <cell r="Q101">
            <v>34.863898975265258</v>
          </cell>
          <cell r="R101">
            <v>31.770645919509398</v>
          </cell>
          <cell r="S101">
            <v>28.531704389583606</v>
          </cell>
          <cell r="T101">
            <v>30.751532262941826</v>
          </cell>
          <cell r="U101">
            <v>322.75130679868948</v>
          </cell>
        </row>
        <row r="102">
          <cell r="C102" t="str">
            <v>NLC NNTPS</v>
          </cell>
          <cell r="D102">
            <v>1000</v>
          </cell>
          <cell r="E102">
            <v>31.985278076237528</v>
          </cell>
          <cell r="F102">
            <v>52.71</v>
          </cell>
          <cell r="G102">
            <v>5.2740000000000002E-2</v>
          </cell>
          <cell r="H102">
            <v>6.25E-2</v>
          </cell>
          <cell r="I102">
            <v>12.656572547072654</v>
          </cell>
          <cell r="J102">
            <v>11.190607193626567</v>
          </cell>
          <cell r="K102">
            <v>12.540666429952147</v>
          </cell>
          <cell r="L102">
            <v>12.571702356946748</v>
          </cell>
          <cell r="M102">
            <v>7.7537754345135612</v>
          </cell>
          <cell r="N102">
            <v>6.6289838913202113</v>
          </cell>
          <cell r="O102">
            <v>15.822432505833097</v>
          </cell>
          <cell r="P102">
            <v>15.116433211646129</v>
          </cell>
          <cell r="Q102">
            <v>10.950654413531694</v>
          </cell>
          <cell r="R102">
            <v>6.9342765267310096</v>
          </cell>
          <cell r="S102">
            <v>12.833140834298662</v>
          </cell>
          <cell r="T102">
            <v>13.838243663792358</v>
          </cell>
          <cell r="U102">
            <v>138.83748900926483</v>
          </cell>
        </row>
        <row r="103">
          <cell r="C103" t="str">
            <v>KKNPP Unit-I</v>
          </cell>
          <cell r="D103">
            <v>1000</v>
          </cell>
          <cell r="E103">
            <v>29.88590985863706</v>
          </cell>
          <cell r="F103">
            <v>1.78</v>
          </cell>
          <cell r="G103">
            <v>1.7000000000000001E-3</v>
          </cell>
          <cell r="H103">
            <v>7.0000000000000007E-2</v>
          </cell>
          <cell r="I103">
            <v>0.34986727015226321</v>
          </cell>
          <cell r="J103">
            <v>0.48913695314193728</v>
          </cell>
          <cell r="K103">
            <v>0.48761534490621578</v>
          </cell>
          <cell r="L103">
            <v>0.50054766886124946</v>
          </cell>
          <cell r="M103">
            <v>0.2907635181039982</v>
          </cell>
          <cell r="N103">
            <v>0.3412736851948916</v>
          </cell>
          <cell r="O103">
            <v>0.5264684409344722</v>
          </cell>
          <cell r="P103">
            <v>0.50252332534728483</v>
          </cell>
          <cell r="Q103">
            <v>0.50279791720152667</v>
          </cell>
          <cell r="R103">
            <v>0.35472607036628812</v>
          </cell>
          <cell r="S103">
            <v>0</v>
          </cell>
          <cell r="T103">
            <v>0</v>
          </cell>
          <cell r="U103">
            <v>4.3457201942101271</v>
          </cell>
        </row>
        <row r="104">
          <cell r="C104" t="str">
            <v>NLC TPS- I Expn.</v>
          </cell>
          <cell r="D104">
            <v>420</v>
          </cell>
          <cell r="E104">
            <v>34.821232964126423</v>
          </cell>
          <cell r="F104">
            <v>2.2400000000000002</v>
          </cell>
          <cell r="G104">
            <v>5.1000000000000004E-3</v>
          </cell>
          <cell r="H104">
            <v>8.5000000000000006E-2</v>
          </cell>
          <cell r="I104">
            <v>0.5478528206499137</v>
          </cell>
          <cell r="J104">
            <v>0.44828885705894966</v>
          </cell>
          <cell r="K104">
            <v>0.37029083277784075</v>
          </cell>
          <cell r="L104">
            <v>0.58355797137356091</v>
          </cell>
          <cell r="M104">
            <v>0.63132572527876563</v>
          </cell>
          <cell r="N104">
            <v>0.41951796592819213</v>
          </cell>
          <cell r="O104">
            <v>0.47634323386382366</v>
          </cell>
          <cell r="P104">
            <v>0.48068607757969284</v>
          </cell>
          <cell r="Q104">
            <v>0.55808510993416027</v>
          </cell>
          <cell r="R104">
            <v>0.59995337813040628</v>
          </cell>
          <cell r="S104">
            <v>0.55456141647012414</v>
          </cell>
          <cell r="T104">
            <v>0.59864219442931754</v>
          </cell>
          <cell r="U104">
            <v>6.2691055834747473</v>
          </cell>
        </row>
        <row r="105">
          <cell r="C105" t="str">
            <v>NLC TPS- II Expn.</v>
          </cell>
          <cell r="D105">
            <v>500</v>
          </cell>
          <cell r="E105">
            <v>20.500872496606831</v>
          </cell>
          <cell r="F105">
            <v>2.67</v>
          </cell>
          <cell r="G105">
            <v>5.1000000000000004E-3</v>
          </cell>
          <cell r="H105">
            <v>0.1</v>
          </cell>
          <cell r="I105">
            <v>0.42061276416227156</v>
          </cell>
          <cell r="J105">
            <v>0.30597761557643105</v>
          </cell>
          <cell r="K105">
            <v>0.33558144329110395</v>
          </cell>
          <cell r="L105">
            <v>0.45781957782112093</v>
          </cell>
          <cell r="M105">
            <v>0.20137005592663512</v>
          </cell>
          <cell r="N105">
            <v>0.42885268267233279</v>
          </cell>
          <cell r="O105">
            <v>0.58435842250718206</v>
          </cell>
          <cell r="P105">
            <v>0.55385843130962276</v>
          </cell>
          <cell r="Q105">
            <v>0.27904255496708014</v>
          </cell>
          <cell r="R105">
            <v>0.25428487549897999</v>
          </cell>
          <cell r="S105">
            <v>0.23596868904682214</v>
          </cell>
          <cell r="T105">
            <v>0.26958721338538794</v>
          </cell>
          <cell r="U105">
            <v>4.3273143261649709</v>
          </cell>
        </row>
        <row r="106">
          <cell r="C106" t="str">
            <v>NTPC Telangana STPS - I</v>
          </cell>
          <cell r="D106">
            <v>800</v>
          </cell>
          <cell r="E106">
            <v>29.604729195960093</v>
          </cell>
          <cell r="F106">
            <v>8.0500000000000007</v>
          </cell>
          <cell r="G106">
            <v>1.0058000000000001E-2</v>
          </cell>
          <cell r="H106">
            <v>6.25E-2</v>
          </cell>
          <cell r="I106">
            <v>0</v>
          </cell>
          <cell r="J106">
            <v>0</v>
          </cell>
          <cell r="K106">
            <v>0</v>
          </cell>
          <cell r="L106">
            <v>0</v>
          </cell>
          <cell r="M106">
            <v>0</v>
          </cell>
          <cell r="N106">
            <v>0.38319577065017174</v>
          </cell>
          <cell r="O106">
            <v>1.2017306357513895</v>
          </cell>
          <cell r="P106">
            <v>1.6059020439071754</v>
          </cell>
          <cell r="Q106">
            <v>1.8363194864879551</v>
          </cell>
          <cell r="R106">
            <v>1.6733944829777969</v>
          </cell>
          <cell r="S106">
            <v>1.496088359844286</v>
          </cell>
          <cell r="T106">
            <v>1.6697373195188467</v>
          </cell>
          <cell r="U106">
            <v>9.8663680991376221</v>
          </cell>
        </row>
        <row r="107">
          <cell r="C107" t="str">
            <v>JNNSM Ph-1 Thermal</v>
          </cell>
          <cell r="D107" t="str">
            <v>*39 MW clubbed into above capacities</v>
          </cell>
          <cell r="G107">
            <v>1</v>
          </cell>
          <cell r="H107">
            <v>6.25E-2</v>
          </cell>
          <cell r="I107">
            <v>6.1071391523875143</v>
          </cell>
          <cell r="J107">
            <v>7.8585781176650107</v>
          </cell>
          <cell r="K107">
            <v>7.8498864391798682</v>
          </cell>
          <cell r="L107">
            <v>6.9877252258558498</v>
          </cell>
          <cell r="M107">
            <v>6.863256876983221</v>
          </cell>
          <cell r="N107">
            <v>7.8442143563616762</v>
          </cell>
          <cell r="O107">
            <v>10.093014932239381</v>
          </cell>
          <cell r="P107">
            <v>9.8836832426136212</v>
          </cell>
          <cell r="Q107">
            <v>8.8869665274532927</v>
          </cell>
          <cell r="R107">
            <v>9.1658992647983997</v>
          </cell>
          <cell r="S107">
            <v>8.6468874346701767</v>
          </cell>
          <cell r="T107">
            <v>9.3538478528399356</v>
          </cell>
          <cell r="U107">
            <v>99.541099423047939</v>
          </cell>
        </row>
        <row r="108">
          <cell r="C108" t="str">
            <v>CGS TOTAL</v>
          </cell>
          <cell r="D108">
            <v>18010</v>
          </cell>
          <cell r="F108">
            <v>2024.17</v>
          </cell>
          <cell r="I108">
            <v>481.31312497898136</v>
          </cell>
          <cell r="J108">
            <v>481.98296098678173</v>
          </cell>
          <cell r="K108">
            <v>466.61986775820429</v>
          </cell>
          <cell r="L108">
            <v>438.28630964098778</v>
          </cell>
          <cell r="M108">
            <v>399.49350047881717</v>
          </cell>
          <cell r="N108">
            <v>420.21779679207111</v>
          </cell>
          <cell r="O108">
            <v>515.10636213566886</v>
          </cell>
          <cell r="P108">
            <v>455.970029399471</v>
          </cell>
          <cell r="Q108">
            <v>424.1352138458837</v>
          </cell>
          <cell r="R108">
            <v>462.53685025243692</v>
          </cell>
          <cell r="S108">
            <v>444.17652692822423</v>
          </cell>
          <cell r="T108">
            <v>480.14564857473425</v>
          </cell>
          <cell r="U108">
            <v>5469.9841917722624</v>
          </cell>
        </row>
        <row r="109">
          <cell r="C109" t="str">
            <v>SEIL P1 (Formerly Thermal Powertech)</v>
          </cell>
          <cell r="D109">
            <v>1320</v>
          </cell>
          <cell r="E109">
            <v>37.745536275867359</v>
          </cell>
          <cell r="F109">
            <v>230.55</v>
          </cell>
          <cell r="G109">
            <v>0.18390000000000001</v>
          </cell>
          <cell r="H109">
            <v>0.05</v>
          </cell>
          <cell r="I109">
            <v>61.676932514673815</v>
          </cell>
          <cell r="J109">
            <v>66.309507656636882</v>
          </cell>
          <cell r="K109">
            <v>64.155662384246796</v>
          </cell>
          <cell r="L109">
            <v>66.784946550626401</v>
          </cell>
          <cell r="M109">
            <v>58.055344784818978</v>
          </cell>
          <cell r="N109">
            <v>58.667184339009395</v>
          </cell>
          <cell r="O109">
            <v>62.263694922967026</v>
          </cell>
          <cell r="P109">
            <v>54.631515103549617</v>
          </cell>
          <cell r="Q109">
            <v>46.728908499330309</v>
          </cell>
          <cell r="R109">
            <v>63.927422209518149</v>
          </cell>
          <cell r="S109">
            <v>59.195142466544866</v>
          </cell>
          <cell r="T109">
            <v>63.7877103633828</v>
          </cell>
          <cell r="U109">
            <v>726.18397179530496</v>
          </cell>
        </row>
        <row r="110">
          <cell r="C110" t="str">
            <v>SEIL P2 (500MW Firm)</v>
          </cell>
          <cell r="D110">
            <v>500</v>
          </cell>
          <cell r="E110">
            <v>34.762754796830883</v>
          </cell>
          <cell r="F110">
            <v>500</v>
          </cell>
          <cell r="G110">
            <v>1</v>
          </cell>
          <cell r="H110">
            <v>0.05</v>
          </cell>
          <cell r="I110">
            <v>105.42081568361959</v>
          </cell>
          <cell r="J110">
            <v>116.21170064910683</v>
          </cell>
          <cell r="K110">
            <v>102.3271610492847</v>
          </cell>
          <cell r="L110">
            <v>103.85865575415886</v>
          </cell>
          <cell r="M110">
            <v>120.77646174541916</v>
          </cell>
          <cell r="N110">
            <v>109.33027212330369</v>
          </cell>
          <cell r="O110">
            <v>159.30186227459544</v>
          </cell>
          <cell r="P110">
            <v>152.0564108689068</v>
          </cell>
          <cell r="Q110">
            <v>152.13949845848484</v>
          </cell>
          <cell r="R110">
            <v>138.64112385495153</v>
          </cell>
          <cell r="S110">
            <v>128.37810120699388</v>
          </cell>
          <cell r="T110">
            <v>138.338127007987</v>
          </cell>
          <cell r="U110">
            <v>1526.7801906768123</v>
          </cell>
        </row>
        <row r="111">
          <cell r="C111" t="str">
            <v>SEIL P2 (125MW Open Cap)</v>
          </cell>
          <cell r="D111">
            <v>125</v>
          </cell>
          <cell r="E111">
            <v>29.549481284736036</v>
          </cell>
          <cell r="F111">
            <v>125</v>
          </cell>
          <cell r="G111">
            <v>1</v>
          </cell>
          <cell r="H111">
            <v>0.05</v>
          </cell>
          <cell r="I111">
            <v>12.263065930949411</v>
          </cell>
          <cell r="J111">
            <v>24.967357561331543</v>
          </cell>
          <cell r="K111">
            <v>0</v>
          </cell>
          <cell r="L111">
            <v>0</v>
          </cell>
          <cell r="M111">
            <v>19.620724832288314</v>
          </cell>
          <cell r="N111">
            <v>34.165710038532403</v>
          </cell>
          <cell r="O111">
            <v>39.825465568648859</v>
          </cell>
          <cell r="P111">
            <v>38.014102717226699</v>
          </cell>
          <cell r="Q111">
            <v>38.034874614621209</v>
          </cell>
          <cell r="R111">
            <v>34.660280963737883</v>
          </cell>
          <cell r="S111">
            <v>32.094525301748469</v>
          </cell>
          <cell r="T111">
            <v>34.584531751996749</v>
          </cell>
          <cell r="U111">
            <v>308.23063928108155</v>
          </cell>
        </row>
        <row r="112">
          <cell r="C112" t="str">
            <v>HNPCL</v>
          </cell>
          <cell r="D112">
            <v>1040</v>
          </cell>
          <cell r="E112">
            <v>24.840826458319498</v>
          </cell>
          <cell r="F112">
            <v>1040</v>
          </cell>
          <cell r="G112">
            <v>1</v>
          </cell>
          <cell r="H112">
            <v>5.7500000000000002E-2</v>
          </cell>
          <cell r="I112">
            <v>154.61242679669789</v>
          </cell>
          <cell r="J112">
            <v>210.22408080434943</v>
          </cell>
          <cell r="K112">
            <v>204.359925415003</v>
          </cell>
          <cell r="L112">
            <v>168.67179231226959</v>
          </cell>
          <cell r="M112">
            <v>163.62357713113684</v>
          </cell>
          <cell r="N112">
            <v>225.42269810862422</v>
          </cell>
          <cell r="O112">
            <v>187.37722248187015</v>
          </cell>
          <cell r="P112">
            <v>184.816660477791</v>
          </cell>
          <cell r="Q112">
            <v>173.40631007096121</v>
          </cell>
          <cell r="R112">
            <v>163.07523552314817</v>
          </cell>
          <cell r="S112">
            <v>151.00345776371447</v>
          </cell>
          <cell r="T112">
            <v>152.22084893046335</v>
          </cell>
          <cell r="U112">
            <v>2138.8142358160289</v>
          </cell>
        </row>
        <row r="113">
          <cell r="C113" t="str">
            <v>IPP TOTAL</v>
          </cell>
          <cell r="D113">
            <v>2985</v>
          </cell>
          <cell r="F113">
            <v>1895.55</v>
          </cell>
          <cell r="I113">
            <v>333.97324092594067</v>
          </cell>
          <cell r="J113">
            <v>417.71264667142464</v>
          </cell>
          <cell r="K113">
            <v>370.84274884853448</v>
          </cell>
          <cell r="L113">
            <v>339.31539461705484</v>
          </cell>
          <cell r="M113">
            <v>362.0761084936633</v>
          </cell>
          <cell r="N113">
            <v>427.5858646094697</v>
          </cell>
          <cell r="O113">
            <v>448.76824524808148</v>
          </cell>
          <cell r="P113">
            <v>429.51868916747412</v>
          </cell>
          <cell r="Q113">
            <v>410.30959164339754</v>
          </cell>
          <cell r="R113">
            <v>400.30406255135574</v>
          </cell>
          <cell r="S113">
            <v>370.67122673900167</v>
          </cell>
          <cell r="T113">
            <v>388.93121805382987</v>
          </cell>
          <cell r="U113">
            <v>4700.0090375692271</v>
          </cell>
        </row>
        <row r="114">
          <cell r="C114" t="str">
            <v>NCE- Others</v>
          </cell>
          <cell r="D114">
            <v>155.06</v>
          </cell>
          <cell r="E114">
            <v>8.9623113668611509</v>
          </cell>
          <cell r="F114">
            <v>155.06</v>
          </cell>
          <cell r="G114">
            <v>1</v>
          </cell>
          <cell r="H114">
            <v>0.1</v>
          </cell>
          <cell r="I114">
            <v>8.5546272829903476</v>
          </cell>
          <cell r="J114">
            <v>7.1390022526485115</v>
          </cell>
          <cell r="K114">
            <v>7.5003887412298464</v>
          </cell>
          <cell r="L114">
            <v>8.7027491111971838</v>
          </cell>
          <cell r="M114">
            <v>9.1043796689379306</v>
          </cell>
          <cell r="N114">
            <v>8.0228956672352947</v>
          </cell>
          <cell r="O114">
            <v>15.389729313567647</v>
          </cell>
          <cell r="P114">
            <v>10.850356890999633</v>
          </cell>
          <cell r="Q114">
            <v>9.654772572175446</v>
          </cell>
          <cell r="R114">
            <v>9.1242928753204762</v>
          </cell>
          <cell r="S114">
            <v>7.6558870898934277</v>
          </cell>
          <cell r="T114">
            <v>8.1647255529285285</v>
          </cell>
          <cell r="U114">
            <v>109.86380701912428</v>
          </cell>
        </row>
        <row r="115">
          <cell r="C115" t="str">
            <v>NCE Solar</v>
          </cell>
          <cell r="D115">
            <v>2466.4259999999999</v>
          </cell>
          <cell r="E115">
            <v>8.7498573056353841</v>
          </cell>
          <cell r="F115">
            <v>2466.4259999999999</v>
          </cell>
          <cell r="G115">
            <v>1</v>
          </cell>
          <cell r="H115">
            <v>0.01</v>
          </cell>
          <cell r="I115">
            <v>180.14516342993889</v>
          </cell>
          <cell r="J115">
            <v>175.69875561252258</v>
          </cell>
          <cell r="K115">
            <v>160.87102801345586</v>
          </cell>
          <cell r="L115">
            <v>134.2624396563844</v>
          </cell>
          <cell r="M115">
            <v>151.87894407215768</v>
          </cell>
          <cell r="N115">
            <v>145.9877313733985</v>
          </cell>
          <cell r="O115">
            <v>154.73775986034084</v>
          </cell>
          <cell r="P115">
            <v>135.44033295127772</v>
          </cell>
          <cell r="Q115">
            <v>147.30810419636245</v>
          </cell>
          <cell r="R115">
            <v>168.70221101297324</v>
          </cell>
          <cell r="S115">
            <v>157.45026366472649</v>
          </cell>
          <cell r="T115">
            <v>164.2247338122408</v>
          </cell>
          <cell r="U115">
            <v>1876.7074676557795</v>
          </cell>
        </row>
        <row r="116">
          <cell r="C116" t="str">
            <v>NCE WIND</v>
          </cell>
          <cell r="D116">
            <v>3636.45</v>
          </cell>
          <cell r="E116">
            <v>8.5620349023977784</v>
          </cell>
          <cell r="F116">
            <v>3636.45</v>
          </cell>
          <cell r="G116">
            <v>1</v>
          </cell>
          <cell r="H116">
            <v>5.0000000000000001E-3</v>
          </cell>
          <cell r="I116">
            <v>132.8399275428614</v>
          </cell>
          <cell r="J116">
            <v>200.34214527544279</v>
          </cell>
          <cell r="K116">
            <v>459.73159386129134</v>
          </cell>
          <cell r="L116">
            <v>654.68045502175153</v>
          </cell>
          <cell r="M116">
            <v>356.38503230558649</v>
          </cell>
          <cell r="N116">
            <v>356.1628003036293</v>
          </cell>
          <cell r="O116">
            <v>76.91833397160984</v>
          </cell>
          <cell r="P116">
            <v>103.03557494606289</v>
          </cell>
          <cell r="Q116">
            <v>100.64369881752565</v>
          </cell>
          <cell r="R116">
            <v>88.136501219937514</v>
          </cell>
          <cell r="S116">
            <v>94.921368821818859</v>
          </cell>
          <cell r="T116">
            <v>97.46246938199242</v>
          </cell>
          <cell r="U116">
            <v>2721.2599014695093</v>
          </cell>
        </row>
        <row r="117">
          <cell r="C117" t="str">
            <v>JNNSM PH 1 SOLAR</v>
          </cell>
          <cell r="D117">
            <v>39.200000000000003</v>
          </cell>
          <cell r="E117">
            <v>5.0370046581226191</v>
          </cell>
          <cell r="F117">
            <v>39.200000000000003</v>
          </cell>
          <cell r="G117">
            <v>1</v>
          </cell>
          <cell r="H117">
            <v>0.01</v>
          </cell>
          <cell r="I117">
            <v>1.2662083704065135</v>
          </cell>
          <cell r="J117">
            <v>2.8076556365839536</v>
          </cell>
          <cell r="K117">
            <v>1.1641916444887319</v>
          </cell>
          <cell r="L117">
            <v>0.9540318915666206</v>
          </cell>
          <cell r="M117">
            <v>0.29024138881540562</v>
          </cell>
          <cell r="N117">
            <v>1.4362683683128274</v>
          </cell>
          <cell r="O117">
            <v>2.3216627714050788</v>
          </cell>
          <cell r="P117">
            <v>1.1810284789025851</v>
          </cell>
          <cell r="Q117">
            <v>0.20358146188618681</v>
          </cell>
          <cell r="R117">
            <v>0.81254208470648659</v>
          </cell>
          <cell r="S117">
            <v>1.7245277499870568</v>
          </cell>
          <cell r="T117">
            <v>3.0086787366281587</v>
          </cell>
          <cell r="U117">
            <v>17.170618583689603</v>
          </cell>
        </row>
        <row r="118">
          <cell r="C118" t="str">
            <v>JNNSM PH 2 SOLAR</v>
          </cell>
          <cell r="D118">
            <v>1250</v>
          </cell>
          <cell r="E118">
            <v>9.9325444577168085</v>
          </cell>
          <cell r="F118">
            <v>1250</v>
          </cell>
          <cell r="G118">
            <v>1</v>
          </cell>
          <cell r="H118">
            <v>0.01</v>
          </cell>
          <cell r="I118">
            <v>67.278900851965602</v>
          </cell>
          <cell r="J118">
            <v>111.15601539340901</v>
          </cell>
          <cell r="K118">
            <v>116.87995694639953</v>
          </cell>
          <cell r="L118">
            <v>80.155031444921477</v>
          </cell>
          <cell r="M118">
            <v>46.871731543799861</v>
          </cell>
          <cell r="N118">
            <v>98.755795056877687</v>
          </cell>
          <cell r="O118">
            <v>85.778743629255445</v>
          </cell>
          <cell r="P118">
            <v>94.349651331615604</v>
          </cell>
          <cell r="Q118">
            <v>86.351557791703016</v>
          </cell>
          <cell r="R118">
            <v>87.896198362378598</v>
          </cell>
          <cell r="S118">
            <v>103.23517667398878</v>
          </cell>
          <cell r="T118">
            <v>100.97868861641793</v>
          </cell>
          <cell r="U118">
            <v>1079.6874476427326</v>
          </cell>
        </row>
        <row r="131">
          <cell r="C131" t="str">
            <v>Dr. NTTPS</v>
          </cell>
        </row>
        <row r="132">
          <cell r="C132" t="str">
            <v>Dr. NTTPS-IV</v>
          </cell>
        </row>
        <row r="133">
          <cell r="C133" t="str">
            <v>Dr. NTTPS-V</v>
          </cell>
        </row>
        <row r="134">
          <cell r="C134" t="str">
            <v>RTPP Stage-I</v>
          </cell>
        </row>
        <row r="135">
          <cell r="C135" t="str">
            <v>RTPP Stage-II</v>
          </cell>
        </row>
        <row r="136">
          <cell r="C136" t="str">
            <v>RTPP Stage-III</v>
          </cell>
        </row>
        <row r="137">
          <cell r="C137" t="str">
            <v>RTPP Stage-IV</v>
          </cell>
        </row>
        <row r="138">
          <cell r="C138" t="str">
            <v>Genco-Thermal Total</v>
          </cell>
        </row>
        <row r="139">
          <cell r="C139" t="str">
            <v>Srisailam RCPH</v>
          </cell>
        </row>
        <row r="140">
          <cell r="C140" t="str">
            <v>NSRCPH</v>
          </cell>
        </row>
        <row r="141">
          <cell r="C141" t="str">
            <v>NSTPDC PH</v>
          </cell>
        </row>
        <row r="142">
          <cell r="C142" t="str">
            <v>Upper Sileru</v>
          </cell>
        </row>
        <row r="143">
          <cell r="C143" t="str">
            <v>Lower Sileru</v>
          </cell>
        </row>
        <row r="144">
          <cell r="C144" t="str">
            <v>Donkarayi</v>
          </cell>
        </row>
        <row r="145">
          <cell r="C145" t="str">
            <v>PABM</v>
          </cell>
        </row>
        <row r="146">
          <cell r="C146" t="str">
            <v>Minihydel(Chettipet)</v>
          </cell>
        </row>
        <row r="147">
          <cell r="C147" t="str">
            <v>Machkund AP Share</v>
          </cell>
        </row>
        <row r="148">
          <cell r="C148" t="str">
            <v>TB Dam AP Share</v>
          </cell>
        </row>
        <row r="149">
          <cell r="C149" t="str">
            <v>Genco Hydel Total</v>
          </cell>
        </row>
        <row r="150">
          <cell r="C150" t="str">
            <v>APGENCO-TOTAL</v>
          </cell>
        </row>
        <row r="151">
          <cell r="C151" t="str">
            <v>APPDCL Stage-I</v>
          </cell>
        </row>
        <row r="152">
          <cell r="C152" t="str">
            <v>APPDCL Stage-II</v>
          </cell>
        </row>
        <row r="153">
          <cell r="C153" t="str">
            <v>Godavari Gas Power Plant</v>
          </cell>
        </row>
        <row r="154">
          <cell r="C154" t="str">
            <v>Joint Sector-TOTAL</v>
          </cell>
        </row>
        <row r="155">
          <cell r="C155" t="str">
            <v>NTPC(SR) Ramagundam I &amp; II</v>
          </cell>
        </row>
        <row r="156">
          <cell r="C156" t="str">
            <v>NTPC(SR) Simhadri Stage-I</v>
          </cell>
        </row>
        <row r="157">
          <cell r="C157" t="str">
            <v>NTPC(SR) Simhadri Stage-II</v>
          </cell>
        </row>
        <row r="158">
          <cell r="C158" t="str">
            <v>NTPC(SR) Talcher Stage-II</v>
          </cell>
        </row>
        <row r="159">
          <cell r="C159" t="str">
            <v>NTPC(SR) Ramagundam III</v>
          </cell>
        </row>
        <row r="160">
          <cell r="C160" t="str">
            <v>NTPC Kudgi Stage-I</v>
          </cell>
        </row>
        <row r="161">
          <cell r="C161" t="str">
            <v>NTECL Valluru</v>
          </cell>
        </row>
        <row r="162">
          <cell r="C162" t="str">
            <v>NLC Stage-I</v>
          </cell>
        </row>
        <row r="163">
          <cell r="C163" t="str">
            <v>NLC Stage-II</v>
          </cell>
        </row>
        <row r="164">
          <cell r="C164" t="str">
            <v>NPC(MAPS)</v>
          </cell>
        </row>
        <row r="165">
          <cell r="C165" t="str">
            <v>NPC(KAIGA unit I,II,III,IV)</v>
          </cell>
        </row>
        <row r="166">
          <cell r="C166" t="str">
            <v>NTPL(NLC TamilNadu)</v>
          </cell>
        </row>
        <row r="167">
          <cell r="C167" t="str">
            <v>NLC NNTPS</v>
          </cell>
        </row>
        <row r="168">
          <cell r="C168" t="str">
            <v>KKNPP Unit-I</v>
          </cell>
        </row>
        <row r="169">
          <cell r="C169" t="str">
            <v>NLC TPS- I Expn.</v>
          </cell>
        </row>
        <row r="170">
          <cell r="C170" t="str">
            <v>NLC TPS- II Expn.</v>
          </cell>
        </row>
        <row r="171">
          <cell r="C171" t="str">
            <v>NTPC Telangana STPS - I</v>
          </cell>
        </row>
        <row r="172">
          <cell r="C172" t="str">
            <v>JNNSM Ph-1 Thermal</v>
          </cell>
        </row>
        <row r="173">
          <cell r="C173" t="str">
            <v>CGS TOTAL</v>
          </cell>
        </row>
        <row r="174">
          <cell r="C174" t="str">
            <v>SEIL P1 (Formerly Thermal Powertech)</v>
          </cell>
        </row>
        <row r="175">
          <cell r="C175" t="str">
            <v>SEIL P1 (625MW)</v>
          </cell>
        </row>
        <row r="176">
          <cell r="C176" t="str">
            <v>SEIL P2 (500MW Firm)</v>
          </cell>
        </row>
        <row r="177">
          <cell r="C177" t="str">
            <v>SEIL P2 (125MW Open Cap)</v>
          </cell>
        </row>
        <row r="178">
          <cell r="C178" t="str">
            <v>HNPCL</v>
          </cell>
        </row>
        <row r="179">
          <cell r="C179" t="str">
            <v>IPP TOTAL</v>
          </cell>
        </row>
        <row r="180">
          <cell r="C180" t="str">
            <v>NCE- Others</v>
          </cell>
        </row>
        <row r="181">
          <cell r="C181" t="str">
            <v>NCE Solar</v>
          </cell>
        </row>
        <row r="182">
          <cell r="C182" t="str">
            <v>NCE WIND</v>
          </cell>
        </row>
        <row r="183">
          <cell r="C183" t="str">
            <v>JNNSM PH 1 SOLAR</v>
          </cell>
        </row>
        <row r="184">
          <cell r="C184" t="str">
            <v>JNNSM PH 2 SOLAR</v>
          </cell>
        </row>
        <row r="185">
          <cell r="C185" t="str">
            <v>SECI 3000 MW APRAPL</v>
          </cell>
        </row>
        <row r="186">
          <cell r="C186" t="str">
            <v>NCE TOTAL</v>
          </cell>
        </row>
        <row r="187">
          <cell r="C187" t="str">
            <v>GRAND TOTAL</v>
          </cell>
        </row>
      </sheetData>
      <sheetData sheetId="2">
        <row r="9">
          <cell r="B9" t="str">
            <v>Srisailam RCPH</v>
          </cell>
        </row>
      </sheetData>
      <sheetData sheetId="3"/>
      <sheetData sheetId="4"/>
      <sheetData sheetId="5"/>
      <sheetData sheetId="6"/>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APDISCOM NCEs 31.03.2019"/>
      <sheetName val="ORIGINAL MIS 2018-19"/>
      <sheetName val="Sheet1"/>
      <sheetName val="Sheet2"/>
    </sheetNames>
    <sheetDataSet>
      <sheetData sheetId="0" refreshError="1">
        <row r="4">
          <cell r="CX4">
            <v>3.7644138524999984</v>
          </cell>
        </row>
        <row r="343">
          <cell r="CX343">
            <v>0</v>
          </cell>
        </row>
      </sheetData>
      <sheetData sheetId="1" refreshError="1"/>
      <sheetData sheetId="2" refreshError="1"/>
      <sheetData sheetId="3"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Index"/>
      <sheetName val="Notes"/>
      <sheetName val="1|ARR"/>
      <sheetName val="1.1|Trans Cost"/>
      <sheetName val="1.2|SLDC"/>
      <sheetName val="1.3|Dist Cost"/>
      <sheetName val="1.4| PP Cost-Reg"/>
      <sheetName val="1.4a|PP Cost- NonReg"/>
      <sheetName val="1.4(i)|NCE-B Year "/>
      <sheetName val="1.4(ii)|NCE- Year 1"/>
      <sheetName val="1.4(iii)|NCE- Year 2"/>
      <sheetName val="1.4(iv)|NCE- Year 3"/>
      <sheetName val="1.4(v)|NCE -Year 4"/>
      <sheetName val="1.4 (vi)|NCE-Year 5"/>
      <sheetName val="1.4 b|Sales to Licensees"/>
      <sheetName val="1.4c|D-D Purchases"/>
      <sheetName val="1.5|Int CSD"/>
      <sheetName val="1.6|Supply Margin"/>
      <sheetName val="1.7|Other Costs"/>
      <sheetName val="2|CoS"/>
      <sheetName val="3|Sales Forecast"/>
      <sheetName val="4|PP Requirement"/>
      <sheetName val="A|New Cons Categ "/>
      <sheetName val="4a| Energy Losses"/>
      <sheetName val="4b|Transmission Losses"/>
      <sheetName val="4.1|Energy Availability"/>
      <sheetName val="4.2|Energy Dispatch"/>
      <sheetName val="5|Revenue Current Tariff"/>
      <sheetName val="5a|Incentives Current"/>
      <sheetName val="5b|Cons switching to comp"/>
      <sheetName val="5c|Cons served under open acces"/>
      <sheetName val="6|NTI current"/>
      <sheetName val="7|Total Rev Current"/>
      <sheetName val="8|Rev Gap"/>
      <sheetName val="9|Revenue Gap Adj"/>
      <sheetName val="10|Revenue Proposed Tariff"/>
      <sheetName val="10a|Incentives Proposed"/>
      <sheetName val="11|NTI proposed"/>
      <sheetName val="12|Total Rev Proposed Tariff"/>
      <sheetName val="13|Cost and Revenue"/>
    </sheetNames>
    <sheetDataSet>
      <sheetData sheetId="0" refreshError="1"/>
      <sheetData sheetId="1" refreshError="1">
        <row r="5">
          <cell r="C5" t="str">
            <v>Base Year</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SKLM"/>
      <sheetName val="VZM"/>
      <sheetName val="VSP"/>
      <sheetName val="RJY"/>
      <sheetName val="ELR"/>
      <sheetName val="DISCOM"/>
      <sheetName val="sales growth rates"/>
      <sheetName val="Indus"/>
      <sheetName val="FY23 Sales "/>
      <sheetName val="FY24 Sales"/>
      <sheetName val="FY25 Sales @ CT"/>
      <sheetName val="Sales diff"/>
      <sheetName val="FY 24 Eng Req"/>
      <sheetName val="FY 25 Eng Req"/>
      <sheetName val="FY23 Revenue"/>
      <sheetName val="FY24 Revenue "/>
      <sheetName val="FY25 Revenue @  CT"/>
      <sheetName val="FY25 Revenue @  PT"/>
      <sheetName val="Consumers"/>
      <sheetName val="Load"/>
      <sheetName val="LT- Graphs"/>
      <sheetName val="HT-Graphs"/>
      <sheetName val="Sheet2"/>
      <sheetName val="Sheet1"/>
      <sheetName val="Sheet3"/>
    </sheetNames>
    <sheetDataSet>
      <sheetData sheetId="0"/>
      <sheetData sheetId="1"/>
      <sheetData sheetId="2"/>
      <sheetData sheetId="3"/>
      <sheetData sheetId="4"/>
      <sheetData sheetId="5">
        <row r="7">
          <cell r="D7">
            <v>468.38631213945933</v>
          </cell>
          <cell r="BL7">
            <v>658.89448000000016</v>
          </cell>
          <cell r="BM7">
            <v>639.31528100000003</v>
          </cell>
          <cell r="BN7">
            <v>750.13436000000013</v>
          </cell>
          <cell r="BO7">
            <v>623.536789</v>
          </cell>
          <cell r="BP7">
            <v>587.92854799999998</v>
          </cell>
          <cell r="BQ7">
            <v>613.76679499999989</v>
          </cell>
          <cell r="BR7">
            <v>575.48857299999997</v>
          </cell>
          <cell r="BS7">
            <v>528.14961499999993</v>
          </cell>
          <cell r="BT7">
            <v>455.90042699999998</v>
          </cell>
          <cell r="BU7">
            <v>444.35370799999993</v>
          </cell>
          <cell r="BV7">
            <v>435.53972000000005</v>
          </cell>
          <cell r="BW7">
            <v>463.06177700000001</v>
          </cell>
        </row>
        <row r="8">
          <cell r="DC8">
            <v>1753.3928051799999</v>
          </cell>
        </row>
        <row r="9">
          <cell r="DC9">
            <v>2032.5741156449999</v>
          </cell>
        </row>
        <row r="10">
          <cell r="DC10">
            <v>1333.1813191749998</v>
          </cell>
        </row>
        <row r="11">
          <cell r="DC11">
            <v>1029.9848576500001</v>
          </cell>
        </row>
        <row r="12">
          <cell r="DC12">
            <v>376.50169385000004</v>
          </cell>
        </row>
        <row r="13">
          <cell r="DC13">
            <v>250.43528150000006</v>
          </cell>
        </row>
        <row r="14">
          <cell r="BL14">
            <v>114.76874199999999</v>
          </cell>
          <cell r="BM14">
            <v>113.418736</v>
          </cell>
          <cell r="BN14">
            <v>129.06611100000003</v>
          </cell>
          <cell r="BO14">
            <v>108.49319200000001</v>
          </cell>
          <cell r="BP14">
            <v>104.70450500000001</v>
          </cell>
          <cell r="BQ14">
            <v>107.10589400000001</v>
          </cell>
          <cell r="BR14">
            <v>104.77226299999998</v>
          </cell>
          <cell r="BS14">
            <v>102.532196</v>
          </cell>
          <cell r="BT14">
            <v>96.137555000000006</v>
          </cell>
          <cell r="BU14">
            <v>97.428939</v>
          </cell>
          <cell r="BV14">
            <v>93.53061799999999</v>
          </cell>
          <cell r="BW14">
            <v>97.914456000000001</v>
          </cell>
        </row>
        <row r="16">
          <cell r="DC16">
            <v>241.23684805709399</v>
          </cell>
        </row>
        <row r="17">
          <cell r="DC17">
            <v>134.15372510060638</v>
          </cell>
        </row>
        <row r="18">
          <cell r="DC18">
            <v>243.48697925506153</v>
          </cell>
        </row>
        <row r="19">
          <cell r="DC19">
            <v>115.65728099084212</v>
          </cell>
        </row>
        <row r="20">
          <cell r="DC20">
            <v>523.84717159639592</v>
          </cell>
        </row>
        <row r="21">
          <cell r="DC21">
            <v>1.3074659999999998</v>
          </cell>
        </row>
        <row r="22">
          <cell r="DC22">
            <v>10.077544999999999</v>
          </cell>
        </row>
        <row r="23">
          <cell r="DC23">
            <v>1.5061E-2</v>
          </cell>
        </row>
        <row r="24">
          <cell r="DC24">
            <v>9.1129999999999989E-2</v>
          </cell>
        </row>
        <row r="25">
          <cell r="DC25">
            <v>0</v>
          </cell>
        </row>
        <row r="26">
          <cell r="BL26">
            <v>44.477603999999999</v>
          </cell>
          <cell r="BM26">
            <v>40.882266999999999</v>
          </cell>
          <cell r="BN26">
            <v>42.212146999999995</v>
          </cell>
          <cell r="BO26">
            <v>38.633285000000001</v>
          </cell>
          <cell r="BP26">
            <v>32.098905999999992</v>
          </cell>
          <cell r="BQ26">
            <v>30.440436000000002</v>
          </cell>
          <cell r="BR26">
            <v>32.039209999999997</v>
          </cell>
          <cell r="BS26">
            <v>31.649812999999998</v>
          </cell>
          <cell r="BT26">
            <v>33.09717899999999</v>
          </cell>
          <cell r="BU26">
            <v>42.119952000000005</v>
          </cell>
          <cell r="BV26">
            <v>43.4955</v>
          </cell>
          <cell r="BW26">
            <v>41.580531999999998</v>
          </cell>
        </row>
        <row r="27">
          <cell r="DC27">
            <v>449.66935999999993</v>
          </cell>
        </row>
        <row r="28">
          <cell r="DC28">
            <v>0.20239599999999999</v>
          </cell>
        </row>
        <row r="29">
          <cell r="DC29">
            <v>2.8550750000000003</v>
          </cell>
        </row>
        <row r="30">
          <cell r="BL30">
            <v>39.685834</v>
          </cell>
          <cell r="BM30">
            <v>37.486518000000004</v>
          </cell>
          <cell r="BN30">
            <v>32.825241000000005</v>
          </cell>
          <cell r="BO30">
            <v>31.994168999999996</v>
          </cell>
          <cell r="BP30">
            <v>33.523875000000004</v>
          </cell>
          <cell r="BQ30">
            <v>34.368269000000005</v>
          </cell>
          <cell r="BR30">
            <v>35.410398000000001</v>
          </cell>
          <cell r="BS30">
            <v>37.262312000000001</v>
          </cell>
          <cell r="BT30">
            <v>37.237223</v>
          </cell>
          <cell r="BU30">
            <v>37.319724999999998</v>
          </cell>
          <cell r="BV30">
            <v>37.704922000000003</v>
          </cell>
          <cell r="BW30">
            <v>36.820977999999997</v>
          </cell>
        </row>
        <row r="31">
          <cell r="DC31">
            <v>310.68158899999997</v>
          </cell>
        </row>
        <row r="32">
          <cell r="DC32">
            <v>104.88084000000001</v>
          </cell>
        </row>
        <row r="34">
          <cell r="DC34">
            <v>12.109142999999998</v>
          </cell>
        </row>
        <row r="35">
          <cell r="DC35">
            <v>3.9678919999999995</v>
          </cell>
        </row>
        <row r="37">
          <cell r="BL37">
            <v>221.50976046135077</v>
          </cell>
          <cell r="BM37">
            <v>187.93129162048359</v>
          </cell>
          <cell r="BN37">
            <v>147.74734725376086</v>
          </cell>
          <cell r="BO37">
            <v>88.367986839144535</v>
          </cell>
          <cell r="BP37">
            <v>182.68405782227259</v>
          </cell>
          <cell r="BQ37">
            <v>128.058919</v>
          </cell>
          <cell r="BR37">
            <v>99.199340000000007</v>
          </cell>
          <cell r="BS37">
            <v>142.57628938409673</v>
          </cell>
          <cell r="BT37">
            <v>147.37221500000001</v>
          </cell>
          <cell r="BU37">
            <v>252.30431099999998</v>
          </cell>
          <cell r="BV37">
            <v>231.80561500000002</v>
          </cell>
          <cell r="BW37">
            <v>201.83446500000002</v>
          </cell>
        </row>
        <row r="38">
          <cell r="BL38">
            <v>1.014535</v>
          </cell>
          <cell r="BM38">
            <v>0.78283199999999997</v>
          </cell>
          <cell r="BN38">
            <v>0.53356000000000003</v>
          </cell>
          <cell r="BO38">
            <v>0.50582000000000005</v>
          </cell>
          <cell r="BP38">
            <v>0.39919300000000002</v>
          </cell>
          <cell r="BQ38">
            <v>0.42788599999999999</v>
          </cell>
          <cell r="BR38">
            <v>0.42235300000000003</v>
          </cell>
          <cell r="BS38">
            <v>0.444996</v>
          </cell>
          <cell r="BT38">
            <v>0.54734800000000006</v>
          </cell>
          <cell r="BU38">
            <v>0.61427699999999996</v>
          </cell>
          <cell r="BV38">
            <v>0.68188999999999989</v>
          </cell>
          <cell r="BW38">
            <v>0.72756300000000007</v>
          </cell>
          <cell r="DC38">
            <v>7.1022530000000001</v>
          </cell>
        </row>
        <row r="39">
          <cell r="DC39">
            <v>2009.1029183811088</v>
          </cell>
        </row>
        <row r="40">
          <cell r="BL40">
            <v>7.1707999999999994E-2</v>
          </cell>
          <cell r="BM40">
            <v>5.4067000000000004E-2</v>
          </cell>
          <cell r="BN40">
            <v>2.7181E-2</v>
          </cell>
          <cell r="BO40">
            <v>1.056E-2</v>
          </cell>
          <cell r="BP40">
            <v>1.1789000000000001E-2</v>
          </cell>
          <cell r="BQ40">
            <v>1.8461999999999999E-2</v>
          </cell>
          <cell r="BR40">
            <v>1.1608E-2</v>
          </cell>
          <cell r="BS40">
            <v>9.9660000000000009E-3</v>
          </cell>
          <cell r="BT40">
            <v>2.5581E-2</v>
          </cell>
          <cell r="BU40">
            <v>4.4294E-2</v>
          </cell>
          <cell r="BV40">
            <v>0.13719199999999998</v>
          </cell>
          <cell r="BW40">
            <v>7.5319999999999998E-2</v>
          </cell>
          <cell r="DC40">
            <v>0.497728</v>
          </cell>
        </row>
        <row r="41">
          <cell r="DC41">
            <v>0.21975599999999995</v>
          </cell>
        </row>
        <row r="42">
          <cell r="DC42">
            <v>14.426399000000002</v>
          </cell>
        </row>
        <row r="43">
          <cell r="BL43">
            <v>6.8389999999999996E-3</v>
          </cell>
          <cell r="BM43">
            <v>3.0590000000000001E-3</v>
          </cell>
          <cell r="BN43">
            <v>2.6059999999999998E-3</v>
          </cell>
          <cell r="BO43">
            <v>1.0740000000000001E-3</v>
          </cell>
          <cell r="BP43">
            <v>1.2260000000000001E-3</v>
          </cell>
          <cell r="BQ43">
            <v>5.3200000000000003E-4</v>
          </cell>
          <cell r="BR43">
            <v>3.9800000000000002E-4</v>
          </cell>
          <cell r="BS43">
            <v>1.9580000000000001E-3</v>
          </cell>
          <cell r="BT43">
            <v>5.574E-3</v>
          </cell>
          <cell r="BU43">
            <v>6.7809999999999997E-3</v>
          </cell>
          <cell r="BV43">
            <v>6.6259999999999999E-3</v>
          </cell>
          <cell r="BW43">
            <v>5.8710000000000004E-3</v>
          </cell>
          <cell r="DC43">
            <v>4.2543999999999998E-2</v>
          </cell>
        </row>
        <row r="44">
          <cell r="BL44">
            <v>206.61323099999998</v>
          </cell>
          <cell r="BM44">
            <v>189.63278700000001</v>
          </cell>
          <cell r="BN44">
            <v>148.21645100000001</v>
          </cell>
          <cell r="BO44">
            <v>127.167176</v>
          </cell>
          <cell r="BP44">
            <v>119.30296799999998</v>
          </cell>
          <cell r="BQ44">
            <v>138.07903999999996</v>
          </cell>
          <cell r="BR44">
            <v>163.790865</v>
          </cell>
          <cell r="BS44">
            <v>168.05291200000002</v>
          </cell>
          <cell r="BT44">
            <v>158.68748799999995</v>
          </cell>
          <cell r="BU44">
            <v>150.50870500000005</v>
          </cell>
          <cell r="BV44">
            <v>164.713145</v>
          </cell>
          <cell r="BW44">
            <v>165.87596100000002</v>
          </cell>
        </row>
        <row r="45">
          <cell r="DC45">
            <v>1900.3524630000002</v>
          </cell>
        </row>
        <row r="46">
          <cell r="DC46">
            <v>0.28826599999999997</v>
          </cell>
        </row>
        <row r="53">
          <cell r="BL53">
            <v>2.0625930407499999</v>
          </cell>
          <cell r="BM53">
            <v>2.2899606443899998</v>
          </cell>
          <cell r="BN53">
            <v>2.1508864575899995</v>
          </cell>
          <cell r="BO53">
            <v>1.8631754013700004</v>
          </cell>
          <cell r="BP53">
            <v>1.9637657293799997</v>
          </cell>
          <cell r="BQ53">
            <v>1.8275659852800001</v>
          </cell>
          <cell r="BR53">
            <v>1.6988251434000001</v>
          </cell>
          <cell r="BS53">
            <v>1.45747340774</v>
          </cell>
          <cell r="BT53">
            <v>1.41053864805</v>
          </cell>
          <cell r="BU53">
            <v>1.3661222221500005</v>
          </cell>
          <cell r="BV53">
            <v>1.2269291368300002</v>
          </cell>
          <cell r="BW53">
            <v>1.7514879512699999</v>
          </cell>
          <cell r="DC53">
            <v>21.069323768200004</v>
          </cell>
        </row>
        <row r="55">
          <cell r="BL55">
            <v>41.001211566333332</v>
          </cell>
          <cell r="BM55">
            <v>41.821252020633338</v>
          </cell>
          <cell r="BN55">
            <v>38.638792294000012</v>
          </cell>
          <cell r="BO55">
            <v>36.380749258999998</v>
          </cell>
          <cell r="BP55">
            <v>38.076106395999993</v>
          </cell>
          <cell r="BQ55">
            <v>36.713210784000005</v>
          </cell>
          <cell r="BR55">
            <v>34.468159755999999</v>
          </cell>
          <cell r="BS55">
            <v>32.126801376999992</v>
          </cell>
          <cell r="BT55">
            <v>32.904422847000006</v>
          </cell>
          <cell r="BU55">
            <v>31.299549416000005</v>
          </cell>
          <cell r="BV55">
            <v>31.090238855999996</v>
          </cell>
          <cell r="BW55">
            <v>36.823672306999995</v>
          </cell>
          <cell r="DC55">
            <v>431.34416687896669</v>
          </cell>
        </row>
        <row r="56">
          <cell r="BL56">
            <v>6.7729036666666662</v>
          </cell>
          <cell r="BM56">
            <v>7.0026176666666657</v>
          </cell>
          <cell r="BN56">
            <v>10.463232499999998</v>
          </cell>
          <cell r="BO56">
            <v>9.8974925000000002</v>
          </cell>
          <cell r="BP56">
            <v>10.447559</v>
          </cell>
          <cell r="BQ56">
            <v>9.7735230000000008</v>
          </cell>
          <cell r="BR56">
            <v>9.4549005000000008</v>
          </cell>
          <cell r="BS56">
            <v>8.7643389999999997</v>
          </cell>
          <cell r="BT56">
            <v>9.4992739999999998</v>
          </cell>
          <cell r="BU56">
            <v>9.2998480000000008</v>
          </cell>
          <cell r="BV56">
            <v>9.0177315</v>
          </cell>
          <cell r="BW56">
            <v>10.230420499999999</v>
          </cell>
          <cell r="DC56">
            <v>110.62384183333332</v>
          </cell>
        </row>
        <row r="57">
          <cell r="BL57">
            <v>1.2169526370000001</v>
          </cell>
          <cell r="BM57">
            <v>1.5309940830000002</v>
          </cell>
          <cell r="BN57">
            <v>1.2138200889999999</v>
          </cell>
          <cell r="BO57">
            <v>0.64367355600000009</v>
          </cell>
          <cell r="BP57">
            <v>1.610726286</v>
          </cell>
          <cell r="BQ57">
            <v>0.50558553599999989</v>
          </cell>
          <cell r="BR57">
            <v>0.55251209499999998</v>
          </cell>
          <cell r="BS57">
            <v>0.51761257100000002</v>
          </cell>
          <cell r="BT57">
            <v>1.1081857349999999</v>
          </cell>
          <cell r="BU57">
            <v>0.66711192799999997</v>
          </cell>
          <cell r="BV57">
            <v>1.2150086609999999</v>
          </cell>
          <cell r="BW57">
            <v>1.065365294</v>
          </cell>
          <cell r="DC57">
            <v>11.847548471000001</v>
          </cell>
        </row>
        <row r="58">
          <cell r="BL58">
            <v>2.0999999999999999E-3</v>
          </cell>
          <cell r="BM58">
            <v>1.4E-3</v>
          </cell>
          <cell r="BN58">
            <v>1.1999999999999999E-3</v>
          </cell>
          <cell r="BO58">
            <v>1E-3</v>
          </cell>
          <cell r="BP58">
            <v>7.9999999999999993E-4</v>
          </cell>
          <cell r="BQ58">
            <v>1.5999999999999999E-3</v>
          </cell>
          <cell r="BR58">
            <v>8.9999999999999998E-4</v>
          </cell>
          <cell r="BS58">
            <v>8.9999999999999998E-4</v>
          </cell>
          <cell r="BT58">
            <v>5.9999999999999995E-4</v>
          </cell>
          <cell r="BU58">
            <v>1.1000000000000001E-3</v>
          </cell>
          <cell r="BV58">
            <v>1E-3</v>
          </cell>
          <cell r="BW58">
            <v>1.5E-3</v>
          </cell>
          <cell r="DC58">
            <v>1.41E-2</v>
          </cell>
        </row>
        <row r="59">
          <cell r="BL59">
            <v>0</v>
          </cell>
          <cell r="BM59">
            <v>0</v>
          </cell>
          <cell r="BN59">
            <v>0</v>
          </cell>
          <cell r="BO59">
            <v>0</v>
          </cell>
          <cell r="BP59">
            <v>0</v>
          </cell>
          <cell r="BQ59">
            <v>0</v>
          </cell>
          <cell r="BR59">
            <v>0</v>
          </cell>
          <cell r="BS59">
            <v>0</v>
          </cell>
          <cell r="BT59">
            <v>0</v>
          </cell>
          <cell r="BU59">
            <v>0</v>
          </cell>
          <cell r="BV59">
            <v>0</v>
          </cell>
          <cell r="BW59">
            <v>0</v>
          </cell>
          <cell r="DC59">
            <v>0</v>
          </cell>
        </row>
        <row r="60">
          <cell r="BL60">
            <v>0</v>
          </cell>
          <cell r="BM60">
            <v>0</v>
          </cell>
          <cell r="BN60">
            <v>0</v>
          </cell>
          <cell r="BO60">
            <v>0</v>
          </cell>
          <cell r="BP60">
            <v>0</v>
          </cell>
          <cell r="BQ60">
            <v>0</v>
          </cell>
          <cell r="BR60">
            <v>0</v>
          </cell>
          <cell r="BS60">
            <v>0</v>
          </cell>
          <cell r="BT60">
            <v>0</v>
          </cell>
          <cell r="BU60">
            <v>0</v>
          </cell>
          <cell r="BV60">
            <v>0</v>
          </cell>
          <cell r="BW60">
            <v>0</v>
          </cell>
          <cell r="DC60">
            <v>0</v>
          </cell>
        </row>
      </sheetData>
      <sheetData sheetId="6"/>
      <sheetData sheetId="7"/>
      <sheetData sheetId="8"/>
      <sheetData sheetId="9">
        <row r="7">
          <cell r="H7">
            <v>563.0373360000001</v>
          </cell>
        </row>
        <row r="8">
          <cell r="E8">
            <v>1273075</v>
          </cell>
        </row>
        <row r="38">
          <cell r="E38">
            <v>2934</v>
          </cell>
          <cell r="G38">
            <v>16454.786400000001</v>
          </cell>
          <cell r="T38">
            <v>7.7927543090429046</v>
          </cell>
        </row>
        <row r="39">
          <cell r="E39">
            <v>283658</v>
          </cell>
          <cell r="G39">
            <v>2296838.2751600002</v>
          </cell>
          <cell r="T39">
            <v>2299.2668890278997</v>
          </cell>
        </row>
        <row r="40">
          <cell r="E40">
            <v>84</v>
          </cell>
          <cell r="G40">
            <v>534.0775440000001</v>
          </cell>
          <cell r="T40">
            <v>1.2958952325000002</v>
          </cell>
        </row>
        <row r="41">
          <cell r="E41">
            <v>30</v>
          </cell>
          <cell r="G41">
            <v>258.55440000000004</v>
          </cell>
          <cell r="T41">
            <v>0.20401415000000001</v>
          </cell>
        </row>
        <row r="42">
          <cell r="E42">
            <v>1863</v>
          </cell>
          <cell r="G42">
            <v>9493.0887999999995</v>
          </cell>
          <cell r="T42">
            <v>14.9295450975</v>
          </cell>
        </row>
        <row r="43">
          <cell r="E43">
            <v>6</v>
          </cell>
          <cell r="F43">
            <v>2.2880000000000001E-2</v>
          </cell>
          <cell r="T43">
            <v>5.1095504999999999E-2</v>
          </cell>
        </row>
      </sheetData>
      <sheetData sheetId="10">
        <row r="7">
          <cell r="H7">
            <v>644.10267379785091</v>
          </cell>
        </row>
        <row r="38">
          <cell r="G38">
            <v>17112.977856000001</v>
          </cell>
        </row>
        <row r="39">
          <cell r="G39">
            <v>2388711.8061664002</v>
          </cell>
        </row>
        <row r="40">
          <cell r="G40">
            <v>555.44064576000017</v>
          </cell>
        </row>
        <row r="41">
          <cell r="G41">
            <v>268.89657600000004</v>
          </cell>
        </row>
        <row r="42">
          <cell r="G42">
            <v>9872.812351999999</v>
          </cell>
        </row>
      </sheetData>
      <sheetData sheetId="11"/>
      <sheetData sheetId="12"/>
      <sheetData sheetId="13">
        <row r="3">
          <cell r="B3">
            <v>3.4200000000000001E-2</v>
          </cell>
        </row>
      </sheetData>
      <sheetData sheetId="14">
        <row r="8">
          <cell r="E8">
            <v>1239400</v>
          </cell>
          <cell r="K8">
            <v>1091.1873479583619</v>
          </cell>
        </row>
        <row r="9">
          <cell r="E9">
            <v>1536020</v>
          </cell>
          <cell r="K9">
            <v>1359.439696400442</v>
          </cell>
        </row>
        <row r="10">
          <cell r="E10">
            <v>1413316</v>
          </cell>
          <cell r="K10">
            <v>1536.0941850017402</v>
          </cell>
        </row>
        <row r="11">
          <cell r="E11">
            <v>1117916</v>
          </cell>
          <cell r="K11">
            <v>1463.6005427840564</v>
          </cell>
        </row>
        <row r="12">
          <cell r="E12">
            <v>347324</v>
          </cell>
          <cell r="K12">
            <v>483.98481156430898</v>
          </cell>
        </row>
        <row r="13">
          <cell r="E13">
            <v>91968</v>
          </cell>
          <cell r="K13">
            <v>140.25361594109052</v>
          </cell>
        </row>
        <row r="16">
          <cell r="E16">
            <v>375323</v>
          </cell>
          <cell r="K16">
            <v>487.16702014999998</v>
          </cell>
        </row>
        <row r="17">
          <cell r="E17">
            <v>107119</v>
          </cell>
          <cell r="K17">
            <v>143.99297124999998</v>
          </cell>
        </row>
        <row r="18">
          <cell r="E18">
            <v>98864</v>
          </cell>
          <cell r="K18">
            <v>219.54741015000002</v>
          </cell>
        </row>
        <row r="19">
          <cell r="E19">
            <v>21009</v>
          </cell>
          <cell r="K19">
            <v>92.22400979999999</v>
          </cell>
        </row>
        <row r="20">
          <cell r="E20">
            <v>33458</v>
          </cell>
          <cell r="K20">
            <v>455.48892805000003</v>
          </cell>
        </row>
        <row r="21">
          <cell r="E21">
            <v>973</v>
          </cell>
          <cell r="K21">
            <v>2.1315225</v>
          </cell>
        </row>
        <row r="22">
          <cell r="E22">
            <v>1543</v>
          </cell>
          <cell r="K22">
            <v>27.924094499999999</v>
          </cell>
        </row>
        <row r="23">
          <cell r="E23">
            <v>6</v>
          </cell>
          <cell r="K23">
            <v>7.4999999999999997E-3</v>
          </cell>
        </row>
        <row r="24">
          <cell r="E24">
            <v>39</v>
          </cell>
          <cell r="K24">
            <v>0.55081000000000002</v>
          </cell>
        </row>
        <row r="25">
          <cell r="E25">
            <v>0</v>
          </cell>
          <cell r="K25">
            <v>0</v>
          </cell>
        </row>
        <row r="27">
          <cell r="E27">
            <v>19577</v>
          </cell>
          <cell r="K27">
            <v>494.61589101539994</v>
          </cell>
        </row>
        <row r="28">
          <cell r="E28">
            <v>6</v>
          </cell>
          <cell r="K28">
            <v>0.29342254999999995</v>
          </cell>
        </row>
        <row r="29">
          <cell r="E29">
            <v>1720</v>
          </cell>
          <cell r="K29">
            <v>3.5918030572999999</v>
          </cell>
        </row>
        <row r="31">
          <cell r="E31">
            <v>56884</v>
          </cell>
          <cell r="K31">
            <v>135.46049097649998</v>
          </cell>
        </row>
        <row r="32">
          <cell r="E32">
            <v>56133</v>
          </cell>
          <cell r="K32">
            <v>104.80286000000001</v>
          </cell>
        </row>
        <row r="34">
          <cell r="E34">
            <v>17996</v>
          </cell>
          <cell r="K34">
            <v>13.317480799999995</v>
          </cell>
        </row>
        <row r="35">
          <cell r="E35">
            <v>642</v>
          </cell>
          <cell r="K35">
            <v>4.7545169999999999</v>
          </cell>
        </row>
        <row r="38">
          <cell r="E38">
            <v>3094</v>
          </cell>
          <cell r="K38">
            <v>0</v>
          </cell>
          <cell r="L38">
            <v>15821.91</v>
          </cell>
        </row>
        <row r="39">
          <cell r="E39">
            <v>272339</v>
          </cell>
          <cell r="K39">
            <v>0</v>
          </cell>
          <cell r="L39">
            <v>2208498.3415000001</v>
          </cell>
        </row>
        <row r="40">
          <cell r="E40">
            <v>91</v>
          </cell>
          <cell r="K40">
            <v>0</v>
          </cell>
          <cell r="L40">
            <v>513.53610000000003</v>
          </cell>
        </row>
        <row r="41">
          <cell r="E41">
            <v>27</v>
          </cell>
          <cell r="K41">
            <v>0</v>
          </cell>
          <cell r="L41">
            <v>248.61</v>
          </cell>
        </row>
        <row r="42">
          <cell r="E42">
            <v>1767</v>
          </cell>
          <cell r="K42">
            <v>0</v>
          </cell>
          <cell r="L42">
            <v>9127.9699999999993</v>
          </cell>
        </row>
        <row r="43">
          <cell r="E43">
            <v>12</v>
          </cell>
          <cell r="K43">
            <v>2.1999999999999999E-2</v>
          </cell>
        </row>
        <row r="45">
          <cell r="E45">
            <v>31482</v>
          </cell>
          <cell r="K45">
            <v>1135.179487936</v>
          </cell>
        </row>
        <row r="46">
          <cell r="E46">
            <v>167</v>
          </cell>
          <cell r="K46">
            <v>0.51874620100000002</v>
          </cell>
        </row>
        <row r="53">
          <cell r="E53">
            <v>43</v>
          </cell>
          <cell r="K53">
            <v>11.314999999999998</v>
          </cell>
        </row>
        <row r="55">
          <cell r="E55">
            <v>1669</v>
          </cell>
          <cell r="K55">
            <v>327.81650000000002</v>
          </cell>
        </row>
        <row r="56">
          <cell r="E56">
            <v>0</v>
          </cell>
          <cell r="K56">
            <v>0</v>
          </cell>
        </row>
        <row r="57">
          <cell r="E57">
            <v>195</v>
          </cell>
          <cell r="K57">
            <v>37.414000000000001</v>
          </cell>
        </row>
        <row r="58">
          <cell r="E58">
            <v>2</v>
          </cell>
          <cell r="K58">
            <v>0.87000000000000011</v>
          </cell>
        </row>
        <row r="59">
          <cell r="E59">
            <v>0</v>
          </cell>
          <cell r="K59">
            <v>0</v>
          </cell>
        </row>
        <row r="60">
          <cell r="E60">
            <v>0</v>
          </cell>
          <cell r="K60">
            <v>0</v>
          </cell>
        </row>
        <row r="66">
          <cell r="E66">
            <v>1896</v>
          </cell>
          <cell r="K66">
            <v>586.93674999999996</v>
          </cell>
        </row>
        <row r="71">
          <cell r="E71">
            <v>65</v>
          </cell>
          <cell r="K71">
            <v>18.363</v>
          </cell>
        </row>
        <row r="74">
          <cell r="E74">
            <v>148</v>
          </cell>
          <cell r="K74">
            <v>36.036000000000001</v>
          </cell>
        </row>
        <row r="75">
          <cell r="E75">
            <v>85</v>
          </cell>
          <cell r="K75">
            <v>18.573</v>
          </cell>
        </row>
        <row r="76">
          <cell r="E76">
            <v>14</v>
          </cell>
          <cell r="K76">
            <v>3.4060000000000001</v>
          </cell>
        </row>
        <row r="77">
          <cell r="E77">
            <v>0</v>
          </cell>
          <cell r="K77">
            <v>0</v>
          </cell>
        </row>
        <row r="79">
          <cell r="E79">
            <v>39</v>
          </cell>
          <cell r="K79">
            <v>10.753630000000001</v>
          </cell>
        </row>
        <row r="80">
          <cell r="E80">
            <v>115</v>
          </cell>
          <cell r="K80">
            <v>36.4604</v>
          </cell>
        </row>
        <row r="84">
          <cell r="E84">
            <v>3</v>
          </cell>
          <cell r="K84">
            <v>4.1500000000000004</v>
          </cell>
        </row>
        <row r="86">
          <cell r="E86">
            <v>63</v>
          </cell>
          <cell r="K86">
            <v>102.44499999999998</v>
          </cell>
        </row>
        <row r="87">
          <cell r="E87">
            <v>0</v>
          </cell>
          <cell r="K87">
            <v>0</v>
          </cell>
        </row>
        <row r="88">
          <cell r="E88">
            <v>0</v>
          </cell>
          <cell r="K88">
            <v>0</v>
          </cell>
        </row>
        <row r="89">
          <cell r="E89">
            <v>25</v>
          </cell>
          <cell r="K89">
            <v>10.981580000000001</v>
          </cell>
        </row>
        <row r="90">
          <cell r="E90">
            <v>0</v>
          </cell>
          <cell r="K90">
            <v>0</v>
          </cell>
        </row>
        <row r="91">
          <cell r="E91">
            <v>0</v>
          </cell>
          <cell r="K91">
            <v>0</v>
          </cell>
        </row>
        <row r="97">
          <cell r="E97">
            <v>212</v>
          </cell>
          <cell r="K97">
            <v>530.1099999999999</v>
          </cell>
        </row>
        <row r="102">
          <cell r="E102">
            <v>2</v>
          </cell>
          <cell r="K102">
            <v>4.55</v>
          </cell>
        </row>
        <row r="103">
          <cell r="E103">
            <v>10</v>
          </cell>
          <cell r="K103">
            <v>58.344999999999999</v>
          </cell>
        </row>
        <row r="105">
          <cell r="E105">
            <v>1</v>
          </cell>
          <cell r="K105">
            <v>0.375</v>
          </cell>
        </row>
        <row r="106">
          <cell r="E106">
            <v>0</v>
          </cell>
          <cell r="K106">
            <v>0</v>
          </cell>
        </row>
        <row r="107">
          <cell r="E107">
            <v>0</v>
          </cell>
          <cell r="K107">
            <v>0</v>
          </cell>
        </row>
        <row r="108">
          <cell r="E108">
            <v>0</v>
          </cell>
          <cell r="K108">
            <v>0</v>
          </cell>
        </row>
        <row r="110">
          <cell r="E110">
            <v>0</v>
          </cell>
          <cell r="K110">
            <v>0</v>
          </cell>
        </row>
        <row r="111">
          <cell r="E111">
            <v>17</v>
          </cell>
          <cell r="K111">
            <v>87.85</v>
          </cell>
        </row>
        <row r="114">
          <cell r="E114">
            <v>0</v>
          </cell>
          <cell r="K114">
            <v>0</v>
          </cell>
        </row>
        <row r="116">
          <cell r="E116">
            <v>4</v>
          </cell>
          <cell r="K116">
            <v>11.5</v>
          </cell>
        </row>
        <row r="117">
          <cell r="E117">
            <v>0</v>
          </cell>
          <cell r="K117">
            <v>0</v>
          </cell>
        </row>
        <row r="118">
          <cell r="E118">
            <v>0</v>
          </cell>
          <cell r="K118">
            <v>0</v>
          </cell>
        </row>
        <row r="119">
          <cell r="E119">
            <v>6</v>
          </cell>
          <cell r="K119">
            <v>9.6999999999999993</v>
          </cell>
        </row>
        <row r="120">
          <cell r="E120">
            <v>0</v>
          </cell>
          <cell r="K120">
            <v>0</v>
          </cell>
        </row>
        <row r="121">
          <cell r="E121">
            <v>0</v>
          </cell>
          <cell r="K121">
            <v>0</v>
          </cell>
        </row>
        <row r="127">
          <cell r="E127">
            <v>28</v>
          </cell>
          <cell r="K127">
            <v>354.125</v>
          </cell>
        </row>
        <row r="131">
          <cell r="E131">
            <v>0</v>
          </cell>
        </row>
        <row r="132">
          <cell r="E132">
            <v>0</v>
          </cell>
        </row>
        <row r="133">
          <cell r="E133">
            <v>11</v>
          </cell>
          <cell r="K133">
            <v>392.1</v>
          </cell>
        </row>
        <row r="135">
          <cell r="E135">
            <v>0</v>
          </cell>
          <cell r="K135">
            <v>0</v>
          </cell>
        </row>
        <row r="136">
          <cell r="E136">
            <v>0</v>
          </cell>
          <cell r="K136">
            <v>0</v>
          </cell>
        </row>
        <row r="137">
          <cell r="E137">
            <v>0</v>
          </cell>
          <cell r="K137">
            <v>0</v>
          </cell>
        </row>
        <row r="138">
          <cell r="E138">
            <v>19</v>
          </cell>
          <cell r="K138">
            <v>284.50099999999998</v>
          </cell>
        </row>
        <row r="140">
          <cell r="E140">
            <v>0</v>
          </cell>
          <cell r="K140">
            <v>0</v>
          </cell>
        </row>
        <row r="141">
          <cell r="E141">
            <v>0</v>
          </cell>
          <cell r="K141">
            <v>0</v>
          </cell>
        </row>
        <row r="144">
          <cell r="E144">
            <v>0</v>
          </cell>
          <cell r="K144">
            <v>0</v>
          </cell>
        </row>
        <row r="146">
          <cell r="E146">
            <v>3</v>
          </cell>
          <cell r="K146">
            <v>77.5</v>
          </cell>
        </row>
        <row r="147">
          <cell r="E147">
            <v>0</v>
          </cell>
          <cell r="K147">
            <v>0</v>
          </cell>
        </row>
        <row r="148">
          <cell r="E148">
            <v>0</v>
          </cell>
          <cell r="K148">
            <v>0</v>
          </cell>
        </row>
        <row r="149">
          <cell r="E149">
            <v>2</v>
          </cell>
          <cell r="K149">
            <v>13</v>
          </cell>
        </row>
        <row r="150">
          <cell r="E150">
            <v>0</v>
          </cell>
          <cell r="K150">
            <v>0</v>
          </cell>
        </row>
        <row r="151">
          <cell r="E151">
            <v>0</v>
          </cell>
          <cell r="K151">
            <v>0</v>
          </cell>
        </row>
        <row r="157">
          <cell r="E157">
            <v>1</v>
          </cell>
          <cell r="K157">
            <v>235</v>
          </cell>
        </row>
        <row r="163">
          <cell r="E163">
            <v>3</v>
          </cell>
          <cell r="K163">
            <v>244</v>
          </cell>
        </row>
        <row r="165">
          <cell r="E165">
            <v>0</v>
          </cell>
          <cell r="K165">
            <v>0</v>
          </cell>
        </row>
        <row r="166">
          <cell r="E166">
            <v>0</v>
          </cell>
          <cell r="K166">
            <v>0</v>
          </cell>
        </row>
        <row r="167">
          <cell r="E167">
            <v>0</v>
          </cell>
          <cell r="K167">
            <v>0</v>
          </cell>
        </row>
        <row r="168">
          <cell r="E168">
            <v>0</v>
          </cell>
          <cell r="K168">
            <v>0</v>
          </cell>
        </row>
        <row r="170">
          <cell r="E170">
            <v>0</v>
          </cell>
          <cell r="K170">
            <v>0</v>
          </cell>
        </row>
        <row r="171">
          <cell r="E171">
            <v>3</v>
          </cell>
          <cell r="K171">
            <v>244.91000000000003</v>
          </cell>
        </row>
      </sheetData>
      <sheetData sheetId="15">
        <row r="16">
          <cell r="O16">
            <v>16.703315350050001</v>
          </cell>
        </row>
        <row r="21">
          <cell r="O21">
            <v>0.10713545850000002</v>
          </cell>
        </row>
      </sheetData>
      <sheetData sheetId="16">
        <row r="16">
          <cell r="O16">
            <v>17.5384811175525</v>
          </cell>
        </row>
        <row r="17">
          <cell r="O17">
            <v>0</v>
          </cell>
        </row>
        <row r="18">
          <cell r="O18">
            <v>0</v>
          </cell>
        </row>
        <row r="19">
          <cell r="O19">
            <v>0</v>
          </cell>
        </row>
        <row r="20">
          <cell r="O20">
            <v>0</v>
          </cell>
        </row>
        <row r="21">
          <cell r="O21">
            <v>0.11249223142500002</v>
          </cell>
        </row>
      </sheetData>
      <sheetData sheetId="17">
        <row r="53">
          <cell r="AP53">
            <v>7.5065887670912659</v>
          </cell>
        </row>
      </sheetData>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Index"/>
      <sheetName val="Affidavit Table 1"/>
      <sheetName val="Affidavit Table 2"/>
      <sheetName val="Affidavit Table 3"/>
      <sheetName val="Affidavit Table 4"/>
      <sheetName val="Affidavit Table 5"/>
      <sheetName val="Affidavit Table 6"/>
      <sheetName val="Affidavit Table 7"/>
      <sheetName val="Affidavit table  8"/>
      <sheetName val="Affidavit Table 9 Rev"/>
      <sheetName val="2 ENERGY BALANCE"/>
      <sheetName val="2 Distribution Loss"/>
      <sheetName val="2 Rev frm sal of ele"/>
      <sheetName val="2 revenue surplus or defe"/>
      <sheetName val="2 Rev surplus 2023-24"/>
      <sheetName val=" 2 rev surdef 2022-23"/>
      <sheetName val="4.1,4.2 Losses 5 PP"/>
      <sheetName val="5 Transmission Cost"/>
      <sheetName val="5 SLDC cost"/>
      <sheetName val="5 PGCIL&amp;ULDC"/>
      <sheetName val="5 Distribution cost"/>
      <sheetName val="5 Distri cost approved"/>
      <sheetName val="5 Addl.Interst on PB"/>
      <sheetName val="5 NTI&amp;ICSD"/>
      <sheetName val="5 Other costs"/>
      <sheetName val="5 ARR FROM RSB"/>
      <sheetName val="6 Growth Rates"/>
      <sheetName val="6 SALES ESTIMATES FOR 24-25"/>
      <sheetName val="6 AGL MET THROUGH GRID POWER"/>
      <sheetName val="6 AGL estimations"/>
      <sheetName val="6 APEPDCL SALES"/>
      <sheetName val="6 Gross Revenue"/>
      <sheetName val="6 Revenue at current tariff"/>
      <sheetName val="7 Average Rev rea Vs Av CoS"/>
      <sheetName val="7 gap"/>
      <sheetName val="10 COS"/>
      <sheetName val="11 True up "/>
      <sheetName val="11 PP cost"/>
      <sheetName val="Distribution cost"/>
      <sheetName val="15 Compt C D L"/>
      <sheetName val="SALES PROJECTION FOR 23-24"/>
      <sheetName val="revenue from key category"/>
      <sheetName val="rev frosale of elec"/>
      <sheetName val="COS calculation"/>
      <sheetName val="Revenue Impact"/>
      <sheetName val="APEPDCL YoY growth"/>
      <sheetName val="sales projection"/>
      <sheetName val="Growth Rates"/>
      <sheetName val="Form 4a"/>
      <sheetName val="COS cal 2023-24"/>
      <sheetName val="historical sales"/>
      <sheetName val="Form 4a as per act 2022"/>
      <sheetName val="Form 4a Month wise 2023-24"/>
      <sheetName val="LT- Graphs"/>
      <sheetName val="HT-Graphs"/>
      <sheetName val="Loss 24-25"/>
      <sheetName val="EPDCL 2024-25"/>
      <sheetName val="Distri True Up FY2020-22_Final"/>
      <sheetName val="Tariff Schedule"/>
      <sheetName val="CSS tables 22-23"/>
      <sheetName val=" Tariff Schedule FY 2023-24"/>
      <sheetName val="CSS Grid Support Charg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5">
          <cell r="Q5">
            <v>11141.40057886584</v>
          </cell>
        </row>
      </sheetData>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ow r="5">
          <cell r="D5">
            <v>39.941800000000001</v>
          </cell>
          <cell r="I5">
            <v>37.42</v>
          </cell>
        </row>
        <row r="6">
          <cell r="D6">
            <v>39.843800000000002</v>
          </cell>
          <cell r="I6">
            <v>47.4</v>
          </cell>
        </row>
        <row r="7">
          <cell r="D7">
            <v>39.941800000000001</v>
          </cell>
          <cell r="I7">
            <v>49.77</v>
          </cell>
        </row>
      </sheetData>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FY24 Revenue @  CT"/>
      <sheetName val="FY24 Revenue @  CT (2)"/>
    </sheetNames>
    <sheetDataSet>
      <sheetData sheetId="0" refreshError="1">
        <row r="12">
          <cell r="R12">
            <v>6</v>
          </cell>
        </row>
        <row r="13">
          <cell r="R13">
            <v>8.75</v>
          </cell>
        </row>
        <row r="14">
          <cell r="R14">
            <v>9.75</v>
          </cell>
        </row>
        <row r="18">
          <cell r="R18">
            <v>5.4</v>
          </cell>
        </row>
        <row r="19">
          <cell r="R19">
            <v>7.65</v>
          </cell>
        </row>
        <row r="20">
          <cell r="R20">
            <v>9.0500000000000007</v>
          </cell>
        </row>
        <row r="21">
          <cell r="R21">
            <v>9.6</v>
          </cell>
        </row>
        <row r="22">
          <cell r="R22">
            <v>10.15</v>
          </cell>
        </row>
        <row r="23">
          <cell r="R23">
            <v>12.25</v>
          </cell>
        </row>
        <row r="24">
          <cell r="R24">
            <v>12.25</v>
          </cell>
        </row>
        <row r="25">
          <cell r="R25">
            <v>12.25</v>
          </cell>
        </row>
        <row r="26">
          <cell r="R26">
            <v>6.7</v>
          </cell>
        </row>
        <row r="27">
          <cell r="R27">
            <v>12.25</v>
          </cell>
        </row>
        <row r="29">
          <cell r="R29">
            <v>6.7</v>
          </cell>
        </row>
        <row r="30">
          <cell r="R30">
            <v>7.45</v>
          </cell>
        </row>
        <row r="31">
          <cell r="R31">
            <v>3.75</v>
          </cell>
        </row>
        <row r="33">
          <cell r="R33">
            <v>7</v>
          </cell>
        </row>
        <row r="34">
          <cell r="R34">
            <v>7</v>
          </cell>
        </row>
        <row r="36">
          <cell r="R36">
            <v>3.85</v>
          </cell>
        </row>
        <row r="37">
          <cell r="R37">
            <v>5</v>
          </cell>
        </row>
        <row r="53">
          <cell r="R53">
            <v>7</v>
          </cell>
        </row>
        <row r="55">
          <cell r="R55">
            <v>7.65</v>
          </cell>
        </row>
        <row r="56">
          <cell r="R56">
            <v>8.65</v>
          </cell>
        </row>
        <row r="57">
          <cell r="R57">
            <v>12.25</v>
          </cell>
        </row>
        <row r="58">
          <cell r="R58">
            <v>12.25</v>
          </cell>
        </row>
        <row r="59">
          <cell r="R59">
            <v>6.7</v>
          </cell>
        </row>
        <row r="60">
          <cell r="R60">
            <v>12.25</v>
          </cell>
        </row>
        <row r="64">
          <cell r="R64">
            <v>7.8</v>
          </cell>
        </row>
        <row r="65">
          <cell r="R65">
            <v>5.55</v>
          </cell>
        </row>
        <row r="66">
          <cell r="R66">
            <v>6.3</v>
          </cell>
        </row>
        <row r="67">
          <cell r="R67">
            <v>0</v>
          </cell>
        </row>
        <row r="68">
          <cell r="R68">
            <v>7.3</v>
          </cell>
        </row>
        <row r="69">
          <cell r="R69">
            <v>5.55</v>
          </cell>
        </row>
        <row r="70">
          <cell r="R70">
            <v>6.3</v>
          </cell>
        </row>
        <row r="71">
          <cell r="R71">
            <v>7</v>
          </cell>
        </row>
        <row r="72">
          <cell r="R72">
            <v>7.65</v>
          </cell>
        </row>
        <row r="74">
          <cell r="R74">
            <v>0</v>
          </cell>
        </row>
        <row r="75">
          <cell r="R75">
            <v>0</v>
          </cell>
        </row>
        <row r="76">
          <cell r="R76">
            <v>0</v>
          </cell>
        </row>
        <row r="77">
          <cell r="R77">
            <v>0</v>
          </cell>
        </row>
        <row r="78">
          <cell r="R78">
            <v>0</v>
          </cell>
        </row>
        <row r="79">
          <cell r="R79">
            <v>0</v>
          </cell>
        </row>
        <row r="80">
          <cell r="R80">
            <v>0</v>
          </cell>
        </row>
        <row r="81">
          <cell r="R81">
            <v>0</v>
          </cell>
        </row>
        <row r="83">
          <cell r="R83">
            <v>7.65</v>
          </cell>
        </row>
        <row r="84">
          <cell r="R84">
            <v>7.95</v>
          </cell>
        </row>
        <row r="85">
          <cell r="R85">
            <v>5</v>
          </cell>
        </row>
        <row r="86">
          <cell r="R86">
            <v>5.5</v>
          </cell>
        </row>
        <row r="88">
          <cell r="R88">
            <v>3.85</v>
          </cell>
        </row>
        <row r="89">
          <cell r="R89">
            <v>7.15</v>
          </cell>
        </row>
        <row r="93">
          <cell r="R93">
            <v>7</v>
          </cell>
        </row>
        <row r="95">
          <cell r="R95">
            <v>6.95</v>
          </cell>
        </row>
        <row r="96">
          <cell r="R96">
            <v>7.95</v>
          </cell>
        </row>
        <row r="97">
          <cell r="R97">
            <v>12.25</v>
          </cell>
        </row>
        <row r="98">
          <cell r="R98">
            <v>12.25</v>
          </cell>
        </row>
        <row r="99">
          <cell r="R99">
            <v>6.7</v>
          </cell>
        </row>
        <row r="100">
          <cell r="R100">
            <v>12.25</v>
          </cell>
        </row>
        <row r="104">
          <cell r="R104">
            <v>7.35</v>
          </cell>
        </row>
        <row r="105">
          <cell r="R105">
            <v>5.0999999999999996</v>
          </cell>
        </row>
        <row r="106">
          <cell r="R106">
            <v>5.85</v>
          </cell>
        </row>
        <row r="108">
          <cell r="R108">
            <v>6.85</v>
          </cell>
        </row>
        <row r="109">
          <cell r="R109">
            <v>5.0999999999999996</v>
          </cell>
        </row>
        <row r="110">
          <cell r="R110">
            <v>5.85</v>
          </cell>
        </row>
        <row r="111">
          <cell r="R111">
            <v>7</v>
          </cell>
        </row>
        <row r="112">
          <cell r="R112">
            <v>6.95</v>
          </cell>
        </row>
        <row r="113">
          <cell r="R113">
            <v>5.35</v>
          </cell>
        </row>
        <row r="114">
          <cell r="R114">
            <v>0</v>
          </cell>
        </row>
        <row r="115">
          <cell r="R115">
            <v>6.85</v>
          </cell>
        </row>
        <row r="116">
          <cell r="R116">
            <v>4.5999999999999996</v>
          </cell>
        </row>
        <row r="117">
          <cell r="R117">
            <v>5.35</v>
          </cell>
        </row>
        <row r="118">
          <cell r="R118">
            <v>0</v>
          </cell>
        </row>
        <row r="119">
          <cell r="R119">
            <v>6.35</v>
          </cell>
        </row>
        <row r="120">
          <cell r="R120">
            <v>4.5999999999999996</v>
          </cell>
        </row>
        <row r="121">
          <cell r="R121">
            <v>5.35</v>
          </cell>
        </row>
        <row r="123">
          <cell r="R123">
            <v>6.95</v>
          </cell>
        </row>
        <row r="124">
          <cell r="R124">
            <v>7.25</v>
          </cell>
        </row>
        <row r="125">
          <cell r="R125">
            <v>5</v>
          </cell>
        </row>
        <row r="126">
          <cell r="R126">
            <v>5.5</v>
          </cell>
        </row>
        <row r="128">
          <cell r="R128">
            <v>3.85</v>
          </cell>
        </row>
        <row r="129">
          <cell r="R129">
            <v>7.15</v>
          </cell>
        </row>
        <row r="132">
          <cell r="R132">
            <v>7</v>
          </cell>
        </row>
        <row r="134">
          <cell r="R134">
            <v>6.7</v>
          </cell>
        </row>
        <row r="135">
          <cell r="R135">
            <v>7.7</v>
          </cell>
        </row>
        <row r="136">
          <cell r="R136">
            <v>12.25</v>
          </cell>
        </row>
        <row r="137">
          <cell r="R137">
            <v>12.25</v>
          </cell>
        </row>
        <row r="138">
          <cell r="R138">
            <v>6.7</v>
          </cell>
        </row>
        <row r="139">
          <cell r="R139">
            <v>12.25</v>
          </cell>
        </row>
        <row r="143">
          <cell r="R143">
            <v>6.9</v>
          </cell>
        </row>
        <row r="144">
          <cell r="R144">
            <v>4.6500000000000004</v>
          </cell>
        </row>
        <row r="145">
          <cell r="R145">
            <v>5.4</v>
          </cell>
        </row>
        <row r="146">
          <cell r="R146">
            <v>0</v>
          </cell>
        </row>
        <row r="147">
          <cell r="R147">
            <v>6.4</v>
          </cell>
        </row>
        <row r="148">
          <cell r="R148">
            <v>4.6500000000000004</v>
          </cell>
        </row>
        <row r="149">
          <cell r="R149">
            <v>5.4</v>
          </cell>
        </row>
        <row r="150">
          <cell r="R150">
            <v>7</v>
          </cell>
        </row>
        <row r="151">
          <cell r="R151">
            <v>6.7</v>
          </cell>
        </row>
        <row r="153">
          <cell r="R153">
            <v>0</v>
          </cell>
        </row>
        <row r="154">
          <cell r="R154">
            <v>6.45</v>
          </cell>
        </row>
        <row r="155">
          <cell r="R155">
            <v>4.2</v>
          </cell>
        </row>
        <row r="156">
          <cell r="R156">
            <v>4.95</v>
          </cell>
        </row>
        <row r="157">
          <cell r="R157">
            <v>0</v>
          </cell>
        </row>
        <row r="158">
          <cell r="R158">
            <v>5.95</v>
          </cell>
        </row>
        <row r="159">
          <cell r="R159">
            <v>4.2</v>
          </cell>
        </row>
        <row r="160">
          <cell r="R160">
            <v>4.95</v>
          </cell>
        </row>
        <row r="162">
          <cell r="R162">
            <v>6.7</v>
          </cell>
        </row>
        <row r="163">
          <cell r="R163">
            <v>7</v>
          </cell>
        </row>
        <row r="164">
          <cell r="R164">
            <v>5</v>
          </cell>
        </row>
        <row r="165">
          <cell r="R165">
            <v>5.5</v>
          </cell>
        </row>
        <row r="167">
          <cell r="R167">
            <v>3.85</v>
          </cell>
        </row>
        <row r="168">
          <cell r="R168">
            <v>7.15</v>
          </cell>
        </row>
        <row r="171">
          <cell r="R171">
            <v>7</v>
          </cell>
        </row>
        <row r="173">
          <cell r="R173">
            <v>6.65</v>
          </cell>
        </row>
        <row r="174">
          <cell r="R174">
            <v>7.65</v>
          </cell>
        </row>
        <row r="175">
          <cell r="R175">
            <v>12.25</v>
          </cell>
        </row>
        <row r="176">
          <cell r="R176">
            <v>12.25</v>
          </cell>
        </row>
        <row r="177">
          <cell r="R177">
            <v>6.7</v>
          </cell>
        </row>
        <row r="178">
          <cell r="R178">
            <v>12.25</v>
          </cell>
        </row>
        <row r="182">
          <cell r="R182">
            <v>6.85</v>
          </cell>
        </row>
        <row r="183">
          <cell r="R183">
            <v>4.5999999999999996</v>
          </cell>
        </row>
        <row r="184">
          <cell r="R184">
            <v>5.35</v>
          </cell>
        </row>
        <row r="185">
          <cell r="R185">
            <v>0</v>
          </cell>
        </row>
        <row r="186">
          <cell r="R186">
            <v>6.35</v>
          </cell>
        </row>
        <row r="187">
          <cell r="R187">
            <v>4.5999999999999996</v>
          </cell>
        </row>
        <row r="188">
          <cell r="R188">
            <v>5.35</v>
          </cell>
        </row>
        <row r="189">
          <cell r="R189">
            <v>7</v>
          </cell>
        </row>
        <row r="190">
          <cell r="R190">
            <v>6.65</v>
          </cell>
        </row>
        <row r="191">
          <cell r="R191">
            <v>0</v>
          </cell>
        </row>
        <row r="192">
          <cell r="R192">
            <v>0</v>
          </cell>
        </row>
        <row r="193">
          <cell r="R193">
            <v>6.4</v>
          </cell>
        </row>
        <row r="194">
          <cell r="R194">
            <v>4.1500000000000004</v>
          </cell>
        </row>
        <row r="195">
          <cell r="R195">
            <v>4.9000000000000004</v>
          </cell>
        </row>
        <row r="196">
          <cell r="R196">
            <v>0</v>
          </cell>
        </row>
        <row r="197">
          <cell r="R197">
            <v>5.9</v>
          </cell>
        </row>
        <row r="198">
          <cell r="R198">
            <v>4.1500000000000004</v>
          </cell>
        </row>
        <row r="199">
          <cell r="R199">
            <v>4.9000000000000004</v>
          </cell>
        </row>
        <row r="201">
          <cell r="R201">
            <v>6.65</v>
          </cell>
        </row>
        <row r="202">
          <cell r="R202">
            <v>6.95</v>
          </cell>
        </row>
        <row r="203">
          <cell r="R203">
            <v>5</v>
          </cell>
        </row>
        <row r="204">
          <cell r="R204">
            <v>5.5</v>
          </cell>
        </row>
        <row r="206">
          <cell r="R206">
            <v>3.85</v>
          </cell>
        </row>
        <row r="207">
          <cell r="R207">
            <v>7.15</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sheetPr codeName="Sheet1">
    <pageSetUpPr fitToPage="1"/>
  </sheetPr>
  <dimension ref="A1:V207"/>
  <sheetViews>
    <sheetView view="pageBreakPreview" zoomScale="115" zoomScaleSheetLayoutView="115" workbookViewId="0">
      <selection activeCell="F4" sqref="F4"/>
    </sheetView>
  </sheetViews>
  <sheetFormatPr defaultRowHeight="12"/>
  <cols>
    <col min="1" max="1" width="13.140625" style="106" bestFit="1" customWidth="1"/>
    <col min="2" max="2" width="9.140625" style="106"/>
    <col min="3" max="3" width="69" style="106" customWidth="1"/>
    <col min="4" max="4" width="25.140625" style="106" customWidth="1"/>
    <col min="5" max="5" width="9.42578125" style="106" customWidth="1"/>
    <col min="6" max="15" width="9.140625" style="106"/>
    <col min="16" max="16" width="10" style="106" customWidth="1"/>
    <col min="17" max="16384" width="9.140625" style="106"/>
  </cols>
  <sheetData>
    <row r="1" spans="2:6" ht="12.75" thickBot="1"/>
    <row r="2" spans="2:6" ht="19.5" customHeight="1">
      <c r="C2" s="124" t="s">
        <v>226</v>
      </c>
      <c r="D2" s="125" t="s">
        <v>27</v>
      </c>
    </row>
    <row r="3" spans="2:6" ht="19.5" customHeight="1">
      <c r="C3" s="126" t="s">
        <v>227</v>
      </c>
      <c r="D3" s="127" t="s">
        <v>990</v>
      </c>
    </row>
    <row r="4" spans="2:6" ht="19.5" customHeight="1">
      <c r="C4" s="126" t="s">
        <v>228</v>
      </c>
      <c r="D4" s="128" t="s">
        <v>991</v>
      </c>
      <c r="F4" s="106" t="s">
        <v>992</v>
      </c>
    </row>
    <row r="5" spans="2:6" ht="19.5" customHeight="1">
      <c r="C5" s="126" t="s">
        <v>229</v>
      </c>
      <c r="D5" s="128" t="s">
        <v>992</v>
      </c>
    </row>
    <row r="6" spans="2:6" ht="19.5" customHeight="1">
      <c r="C6" s="126" t="s">
        <v>247</v>
      </c>
      <c r="D6" s="128" t="s">
        <v>574</v>
      </c>
    </row>
    <row r="7" spans="2:6" ht="19.5" customHeight="1" thickBot="1">
      <c r="C7" s="129" t="s">
        <v>230</v>
      </c>
      <c r="D7" s="130" t="s">
        <v>534</v>
      </c>
    </row>
    <row r="8" spans="2:6" ht="12.75" thickBot="1"/>
    <row r="9" spans="2:6">
      <c r="B9" s="1693" t="s">
        <v>231</v>
      </c>
      <c r="C9" s="1695" t="s">
        <v>232</v>
      </c>
      <c r="D9" s="1697" t="s">
        <v>233</v>
      </c>
    </row>
    <row r="10" spans="2:6">
      <c r="B10" s="1694"/>
      <c r="C10" s="1696"/>
      <c r="D10" s="1698"/>
    </row>
    <row r="11" spans="2:6">
      <c r="B11" s="1694"/>
      <c r="C11" s="1696"/>
      <c r="D11" s="1698"/>
    </row>
    <row r="12" spans="2:6">
      <c r="B12" s="131">
        <v>1</v>
      </c>
      <c r="C12" s="117" t="s">
        <v>57</v>
      </c>
      <c r="D12" s="132" t="s">
        <v>234</v>
      </c>
    </row>
    <row r="13" spans="2:6">
      <c r="B13" s="131">
        <v>2</v>
      </c>
      <c r="C13" s="117" t="s">
        <v>235</v>
      </c>
      <c r="D13" s="132" t="s">
        <v>65</v>
      </c>
    </row>
    <row r="14" spans="2:6">
      <c r="B14" s="131">
        <v>3</v>
      </c>
      <c r="C14" s="117" t="s">
        <v>86</v>
      </c>
      <c r="D14" s="132" t="s">
        <v>68</v>
      </c>
    </row>
    <row r="15" spans="2:6">
      <c r="B15" s="131">
        <v>4</v>
      </c>
      <c r="C15" s="117" t="s">
        <v>70</v>
      </c>
      <c r="D15" s="132" t="s">
        <v>71</v>
      </c>
    </row>
    <row r="16" spans="2:6">
      <c r="B16" s="131">
        <v>5</v>
      </c>
      <c r="C16" s="117" t="s">
        <v>328</v>
      </c>
      <c r="D16" s="132" t="s">
        <v>74</v>
      </c>
    </row>
    <row r="17" spans="2:4">
      <c r="B17" s="131">
        <v>6</v>
      </c>
      <c r="C17" s="117" t="s">
        <v>468</v>
      </c>
      <c r="D17" s="132" t="s">
        <v>479</v>
      </c>
    </row>
    <row r="18" spans="2:4">
      <c r="B18" s="131">
        <v>7</v>
      </c>
      <c r="C18" s="117" t="s">
        <v>477</v>
      </c>
      <c r="D18" s="132" t="s">
        <v>472</v>
      </c>
    </row>
    <row r="19" spans="2:4">
      <c r="B19" s="131">
        <v>8</v>
      </c>
      <c r="C19" s="117" t="s">
        <v>478</v>
      </c>
      <c r="D19" s="132" t="s">
        <v>473</v>
      </c>
    </row>
    <row r="20" spans="2:4">
      <c r="B20" s="131">
        <v>9</v>
      </c>
      <c r="C20" s="117" t="s">
        <v>475</v>
      </c>
      <c r="D20" s="132" t="s">
        <v>474</v>
      </c>
    </row>
    <row r="21" spans="2:4">
      <c r="B21" s="131">
        <v>10</v>
      </c>
      <c r="C21" s="117" t="s">
        <v>54</v>
      </c>
      <c r="D21" s="132" t="s">
        <v>52</v>
      </c>
    </row>
    <row r="22" spans="2:4">
      <c r="B22" s="131">
        <v>11</v>
      </c>
      <c r="C22" s="117" t="s">
        <v>55</v>
      </c>
      <c r="D22" s="132" t="s">
        <v>53</v>
      </c>
    </row>
    <row r="23" spans="2:4">
      <c r="B23" s="131">
        <v>12</v>
      </c>
      <c r="C23" s="117" t="s">
        <v>476</v>
      </c>
      <c r="D23" s="132" t="s">
        <v>264</v>
      </c>
    </row>
    <row r="24" spans="2:4">
      <c r="B24" s="131">
        <v>13</v>
      </c>
      <c r="C24" s="117" t="s">
        <v>420</v>
      </c>
      <c r="D24" s="132" t="s">
        <v>270</v>
      </c>
    </row>
    <row r="25" spans="2:4">
      <c r="B25" s="131">
        <v>14</v>
      </c>
      <c r="C25" s="117" t="s">
        <v>269</v>
      </c>
      <c r="D25" s="132" t="s">
        <v>327</v>
      </c>
    </row>
    <row r="26" spans="2:4">
      <c r="B26" s="131">
        <v>15</v>
      </c>
      <c r="C26" s="117" t="s">
        <v>76</v>
      </c>
      <c r="D26" s="132" t="s">
        <v>77</v>
      </c>
    </row>
    <row r="27" spans="2:4">
      <c r="B27" s="131">
        <v>16</v>
      </c>
      <c r="C27" s="117" t="s">
        <v>136</v>
      </c>
      <c r="D27" s="132" t="s">
        <v>80</v>
      </c>
    </row>
    <row r="28" spans="2:4">
      <c r="B28" s="131">
        <v>17</v>
      </c>
      <c r="C28" s="117" t="s">
        <v>196</v>
      </c>
      <c r="D28" s="132" t="s">
        <v>236</v>
      </c>
    </row>
    <row r="29" spans="2:4">
      <c r="B29" s="131">
        <v>18</v>
      </c>
      <c r="C29" s="117" t="s">
        <v>352</v>
      </c>
      <c r="D29" s="132" t="s">
        <v>278</v>
      </c>
    </row>
    <row r="30" spans="2:4">
      <c r="B30" s="131">
        <v>19</v>
      </c>
      <c r="C30" s="117" t="s">
        <v>159</v>
      </c>
      <c r="D30" s="132" t="s">
        <v>158</v>
      </c>
    </row>
    <row r="31" spans="2:4">
      <c r="B31" s="131">
        <v>20</v>
      </c>
      <c r="C31" s="117" t="s">
        <v>172</v>
      </c>
      <c r="D31" s="132" t="s">
        <v>171</v>
      </c>
    </row>
    <row r="32" spans="2:4">
      <c r="B32" s="131">
        <v>21</v>
      </c>
      <c r="C32" s="117" t="s">
        <v>139</v>
      </c>
      <c r="D32" s="132" t="s">
        <v>138</v>
      </c>
    </row>
    <row r="33" spans="2:13">
      <c r="B33" s="131">
        <v>22</v>
      </c>
      <c r="C33" s="117" t="s">
        <v>506</v>
      </c>
      <c r="D33" s="132" t="s">
        <v>393</v>
      </c>
    </row>
    <row r="34" spans="2:13">
      <c r="B34" s="131">
        <v>23</v>
      </c>
      <c r="C34" s="117" t="s">
        <v>507</v>
      </c>
      <c r="D34" s="132" t="s">
        <v>511</v>
      </c>
    </row>
    <row r="35" spans="2:13">
      <c r="B35" s="131">
        <v>24</v>
      </c>
      <c r="C35" s="117" t="s">
        <v>144</v>
      </c>
      <c r="D35" s="132" t="s">
        <v>394</v>
      </c>
    </row>
    <row r="36" spans="2:13">
      <c r="B36" s="131">
        <v>25</v>
      </c>
      <c r="C36" s="117" t="s">
        <v>386</v>
      </c>
      <c r="D36" s="132" t="s">
        <v>395</v>
      </c>
    </row>
    <row r="37" spans="2:13">
      <c r="B37" s="131">
        <v>26</v>
      </c>
      <c r="C37" s="117" t="s">
        <v>174</v>
      </c>
      <c r="D37" s="132" t="s">
        <v>237</v>
      </c>
    </row>
    <row r="38" spans="2:13">
      <c r="B38" s="131">
        <v>27</v>
      </c>
      <c r="C38" s="117" t="s">
        <v>381</v>
      </c>
      <c r="D38" s="132" t="s">
        <v>351</v>
      </c>
    </row>
    <row r="39" spans="2:13">
      <c r="B39" s="131">
        <v>28</v>
      </c>
      <c r="C39" s="117" t="s">
        <v>430</v>
      </c>
      <c r="D39" s="132" t="s">
        <v>350</v>
      </c>
    </row>
    <row r="40" spans="2:13">
      <c r="B40" s="131">
        <v>29</v>
      </c>
      <c r="C40" s="117" t="s">
        <v>431</v>
      </c>
      <c r="D40" s="132" t="s">
        <v>423</v>
      </c>
      <c r="F40" s="105"/>
      <c r="G40" s="105"/>
      <c r="H40" s="105"/>
      <c r="I40" s="105"/>
      <c r="J40" s="105"/>
      <c r="K40" s="105"/>
      <c r="L40" s="105"/>
      <c r="M40" s="105"/>
    </row>
    <row r="41" spans="2:13">
      <c r="B41" s="131">
        <v>30</v>
      </c>
      <c r="C41" s="117" t="s">
        <v>238</v>
      </c>
      <c r="D41" s="132" t="s">
        <v>176</v>
      </c>
    </row>
    <row r="42" spans="2:13">
      <c r="B42" s="131">
        <v>31</v>
      </c>
      <c r="C42" s="117" t="s">
        <v>239</v>
      </c>
      <c r="D42" s="132" t="s">
        <v>179</v>
      </c>
    </row>
    <row r="43" spans="2:13">
      <c r="B43" s="131">
        <v>32</v>
      </c>
      <c r="C43" s="117" t="s">
        <v>240</v>
      </c>
      <c r="D43" s="132" t="s">
        <v>180</v>
      </c>
    </row>
    <row r="44" spans="2:13">
      <c r="B44" s="131">
        <v>33</v>
      </c>
      <c r="C44" s="117" t="s">
        <v>241</v>
      </c>
      <c r="D44" s="132" t="s">
        <v>242</v>
      </c>
    </row>
    <row r="45" spans="2:13">
      <c r="B45" s="131">
        <v>34</v>
      </c>
      <c r="C45" s="117" t="s">
        <v>187</v>
      </c>
      <c r="D45" s="132" t="s">
        <v>243</v>
      </c>
    </row>
    <row r="46" spans="2:13">
      <c r="B46" s="131">
        <v>35</v>
      </c>
      <c r="C46" s="117" t="s">
        <v>380</v>
      </c>
      <c r="D46" s="132" t="s">
        <v>387</v>
      </c>
    </row>
    <row r="47" spans="2:13">
      <c r="B47" s="131">
        <v>36</v>
      </c>
      <c r="C47" s="117" t="s">
        <v>353</v>
      </c>
      <c r="D47" s="132" t="s">
        <v>188</v>
      </c>
    </row>
    <row r="48" spans="2:13">
      <c r="B48" s="131">
        <v>37</v>
      </c>
      <c r="C48" s="117" t="s">
        <v>192</v>
      </c>
      <c r="D48" s="132" t="s">
        <v>244</v>
      </c>
    </row>
    <row r="49" spans="2:4" ht="12.75" thickBot="1">
      <c r="B49" s="133">
        <v>38</v>
      </c>
      <c r="C49" s="134" t="s">
        <v>194</v>
      </c>
      <c r="D49" s="135" t="s">
        <v>193</v>
      </c>
    </row>
    <row r="70" spans="1:5">
      <c r="E70" s="105"/>
    </row>
    <row r="71" spans="1:5">
      <c r="E71" s="105"/>
    </row>
    <row r="74" spans="1:5">
      <c r="E74" s="105"/>
    </row>
    <row r="75" spans="1:5" hidden="1">
      <c r="A75" s="105" t="s">
        <v>245</v>
      </c>
    </row>
    <row r="76" spans="1:5" hidden="1">
      <c r="A76" s="106" t="s">
        <v>27</v>
      </c>
      <c r="B76" s="105"/>
      <c r="C76" s="105"/>
      <c r="D76" s="105" t="s">
        <v>228</v>
      </c>
    </row>
    <row r="77" spans="1:5" hidden="1">
      <c r="A77" s="106" t="s">
        <v>28</v>
      </c>
      <c r="D77" s="106" t="s">
        <v>271</v>
      </c>
      <c r="E77" s="106" t="s">
        <v>10</v>
      </c>
    </row>
    <row r="78" spans="1:5" hidden="1">
      <c r="A78" s="106" t="s">
        <v>50</v>
      </c>
      <c r="D78" s="106" t="s">
        <v>272</v>
      </c>
      <c r="E78" s="106" t="s">
        <v>11</v>
      </c>
    </row>
    <row r="79" spans="1:5" hidden="1">
      <c r="A79" s="106" t="s">
        <v>51</v>
      </c>
      <c r="E79" s="106" t="s">
        <v>12</v>
      </c>
    </row>
    <row r="80" spans="1:5" hidden="1">
      <c r="E80" s="106" t="s">
        <v>13</v>
      </c>
    </row>
    <row r="81" spans="4:8" hidden="1">
      <c r="E81" s="106" t="s">
        <v>14</v>
      </c>
    </row>
    <row r="82" spans="4:8" hidden="1">
      <c r="E82" s="106" t="s">
        <v>15</v>
      </c>
      <c r="H82" s="105"/>
    </row>
    <row r="83" spans="4:8" hidden="1">
      <c r="E83" s="106" t="s">
        <v>16</v>
      </c>
      <c r="H83" s="105"/>
    </row>
    <row r="84" spans="4:8" hidden="1">
      <c r="E84" s="106" t="s">
        <v>17</v>
      </c>
    </row>
    <row r="85" spans="4:8" hidden="1">
      <c r="D85" s="106" t="s">
        <v>566</v>
      </c>
      <c r="E85" s="106" t="s">
        <v>18</v>
      </c>
    </row>
    <row r="86" spans="4:8" hidden="1">
      <c r="E86" s="106" t="s">
        <v>567</v>
      </c>
    </row>
    <row r="87" spans="4:8" hidden="1">
      <c r="E87" s="106" t="s">
        <v>568</v>
      </c>
    </row>
    <row r="88" spans="4:8" hidden="1">
      <c r="E88" s="106" t="s">
        <v>569</v>
      </c>
    </row>
    <row r="89" spans="4:8" hidden="1">
      <c r="E89" s="106" t="s">
        <v>570</v>
      </c>
    </row>
    <row r="90" spans="4:8" hidden="1">
      <c r="D90" s="106" t="s">
        <v>631</v>
      </c>
      <c r="E90" s="106" t="s">
        <v>626</v>
      </c>
    </row>
    <row r="91" spans="4:8" hidden="1">
      <c r="E91" s="106" t="s">
        <v>627</v>
      </c>
    </row>
    <row r="92" spans="4:8" hidden="1">
      <c r="E92" s="106" t="s">
        <v>628</v>
      </c>
    </row>
    <row r="93" spans="4:8" hidden="1">
      <c r="E93" s="106" t="s">
        <v>629</v>
      </c>
    </row>
    <row r="94" spans="4:8" hidden="1">
      <c r="E94" s="106" t="s">
        <v>630</v>
      </c>
    </row>
    <row r="109" spans="10:22" hidden="1">
      <c r="J109" s="106" t="s">
        <v>486</v>
      </c>
      <c r="K109" s="106" t="s">
        <v>146</v>
      </c>
      <c r="L109" s="106" t="s">
        <v>147</v>
      </c>
      <c r="M109" s="106" t="s">
        <v>148</v>
      </c>
      <c r="N109" s="106" t="s">
        <v>149</v>
      </c>
      <c r="O109" s="106" t="s">
        <v>150</v>
      </c>
      <c r="P109" s="106" t="s">
        <v>151</v>
      </c>
      <c r="Q109" s="106" t="s">
        <v>152</v>
      </c>
      <c r="R109" s="106" t="s">
        <v>153</v>
      </c>
      <c r="S109" s="106" t="s">
        <v>154</v>
      </c>
      <c r="T109" s="106" t="s">
        <v>155</v>
      </c>
      <c r="U109" s="106" t="s">
        <v>156</v>
      </c>
      <c r="V109" s="106" t="s">
        <v>157</v>
      </c>
    </row>
    <row r="110" spans="10:22" hidden="1">
      <c r="J110" s="106">
        <v>2006</v>
      </c>
      <c r="K110" s="106">
        <v>10061</v>
      </c>
      <c r="L110" s="106">
        <v>10062</v>
      </c>
      <c r="M110" s="106">
        <v>10063</v>
      </c>
      <c r="N110" s="106">
        <v>10064</v>
      </c>
      <c r="O110" s="106">
        <v>10065</v>
      </c>
      <c r="P110" s="106">
        <v>10066</v>
      </c>
      <c r="Q110" s="106">
        <v>10067</v>
      </c>
      <c r="R110" s="106">
        <v>10068</v>
      </c>
      <c r="S110" s="106">
        <v>10069</v>
      </c>
      <c r="T110" s="106">
        <v>10070</v>
      </c>
      <c r="U110" s="106">
        <v>10071</v>
      </c>
      <c r="V110" s="106">
        <v>10072</v>
      </c>
    </row>
    <row r="111" spans="10:22" hidden="1">
      <c r="J111" s="106">
        <v>2007</v>
      </c>
      <c r="K111" s="106">
        <v>10073</v>
      </c>
      <c r="L111" s="106">
        <v>10074</v>
      </c>
      <c r="M111" s="106">
        <v>10075</v>
      </c>
      <c r="N111" s="106">
        <v>10076</v>
      </c>
      <c r="O111" s="106">
        <v>10077</v>
      </c>
      <c r="P111" s="106">
        <v>10078</v>
      </c>
      <c r="Q111" s="106">
        <v>10079</v>
      </c>
      <c r="R111" s="106">
        <v>10080</v>
      </c>
      <c r="S111" s="106">
        <v>10081</v>
      </c>
      <c r="T111" s="106">
        <v>10082</v>
      </c>
      <c r="U111" s="106">
        <v>10083</v>
      </c>
      <c r="V111" s="106">
        <v>10084</v>
      </c>
    </row>
    <row r="112" spans="10:22" hidden="1">
      <c r="J112" s="106">
        <v>2008</v>
      </c>
      <c r="K112" s="106">
        <v>10085</v>
      </c>
      <c r="L112" s="106">
        <v>10086</v>
      </c>
      <c r="M112" s="106">
        <v>10087</v>
      </c>
      <c r="N112" s="106">
        <v>10088</v>
      </c>
      <c r="O112" s="106">
        <v>10089</v>
      </c>
      <c r="P112" s="106">
        <v>10090</v>
      </c>
      <c r="Q112" s="106">
        <v>10091</v>
      </c>
      <c r="R112" s="106">
        <v>10092</v>
      </c>
      <c r="S112" s="106">
        <v>10093</v>
      </c>
      <c r="T112" s="106">
        <v>10094</v>
      </c>
      <c r="U112" s="106">
        <v>10095</v>
      </c>
      <c r="V112" s="106">
        <v>10096</v>
      </c>
    </row>
    <row r="113" spans="10:22" hidden="1">
      <c r="J113" s="106">
        <v>2009</v>
      </c>
      <c r="K113" s="106">
        <v>11100</v>
      </c>
      <c r="L113" s="106">
        <v>11101</v>
      </c>
      <c r="M113" s="106">
        <v>11102</v>
      </c>
      <c r="N113" s="106">
        <v>11103</v>
      </c>
      <c r="O113" s="106">
        <v>11104</v>
      </c>
      <c r="P113" s="106">
        <v>11105</v>
      </c>
      <c r="Q113" s="106">
        <v>11106</v>
      </c>
      <c r="R113" s="106">
        <v>11107</v>
      </c>
      <c r="S113" s="106">
        <v>11108</v>
      </c>
      <c r="T113" s="106">
        <v>11109</v>
      </c>
      <c r="U113" s="106">
        <v>11110</v>
      </c>
      <c r="V113" s="106">
        <v>11111</v>
      </c>
    </row>
    <row r="161" spans="1:1">
      <c r="A161" s="105"/>
    </row>
    <row r="171" spans="1:1">
      <c r="A171" s="105"/>
    </row>
    <row r="203" spans="1:2">
      <c r="A203" s="117"/>
      <c r="B203" s="117"/>
    </row>
    <row r="204" spans="1:2">
      <c r="A204" s="117"/>
      <c r="B204" s="117"/>
    </row>
    <row r="205" spans="1:2">
      <c r="A205" s="117"/>
      <c r="B205" s="117"/>
    </row>
    <row r="206" spans="1:2">
      <c r="A206" s="117"/>
      <c r="B206" s="117"/>
    </row>
    <row r="207" spans="1:2">
      <c r="A207" s="117"/>
      <c r="B207" s="117"/>
    </row>
  </sheetData>
  <mergeCells count="3">
    <mergeCell ref="B9:B11"/>
    <mergeCell ref="C9:C11"/>
    <mergeCell ref="D9:D11"/>
  </mergeCells>
  <phoneticPr fontId="11" type="noConversion"/>
  <dataValidations count="4">
    <dataValidation allowBlank="1" showInputMessage="1" showErrorMessage="1" errorTitle="RIMS" error="Select Period Type from the list&#10;Yearly,Quarterly,Monthly" sqref="D3"/>
    <dataValidation allowBlank="1" showInputMessage="1" showErrorMessage="1" errorTitle="RIMS" error="Please Enter Compleate year like '2004'" sqref="D6"/>
    <dataValidation type="list" allowBlank="1" showInputMessage="1" showErrorMessage="1" sqref="D2">
      <formula1>$A$76:$A$79</formula1>
    </dataValidation>
    <dataValidation type="decimal" allowBlank="1" showInputMessage="1" showErrorMessage="1" sqref="F40:I40">
      <formula1>0</formula1>
      <formula2>9.99999999999999E+31</formula2>
    </dataValidation>
  </dataValidations>
  <hyperlinks>
    <hyperlink ref="D29" location="'A|New Cons Categ'!A1" display="Form A"/>
    <hyperlink ref="D12" location="'1|ARR'!A1" display="Form 1 "/>
    <hyperlink ref="D13" location="'1.1|Trans Cost'!A1" display="Form 1.1"/>
    <hyperlink ref="D14" location="'1.2|SLDC'!A1" display="Form 1.2"/>
    <hyperlink ref="D15" location="'1.3|Dist Cost'!A1" display="Form 1.3"/>
    <hyperlink ref="D23" location="'1.4a|PP Cost- NonReg'!A1" display="Form 1.4a"/>
    <hyperlink ref="D24" location="'1.4 b|Sales to Licensees'!A1" display="Form 1.4b"/>
    <hyperlink ref="D25" location="'1.4c|D-D Purchases'!A1" display="Form 1.4c"/>
    <hyperlink ref="D26" location="'1.5|Int CSD'!A1" display="Form 1.5"/>
    <hyperlink ref="D27" location="'1.6|Supply Margin'!A1" display="Form 1.6"/>
    <hyperlink ref="D28" location="'1.7|Other Costs'!A1" display="Form 1.7 "/>
    <hyperlink ref="D30" location="'2|CoS'!A1" display="Form 2"/>
    <hyperlink ref="D31" location="'3|Sales Forecast'!A1" display="Form 3"/>
    <hyperlink ref="D32" location="'4|PP Requirement'!A1" display="Form 4"/>
    <hyperlink ref="D33" location="'4a| Energy Losses'!A1" display="Form 4a"/>
    <hyperlink ref="D35" location="'4.1|Energy Availability'!A1" display="Form 4.1"/>
    <hyperlink ref="D36" location="'4.2|Energy Dispatch'!A1" display="Form 4.2"/>
    <hyperlink ref="D37" location="'5|Revenue Current Tariff'!A1" display="Form 5 "/>
    <hyperlink ref="D38" location="'5a|Incentives Current'!A1" display="Form 5a"/>
    <hyperlink ref="D39" location="'5b|Cons switching to comp'!A1" display="Form 5b"/>
    <hyperlink ref="D41" location="'6|NTI current'!A1" display="Form 6"/>
    <hyperlink ref="D42" location="'7|Total Rev Current'!A1" display="Form 7"/>
    <hyperlink ref="D43" location="'8|Rev Gap'!A1" display="Form 8"/>
    <hyperlink ref="D44" location="'9|Revenue Gap Adj'!A1" display="Form 9 "/>
    <hyperlink ref="D45" location="'10|Revenue Proposed Tariff'!A1" display="Form 10 "/>
    <hyperlink ref="D46" location="'10a|Incentives Proposed'!A1" display="Form 10a"/>
    <hyperlink ref="D47" location="'11|NTI proposed'!A1" display="Form 11"/>
    <hyperlink ref="D48" location="'12|Total Rev Proposed Tariff'!A1" display="Form 12 "/>
    <hyperlink ref="D49" location="'13|Cost and Revenue'!A1" display="Form 13"/>
    <hyperlink ref="D40" location="'5c|Cons served under open acces'!A1" display="Form 5c"/>
    <hyperlink ref="D16" location="'1.4| PP Cost-Reg'!A1" display="Form 1.4"/>
    <hyperlink ref="D17" location="'1.4(i)|NCE-B Year'!A1" display="Form 1.4 (i)"/>
    <hyperlink ref="D18:D20" location="'Form 1.4'!A1" display="Form 1.4"/>
    <hyperlink ref="D18" location="'1.4(ii)|NCE- Year 1'!A1" display="Form 1.4(ii)"/>
    <hyperlink ref="D19" location="'1.4(iii)|NCE -Year 2'!A1" display="Form 1.4(iii)"/>
    <hyperlink ref="D20" location="'1.4 (iv)|NCE-Year 3'!A1" display="Form 1.4(iv)"/>
    <hyperlink ref="D34" location="'4b|Transmission Losses'!A1" display="Form 4b"/>
    <hyperlink ref="D21" location="'1.4(v)|NCE -Year 4'!Print_Area" display="Form 1.4(v)"/>
    <hyperlink ref="D22" location="'1.4 (vi)|NCE-Year 5'!Print_Titles" display="Form 1.4(vi)"/>
  </hyperlinks>
  <printOptions horizontalCentered="1" verticalCentered="1"/>
  <pageMargins left="0.5" right="0.5" top="0.5" bottom="0.5" header="0.25" footer="0.25"/>
  <pageSetup paperSize="9" scale="85" orientation="landscape" r:id="rId1"/>
  <headerFooter alignWithMargins="0"/>
</worksheet>
</file>

<file path=xl/worksheets/sheet2.xml><?xml version="1.0" encoding="utf-8"?>
<worksheet xmlns="http://schemas.openxmlformats.org/spreadsheetml/2006/main" xmlns:r="http://schemas.openxmlformats.org/officeDocument/2006/relationships">
  <sheetPr codeName="Sheet2">
    <pageSetUpPr fitToPage="1"/>
  </sheetPr>
  <dimension ref="B3:L48"/>
  <sheetViews>
    <sheetView view="pageBreakPreview" zoomScale="115" zoomScaleSheetLayoutView="115" workbookViewId="0">
      <selection activeCell="C18" sqref="C18:G18"/>
    </sheetView>
  </sheetViews>
  <sheetFormatPr defaultRowHeight="10.5"/>
  <cols>
    <col min="1" max="1" width="9.140625" style="992"/>
    <col min="2" max="2" width="5.140625" style="992" customWidth="1"/>
    <col min="3" max="3" width="13.7109375" style="992" customWidth="1"/>
    <col min="4" max="4" width="5.85546875" style="992" customWidth="1"/>
    <col min="5" max="5" width="47.28515625" style="992" customWidth="1"/>
    <col min="6" max="6" width="18.42578125" style="992" bestFit="1" customWidth="1"/>
    <col min="7" max="7" width="14.42578125" style="992" customWidth="1"/>
    <col min="8" max="8" width="11.85546875" style="992" customWidth="1"/>
    <col min="9" max="11" width="9.140625" style="992"/>
    <col min="12" max="12" width="1.42578125" style="992" customWidth="1"/>
    <col min="13" max="16384" width="9.140625" style="992"/>
  </cols>
  <sheetData>
    <row r="3" spans="2:12">
      <c r="B3" s="991" t="s">
        <v>433</v>
      </c>
    </row>
    <row r="4" spans="2:12" ht="11.25" thickBot="1"/>
    <row r="5" spans="2:12" ht="15.75" customHeight="1">
      <c r="B5" s="993" t="s">
        <v>434</v>
      </c>
      <c r="C5" s="994" t="s">
        <v>255</v>
      </c>
      <c r="D5" s="995" t="s">
        <v>993</v>
      </c>
      <c r="E5" s="996"/>
      <c r="F5" s="997"/>
      <c r="G5" s="997"/>
      <c r="H5" s="997"/>
      <c r="I5" s="997"/>
      <c r="J5" s="997"/>
      <c r="K5" s="997"/>
      <c r="L5" s="998"/>
    </row>
    <row r="6" spans="2:12" ht="15.75" customHeight="1">
      <c r="B6" s="999" t="s">
        <v>434</v>
      </c>
      <c r="C6" s="1000" t="s">
        <v>974</v>
      </c>
      <c r="D6" s="1001" t="s">
        <v>975</v>
      </c>
      <c r="E6" s="1002"/>
      <c r="F6" s="1003"/>
      <c r="G6" s="1004"/>
      <c r="H6" s="1004"/>
      <c r="I6" s="1004"/>
      <c r="J6" s="1004"/>
      <c r="K6" s="1004"/>
      <c r="L6" s="1005"/>
    </row>
    <row r="7" spans="2:12" ht="15.75" customHeight="1">
      <c r="B7" s="1006"/>
      <c r="C7" s="1000" t="s">
        <v>981</v>
      </c>
      <c r="D7" s="1001" t="s">
        <v>976</v>
      </c>
      <c r="E7" s="1007"/>
      <c r="F7" s="1008"/>
      <c r="G7" s="1004"/>
      <c r="H7" s="1004"/>
      <c r="I7" s="1004"/>
      <c r="J7" s="1004"/>
      <c r="K7" s="1004"/>
      <c r="L7" s="1005"/>
    </row>
    <row r="8" spans="2:12" ht="15.75" customHeight="1">
      <c r="B8" s="1006"/>
      <c r="C8" s="1000" t="s">
        <v>982</v>
      </c>
      <c r="D8" s="1001" t="s">
        <v>977</v>
      </c>
      <c r="E8" s="1009"/>
      <c r="F8" s="1004"/>
      <c r="G8" s="1004"/>
      <c r="H8" s="1004"/>
      <c r="I8" s="1004"/>
      <c r="J8" s="1004"/>
      <c r="K8" s="1004"/>
      <c r="L8" s="1005"/>
    </row>
    <row r="9" spans="2:12" ht="15.75" customHeight="1">
      <c r="B9" s="1006"/>
      <c r="C9" s="1000" t="s">
        <v>983</v>
      </c>
      <c r="D9" s="1001" t="s">
        <v>978</v>
      </c>
      <c r="E9" s="1009"/>
      <c r="F9" s="1004"/>
      <c r="G9" s="1004"/>
      <c r="H9" s="1004"/>
      <c r="I9" s="1004"/>
      <c r="J9" s="1004"/>
      <c r="K9" s="1004"/>
      <c r="L9" s="1005"/>
    </row>
    <row r="10" spans="2:12" ht="15.75" customHeight="1">
      <c r="B10" s="1006"/>
      <c r="C10" s="1000" t="s">
        <v>984</v>
      </c>
      <c r="D10" s="1001" t="s">
        <v>979</v>
      </c>
      <c r="E10" s="1009"/>
      <c r="F10" s="1004"/>
      <c r="G10" s="1004"/>
      <c r="H10" s="1004"/>
      <c r="I10" s="1004"/>
      <c r="J10" s="1004"/>
      <c r="K10" s="1004"/>
      <c r="L10" s="1005"/>
    </row>
    <row r="11" spans="2:12" ht="12.75">
      <c r="B11" s="1006"/>
      <c r="C11" s="1010"/>
      <c r="D11" s="1004"/>
      <c r="E11" s="1004"/>
      <c r="F11" s="1004"/>
      <c r="G11" s="1004"/>
      <c r="H11" s="1004"/>
      <c r="I11" s="1004"/>
      <c r="J11" s="1004"/>
      <c r="K11" s="1004"/>
      <c r="L11" s="1005"/>
    </row>
    <row r="12" spans="2:12" ht="12.75">
      <c r="B12" s="1006" t="s">
        <v>435</v>
      </c>
      <c r="C12" s="1011" t="s">
        <v>980</v>
      </c>
      <c r="D12" s="1004"/>
      <c r="E12" s="1004"/>
      <c r="F12" s="1004"/>
      <c r="G12" s="1004"/>
      <c r="H12" s="1004"/>
      <c r="I12" s="1004"/>
      <c r="J12" s="1004"/>
      <c r="K12" s="1004"/>
      <c r="L12" s="1005"/>
    </row>
    <row r="13" spans="2:12" ht="12.75">
      <c r="B13" s="1006"/>
      <c r="C13" s="1010"/>
      <c r="D13" s="819" t="s">
        <v>985</v>
      </c>
      <c r="E13" s="1004"/>
      <c r="F13" s="1004"/>
      <c r="G13" s="1004"/>
      <c r="H13" s="1004"/>
      <c r="I13" s="1004"/>
      <c r="J13" s="1004"/>
      <c r="K13" s="1004"/>
      <c r="L13" s="1005"/>
    </row>
    <row r="14" spans="2:12" ht="12.75">
      <c r="B14" s="1006"/>
      <c r="C14" s="1010"/>
      <c r="D14" s="819" t="s">
        <v>994</v>
      </c>
      <c r="E14" s="1004"/>
      <c r="F14" s="1004"/>
      <c r="G14" s="1004"/>
      <c r="H14" s="1004"/>
      <c r="I14" s="1004"/>
      <c r="J14" s="1004"/>
      <c r="K14" s="1004"/>
      <c r="L14" s="1005"/>
    </row>
    <row r="15" spans="2:12" ht="12.75">
      <c r="B15" s="1006"/>
      <c r="C15" s="1010"/>
      <c r="D15" s="819"/>
      <c r="E15" s="819"/>
      <c r="F15" s="1004"/>
      <c r="G15" s="1004"/>
      <c r="H15" s="1004"/>
      <c r="I15" s="1004"/>
      <c r="J15" s="1004"/>
      <c r="K15" s="1004"/>
      <c r="L15" s="1005"/>
    </row>
    <row r="16" spans="2:12" ht="12.75">
      <c r="B16" s="1006"/>
      <c r="C16" s="1010"/>
      <c r="D16" s="819"/>
      <c r="E16" s="819"/>
      <c r="F16" s="1004"/>
      <c r="G16" s="1004"/>
      <c r="H16" s="1004"/>
      <c r="I16" s="1004"/>
      <c r="J16" s="1004"/>
      <c r="K16" s="1004"/>
      <c r="L16" s="1005"/>
    </row>
    <row r="17" spans="2:12" ht="12.75">
      <c r="B17" s="1006"/>
      <c r="C17" s="1010"/>
      <c r="D17" s="819"/>
      <c r="E17" s="819"/>
      <c r="F17" s="1004"/>
      <c r="G17" s="1004"/>
      <c r="H17" s="1004"/>
      <c r="I17" s="1004"/>
      <c r="J17" s="1004"/>
      <c r="K17" s="1004"/>
      <c r="L17" s="1005"/>
    </row>
    <row r="18" spans="2:12" ht="45.75" customHeight="1">
      <c r="B18" s="1012" t="s">
        <v>549</v>
      </c>
      <c r="C18" s="1700" t="s">
        <v>1006</v>
      </c>
      <c r="D18" s="1701"/>
      <c r="E18" s="1701"/>
      <c r="F18" s="1701"/>
      <c r="G18" s="1702"/>
      <c r="H18" s="1013"/>
      <c r="I18" s="1013"/>
      <c r="J18" s="1013"/>
      <c r="K18" s="1013"/>
      <c r="L18" s="1014"/>
    </row>
    <row r="19" spans="2:12" ht="31.5" customHeight="1">
      <c r="B19" s="1006"/>
      <c r="C19" s="1700" t="s">
        <v>1007</v>
      </c>
      <c r="D19" s="1701"/>
      <c r="E19" s="1701"/>
      <c r="F19" s="1701"/>
      <c r="G19" s="1702"/>
      <c r="H19" s="1013"/>
      <c r="I19" s="1013"/>
      <c r="J19" s="1013"/>
      <c r="K19" s="1013"/>
      <c r="L19" s="1014"/>
    </row>
    <row r="20" spans="2:12" ht="12.75">
      <c r="B20" s="1006"/>
      <c r="C20" s="1015"/>
      <c r="D20" s="1016"/>
      <c r="E20" s="1016"/>
      <c r="F20" s="1016"/>
      <c r="G20" s="1016"/>
      <c r="H20" s="1004"/>
      <c r="I20" s="1004"/>
      <c r="J20" s="1004"/>
      <c r="K20" s="1004"/>
      <c r="L20" s="1005"/>
    </row>
    <row r="21" spans="2:12" ht="18.75" customHeight="1">
      <c r="B21" s="1012" t="s">
        <v>438</v>
      </c>
      <c r="C21" s="1700" t="s">
        <v>1008</v>
      </c>
      <c r="D21" s="1701"/>
      <c r="E21" s="1701"/>
      <c r="F21" s="1701"/>
      <c r="G21" s="1702"/>
      <c r="H21" s="1004"/>
      <c r="I21" s="1004"/>
      <c r="J21" s="1004"/>
      <c r="K21" s="1004"/>
      <c r="L21" s="1005"/>
    </row>
    <row r="22" spans="2:12" ht="28.5" customHeight="1">
      <c r="B22" s="1006"/>
      <c r="C22" s="1700" t="s">
        <v>1009</v>
      </c>
      <c r="D22" s="1701"/>
      <c r="E22" s="1701"/>
      <c r="F22" s="1701"/>
      <c r="G22" s="1702"/>
      <c r="H22" s="1004"/>
      <c r="I22" s="1004"/>
      <c r="J22" s="1004"/>
      <c r="K22" s="1004"/>
      <c r="L22" s="1005"/>
    </row>
    <row r="23" spans="2:12" ht="12.75">
      <c r="B23" s="1006"/>
      <c r="C23" s="1010"/>
      <c r="D23" s="1004"/>
      <c r="E23" s="1004"/>
      <c r="F23" s="1004"/>
      <c r="G23" s="1004"/>
      <c r="H23" s="1004"/>
      <c r="I23" s="1004"/>
      <c r="J23" s="1004"/>
      <c r="K23" s="1004"/>
      <c r="L23" s="1005"/>
    </row>
    <row r="24" spans="2:12" ht="12.75">
      <c r="B24" s="1012" t="s">
        <v>551</v>
      </c>
      <c r="C24" s="1011" t="s">
        <v>437</v>
      </c>
      <c r="D24" s="1004"/>
      <c r="E24" s="1004"/>
      <c r="F24" s="1004"/>
      <c r="G24" s="1004"/>
      <c r="H24" s="1004"/>
      <c r="I24" s="1004"/>
      <c r="J24" s="1004"/>
      <c r="K24" s="1004"/>
      <c r="L24" s="1005"/>
    </row>
    <row r="25" spans="2:12" ht="12.75">
      <c r="B25" s="1006"/>
      <c r="C25" s="1017" t="s">
        <v>548</v>
      </c>
      <c r="D25" s="1018"/>
      <c r="E25" s="1018"/>
      <c r="F25" s="1018"/>
      <c r="G25" s="1018"/>
      <c r="H25" s="1019"/>
      <c r="I25" s="1004"/>
      <c r="J25" s="1004"/>
      <c r="K25" s="1004"/>
      <c r="L25" s="1005"/>
    </row>
    <row r="26" spans="2:12" ht="12.75">
      <c r="B26" s="1006"/>
      <c r="C26" s="1020" t="s">
        <v>436</v>
      </c>
      <c r="D26" s="1021"/>
      <c r="E26" s="1021"/>
      <c r="F26" s="1021"/>
      <c r="G26" s="1021"/>
      <c r="H26" s="1022"/>
      <c r="I26" s="1004"/>
      <c r="J26" s="1004"/>
      <c r="K26" s="1004"/>
      <c r="L26" s="1005"/>
    </row>
    <row r="27" spans="2:12" ht="12.75">
      <c r="B27" s="1006"/>
      <c r="C27" s="1010"/>
      <c r="D27" s="1004"/>
      <c r="E27" s="1004"/>
      <c r="F27" s="1004"/>
      <c r="G27" s="1004"/>
      <c r="H27" s="1004"/>
      <c r="I27" s="1004"/>
      <c r="J27" s="1004"/>
      <c r="K27" s="1004"/>
      <c r="L27" s="1005"/>
    </row>
    <row r="28" spans="2:12" ht="28.5" customHeight="1">
      <c r="B28" s="1012" t="s">
        <v>535</v>
      </c>
      <c r="C28" s="1703" t="s">
        <v>512</v>
      </c>
      <c r="D28" s="1704"/>
      <c r="E28" s="1704"/>
      <c r="F28" s="1704"/>
      <c r="G28" s="1705"/>
      <c r="H28" s="1023"/>
      <c r="I28" s="1023"/>
      <c r="J28" s="1023"/>
      <c r="K28" s="1023"/>
      <c r="L28" s="1024"/>
    </row>
    <row r="29" spans="2:12" ht="12.75">
      <c r="B29" s="1006"/>
      <c r="C29" s="1025"/>
      <c r="D29" s="1023"/>
      <c r="E29" s="1023"/>
      <c r="F29" s="1023"/>
      <c r="G29" s="1023"/>
      <c r="H29" s="1023"/>
      <c r="I29" s="1023"/>
      <c r="J29" s="1023"/>
      <c r="K29" s="1023"/>
      <c r="L29" s="1024"/>
    </row>
    <row r="30" spans="2:12" ht="12.75">
      <c r="B30" s="1006"/>
      <c r="C30" s="1010"/>
      <c r="D30" s="1004"/>
      <c r="E30" s="1004"/>
      <c r="F30" s="1004"/>
      <c r="G30" s="1004"/>
      <c r="H30" s="1004"/>
      <c r="I30" s="1004"/>
      <c r="J30" s="1004"/>
      <c r="K30" s="1004"/>
      <c r="L30" s="1005"/>
    </row>
    <row r="31" spans="2:12" ht="15.75" customHeight="1">
      <c r="B31" s="1006"/>
      <c r="C31" s="1010"/>
      <c r="D31" s="1004"/>
      <c r="E31" s="1004"/>
      <c r="F31" s="1004"/>
      <c r="G31" s="1004"/>
      <c r="H31" s="1004"/>
      <c r="I31" s="1004"/>
      <c r="J31" s="1004"/>
      <c r="K31" s="1004"/>
      <c r="L31" s="1005"/>
    </row>
    <row r="32" spans="2:12" ht="15.75" customHeight="1">
      <c r="B32" s="1006" t="s">
        <v>552</v>
      </c>
      <c r="C32" s="1011" t="s">
        <v>500</v>
      </c>
      <c r="D32" s="1004"/>
      <c r="E32" s="1004"/>
      <c r="F32" s="1004"/>
      <c r="G32" s="1004"/>
      <c r="H32" s="1004"/>
      <c r="I32" s="1004"/>
      <c r="J32" s="1004"/>
      <c r="K32" s="1004"/>
      <c r="L32" s="1005"/>
    </row>
    <row r="33" spans="2:12" ht="15.75" customHeight="1">
      <c r="B33" s="1026"/>
      <c r="C33" s="1010"/>
      <c r="D33" s="1004"/>
      <c r="E33" s="1004"/>
      <c r="F33" s="1004"/>
      <c r="G33" s="1004"/>
      <c r="H33" s="1004"/>
      <c r="I33" s="1004"/>
      <c r="J33" s="1004"/>
      <c r="K33" s="1004"/>
      <c r="L33" s="1005"/>
    </row>
    <row r="34" spans="2:12" ht="15.75" customHeight="1">
      <c r="B34" s="1027"/>
      <c r="C34" s="1011" t="s">
        <v>505</v>
      </c>
      <c r="D34" s="1004"/>
      <c r="E34" s="1004"/>
      <c r="F34" s="1004"/>
      <c r="G34" s="1004"/>
      <c r="H34" s="1004"/>
      <c r="I34" s="1004"/>
      <c r="J34" s="1004"/>
      <c r="K34" s="1004"/>
      <c r="L34" s="1005"/>
    </row>
    <row r="35" spans="2:12" ht="15.75" customHeight="1">
      <c r="B35" s="1027"/>
      <c r="C35" s="1028"/>
      <c r="D35" s="1004"/>
      <c r="E35" s="1004"/>
      <c r="F35" s="1004"/>
      <c r="G35" s="1004"/>
      <c r="H35" s="1004"/>
      <c r="I35" s="1004"/>
      <c r="J35" s="1004"/>
      <c r="K35" s="1004"/>
      <c r="L35" s="1005"/>
    </row>
    <row r="36" spans="2:12" ht="15.75" customHeight="1">
      <c r="B36" s="1027"/>
      <c r="C36" s="1004"/>
      <c r="D36" s="1029" t="s">
        <v>490</v>
      </c>
      <c r="E36" s="1029" t="s">
        <v>491</v>
      </c>
      <c r="F36" s="1029" t="s">
        <v>492</v>
      </c>
      <c r="G36" s="1004"/>
      <c r="H36" s="1004"/>
      <c r="I36" s="1004"/>
      <c r="J36" s="1004"/>
      <c r="K36" s="1004"/>
      <c r="L36" s="1005"/>
    </row>
    <row r="37" spans="2:12" ht="25.5">
      <c r="B37" s="1027"/>
      <c r="C37" s="1004"/>
      <c r="D37" s="1030">
        <v>1</v>
      </c>
      <c r="E37" s="1030" t="s">
        <v>493</v>
      </c>
      <c r="F37" s="1030" t="s">
        <v>494</v>
      </c>
      <c r="G37" s="1004"/>
      <c r="H37" s="1004"/>
      <c r="I37" s="1004"/>
      <c r="J37" s="1004"/>
      <c r="K37" s="1004"/>
      <c r="L37" s="1005"/>
    </row>
    <row r="38" spans="2:12" ht="15.75" customHeight="1">
      <c r="B38" s="1027"/>
      <c r="C38" s="1004"/>
      <c r="D38" s="1030">
        <v>2</v>
      </c>
      <c r="E38" s="1030" t="s">
        <v>495</v>
      </c>
      <c r="F38" s="1030" t="s">
        <v>494</v>
      </c>
      <c r="G38" s="1004"/>
      <c r="H38" s="1004"/>
      <c r="I38" s="1004"/>
      <c r="J38" s="1004"/>
      <c r="K38" s="1004"/>
      <c r="L38" s="1005"/>
    </row>
    <row r="39" spans="2:12" ht="15.75" customHeight="1">
      <c r="B39" s="1027"/>
      <c r="C39" s="1004"/>
      <c r="D39" s="1030">
        <v>3</v>
      </c>
      <c r="E39" s="1030" t="s">
        <v>496</v>
      </c>
      <c r="F39" s="1030" t="s">
        <v>497</v>
      </c>
      <c r="G39" s="1004"/>
      <c r="H39" s="1004"/>
      <c r="I39" s="1004"/>
      <c r="J39" s="1004"/>
      <c r="K39" s="1004"/>
      <c r="L39" s="1005"/>
    </row>
    <row r="40" spans="2:12" ht="15.75" customHeight="1">
      <c r="B40" s="1027"/>
      <c r="C40" s="1004"/>
      <c r="D40" s="1030">
        <v>4</v>
      </c>
      <c r="E40" s="1030" t="s">
        <v>498</v>
      </c>
      <c r="F40" s="1030" t="s">
        <v>499</v>
      </c>
      <c r="G40" s="1004"/>
      <c r="H40" s="1004"/>
      <c r="I40" s="1004"/>
      <c r="J40" s="1004"/>
      <c r="K40" s="1004"/>
      <c r="L40" s="1005"/>
    </row>
    <row r="41" spans="2:12" ht="15.75" customHeight="1">
      <c r="B41" s="1027"/>
      <c r="C41" s="1004"/>
      <c r="D41" s="1031"/>
      <c r="E41" s="1031"/>
      <c r="F41" s="1031"/>
      <c r="G41" s="1004"/>
      <c r="H41" s="1004"/>
      <c r="I41" s="1004"/>
      <c r="J41" s="1004"/>
      <c r="K41" s="1004"/>
      <c r="L41" s="1005"/>
    </row>
    <row r="42" spans="2:12" ht="15.75" customHeight="1">
      <c r="B42" s="1006" t="s">
        <v>553</v>
      </c>
      <c r="C42" s="1028" t="s">
        <v>539</v>
      </c>
      <c r="D42" s="1031"/>
      <c r="E42" s="1031"/>
      <c r="F42" s="1031"/>
      <c r="G42" s="1004"/>
      <c r="H42" s="1004"/>
      <c r="I42" s="1004"/>
      <c r="J42" s="1004"/>
      <c r="K42" s="1004"/>
      <c r="L42" s="1005"/>
    </row>
    <row r="43" spans="2:12" ht="40.5" customHeight="1">
      <c r="B43" s="1027"/>
      <c r="C43" s="1032"/>
      <c r="D43" s="1030">
        <v>1</v>
      </c>
      <c r="E43" s="1033" t="s">
        <v>502</v>
      </c>
      <c r="F43" s="1699" t="s">
        <v>536</v>
      </c>
      <c r="G43" s="1699"/>
      <c r="H43" s="1699"/>
      <c r="I43" s="1699"/>
      <c r="J43" s="1699"/>
      <c r="K43" s="1699"/>
      <c r="L43" s="1005"/>
    </row>
    <row r="44" spans="2:12" ht="44.25" customHeight="1">
      <c r="B44" s="1027"/>
      <c r="C44" s="1032"/>
      <c r="D44" s="1030">
        <v>2</v>
      </c>
      <c r="E44" s="1033" t="s">
        <v>503</v>
      </c>
      <c r="F44" s="1699" t="s">
        <v>550</v>
      </c>
      <c r="G44" s="1699"/>
      <c r="H44" s="1699"/>
      <c r="I44" s="1699"/>
      <c r="J44" s="1699"/>
      <c r="K44" s="1699"/>
      <c r="L44" s="1005"/>
    </row>
    <row r="45" spans="2:12" ht="30" customHeight="1">
      <c r="B45" s="1027"/>
      <c r="C45" s="1032"/>
      <c r="D45" s="1030">
        <v>3</v>
      </c>
      <c r="E45" s="1033" t="s">
        <v>409</v>
      </c>
      <c r="F45" s="1699" t="s">
        <v>537</v>
      </c>
      <c r="G45" s="1699"/>
      <c r="H45" s="1699"/>
      <c r="I45" s="1699"/>
      <c r="J45" s="1699"/>
      <c r="K45" s="1699"/>
      <c r="L45" s="1005"/>
    </row>
    <row r="46" spans="2:12" ht="27" customHeight="1">
      <c r="B46" s="1027"/>
      <c r="C46" s="1032"/>
      <c r="D46" s="1030">
        <v>4</v>
      </c>
      <c r="E46" s="1033" t="s">
        <v>410</v>
      </c>
      <c r="F46" s="1699" t="s">
        <v>538</v>
      </c>
      <c r="G46" s="1699"/>
      <c r="H46" s="1699"/>
      <c r="I46" s="1699"/>
      <c r="J46" s="1699"/>
      <c r="K46" s="1699"/>
      <c r="L46" s="1005"/>
    </row>
    <row r="47" spans="2:12" ht="15.75" customHeight="1">
      <c r="B47" s="1034"/>
      <c r="D47" s="1035"/>
      <c r="E47" s="1035"/>
      <c r="F47" s="1035"/>
      <c r="L47" s="1005"/>
    </row>
    <row r="48" spans="2:12" ht="11.25" thickBot="1">
      <c r="B48" s="1036"/>
      <c r="C48" s="1037"/>
      <c r="D48" s="1038"/>
      <c r="E48" s="1038"/>
      <c r="F48" s="1038"/>
      <c r="G48" s="1038"/>
      <c r="H48" s="1038"/>
      <c r="I48" s="1038"/>
      <c r="J48" s="1038"/>
      <c r="K48" s="1038"/>
      <c r="L48" s="1039"/>
    </row>
  </sheetData>
  <mergeCells count="9">
    <mergeCell ref="F44:K44"/>
    <mergeCell ref="F46:K46"/>
    <mergeCell ref="F45:K45"/>
    <mergeCell ref="C18:G18"/>
    <mergeCell ref="C19:G19"/>
    <mergeCell ref="C21:G21"/>
    <mergeCell ref="C22:G22"/>
    <mergeCell ref="C28:G28"/>
    <mergeCell ref="F43:K43"/>
  </mergeCells>
  <phoneticPr fontId="11" type="noConversion"/>
  <dataValidations count="3">
    <dataValidation allowBlank="1" showInputMessage="1" showErrorMessage="1" promptTitle="Control Period Years" prompt="One time entry here of the relevant years here for display in all rest of the sheets." sqref="C8:C10 C6"/>
    <dataValidation allowBlank="1" showInputMessage="1" showErrorMessage="1" promptTitle="Control Period Years" prompt="One time entry here of relevant years for display in all rest of the sheets." sqref="C7"/>
    <dataValidation allowBlank="1" showInputMessage="1" showErrorMessage="1" promptTitle="Control Period Years" prompt="One time entry of the relevant control period years here for automatic display of these years in all rest of the sheets this workbook." sqref="C5"/>
  </dataValidations>
  <printOptions horizontalCentered="1" verticalCentered="1"/>
  <pageMargins left="0.5" right="0.5" top="0.5" bottom="0.5" header="0.25" footer="0.25"/>
  <pageSetup paperSize="9" scale="64"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dimension ref="A1:P39"/>
  <sheetViews>
    <sheetView view="pageBreakPreview" topLeftCell="A7" zoomScaleSheetLayoutView="100" workbookViewId="0">
      <selection activeCell="N16" sqref="N16"/>
    </sheetView>
  </sheetViews>
  <sheetFormatPr defaultRowHeight="12.75"/>
  <cols>
    <col min="1" max="1" width="4" style="121" customWidth="1"/>
    <col min="2" max="2" width="6" style="121" hidden="1" customWidth="1"/>
    <col min="3" max="3" width="8" style="121" customWidth="1"/>
    <col min="4" max="4" width="35.85546875" style="121" customWidth="1"/>
    <col min="5" max="5" width="11.7109375" style="121" customWidth="1"/>
    <col min="6" max="6" width="10" style="121" hidden="1" customWidth="1"/>
    <col min="7" max="7" width="14.140625" style="121" customWidth="1"/>
    <col min="8" max="8" width="14.85546875" style="121" customWidth="1"/>
    <col min="9" max="10" width="11" style="121" bestFit="1" customWidth="1"/>
    <col min="11" max="11" width="11.5703125" style="121" customWidth="1"/>
    <col min="12" max="12" width="10.85546875" style="121" customWidth="1"/>
    <col min="13" max="16384" width="9.140625" style="121"/>
  </cols>
  <sheetData>
    <row r="1" spans="1:16">
      <c r="A1" s="371" t="s">
        <v>396</v>
      </c>
    </row>
    <row r="3" spans="1:16" ht="17.25" customHeight="1">
      <c r="C3" s="305" t="s">
        <v>56</v>
      </c>
      <c r="D3" s="1709" t="s">
        <v>57</v>
      </c>
      <c r="E3" s="1709"/>
      <c r="F3" s="372"/>
      <c r="G3" s="372"/>
      <c r="H3" s="372"/>
    </row>
    <row r="4" spans="1:16">
      <c r="C4" s="305"/>
      <c r="D4" s="372"/>
      <c r="E4" s="372"/>
      <c r="F4" s="372"/>
      <c r="G4" s="372"/>
      <c r="H4" s="372"/>
    </row>
    <row r="5" spans="1:16" ht="15.75" customHeight="1">
      <c r="C5" s="305"/>
      <c r="D5" s="372"/>
      <c r="E5" s="372"/>
      <c r="H5" s="1393"/>
      <c r="J5" s="305"/>
      <c r="K5" s="1393" t="s">
        <v>366</v>
      </c>
    </row>
    <row r="6" spans="1:16" ht="24" customHeight="1">
      <c r="C6" s="1710" t="s">
        <v>58</v>
      </c>
      <c r="D6" s="1710"/>
      <c r="E6" s="1710" t="s">
        <v>59</v>
      </c>
      <c r="F6" s="1394"/>
      <c r="G6" s="1394"/>
      <c r="H6" s="1706" t="s">
        <v>851</v>
      </c>
      <c r="I6" s="1707"/>
      <c r="J6" s="1707"/>
      <c r="K6" s="1707"/>
      <c r="L6" s="1708"/>
    </row>
    <row r="7" spans="1:16" ht="31.5" customHeight="1">
      <c r="C7" s="1710"/>
      <c r="D7" s="1710"/>
      <c r="E7" s="1710"/>
      <c r="F7" s="1077" t="s">
        <v>995</v>
      </c>
      <c r="G7" s="1077" t="str">
        <f>Notes!$C$5</f>
        <v>Base Year</v>
      </c>
      <c r="H7" s="389" t="str">
        <f>Notes!$C$6</f>
        <v>FY 2024-25</v>
      </c>
      <c r="I7" s="1395" t="str">
        <f>Notes!$C$7</f>
        <v>FY 2025-26</v>
      </c>
      <c r="J7" s="1395" t="str">
        <f>Notes!$C$8</f>
        <v>FY 2026-27</v>
      </c>
      <c r="K7" s="1395" t="str">
        <f>Notes!$C$9</f>
        <v>FY 2027-28</v>
      </c>
      <c r="L7" s="1395" t="str">
        <f>Notes!$C$10</f>
        <v>FY 2028-29</v>
      </c>
    </row>
    <row r="8" spans="1:16">
      <c r="C8" s="379"/>
      <c r="D8" s="379"/>
      <c r="E8" s="379"/>
      <c r="F8" s="379"/>
      <c r="G8" s="379"/>
      <c r="H8" s="1396"/>
      <c r="I8" s="1396"/>
      <c r="J8" s="1396"/>
      <c r="K8" s="1396"/>
      <c r="L8" s="379"/>
    </row>
    <row r="9" spans="1:16" s="304" customFormat="1" ht="21.75" customHeight="1">
      <c r="B9" s="304">
        <v>10011</v>
      </c>
      <c r="C9" s="379">
        <v>1</v>
      </c>
      <c r="D9" s="271" t="s">
        <v>64</v>
      </c>
      <c r="E9" s="1397" t="s">
        <v>65</v>
      </c>
      <c r="F9" s="1398">
        <v>893.34899999999993</v>
      </c>
      <c r="G9" s="1398">
        <f>'1.1|Trans Cost'!O38</f>
        <v>1163.9623439999998</v>
      </c>
      <c r="H9" s="1398">
        <f>G9*15%+G9</f>
        <v>1338.5566955999998</v>
      </c>
      <c r="I9" s="1398"/>
      <c r="J9" s="1398"/>
      <c r="K9" s="1398"/>
      <c r="L9" s="1398"/>
      <c r="P9" s="1399"/>
    </row>
    <row r="10" spans="1:16" s="304" customFormat="1" ht="21.75" customHeight="1">
      <c r="B10" s="304">
        <v>10012</v>
      </c>
      <c r="C10" s="379">
        <v>2</v>
      </c>
      <c r="D10" s="271" t="s">
        <v>67</v>
      </c>
      <c r="E10" s="1397" t="s">
        <v>68</v>
      </c>
      <c r="F10" s="1398">
        <v>13.995099999999999</v>
      </c>
      <c r="G10" s="1398">
        <f>'1.2|SLDC'!J20+'1.2|SLDC'!J22+'1.2|SLDC'!J25</f>
        <v>27.527827023</v>
      </c>
      <c r="H10" s="1398">
        <f>G10*15%+G10</f>
        <v>31.657001076450001</v>
      </c>
      <c r="I10" s="1398"/>
      <c r="J10" s="1398"/>
      <c r="K10" s="1398"/>
      <c r="L10" s="1398"/>
    </row>
    <row r="11" spans="1:16" s="304" customFormat="1" ht="21.75" customHeight="1">
      <c r="B11" s="304">
        <v>10013</v>
      </c>
      <c r="C11" s="379">
        <v>3</v>
      </c>
      <c r="D11" s="271" t="s">
        <v>70</v>
      </c>
      <c r="E11" s="1397" t="s">
        <v>71</v>
      </c>
      <c r="F11" s="1398">
        <f>1661.9-F20</f>
        <v>1254.0279</v>
      </c>
      <c r="G11" s="1398">
        <f>'1.3|Dist Cost'!L59</f>
        <v>3351.6604200000002</v>
      </c>
      <c r="H11" s="1398">
        <v>2862.7663370216578</v>
      </c>
      <c r="I11" s="1398"/>
      <c r="J11" s="1398"/>
      <c r="K11" s="1398"/>
      <c r="L11" s="1398"/>
      <c r="O11" s="1399"/>
    </row>
    <row r="12" spans="1:16" s="304" customFormat="1" ht="18.75" customHeight="1">
      <c r="B12" s="304">
        <v>10020</v>
      </c>
      <c r="C12" s="379">
        <v>4</v>
      </c>
      <c r="D12" s="1400" t="s">
        <v>408</v>
      </c>
      <c r="E12" s="379"/>
      <c r="F12" s="1401">
        <v>469.32589999999999</v>
      </c>
      <c r="G12" s="1401">
        <v>543.29999999999995</v>
      </c>
      <c r="H12" s="1402">
        <f>G12*1.15</f>
        <v>624.79499999999985</v>
      </c>
      <c r="I12" s="1402"/>
      <c r="J12" s="1403"/>
      <c r="K12" s="1404"/>
      <c r="L12" s="1405"/>
    </row>
    <row r="13" spans="1:16" s="304" customFormat="1" ht="18.75" customHeight="1">
      <c r="B13" s="304">
        <v>10021</v>
      </c>
      <c r="C13" s="379">
        <v>5</v>
      </c>
      <c r="D13" s="1400" t="s">
        <v>403</v>
      </c>
      <c r="E13" s="379"/>
      <c r="F13" s="1401">
        <v>16.717600000000001</v>
      </c>
      <c r="G13" s="1401">
        <v>1.1499999999999999</v>
      </c>
      <c r="H13" s="1402">
        <f>G13*1.15</f>
        <v>1.3224999999999998</v>
      </c>
      <c r="I13" s="1402"/>
      <c r="J13" s="1403"/>
      <c r="K13" s="1404"/>
      <c r="L13" s="1405"/>
    </row>
    <row r="14" spans="1:16" s="304" customFormat="1" ht="18" hidden="1" customHeight="1">
      <c r="C14" s="379"/>
      <c r="D14" s="379"/>
      <c r="E14" s="379"/>
      <c r="F14" s="1406"/>
      <c r="G14" s="1406"/>
      <c r="H14" s="1406"/>
      <c r="I14" s="1406"/>
      <c r="J14" s="1407"/>
      <c r="K14" s="1406"/>
      <c r="L14" s="1407"/>
    </row>
    <row r="15" spans="1:16" s="304" customFormat="1" ht="26.25" customHeight="1">
      <c r="B15" s="304">
        <v>10014</v>
      </c>
      <c r="C15" s="379">
        <v>6</v>
      </c>
      <c r="D15" s="716" t="s">
        <v>849</v>
      </c>
      <c r="E15" s="774"/>
      <c r="F15" s="1408">
        <f t="shared" ref="F15:H15" si="0">SUM(F9:F13)</f>
        <v>2647.4154999999996</v>
      </c>
      <c r="G15" s="1408">
        <f t="shared" si="0"/>
        <v>5087.6005910229997</v>
      </c>
      <c r="H15" s="1408">
        <f t="shared" si="0"/>
        <v>4859.0975336981082</v>
      </c>
      <c r="I15" s="1408"/>
      <c r="J15" s="1408"/>
      <c r="K15" s="1408"/>
      <c r="L15" s="1408"/>
    </row>
    <row r="16" spans="1:16" s="304" customFormat="1" ht="21.75" customHeight="1">
      <c r="B16" s="304">
        <v>10015</v>
      </c>
      <c r="C16" s="379">
        <v>7</v>
      </c>
      <c r="D16" s="271" t="s">
        <v>540</v>
      </c>
      <c r="E16" s="1397" t="s">
        <v>74</v>
      </c>
      <c r="F16" s="1398">
        <f>'1.4| PP Cost-Reg'!P226</f>
        <v>14903.290165947801</v>
      </c>
      <c r="G16" s="1398">
        <f>'1.4| PP Cost-Reg'!P295</f>
        <v>15707.039789265353</v>
      </c>
      <c r="H16" s="1398">
        <f>'1.4| PP Cost-Reg'!P360</f>
        <v>15464.216393672854</v>
      </c>
      <c r="I16" s="1398"/>
      <c r="J16" s="1398"/>
      <c r="K16" s="1409"/>
      <c r="L16" s="1398"/>
      <c r="N16" s="430"/>
    </row>
    <row r="17" spans="2:12" s="304" customFormat="1" ht="21.75" customHeight="1">
      <c r="B17" s="304">
        <v>10016</v>
      </c>
      <c r="C17" s="379">
        <v>8</v>
      </c>
      <c r="D17" s="271" t="s">
        <v>76</v>
      </c>
      <c r="E17" s="1397" t="s">
        <v>77</v>
      </c>
      <c r="F17" s="1398">
        <f>'1.5|Int CSD'!F14</f>
        <v>128.82511099999999</v>
      </c>
      <c r="G17" s="1398">
        <f>'1.5|Int CSD'!G14</f>
        <v>175.55109000000002</v>
      </c>
      <c r="H17" s="1398">
        <f>'1.5|Int CSD'!H14</f>
        <v>195.34359000000001</v>
      </c>
      <c r="I17" s="1398"/>
      <c r="J17" s="1398"/>
      <c r="K17" s="1398"/>
      <c r="L17" s="1398"/>
    </row>
    <row r="18" spans="2:12" s="304" customFormat="1" ht="21.75" customHeight="1">
      <c r="B18" s="304">
        <v>10017</v>
      </c>
      <c r="C18" s="379">
        <v>9</v>
      </c>
      <c r="D18" s="271" t="s">
        <v>79</v>
      </c>
      <c r="E18" s="1397" t="s">
        <v>80</v>
      </c>
      <c r="F18" s="1398">
        <f>'1.6|Supply Margin'!F8</f>
        <v>13.35</v>
      </c>
      <c r="G18" s="1398">
        <f>'1.6|Supply Margin'!G8</f>
        <v>26.48</v>
      </c>
      <c r="H18" s="1398">
        <f>'1.6|Supply Margin'!H8</f>
        <v>19.239999999999998</v>
      </c>
      <c r="I18" s="1398"/>
      <c r="J18" s="1398"/>
      <c r="K18" s="1398"/>
      <c r="L18" s="1398"/>
    </row>
    <row r="19" spans="2:12" s="304" customFormat="1" ht="21.75" customHeight="1">
      <c r="B19" s="304">
        <v>10018</v>
      </c>
      <c r="C19" s="379">
        <v>10</v>
      </c>
      <c r="D19" s="271" t="s">
        <v>82</v>
      </c>
      <c r="E19" s="1397" t="s">
        <v>83</v>
      </c>
      <c r="F19" s="1398">
        <f>'1.7|Other Costs'!F16</f>
        <v>48.674800000000005</v>
      </c>
      <c r="G19" s="1398">
        <f>'1.7|Other Costs'!G16</f>
        <v>40.65</v>
      </c>
      <c r="H19" s="1398">
        <f>'1.7|Other Costs'!H16</f>
        <v>90.240000000000009</v>
      </c>
      <c r="I19" s="1398"/>
      <c r="J19" s="1398"/>
      <c r="K19" s="1398"/>
      <c r="L19" s="1398"/>
    </row>
    <row r="20" spans="2:12" s="304" customFormat="1" ht="21.75" customHeight="1">
      <c r="C20" s="379">
        <v>11</v>
      </c>
      <c r="D20" s="1410" t="s">
        <v>1112</v>
      </c>
      <c r="E20" s="1397"/>
      <c r="F20" s="1402">
        <v>407.87209999999999</v>
      </c>
      <c r="G20" s="1402">
        <v>481.27089999999998</v>
      </c>
      <c r="H20" s="1402">
        <v>533.72601865928857</v>
      </c>
      <c r="I20" s="1402"/>
      <c r="J20" s="1403"/>
      <c r="K20" s="1402"/>
      <c r="L20" s="1403"/>
    </row>
    <row r="21" spans="2:12" s="304" customFormat="1" ht="16.5" hidden="1" customHeight="1">
      <c r="C21" s="379"/>
      <c r="D21" s="1410"/>
      <c r="E21" s="1397"/>
      <c r="F21" s="1402"/>
      <c r="G21" s="1402"/>
      <c r="H21" s="1402"/>
      <c r="I21" s="1402"/>
      <c r="J21" s="1403"/>
      <c r="K21" s="1402"/>
      <c r="L21" s="1403"/>
    </row>
    <row r="22" spans="2:12" s="304" customFormat="1" ht="21.75" customHeight="1">
      <c r="B22" s="304">
        <v>10019</v>
      </c>
      <c r="C22" s="379">
        <v>12</v>
      </c>
      <c r="D22" s="716" t="s">
        <v>972</v>
      </c>
      <c r="E22" s="774"/>
      <c r="F22" s="1411">
        <f>SUM(F16:F21)</f>
        <v>15502.012176947803</v>
      </c>
      <c r="G22" s="1411">
        <f t="shared" ref="G22:H22" si="1">SUM(G16:G21)</f>
        <v>16430.991779265354</v>
      </c>
      <c r="H22" s="1411">
        <f t="shared" si="1"/>
        <v>16302.766002332142</v>
      </c>
      <c r="I22" s="1411"/>
      <c r="J22" s="1411"/>
      <c r="K22" s="1411"/>
      <c r="L22" s="1411"/>
    </row>
    <row r="23" spans="2:12" s="304" customFormat="1" ht="10.5" hidden="1" customHeight="1">
      <c r="C23" s="379"/>
      <c r="D23" s="1412"/>
      <c r="E23" s="774"/>
      <c r="F23" s="1411"/>
      <c r="G23" s="1411"/>
      <c r="H23" s="1411"/>
      <c r="I23" s="1411"/>
      <c r="J23" s="1411"/>
      <c r="K23" s="1411"/>
      <c r="L23" s="1411"/>
    </row>
    <row r="24" spans="2:12" s="304" customFormat="1" ht="24" customHeight="1">
      <c r="B24" s="304">
        <v>10003</v>
      </c>
      <c r="C24" s="379">
        <v>13</v>
      </c>
      <c r="D24" s="716" t="s">
        <v>971</v>
      </c>
      <c r="E24" s="774"/>
      <c r="F24" s="1413">
        <f t="shared" ref="F24" si="2">F15+F22</f>
        <v>18149.427676947802</v>
      </c>
      <c r="G24" s="1413">
        <f t="shared" ref="G24:H24" si="3">G15+G22</f>
        <v>21518.592370288352</v>
      </c>
      <c r="H24" s="1413">
        <f t="shared" si="3"/>
        <v>21161.863536030251</v>
      </c>
      <c r="I24" s="1413"/>
      <c r="J24" s="1413"/>
      <c r="K24" s="1413"/>
      <c r="L24" s="1413"/>
    </row>
    <row r="25" spans="2:12" ht="17.25" customHeight="1"/>
    <row r="26" spans="2:12" ht="17.25" customHeight="1">
      <c r="C26" s="1414" t="s">
        <v>402</v>
      </c>
      <c r="D26" s="1415"/>
      <c r="E26" s="1415"/>
      <c r="F26" s="1415"/>
      <c r="G26" s="1415"/>
      <c r="H26" s="1415"/>
      <c r="I26" s="1415"/>
      <c r="J26" s="1415"/>
      <c r="K26" s="1415"/>
      <c r="L26" s="1416"/>
    </row>
    <row r="27" spans="2:12" ht="13.5" customHeight="1">
      <c r="C27" s="1140">
        <v>1</v>
      </c>
      <c r="D27" s="564" t="s">
        <v>440</v>
      </c>
      <c r="E27" s="535"/>
      <c r="F27" s="535"/>
      <c r="G27" s="535"/>
      <c r="H27" s="535"/>
      <c r="I27" s="535"/>
      <c r="J27" s="535"/>
      <c r="K27" s="535"/>
      <c r="L27" s="1255"/>
    </row>
    <row r="28" spans="2:12" ht="13.5" customHeight="1">
      <c r="C28" s="1141">
        <v>2</v>
      </c>
      <c r="D28" s="1142" t="s">
        <v>1132</v>
      </c>
      <c r="E28" s="536"/>
      <c r="F28" s="536"/>
      <c r="G28" s="536"/>
      <c r="H28" s="536"/>
      <c r="I28" s="536"/>
      <c r="J28" s="536"/>
      <c r="K28" s="536"/>
      <c r="L28" s="1256"/>
    </row>
    <row r="29" spans="2:12" ht="13.5" customHeight="1">
      <c r="C29" s="1141">
        <v>3</v>
      </c>
      <c r="D29" s="1142" t="s">
        <v>1133</v>
      </c>
      <c r="E29" s="536"/>
      <c r="F29" s="536"/>
      <c r="G29" s="536"/>
      <c r="H29" s="536"/>
      <c r="I29" s="536"/>
      <c r="J29" s="536"/>
      <c r="K29" s="536"/>
      <c r="L29" s="1256"/>
    </row>
    <row r="30" spans="2:12" ht="13.5" customHeight="1">
      <c r="C30" s="1141">
        <v>4</v>
      </c>
      <c r="D30" s="1142" t="s">
        <v>1134</v>
      </c>
      <c r="E30" s="536"/>
      <c r="F30" s="536"/>
      <c r="G30" s="536"/>
      <c r="H30" s="536"/>
      <c r="I30" s="536"/>
      <c r="J30" s="536"/>
      <c r="K30" s="536"/>
      <c r="L30" s="1256"/>
    </row>
    <row r="31" spans="2:12" ht="13.5" customHeight="1">
      <c r="C31" s="1143">
        <v>5</v>
      </c>
      <c r="D31" s="566" t="s">
        <v>541</v>
      </c>
      <c r="E31" s="540"/>
      <c r="F31" s="540"/>
      <c r="G31" s="540"/>
      <c r="H31" s="540"/>
      <c r="I31" s="540"/>
      <c r="J31" s="540"/>
      <c r="K31" s="540"/>
      <c r="L31" s="1417"/>
    </row>
    <row r="36" spans="7:12" ht="41.25" customHeight="1">
      <c r="G36" s="1062"/>
    </row>
    <row r="37" spans="7:12">
      <c r="I37" s="1418"/>
    </row>
    <row r="39" spans="7:12">
      <c r="L39" s="1418"/>
    </row>
  </sheetData>
  <mergeCells count="4">
    <mergeCell ref="H6:L6"/>
    <mergeCell ref="D3:E3"/>
    <mergeCell ref="C6:D7"/>
    <mergeCell ref="E6:E7"/>
  </mergeCells>
  <phoneticPr fontId="11" type="noConversion"/>
  <dataValidations count="1">
    <dataValidation type="decimal" allowBlank="1" showInputMessage="1" showErrorMessage="1" sqref="H12:L14">
      <formula1>-9.99999999999999E+30</formula1>
      <formula2>9.99999999999999E+33</formula2>
    </dataValidation>
  </dataValidations>
  <hyperlinks>
    <hyperlink ref="A1" location="Index!A1" display="Index sheet"/>
    <hyperlink ref="E9" location="'1.1|Trans Cost'!Print_Area" display="Form 1.1"/>
    <hyperlink ref="E10" location="'1.2|SLDC'!Print_Area" display="Form 1.2"/>
    <hyperlink ref="E11" location="'1.3|Dist Cost'!Print_Area" display="Form 1.3"/>
    <hyperlink ref="E16" location="'1.4| PP Cost-Reg'!A1" display="Form 1.4"/>
    <hyperlink ref="E17" location="'1.5|Int CSD'!A1" display="Form 1.5"/>
    <hyperlink ref="E18" location="'1.6|Supply Margin'!A1" display="Form 1.6"/>
    <hyperlink ref="E19" location="'1.7|Other Costs'!A1" display="Form 1.7"/>
  </hyperlinks>
  <printOptions horizontalCentered="1" verticalCentered="1"/>
  <pageMargins left="0.51181102362204722" right="0.51181102362204722" top="0.51181102362204722" bottom="0.51181102362204722" header="0.23622047244094491" footer="0.23622047244094491"/>
  <pageSetup paperSize="9" scale="105" orientation="landscape" blackAndWhite="1" r:id="rId1"/>
  <headerFooter alignWithMargins="0"/>
</worksheet>
</file>

<file path=xl/worksheets/sheet4.xml><?xml version="1.0" encoding="utf-8"?>
<worksheet xmlns="http://schemas.openxmlformats.org/spreadsheetml/2006/main" xmlns:r="http://schemas.openxmlformats.org/officeDocument/2006/relationships">
  <sheetPr codeName="Sheet4">
    <pageSetUpPr fitToPage="1"/>
  </sheetPr>
  <dimension ref="A1:Z88"/>
  <sheetViews>
    <sheetView view="pageBreakPreview" topLeftCell="A59" zoomScaleSheetLayoutView="100" workbookViewId="0">
      <selection activeCell="O86" sqref="O86"/>
    </sheetView>
  </sheetViews>
  <sheetFormatPr defaultRowHeight="12"/>
  <cols>
    <col min="1" max="1" width="9.140625" style="106"/>
    <col min="2" max="2" width="4.28515625" style="106" hidden="1" customWidth="1"/>
    <col min="3" max="3" width="33.42578125" style="106" customWidth="1"/>
    <col min="4" max="4" width="7.5703125" style="1144" bestFit="1" customWidth="1"/>
    <col min="5" max="5" width="11.7109375" style="1144" customWidth="1"/>
    <col min="6" max="6" width="8.28515625" style="1144" bestFit="1" customWidth="1"/>
    <col min="7" max="7" width="10.28515625" style="1144" customWidth="1"/>
    <col min="8" max="8" width="10.140625" style="1144" customWidth="1"/>
    <col min="9" max="9" width="8.28515625" style="1144" bestFit="1" customWidth="1"/>
    <col min="10" max="10" width="6.85546875" style="1144" customWidth="1"/>
    <col min="11" max="11" width="11.7109375" style="1145" customWidth="1"/>
    <col min="12" max="12" width="8.28515625" style="1144" bestFit="1" customWidth="1"/>
    <col min="13" max="13" width="9.5703125" style="1144" customWidth="1"/>
    <col min="14" max="14" width="13.140625" style="1144" customWidth="1"/>
    <col min="15" max="15" width="8.28515625" style="1144" bestFit="1" customWidth="1"/>
    <col min="16" max="16" width="11.7109375" style="1146" bestFit="1" customWidth="1"/>
    <col min="17" max="16384" width="9.140625" style="106"/>
  </cols>
  <sheetData>
    <row r="1" spans="1:26">
      <c r="A1" s="1040" t="s">
        <v>396</v>
      </c>
    </row>
    <row r="3" spans="1:26">
      <c r="C3" s="105" t="s">
        <v>65</v>
      </c>
      <c r="D3" s="1747" t="s">
        <v>64</v>
      </c>
      <c r="E3" s="1747"/>
    </row>
    <row r="4" spans="1:26">
      <c r="C4" s="105"/>
      <c r="D4" s="1073"/>
      <c r="E4" s="1073"/>
    </row>
    <row r="5" spans="1:26" s="1147" customFormat="1" ht="34.5" customHeight="1">
      <c r="C5" s="1748" t="s">
        <v>542</v>
      </c>
      <c r="D5" s="1749"/>
      <c r="E5" s="1749"/>
      <c r="F5" s="1749"/>
      <c r="G5" s="1749"/>
      <c r="H5" s="1749"/>
      <c r="I5" s="1749"/>
      <c r="J5" s="1749"/>
      <c r="K5" s="1750"/>
      <c r="L5" s="1148"/>
      <c r="M5" s="1148"/>
      <c r="N5" s="1148"/>
      <c r="O5" s="1148"/>
      <c r="P5" s="1149"/>
    </row>
    <row r="6" spans="1:26" s="1147" customFormat="1" ht="41.25" customHeight="1">
      <c r="C6" s="1751" t="s">
        <v>530</v>
      </c>
      <c r="D6" s="1752"/>
      <c r="E6" s="1752"/>
      <c r="F6" s="1752"/>
      <c r="G6" s="1752"/>
      <c r="H6" s="1752"/>
      <c r="I6" s="1150"/>
      <c r="J6" s="1150"/>
      <c r="K6" s="1151"/>
      <c r="L6" s="1148"/>
      <c r="M6" s="1148"/>
      <c r="N6" s="1148"/>
      <c r="O6" s="1148"/>
      <c r="P6" s="1149"/>
    </row>
    <row r="7" spans="1:26" hidden="1">
      <c r="C7" s="1152" t="s">
        <v>645</v>
      </c>
    </row>
    <row r="8" spans="1:26" ht="6.75" hidden="1" customHeight="1">
      <c r="C8" s="1754" t="s">
        <v>413</v>
      </c>
      <c r="D8" s="1754"/>
      <c r="E8" s="1754"/>
      <c r="F8" s="1754"/>
      <c r="G8" s="1754"/>
      <c r="H8" s="1754"/>
      <c r="I8" s="1754"/>
      <c r="J8" s="1754"/>
      <c r="K8" s="1754"/>
      <c r="L8" s="1754"/>
      <c r="M8" s="1754"/>
      <c r="N8" s="1754"/>
      <c r="O8" s="1754"/>
      <c r="P8" s="1153"/>
    </row>
    <row r="9" spans="1:26" ht="12.75" hidden="1" thickBot="1">
      <c r="C9" s="1754"/>
      <c r="D9" s="1754"/>
      <c r="E9" s="1754"/>
      <c r="F9" s="1754"/>
      <c r="G9" s="1754"/>
      <c r="H9" s="1754"/>
      <c r="I9" s="1754"/>
      <c r="J9" s="1754"/>
      <c r="K9" s="1754"/>
      <c r="L9" s="1754"/>
      <c r="M9" s="1754"/>
      <c r="N9" s="1754"/>
      <c r="O9" s="1754"/>
      <c r="P9" s="1153"/>
    </row>
    <row r="10" spans="1:26" s="1154" customFormat="1" ht="14.25" hidden="1" customHeight="1">
      <c r="C10" s="1731" t="s">
        <v>405</v>
      </c>
      <c r="D10" s="1717" t="s">
        <v>502</v>
      </c>
      <c r="E10" s="1718"/>
      <c r="F10" s="1719"/>
      <c r="G10" s="1728" t="s">
        <v>404</v>
      </c>
      <c r="H10" s="1729"/>
      <c r="I10" s="1729"/>
      <c r="J10" s="1729"/>
      <c r="K10" s="1729"/>
      <c r="L10" s="1729"/>
      <c r="M10" s="1729"/>
      <c r="N10" s="1729"/>
      <c r="O10" s="1730"/>
      <c r="P10" s="1711" t="s">
        <v>365</v>
      </c>
    </row>
    <row r="11" spans="1:26" s="1154" customFormat="1" ht="15" hidden="1" customHeight="1">
      <c r="C11" s="1732"/>
      <c r="D11" s="1720"/>
      <c r="E11" s="1721"/>
      <c r="F11" s="1722"/>
      <c r="G11" s="1714" t="s">
        <v>503</v>
      </c>
      <c r="H11" s="1714"/>
      <c r="I11" s="1714"/>
      <c r="J11" s="1714" t="s">
        <v>409</v>
      </c>
      <c r="K11" s="1714"/>
      <c r="L11" s="1714"/>
      <c r="M11" s="1714" t="s">
        <v>410</v>
      </c>
      <c r="N11" s="1714"/>
      <c r="O11" s="1715"/>
      <c r="P11" s="1712"/>
    </row>
    <row r="12" spans="1:26" s="1154" customFormat="1" ht="36" hidden="1">
      <c r="C12" s="1733"/>
      <c r="D12" s="1155" t="s">
        <v>89</v>
      </c>
      <c r="E12" s="1155" t="s">
        <v>578</v>
      </c>
      <c r="F12" s="1155" t="s">
        <v>383</v>
      </c>
      <c r="G12" s="1155" t="s">
        <v>89</v>
      </c>
      <c r="H12" s="1155" t="s">
        <v>578</v>
      </c>
      <c r="I12" s="1155" t="s">
        <v>383</v>
      </c>
      <c r="J12" s="1155" t="s">
        <v>89</v>
      </c>
      <c r="K12" s="1155" t="s">
        <v>578</v>
      </c>
      <c r="L12" s="1155" t="s">
        <v>383</v>
      </c>
      <c r="M12" s="1155" t="s">
        <v>89</v>
      </c>
      <c r="N12" s="1155" t="s">
        <v>578</v>
      </c>
      <c r="O12" s="1156" t="s">
        <v>383</v>
      </c>
      <c r="P12" s="1713"/>
    </row>
    <row r="13" spans="1:26" ht="20.25" hidden="1" customHeight="1">
      <c r="B13" s="106">
        <v>1005</v>
      </c>
      <c r="C13" s="1157" t="s">
        <v>446</v>
      </c>
      <c r="D13" s="1158">
        <f>4755-G13</f>
        <v>3866.3989999999999</v>
      </c>
      <c r="E13" s="1159">
        <v>173.79</v>
      </c>
      <c r="F13" s="1159">
        <f>D13*1000*E13*12/10^7</f>
        <v>806.32977865199985</v>
      </c>
      <c r="G13" s="1158">
        <v>888.601</v>
      </c>
      <c r="H13" s="1159">
        <v>173.79</v>
      </c>
      <c r="I13" s="1159">
        <f>G13*1000*H13*12/10^7</f>
        <v>185.315961348</v>
      </c>
      <c r="J13" s="1159"/>
      <c r="K13" s="1159"/>
      <c r="L13" s="1159"/>
      <c r="M13" s="1159"/>
      <c r="N13" s="1159"/>
      <c r="O13" s="1160">
        <f>F13+I13</f>
        <v>991.64573999999982</v>
      </c>
      <c r="P13" s="1161"/>
      <c r="Z13" s="106" t="s">
        <v>484</v>
      </c>
    </row>
    <row r="14" spans="1:26" ht="25.5" hidden="1" customHeight="1">
      <c r="C14" s="1162" t="s">
        <v>647</v>
      </c>
      <c r="D14" s="1159"/>
      <c r="E14" s="1159"/>
      <c r="F14" s="1159"/>
      <c r="G14" s="1159"/>
      <c r="H14" s="1159"/>
      <c r="I14" s="1159"/>
      <c r="J14" s="1159"/>
      <c r="K14" s="1159"/>
      <c r="L14" s="1159"/>
      <c r="M14" s="1159"/>
      <c r="N14" s="1159"/>
      <c r="O14" s="1160"/>
      <c r="P14" s="1161"/>
      <c r="Z14" s="106" t="s">
        <v>484</v>
      </c>
    </row>
    <row r="15" spans="1:26" ht="17.25" hidden="1" customHeight="1">
      <c r="C15" s="1162" t="s">
        <v>830</v>
      </c>
      <c r="D15" s="1159"/>
      <c r="E15" s="1159"/>
      <c r="F15" s="1159"/>
      <c r="G15" s="1159"/>
      <c r="H15" s="1159"/>
      <c r="I15" s="1159"/>
      <c r="J15" s="1159"/>
      <c r="K15" s="1159"/>
      <c r="L15" s="1159"/>
      <c r="M15" s="1159"/>
      <c r="N15" s="1159"/>
      <c r="O15" s="1160">
        <v>-98.2967399999999</v>
      </c>
      <c r="P15" s="1161"/>
      <c r="Z15" s="106" t="s">
        <v>484</v>
      </c>
    </row>
    <row r="16" spans="1:26" hidden="1">
      <c r="C16" s="1162"/>
      <c r="D16" s="1159"/>
      <c r="E16" s="1159"/>
      <c r="F16" s="1159"/>
      <c r="G16" s="1159"/>
      <c r="H16" s="1159"/>
      <c r="I16" s="1159"/>
      <c r="J16" s="1159"/>
      <c r="K16" s="1159"/>
      <c r="L16" s="1159"/>
      <c r="M16" s="1159"/>
      <c r="N16" s="1159"/>
      <c r="O16" s="1160"/>
      <c r="P16" s="1163"/>
      <c r="Z16" s="106" t="s">
        <v>484</v>
      </c>
    </row>
    <row r="17" spans="2:26" ht="12.75" hidden="1" thickBot="1">
      <c r="C17" s="1164" t="s">
        <v>98</v>
      </c>
      <c r="D17" s="1165">
        <f>SUM(D13:D16)</f>
        <v>3866.3989999999999</v>
      </c>
      <c r="E17" s="1165"/>
      <c r="F17" s="1165">
        <f>SUM(F13:F16)</f>
        <v>806.32977865199985</v>
      </c>
      <c r="G17" s="1165">
        <f>SUM(G13:G16)</f>
        <v>888.601</v>
      </c>
      <c r="H17" s="1165"/>
      <c r="I17" s="1165">
        <f>SUM(I13:I16)</f>
        <v>185.315961348</v>
      </c>
      <c r="J17" s="1165">
        <f>SUM(J13:J16)</f>
        <v>0</v>
      </c>
      <c r="K17" s="1165"/>
      <c r="L17" s="1165">
        <f>SUM(L13:L16)</f>
        <v>0</v>
      </c>
      <c r="M17" s="1165">
        <f>SUM(M13:M16)</f>
        <v>0</v>
      </c>
      <c r="N17" s="1165"/>
      <c r="O17" s="1166">
        <f>SUM(O13:O16)</f>
        <v>893.34899999999993</v>
      </c>
      <c r="P17" s="1163"/>
    </row>
    <row r="18" spans="2:26" ht="12.75" hidden="1" customHeight="1" thickBot="1">
      <c r="C18" s="1716" t="s">
        <v>414</v>
      </c>
      <c r="D18" s="1716"/>
      <c r="E18" s="1716"/>
      <c r="F18" s="1716"/>
      <c r="G18" s="1167"/>
      <c r="H18" s="1167"/>
      <c r="I18" s="1167"/>
      <c r="J18" s="1167"/>
      <c r="K18" s="1167"/>
      <c r="L18" s="1167"/>
      <c r="M18" s="1167"/>
      <c r="N18" s="1167"/>
      <c r="O18" s="1167"/>
      <c r="P18" s="1153"/>
    </row>
    <row r="19" spans="2:26" s="1168" customFormat="1" ht="15" hidden="1" customHeight="1">
      <c r="C19" s="1731" t="s">
        <v>405</v>
      </c>
      <c r="D19" s="1717" t="s">
        <v>502</v>
      </c>
      <c r="E19" s="1718"/>
      <c r="F19" s="1719"/>
      <c r="G19" s="1728" t="s">
        <v>404</v>
      </c>
      <c r="H19" s="1729"/>
      <c r="I19" s="1729"/>
      <c r="J19" s="1729"/>
      <c r="K19" s="1729"/>
      <c r="L19" s="1729"/>
      <c r="M19" s="1729"/>
      <c r="N19" s="1729"/>
      <c r="O19" s="1730"/>
      <c r="P19" s="1711" t="s">
        <v>365</v>
      </c>
    </row>
    <row r="20" spans="2:26" s="1168" customFormat="1" hidden="1">
      <c r="C20" s="1732"/>
      <c r="D20" s="1720"/>
      <c r="E20" s="1721"/>
      <c r="F20" s="1722"/>
      <c r="G20" s="1714" t="s">
        <v>503</v>
      </c>
      <c r="H20" s="1714"/>
      <c r="I20" s="1714"/>
      <c r="J20" s="1714" t="s">
        <v>409</v>
      </c>
      <c r="K20" s="1714"/>
      <c r="L20" s="1714"/>
      <c r="M20" s="1714" t="s">
        <v>410</v>
      </c>
      <c r="N20" s="1714"/>
      <c r="O20" s="1715"/>
      <c r="P20" s="1712"/>
    </row>
    <row r="21" spans="2:26" s="1168" customFormat="1" ht="36" hidden="1">
      <c r="C21" s="1733"/>
      <c r="D21" s="1155" t="s">
        <v>89</v>
      </c>
      <c r="E21" s="1155" t="s">
        <v>578</v>
      </c>
      <c r="F21" s="1155" t="s">
        <v>383</v>
      </c>
      <c r="G21" s="1155" t="s">
        <v>89</v>
      </c>
      <c r="H21" s="1155" t="s">
        <v>578</v>
      </c>
      <c r="I21" s="1155" t="s">
        <v>383</v>
      </c>
      <c r="J21" s="1155" t="s">
        <v>89</v>
      </c>
      <c r="K21" s="1155" t="s">
        <v>578</v>
      </c>
      <c r="L21" s="1155" t="s">
        <v>383</v>
      </c>
      <c r="M21" s="1155" t="s">
        <v>89</v>
      </c>
      <c r="N21" s="1155" t="s">
        <v>578</v>
      </c>
      <c r="O21" s="1156" t="s">
        <v>383</v>
      </c>
      <c r="P21" s="1713"/>
    </row>
    <row r="22" spans="2:26" ht="12.75" hidden="1" customHeight="1">
      <c r="B22" s="106">
        <v>1005</v>
      </c>
      <c r="C22" s="1169" t="s">
        <v>446</v>
      </c>
      <c r="D22" s="1170"/>
      <c r="E22" s="1170"/>
      <c r="F22" s="1170"/>
      <c r="G22" s="1170"/>
      <c r="H22" s="1170"/>
      <c r="I22" s="1170"/>
      <c r="J22" s="1170"/>
      <c r="K22" s="1170"/>
      <c r="L22" s="1170"/>
      <c r="M22" s="1170"/>
      <c r="N22" s="1170"/>
      <c r="O22" s="1171"/>
      <c r="P22" s="1161"/>
      <c r="Z22" s="106" t="s">
        <v>483</v>
      </c>
    </row>
    <row r="23" spans="2:26" hidden="1">
      <c r="C23" s="1162"/>
      <c r="D23" s="1159"/>
      <c r="E23" s="1159"/>
      <c r="F23" s="1159"/>
      <c r="G23" s="1159"/>
      <c r="H23" s="1159"/>
      <c r="I23" s="1159"/>
      <c r="J23" s="1159"/>
      <c r="K23" s="1159"/>
      <c r="L23" s="1159"/>
      <c r="M23" s="1159"/>
      <c r="N23" s="1159"/>
      <c r="O23" s="1160"/>
      <c r="P23" s="1163"/>
      <c r="Z23" s="106" t="s">
        <v>483</v>
      </c>
    </row>
    <row r="24" spans="2:26" hidden="1">
      <c r="C24" s="1172" t="s">
        <v>98</v>
      </c>
      <c r="D24" s="1173">
        <f>SUM(D22:D23)</f>
        <v>0</v>
      </c>
      <c r="E24" s="1173"/>
      <c r="F24" s="1173">
        <f>SUM(F22:F23)</f>
        <v>0</v>
      </c>
      <c r="G24" s="1173">
        <f>SUM(G22:G23)</f>
        <v>0</v>
      </c>
      <c r="H24" s="1173"/>
      <c r="I24" s="1173">
        <f>SUM(I22:I23)</f>
        <v>0</v>
      </c>
      <c r="J24" s="1173">
        <f>SUM(J22:J23)</f>
        <v>0</v>
      </c>
      <c r="K24" s="1173"/>
      <c r="L24" s="1173">
        <f>SUM(L22:L23)</f>
        <v>0</v>
      </c>
      <c r="M24" s="1173">
        <f>SUM(M22:M23)</f>
        <v>0</v>
      </c>
      <c r="N24" s="1173"/>
      <c r="O24" s="1174">
        <f>SUM(O22:O23)</f>
        <v>0</v>
      </c>
      <c r="P24" s="1163"/>
    </row>
    <row r="25" spans="2:26" hidden="1">
      <c r="C25" s="1175"/>
      <c r="D25" s="1176"/>
      <c r="E25" s="1176"/>
      <c r="F25" s="1176"/>
      <c r="G25" s="1176"/>
      <c r="H25" s="1176"/>
      <c r="I25" s="1176"/>
      <c r="J25" s="1176"/>
      <c r="K25" s="1177"/>
      <c r="L25" s="1176"/>
      <c r="M25" s="1176"/>
      <c r="N25" s="1176"/>
      <c r="O25" s="1178"/>
      <c r="P25" s="1179"/>
    </row>
    <row r="26" spans="2:26" ht="24.75" hidden="1" thickBot="1">
      <c r="C26" s="1180" t="s">
        <v>449</v>
      </c>
      <c r="D26" s="1181">
        <f>SUM(D17,D24)</f>
        <v>3866.3989999999999</v>
      </c>
      <c r="E26" s="1181"/>
      <c r="F26" s="1181">
        <f>SUM(F17,F24)</f>
        <v>806.32977865199985</v>
      </c>
      <c r="G26" s="1181">
        <f>SUM(G17,G24)</f>
        <v>888.601</v>
      </c>
      <c r="H26" s="1181"/>
      <c r="I26" s="1181">
        <f>SUM(I17,I24)</f>
        <v>185.315961348</v>
      </c>
      <c r="J26" s="1181">
        <f>SUM(J17,J24)</f>
        <v>0</v>
      </c>
      <c r="K26" s="1181"/>
      <c r="L26" s="1181">
        <f>SUM(L17,L24)</f>
        <v>0</v>
      </c>
      <c r="M26" s="1181">
        <f>SUM(M17,M24)</f>
        <v>0</v>
      </c>
      <c r="N26" s="1181"/>
      <c r="O26" s="1182">
        <f>SUM(O17,O24)</f>
        <v>893.34899999999993</v>
      </c>
      <c r="P26" s="1161"/>
    </row>
    <row r="27" spans="2:26" s="1147" customFormat="1" ht="14.25" customHeight="1">
      <c r="C27" s="1183"/>
      <c r="D27" s="1183"/>
      <c r="E27" s="1183"/>
      <c r="F27" s="1183"/>
      <c r="G27" s="1183"/>
      <c r="H27" s="1183"/>
      <c r="I27" s="1183"/>
      <c r="J27" s="1183"/>
      <c r="K27" s="1183"/>
      <c r="L27" s="1183"/>
      <c r="M27" s="1183"/>
      <c r="N27" s="1183"/>
      <c r="O27" s="1183"/>
      <c r="P27" s="1149"/>
    </row>
    <row r="28" spans="2:26">
      <c r="B28" s="92"/>
      <c r="C28" s="303" t="str">
        <f>Notes!$C$5</f>
        <v>Base Year</v>
      </c>
      <c r="D28" s="104"/>
      <c r="E28" s="104"/>
      <c r="F28" s="104"/>
      <c r="G28" s="104"/>
      <c r="H28" s="104"/>
      <c r="I28" s="104"/>
      <c r="J28" s="104"/>
      <c r="K28" s="975"/>
      <c r="L28" s="104"/>
      <c r="M28" s="104"/>
      <c r="N28" s="104"/>
      <c r="O28" s="104"/>
      <c r="P28" s="976"/>
    </row>
    <row r="29" spans="2:26" ht="9.75" customHeight="1">
      <c r="B29" s="92"/>
      <c r="C29" s="1753" t="s">
        <v>413</v>
      </c>
      <c r="D29" s="1753"/>
      <c r="E29" s="1753"/>
      <c r="F29" s="1753"/>
      <c r="G29" s="1753"/>
      <c r="H29" s="1753"/>
      <c r="I29" s="1753"/>
      <c r="J29" s="1753"/>
      <c r="K29" s="1753"/>
      <c r="L29" s="1753"/>
      <c r="M29" s="1753"/>
      <c r="N29" s="1753"/>
      <c r="O29" s="1753"/>
      <c r="P29" s="977"/>
    </row>
    <row r="30" spans="2:26" ht="9.75" customHeight="1" thickBot="1">
      <c r="B30" s="92"/>
      <c r="C30" s="1753"/>
      <c r="D30" s="1753"/>
      <c r="E30" s="1753"/>
      <c r="F30" s="1753"/>
      <c r="G30" s="1753"/>
      <c r="H30" s="1753"/>
      <c r="I30" s="1753"/>
      <c r="J30" s="1753"/>
      <c r="K30" s="1753"/>
      <c r="L30" s="1753"/>
      <c r="M30" s="1753"/>
      <c r="N30" s="1753"/>
      <c r="O30" s="1753"/>
      <c r="P30" s="977"/>
    </row>
    <row r="31" spans="2:26" s="1154" customFormat="1" ht="15" customHeight="1">
      <c r="B31" s="588"/>
      <c r="C31" s="1735" t="s">
        <v>405</v>
      </c>
      <c r="D31" s="1738" t="s">
        <v>502</v>
      </c>
      <c r="E31" s="1739"/>
      <c r="F31" s="1740"/>
      <c r="G31" s="1744" t="s">
        <v>404</v>
      </c>
      <c r="H31" s="1745"/>
      <c r="I31" s="1745"/>
      <c r="J31" s="1745"/>
      <c r="K31" s="1745"/>
      <c r="L31" s="1745"/>
      <c r="M31" s="1745"/>
      <c r="N31" s="1745"/>
      <c r="O31" s="1746"/>
      <c r="P31" s="1723" t="s">
        <v>365</v>
      </c>
    </row>
    <row r="32" spans="2:26" s="1154" customFormat="1">
      <c r="B32" s="588"/>
      <c r="C32" s="1736"/>
      <c r="D32" s="1741"/>
      <c r="E32" s="1742"/>
      <c r="F32" s="1743"/>
      <c r="G32" s="1726" t="s">
        <v>503</v>
      </c>
      <c r="H32" s="1726"/>
      <c r="I32" s="1726"/>
      <c r="J32" s="1726" t="s">
        <v>409</v>
      </c>
      <c r="K32" s="1726"/>
      <c r="L32" s="1726"/>
      <c r="M32" s="1726" t="s">
        <v>410</v>
      </c>
      <c r="N32" s="1726"/>
      <c r="O32" s="1727"/>
      <c r="P32" s="1724"/>
    </row>
    <row r="33" spans="2:26" s="1154" customFormat="1" ht="31.5">
      <c r="B33" s="588"/>
      <c r="C33" s="1737"/>
      <c r="D33" s="939" t="s">
        <v>89</v>
      </c>
      <c r="E33" s="939" t="s">
        <v>578</v>
      </c>
      <c r="F33" s="939" t="s">
        <v>383</v>
      </c>
      <c r="G33" s="939" t="s">
        <v>89</v>
      </c>
      <c r="H33" s="939" t="s">
        <v>578</v>
      </c>
      <c r="I33" s="939" t="s">
        <v>383</v>
      </c>
      <c r="J33" s="939" t="s">
        <v>89</v>
      </c>
      <c r="K33" s="939" t="s">
        <v>578</v>
      </c>
      <c r="L33" s="939" t="s">
        <v>383</v>
      </c>
      <c r="M33" s="939" t="s">
        <v>89</v>
      </c>
      <c r="N33" s="939" t="s">
        <v>578</v>
      </c>
      <c r="O33" s="978" t="s">
        <v>383</v>
      </c>
      <c r="P33" s="1725"/>
    </row>
    <row r="34" spans="2:26" ht="18.75" customHeight="1">
      <c r="B34" s="92">
        <v>1005</v>
      </c>
      <c r="C34" s="979" t="s">
        <v>446</v>
      </c>
      <c r="D34" s="22">
        <f>5149-G34</f>
        <v>4171.5388999999996</v>
      </c>
      <c r="E34" s="22">
        <v>188.38</v>
      </c>
      <c r="F34" s="923">
        <f>D34*1000*E34*12/10^7</f>
        <v>943.00139757839986</v>
      </c>
      <c r="G34" s="22">
        <f>G13*1.1</f>
        <v>977.4611000000001</v>
      </c>
      <c r="H34" s="22">
        <f>E34</f>
        <v>188.38</v>
      </c>
      <c r="I34" s="923">
        <f>G34*1000*H34*12/10^7</f>
        <v>220.9609464216</v>
      </c>
      <c r="J34" s="923"/>
      <c r="K34" s="923"/>
      <c r="L34" s="923"/>
      <c r="M34" s="923"/>
      <c r="N34" s="923"/>
      <c r="O34" s="981">
        <f>F34+I34</f>
        <v>1163.9623439999998</v>
      </c>
      <c r="P34" s="982"/>
      <c r="Z34" s="106" t="s">
        <v>484</v>
      </c>
    </row>
    <row r="35" spans="2:26">
      <c r="B35" s="92"/>
      <c r="C35" s="983"/>
      <c r="D35" s="923"/>
      <c r="E35" s="923"/>
      <c r="F35" s="923"/>
      <c r="G35" s="923"/>
      <c r="H35" s="923"/>
      <c r="I35" s="923"/>
      <c r="J35" s="923"/>
      <c r="K35" s="923"/>
      <c r="L35" s="923"/>
      <c r="M35" s="923"/>
      <c r="N35" s="923"/>
      <c r="O35" s="981"/>
      <c r="P35" s="982"/>
      <c r="Z35" s="106" t="s">
        <v>484</v>
      </c>
    </row>
    <row r="36" spans="2:26" ht="16.5" customHeight="1">
      <c r="B36" s="92"/>
      <c r="C36" s="983"/>
      <c r="D36" s="923"/>
      <c r="E36" s="923"/>
      <c r="F36" s="923"/>
      <c r="G36" s="923"/>
      <c r="H36" s="923"/>
      <c r="I36" s="923"/>
      <c r="J36" s="923"/>
      <c r="K36" s="923"/>
      <c r="L36" s="923"/>
      <c r="M36" s="923"/>
      <c r="N36" s="923"/>
      <c r="O36" s="981"/>
      <c r="P36" s="982"/>
      <c r="Z36" s="106" t="s">
        <v>484</v>
      </c>
    </row>
    <row r="37" spans="2:26">
      <c r="C37" s="1162"/>
      <c r="D37" s="1159"/>
      <c r="E37" s="1159"/>
      <c r="F37" s="1159"/>
      <c r="G37" s="1159"/>
      <c r="H37" s="1159"/>
      <c r="I37" s="1159"/>
      <c r="J37" s="1159"/>
      <c r="K37" s="1159"/>
      <c r="L37" s="1159"/>
      <c r="M37" s="1159"/>
      <c r="N37" s="1159"/>
      <c r="O37" s="1160"/>
      <c r="P37" s="1163"/>
      <c r="Z37" s="106" t="s">
        <v>484</v>
      </c>
    </row>
    <row r="38" spans="2:26" ht="12.75" thickBot="1">
      <c r="C38" s="1164" t="s">
        <v>98</v>
      </c>
      <c r="D38" s="1165">
        <f>SUM(D34:D37)</f>
        <v>4171.5388999999996</v>
      </c>
      <c r="E38" s="1165">
        <f>E34</f>
        <v>188.38</v>
      </c>
      <c r="F38" s="1165">
        <f>SUM(F34:F37)</f>
        <v>943.00139757839986</v>
      </c>
      <c r="G38" s="1165">
        <f>SUM(G34:G37)</f>
        <v>977.4611000000001</v>
      </c>
      <c r="H38" s="1165">
        <f>H34</f>
        <v>188.38</v>
      </c>
      <c r="I38" s="1165">
        <f>SUM(I34:I37)</f>
        <v>220.9609464216</v>
      </c>
      <c r="J38" s="1165">
        <f>SUM(J34:J37)</f>
        <v>0</v>
      </c>
      <c r="K38" s="1165"/>
      <c r="L38" s="1165">
        <f>SUM(L34:L37)</f>
        <v>0</v>
      </c>
      <c r="M38" s="1165">
        <f>SUM(M34:M37)</f>
        <v>0</v>
      </c>
      <c r="N38" s="1165"/>
      <c r="O38" s="1166">
        <f>SUM(O34:O37)</f>
        <v>1163.9623439999998</v>
      </c>
      <c r="P38" s="1163"/>
    </row>
    <row r="39" spans="2:26" ht="12.75" customHeight="1" thickBot="1">
      <c r="C39" s="1716" t="s">
        <v>414</v>
      </c>
      <c r="D39" s="1716"/>
      <c r="E39" s="1716"/>
      <c r="F39" s="1716"/>
      <c r="G39" s="1167"/>
      <c r="H39" s="1167"/>
      <c r="I39" s="1167"/>
      <c r="J39" s="1167"/>
      <c r="K39" s="1167"/>
      <c r="L39" s="1167"/>
      <c r="M39" s="1167"/>
      <c r="N39" s="1167"/>
      <c r="O39" s="1167"/>
      <c r="P39" s="1153"/>
    </row>
    <row r="40" spans="2:26" s="1168" customFormat="1" ht="15" customHeight="1">
      <c r="C40" s="1731" t="s">
        <v>405</v>
      </c>
      <c r="D40" s="1717" t="s">
        <v>502</v>
      </c>
      <c r="E40" s="1718"/>
      <c r="F40" s="1719"/>
      <c r="G40" s="1728" t="s">
        <v>404</v>
      </c>
      <c r="H40" s="1729"/>
      <c r="I40" s="1729"/>
      <c r="J40" s="1729"/>
      <c r="K40" s="1729"/>
      <c r="L40" s="1729"/>
      <c r="M40" s="1729"/>
      <c r="N40" s="1729"/>
      <c r="O40" s="1730"/>
      <c r="P40" s="1711" t="s">
        <v>365</v>
      </c>
    </row>
    <row r="41" spans="2:26" s="1168" customFormat="1">
      <c r="C41" s="1732"/>
      <c r="D41" s="1720"/>
      <c r="E41" s="1721"/>
      <c r="F41" s="1722"/>
      <c r="G41" s="1714" t="s">
        <v>503</v>
      </c>
      <c r="H41" s="1714"/>
      <c r="I41" s="1714"/>
      <c r="J41" s="1714" t="s">
        <v>409</v>
      </c>
      <c r="K41" s="1714"/>
      <c r="L41" s="1714"/>
      <c r="M41" s="1714" t="s">
        <v>410</v>
      </c>
      <c r="N41" s="1714"/>
      <c r="O41" s="1715"/>
      <c r="P41" s="1712"/>
    </row>
    <row r="42" spans="2:26" s="1168" customFormat="1" ht="36">
      <c r="C42" s="1733"/>
      <c r="D42" s="1155" t="s">
        <v>89</v>
      </c>
      <c r="E42" s="1155" t="s">
        <v>578</v>
      </c>
      <c r="F42" s="1155" t="s">
        <v>383</v>
      </c>
      <c r="G42" s="1155" t="s">
        <v>89</v>
      </c>
      <c r="H42" s="1155" t="s">
        <v>578</v>
      </c>
      <c r="I42" s="1155" t="s">
        <v>383</v>
      </c>
      <c r="J42" s="1155" t="s">
        <v>89</v>
      </c>
      <c r="K42" s="1155" t="s">
        <v>578</v>
      </c>
      <c r="L42" s="1155" t="s">
        <v>383</v>
      </c>
      <c r="M42" s="1155" t="s">
        <v>89</v>
      </c>
      <c r="N42" s="1155" t="s">
        <v>578</v>
      </c>
      <c r="O42" s="1156" t="s">
        <v>383</v>
      </c>
      <c r="P42" s="1713"/>
    </row>
    <row r="43" spans="2:26" ht="12.75" customHeight="1">
      <c r="B43" s="106">
        <v>1005</v>
      </c>
      <c r="C43" s="1169" t="s">
        <v>446</v>
      </c>
      <c r="D43" s="1170"/>
      <c r="E43" s="1170"/>
      <c r="F43" s="1170"/>
      <c r="G43" s="1170"/>
      <c r="H43" s="1170"/>
      <c r="I43" s="1170"/>
      <c r="J43" s="1170"/>
      <c r="K43" s="1170"/>
      <c r="L43" s="1170"/>
      <c r="M43" s="1170"/>
      <c r="N43" s="1170"/>
      <c r="O43" s="1171"/>
      <c r="P43" s="1161"/>
      <c r="Z43" s="106" t="s">
        <v>483</v>
      </c>
    </row>
    <row r="44" spans="2:26">
      <c r="C44" s="1162"/>
      <c r="D44" s="1159"/>
      <c r="E44" s="1159"/>
      <c r="F44" s="1159"/>
      <c r="G44" s="1159"/>
      <c r="H44" s="1159"/>
      <c r="I44" s="1159"/>
      <c r="J44" s="1159"/>
      <c r="K44" s="1159"/>
      <c r="L44" s="1159"/>
      <c r="M44" s="1159"/>
      <c r="N44" s="1159"/>
      <c r="O44" s="1160"/>
      <c r="P44" s="1163"/>
      <c r="Z44" s="106" t="s">
        <v>483</v>
      </c>
    </row>
    <row r="45" spans="2:26" hidden="1">
      <c r="C45" s="1162"/>
      <c r="D45" s="1159"/>
      <c r="E45" s="1159"/>
      <c r="F45" s="1159"/>
      <c r="G45" s="1159"/>
      <c r="H45" s="1159"/>
      <c r="I45" s="1159"/>
      <c r="J45" s="1159"/>
      <c r="K45" s="1159"/>
      <c r="L45" s="1159"/>
      <c r="M45" s="1159"/>
      <c r="N45" s="1159"/>
      <c r="O45" s="1160"/>
      <c r="P45" s="1161"/>
      <c r="Z45" s="106" t="s">
        <v>483</v>
      </c>
    </row>
    <row r="46" spans="2:26" hidden="1">
      <c r="C46" s="1162"/>
      <c r="D46" s="1159"/>
      <c r="E46" s="1159"/>
      <c r="F46" s="1159"/>
      <c r="G46" s="1159"/>
      <c r="H46" s="1159"/>
      <c r="I46" s="1159"/>
      <c r="J46" s="1159"/>
      <c r="K46" s="1159"/>
      <c r="L46" s="1159"/>
      <c r="M46" s="1159"/>
      <c r="N46" s="1159"/>
      <c r="O46" s="1160"/>
      <c r="P46" s="1161"/>
      <c r="Z46" s="106" t="s">
        <v>483</v>
      </c>
    </row>
    <row r="47" spans="2:26" hidden="1">
      <c r="C47" s="1162"/>
      <c r="D47" s="1159"/>
      <c r="E47" s="1159"/>
      <c r="F47" s="1159"/>
      <c r="G47" s="1159"/>
      <c r="H47" s="1159"/>
      <c r="I47" s="1159"/>
      <c r="J47" s="1159"/>
      <c r="K47" s="1159"/>
      <c r="L47" s="1159"/>
      <c r="M47" s="1159"/>
      <c r="N47" s="1159"/>
      <c r="O47" s="1160"/>
      <c r="P47" s="1161"/>
      <c r="Z47" s="106" t="s">
        <v>483</v>
      </c>
    </row>
    <row r="48" spans="2:26" ht="12.75" hidden="1" customHeight="1">
      <c r="C48" s="1162"/>
      <c r="D48" s="1159"/>
      <c r="E48" s="1159"/>
      <c r="F48" s="1159"/>
      <c r="G48" s="1159"/>
      <c r="H48" s="1159"/>
      <c r="I48" s="1159"/>
      <c r="J48" s="1159"/>
      <c r="K48" s="1159"/>
      <c r="L48" s="1159"/>
      <c r="M48" s="1159"/>
      <c r="N48" s="1159"/>
      <c r="O48" s="1160"/>
      <c r="P48" s="1161"/>
      <c r="Z48" s="106" t="s">
        <v>483</v>
      </c>
    </row>
    <row r="49" spans="2:26" ht="12.75" hidden="1" customHeight="1">
      <c r="C49" s="1162"/>
      <c r="D49" s="1159"/>
      <c r="E49" s="1159"/>
      <c r="F49" s="1159"/>
      <c r="G49" s="1159"/>
      <c r="H49" s="1159"/>
      <c r="I49" s="1159"/>
      <c r="J49" s="1159"/>
      <c r="K49" s="1159"/>
      <c r="L49" s="1159"/>
      <c r="M49" s="1159"/>
      <c r="N49" s="1159"/>
      <c r="O49" s="1160"/>
      <c r="P49" s="1161"/>
      <c r="Z49" s="106" t="s">
        <v>483</v>
      </c>
    </row>
    <row r="50" spans="2:26" hidden="1">
      <c r="C50" s="1162"/>
      <c r="D50" s="1159"/>
      <c r="E50" s="1159"/>
      <c r="F50" s="1159"/>
      <c r="G50" s="1159"/>
      <c r="H50" s="1159"/>
      <c r="I50" s="1159"/>
      <c r="J50" s="1159"/>
      <c r="K50" s="1159"/>
      <c r="L50" s="1159"/>
      <c r="M50" s="1159"/>
      <c r="N50" s="1159"/>
      <c r="O50" s="1160"/>
      <c r="P50" s="1161"/>
      <c r="Z50" s="106" t="s">
        <v>483</v>
      </c>
    </row>
    <row r="51" spans="2:26" hidden="1">
      <c r="C51" s="1162"/>
      <c r="D51" s="1159"/>
      <c r="E51" s="1159"/>
      <c r="F51" s="1159"/>
      <c r="G51" s="1159"/>
      <c r="H51" s="1159"/>
      <c r="I51" s="1159"/>
      <c r="J51" s="1159"/>
      <c r="K51" s="1159"/>
      <c r="L51" s="1159"/>
      <c r="M51" s="1159"/>
      <c r="N51" s="1159"/>
      <c r="O51" s="1160"/>
      <c r="P51" s="1161"/>
      <c r="Z51" s="106" t="s">
        <v>483</v>
      </c>
    </row>
    <row r="52" spans="2:26" hidden="1">
      <c r="C52" s="1162"/>
      <c r="D52" s="1159"/>
      <c r="E52" s="1159"/>
      <c r="F52" s="1159"/>
      <c r="G52" s="1159"/>
      <c r="H52" s="1159"/>
      <c r="I52" s="1159"/>
      <c r="J52" s="1159"/>
      <c r="K52" s="1159"/>
      <c r="L52" s="1159"/>
      <c r="M52" s="1159"/>
      <c r="N52" s="1159"/>
      <c r="O52" s="1160"/>
      <c r="P52" s="1161"/>
      <c r="Z52" s="106" t="s">
        <v>483</v>
      </c>
    </row>
    <row r="53" spans="2:26">
      <c r="C53" s="1172" t="s">
        <v>98</v>
      </c>
      <c r="D53" s="1173">
        <f>SUM(D43:D52)</f>
        <v>0</v>
      </c>
      <c r="E53" s="1173"/>
      <c r="F53" s="1173">
        <f>SUM(F43:F52)</f>
        <v>0</v>
      </c>
      <c r="G53" s="1173">
        <f>SUM(G43:G52)</f>
        <v>0</v>
      </c>
      <c r="H53" s="1173"/>
      <c r="I53" s="1173">
        <f>SUM(I43:I52)</f>
        <v>0</v>
      </c>
      <c r="J53" s="1173">
        <f>SUM(J43:J52)</f>
        <v>0</v>
      </c>
      <c r="K53" s="1173"/>
      <c r="L53" s="1173">
        <f>SUM(L43:L52)</f>
        <v>0</v>
      </c>
      <c r="M53" s="1173">
        <f>SUM(M43:M52)</f>
        <v>0</v>
      </c>
      <c r="N53" s="1173"/>
      <c r="O53" s="1174">
        <f>SUM(O43:O52)</f>
        <v>0</v>
      </c>
      <c r="P53" s="1163"/>
    </row>
    <row r="54" spans="2:26">
      <c r="C54" s="1175"/>
      <c r="D54" s="1176"/>
      <c r="E54" s="1176"/>
      <c r="F54" s="1176"/>
      <c r="G54" s="1176"/>
      <c r="H54" s="1176"/>
      <c r="I54" s="1176"/>
      <c r="J54" s="1176"/>
      <c r="K54" s="1177"/>
      <c r="L54" s="1176"/>
      <c r="M54" s="1176"/>
      <c r="N54" s="1176"/>
      <c r="O54" s="1178"/>
      <c r="P54" s="1179"/>
    </row>
    <row r="55" spans="2:26" ht="24.75" thickBot="1">
      <c r="C55" s="1180" t="s">
        <v>449</v>
      </c>
      <c r="D55" s="1181">
        <f>SUM(D38,D53)</f>
        <v>4171.5388999999996</v>
      </c>
      <c r="E55" s="1181">
        <f>E38</f>
        <v>188.38</v>
      </c>
      <c r="F55" s="1181">
        <f>SUM(F38,F53)</f>
        <v>943.00139757839986</v>
      </c>
      <c r="G55" s="1181">
        <f>SUM(G38,G53)</f>
        <v>977.4611000000001</v>
      </c>
      <c r="H55" s="1181">
        <f>H34</f>
        <v>188.38</v>
      </c>
      <c r="I55" s="1181">
        <f>SUM(I38,I53)</f>
        <v>220.9609464216</v>
      </c>
      <c r="J55" s="1181">
        <f>SUM(J38,J53)</f>
        <v>0</v>
      </c>
      <c r="K55" s="1181"/>
      <c r="L55" s="1181">
        <f>SUM(L38,L53)</f>
        <v>0</v>
      </c>
      <c r="M55" s="1181">
        <f>SUM(M38,M53)</f>
        <v>0</v>
      </c>
      <c r="N55" s="1181"/>
      <c r="O55" s="1182">
        <f>SUM(O38,O53)</f>
        <v>1163.9623439999998</v>
      </c>
      <c r="P55" s="1161"/>
    </row>
    <row r="56" spans="2:26">
      <c r="C56" s="1185"/>
      <c r="D56" s="1186"/>
      <c r="E56" s="1186"/>
      <c r="F56" s="1186"/>
      <c r="G56" s="1186"/>
      <c r="H56" s="1186"/>
      <c r="I56" s="1186"/>
      <c r="J56" s="1186"/>
      <c r="K56" s="1187"/>
      <c r="L56" s="1186"/>
      <c r="M56" s="1186"/>
      <c r="N56" s="1186"/>
      <c r="O56" s="1186"/>
    </row>
    <row r="57" spans="2:26">
      <c r="C57" s="1188" t="str">
        <f>Notes!$C$6</f>
        <v>FY 2024-25</v>
      </c>
      <c r="D57" s="1189" t="s">
        <v>60</v>
      </c>
      <c r="E57" s="1186"/>
      <c r="F57" s="1186"/>
      <c r="G57" s="1186"/>
      <c r="H57" s="1186"/>
      <c r="I57" s="1186"/>
      <c r="J57" s="1186"/>
      <c r="K57" s="1187"/>
      <c r="L57" s="1186"/>
      <c r="M57" s="1186"/>
      <c r="N57" s="1186"/>
      <c r="O57" s="1186"/>
    </row>
    <row r="58" spans="2:26" ht="9.75" customHeight="1">
      <c r="C58" s="1716" t="s">
        <v>413</v>
      </c>
      <c r="D58" s="1716"/>
      <c r="E58" s="1716"/>
      <c r="F58" s="1716"/>
      <c r="G58" s="1716"/>
      <c r="H58" s="1716"/>
      <c r="I58" s="1716"/>
      <c r="J58" s="1716"/>
      <c r="K58" s="1716"/>
      <c r="L58" s="1716"/>
      <c r="M58" s="1716"/>
      <c r="N58" s="1716"/>
      <c r="O58" s="1716"/>
      <c r="P58" s="1153"/>
    </row>
    <row r="59" spans="2:26" ht="9.75" customHeight="1" thickBot="1">
      <c r="C59" s="1716"/>
      <c r="D59" s="1716"/>
      <c r="E59" s="1716"/>
      <c r="F59" s="1716"/>
      <c r="G59" s="1716"/>
      <c r="H59" s="1716"/>
      <c r="I59" s="1716"/>
      <c r="J59" s="1716"/>
      <c r="K59" s="1716"/>
      <c r="L59" s="1716"/>
      <c r="M59" s="1716"/>
      <c r="N59" s="1716"/>
      <c r="O59" s="1716"/>
      <c r="P59" s="1153"/>
    </row>
    <row r="60" spans="2:26" s="1154" customFormat="1">
      <c r="C60" s="1731" t="s">
        <v>405</v>
      </c>
      <c r="D60" s="1717" t="s">
        <v>502</v>
      </c>
      <c r="E60" s="1718"/>
      <c r="F60" s="1719"/>
      <c r="G60" s="1728" t="s">
        <v>404</v>
      </c>
      <c r="H60" s="1729"/>
      <c r="I60" s="1729"/>
      <c r="J60" s="1729"/>
      <c r="K60" s="1729"/>
      <c r="L60" s="1729"/>
      <c r="M60" s="1729"/>
      <c r="N60" s="1729"/>
      <c r="O60" s="1730"/>
      <c r="P60" s="1711" t="s">
        <v>365</v>
      </c>
    </row>
    <row r="61" spans="2:26" s="1154" customFormat="1">
      <c r="C61" s="1732"/>
      <c r="D61" s="1720"/>
      <c r="E61" s="1721"/>
      <c r="F61" s="1722"/>
      <c r="G61" s="1714" t="s">
        <v>503</v>
      </c>
      <c r="H61" s="1714"/>
      <c r="I61" s="1714"/>
      <c r="J61" s="1714" t="s">
        <v>409</v>
      </c>
      <c r="K61" s="1714"/>
      <c r="L61" s="1714"/>
      <c r="M61" s="1714" t="s">
        <v>410</v>
      </c>
      <c r="N61" s="1714"/>
      <c r="O61" s="1715"/>
      <c r="P61" s="1712"/>
    </row>
    <row r="62" spans="2:26" s="1154" customFormat="1" ht="36">
      <c r="C62" s="1733"/>
      <c r="D62" s="1155" t="s">
        <v>89</v>
      </c>
      <c r="E62" s="1155" t="s">
        <v>578</v>
      </c>
      <c r="F62" s="1155" t="s">
        <v>383</v>
      </c>
      <c r="G62" s="1155" t="s">
        <v>89</v>
      </c>
      <c r="H62" s="1155" t="s">
        <v>578</v>
      </c>
      <c r="I62" s="1155" t="s">
        <v>383</v>
      </c>
      <c r="J62" s="1155" t="s">
        <v>89</v>
      </c>
      <c r="K62" s="1155" t="s">
        <v>578</v>
      </c>
      <c r="L62" s="1155" t="s">
        <v>383</v>
      </c>
      <c r="M62" s="1155" t="s">
        <v>89</v>
      </c>
      <c r="N62" s="1155" t="s">
        <v>578</v>
      </c>
      <c r="O62" s="1156" t="s">
        <v>383</v>
      </c>
      <c r="P62" s="1713"/>
    </row>
    <row r="63" spans="2:26" ht="16.5" customHeight="1">
      <c r="B63" s="106">
        <v>1005</v>
      </c>
      <c r="C63" s="1157" t="s">
        <v>446</v>
      </c>
      <c r="D63" s="1184">
        <f>5149-G63</f>
        <v>4169</v>
      </c>
      <c r="E63" s="1190">
        <f>E34*1.15</f>
        <v>216.63699999999997</v>
      </c>
      <c r="F63" s="1191">
        <f>D63*1000*E63*12/10^7</f>
        <v>1083.7915835999997</v>
      </c>
      <c r="G63" s="1191">
        <f>'1.3|Dist Cost'!G85+'1.3|Dist Cost'!G86</f>
        <v>980</v>
      </c>
      <c r="H63" s="1190">
        <f>E63</f>
        <v>216.63699999999997</v>
      </c>
      <c r="I63" s="1159">
        <f>G63*1000*H63*12/10^7</f>
        <v>254.76511199999996</v>
      </c>
      <c r="J63" s="1159"/>
      <c r="K63" s="1159"/>
      <c r="L63" s="1159"/>
      <c r="M63" s="1159"/>
      <c r="N63" s="1159"/>
      <c r="O63" s="1160">
        <f>F63+I63</f>
        <v>1338.5566955999998</v>
      </c>
      <c r="P63" s="1161"/>
      <c r="Z63" s="106" t="s">
        <v>484</v>
      </c>
    </row>
    <row r="64" spans="2:26">
      <c r="C64" s="1162"/>
      <c r="D64" s="1190"/>
      <c r="E64" s="1190"/>
      <c r="F64" s="1191"/>
      <c r="G64" s="1191"/>
      <c r="H64" s="1191"/>
      <c r="I64" s="1159"/>
      <c r="J64" s="1159"/>
      <c r="K64" s="1159"/>
      <c r="L64" s="1159"/>
      <c r="M64" s="1159"/>
      <c r="N64" s="1159"/>
      <c r="O64" s="1160"/>
      <c r="P64" s="1161"/>
      <c r="Z64" s="106" t="s">
        <v>484</v>
      </c>
    </row>
    <row r="65" spans="2:26" ht="17.25" customHeight="1">
      <c r="C65" s="1162"/>
      <c r="D65" s="1190"/>
      <c r="E65" s="1190"/>
      <c r="F65" s="1191"/>
      <c r="G65" s="1191"/>
      <c r="H65" s="1191"/>
      <c r="I65" s="1159"/>
      <c r="J65" s="1159"/>
      <c r="K65" s="1159"/>
      <c r="L65" s="1159"/>
      <c r="M65" s="1159"/>
      <c r="N65" s="1159"/>
      <c r="O65" s="1160"/>
      <c r="P65" s="1161"/>
      <c r="Z65" s="106" t="s">
        <v>484</v>
      </c>
    </row>
    <row r="66" spans="2:26" ht="17.25" customHeight="1">
      <c r="C66" s="1162"/>
      <c r="D66" s="1159"/>
      <c r="E66" s="1159"/>
      <c r="F66" s="1159"/>
      <c r="G66" s="1159"/>
      <c r="H66" s="1159"/>
      <c r="I66" s="1159"/>
      <c r="J66" s="1159"/>
      <c r="K66" s="1159"/>
      <c r="L66" s="1159"/>
      <c r="M66" s="1159"/>
      <c r="N66" s="1159"/>
      <c r="O66" s="1160"/>
      <c r="P66" s="1163"/>
      <c r="Z66" s="106" t="s">
        <v>484</v>
      </c>
    </row>
    <row r="67" spans="2:26" ht="12.75" thickBot="1">
      <c r="B67" s="92"/>
      <c r="C67" s="985" t="s">
        <v>98</v>
      </c>
      <c r="D67" s="986">
        <f>SUM(D63:D66)</f>
        <v>4169</v>
      </c>
      <c r="E67" s="986">
        <f>E63</f>
        <v>216.63699999999997</v>
      </c>
      <c r="F67" s="986">
        <f>SUM(F63:F66)</f>
        <v>1083.7915835999997</v>
      </c>
      <c r="G67" s="986">
        <f>G63</f>
        <v>980</v>
      </c>
      <c r="H67" s="986">
        <f>H63</f>
        <v>216.63699999999997</v>
      </c>
      <c r="I67" s="986">
        <f>SUM(I63:I66)</f>
        <v>254.76511199999996</v>
      </c>
      <c r="J67" s="986">
        <f>SUM(J63:J66)</f>
        <v>0</v>
      </c>
      <c r="K67" s="986"/>
      <c r="L67" s="986">
        <f>SUM(L63:L66)</f>
        <v>0</v>
      </c>
      <c r="M67" s="986">
        <f>SUM(M63:M66)</f>
        <v>0</v>
      </c>
      <c r="N67" s="986"/>
      <c r="O67" s="987">
        <f>SUM(O63:O66)</f>
        <v>1338.5566955999998</v>
      </c>
      <c r="P67" s="984"/>
    </row>
    <row r="68" spans="2:26" ht="12.75" customHeight="1" thickBot="1">
      <c r="B68" s="92"/>
      <c r="C68" s="1734" t="s">
        <v>414</v>
      </c>
      <c r="D68" s="1734"/>
      <c r="E68" s="1734"/>
      <c r="F68" s="1734"/>
      <c r="G68" s="988"/>
      <c r="H68" s="988"/>
      <c r="I68" s="988"/>
      <c r="J68" s="988"/>
      <c r="K68" s="988"/>
      <c r="L68" s="988"/>
      <c r="M68" s="988"/>
      <c r="N68" s="988"/>
      <c r="O68" s="988"/>
      <c r="P68" s="977"/>
    </row>
    <row r="69" spans="2:26" s="1168" customFormat="1">
      <c r="B69" s="301"/>
      <c r="C69" s="1735" t="s">
        <v>405</v>
      </c>
      <c r="D69" s="1738" t="s">
        <v>502</v>
      </c>
      <c r="E69" s="1739"/>
      <c r="F69" s="1740"/>
      <c r="G69" s="1744" t="s">
        <v>404</v>
      </c>
      <c r="H69" s="1745"/>
      <c r="I69" s="1745"/>
      <c r="J69" s="1745"/>
      <c r="K69" s="1745"/>
      <c r="L69" s="1745"/>
      <c r="M69" s="1745"/>
      <c r="N69" s="1745"/>
      <c r="O69" s="1746"/>
      <c r="P69" s="1723" t="s">
        <v>365</v>
      </c>
    </row>
    <row r="70" spans="2:26" s="1168" customFormat="1">
      <c r="B70" s="301"/>
      <c r="C70" s="1736"/>
      <c r="D70" s="1741"/>
      <c r="E70" s="1742"/>
      <c r="F70" s="1743"/>
      <c r="G70" s="1726" t="s">
        <v>503</v>
      </c>
      <c r="H70" s="1726"/>
      <c r="I70" s="1726"/>
      <c r="J70" s="1726" t="s">
        <v>409</v>
      </c>
      <c r="K70" s="1726"/>
      <c r="L70" s="1726"/>
      <c r="M70" s="1726" t="s">
        <v>410</v>
      </c>
      <c r="N70" s="1726"/>
      <c r="O70" s="1727"/>
      <c r="P70" s="1724"/>
    </row>
    <row r="71" spans="2:26" s="1168" customFormat="1" ht="31.5">
      <c r="B71" s="301"/>
      <c r="C71" s="1737"/>
      <c r="D71" s="939" t="s">
        <v>89</v>
      </c>
      <c r="E71" s="939" t="s">
        <v>578</v>
      </c>
      <c r="F71" s="939" t="s">
        <v>383</v>
      </c>
      <c r="G71" s="939" t="s">
        <v>89</v>
      </c>
      <c r="H71" s="939" t="s">
        <v>578</v>
      </c>
      <c r="I71" s="939" t="s">
        <v>383</v>
      </c>
      <c r="J71" s="939" t="s">
        <v>89</v>
      </c>
      <c r="K71" s="939" t="s">
        <v>578</v>
      </c>
      <c r="L71" s="939" t="s">
        <v>383</v>
      </c>
      <c r="M71" s="939" t="s">
        <v>89</v>
      </c>
      <c r="N71" s="939" t="s">
        <v>578</v>
      </c>
      <c r="O71" s="978" t="s">
        <v>383</v>
      </c>
      <c r="P71" s="1725"/>
    </row>
    <row r="72" spans="2:26" ht="12.75" customHeight="1">
      <c r="B72" s="92">
        <v>1005</v>
      </c>
      <c r="C72" s="220" t="s">
        <v>446</v>
      </c>
      <c r="D72" s="989"/>
      <c r="E72" s="989"/>
      <c r="F72" s="989"/>
      <c r="G72" s="989"/>
      <c r="H72" s="989"/>
      <c r="I72" s="989"/>
      <c r="J72" s="989"/>
      <c r="K72" s="989"/>
      <c r="L72" s="989"/>
      <c r="M72" s="989"/>
      <c r="N72" s="989"/>
      <c r="O72" s="990"/>
      <c r="P72" s="982"/>
      <c r="Z72" s="106" t="s">
        <v>483</v>
      </c>
    </row>
    <row r="73" spans="2:26" hidden="1">
      <c r="C73" s="1162"/>
      <c r="D73" s="1159"/>
      <c r="E73" s="1159"/>
      <c r="F73" s="1159"/>
      <c r="G73" s="1159"/>
      <c r="H73" s="1159"/>
      <c r="I73" s="1159"/>
      <c r="J73" s="1159"/>
      <c r="K73" s="1159"/>
      <c r="L73" s="1159"/>
      <c r="M73" s="1159"/>
      <c r="N73" s="1159"/>
      <c r="O73" s="1160"/>
      <c r="P73" s="1161"/>
      <c r="Z73" s="106" t="s">
        <v>483</v>
      </c>
    </row>
    <row r="74" spans="2:26" hidden="1">
      <c r="C74" s="1162"/>
      <c r="D74" s="1159"/>
      <c r="E74" s="1159"/>
      <c r="F74" s="1159"/>
      <c r="G74" s="1159"/>
      <c r="H74" s="1159"/>
      <c r="I74" s="1159"/>
      <c r="J74" s="1159"/>
      <c r="K74" s="1159"/>
      <c r="L74" s="1159"/>
      <c r="M74" s="1159"/>
      <c r="N74" s="1159"/>
      <c r="O74" s="1160"/>
      <c r="P74" s="1161"/>
      <c r="Q74" s="106">
        <v>-4.0908448211300001</v>
      </c>
      <c r="Z74" s="106" t="s">
        <v>483</v>
      </c>
    </row>
    <row r="75" spans="2:26" hidden="1">
      <c r="C75" s="1162"/>
      <c r="D75" s="1159"/>
      <c r="E75" s="1159"/>
      <c r="F75" s="1159"/>
      <c r="G75" s="1159"/>
      <c r="H75" s="1159"/>
      <c r="I75" s="1159"/>
      <c r="J75" s="1159"/>
      <c r="K75" s="1159"/>
      <c r="L75" s="1159"/>
      <c r="M75" s="1159"/>
      <c r="N75" s="1159"/>
      <c r="O75" s="1160"/>
      <c r="P75" s="1161"/>
      <c r="Z75" s="106" t="s">
        <v>483</v>
      </c>
    </row>
    <row r="76" spans="2:26" hidden="1">
      <c r="C76" s="1162"/>
      <c r="D76" s="1159"/>
      <c r="E76" s="1159"/>
      <c r="F76" s="1159"/>
      <c r="G76" s="1159"/>
      <c r="H76" s="1159"/>
      <c r="I76" s="1159"/>
      <c r="J76" s="1159"/>
      <c r="K76" s="1159"/>
      <c r="L76" s="1159"/>
      <c r="M76" s="1159"/>
      <c r="N76" s="1159"/>
      <c r="O76" s="1160"/>
      <c r="P76" s="1161"/>
      <c r="Z76" s="106" t="s">
        <v>483</v>
      </c>
    </row>
    <row r="77" spans="2:26" ht="12.75" hidden="1" customHeight="1">
      <c r="C77" s="1162"/>
      <c r="D77" s="1159"/>
      <c r="E77" s="1159"/>
      <c r="F77" s="1159"/>
      <c r="G77" s="1159"/>
      <c r="H77" s="1159"/>
      <c r="I77" s="1159"/>
      <c r="J77" s="1159"/>
      <c r="K77" s="1159"/>
      <c r="L77" s="1159"/>
      <c r="M77" s="1159"/>
      <c r="N77" s="1159"/>
      <c r="O77" s="1160"/>
      <c r="P77" s="1161"/>
      <c r="Z77" s="106" t="s">
        <v>483</v>
      </c>
    </row>
    <row r="78" spans="2:26" ht="12.75" hidden="1" customHeight="1">
      <c r="C78" s="1162"/>
      <c r="D78" s="1159"/>
      <c r="E78" s="1159"/>
      <c r="F78" s="1159"/>
      <c r="G78" s="1159"/>
      <c r="H78" s="1159"/>
      <c r="I78" s="1159"/>
      <c r="J78" s="1159"/>
      <c r="K78" s="1159"/>
      <c r="L78" s="1159"/>
      <c r="M78" s="1159"/>
      <c r="N78" s="1159"/>
      <c r="O78" s="1160"/>
      <c r="P78" s="1161"/>
      <c r="Z78" s="106" t="s">
        <v>483</v>
      </c>
    </row>
    <row r="79" spans="2:26" hidden="1">
      <c r="C79" s="1162"/>
      <c r="D79" s="1159"/>
      <c r="E79" s="1159"/>
      <c r="F79" s="1159"/>
      <c r="G79" s="1159"/>
      <c r="H79" s="1159"/>
      <c r="I79" s="1159"/>
      <c r="J79" s="1159"/>
      <c r="K79" s="1159"/>
      <c r="L79" s="1159"/>
      <c r="M79" s="1159"/>
      <c r="N79" s="1159"/>
      <c r="O79" s="1160"/>
      <c r="P79" s="1161"/>
      <c r="Z79" s="106" t="s">
        <v>483</v>
      </c>
    </row>
    <row r="80" spans="2:26" hidden="1">
      <c r="C80" s="1162"/>
      <c r="D80" s="1159"/>
      <c r="E80" s="1159"/>
      <c r="F80" s="1159"/>
      <c r="G80" s="1159"/>
      <c r="H80" s="1159"/>
      <c r="I80" s="1159"/>
      <c r="J80" s="1159"/>
      <c r="K80" s="1159"/>
      <c r="L80" s="1159"/>
      <c r="M80" s="1159"/>
      <c r="N80" s="1159"/>
      <c r="O80" s="1160"/>
      <c r="P80" s="1161"/>
      <c r="Z80" s="106" t="s">
        <v>483</v>
      </c>
    </row>
    <row r="81" spans="3:26">
      <c r="C81" s="1162"/>
      <c r="D81" s="1159"/>
      <c r="E81" s="1159"/>
      <c r="F81" s="1159"/>
      <c r="G81" s="1159"/>
      <c r="H81" s="1159"/>
      <c r="I81" s="1159"/>
      <c r="J81" s="1159"/>
      <c r="K81" s="1159"/>
      <c r="L81" s="1159"/>
      <c r="M81" s="1159"/>
      <c r="N81" s="1159"/>
      <c r="O81" s="1160"/>
      <c r="P81" s="1161"/>
      <c r="Z81" s="106" t="s">
        <v>483</v>
      </c>
    </row>
    <row r="82" spans="3:26">
      <c r="C82" s="1172" t="s">
        <v>98</v>
      </c>
      <c r="D82" s="1173">
        <f>SUM(D72:D81)</f>
        <v>0</v>
      </c>
      <c r="E82" s="1173"/>
      <c r="F82" s="1173">
        <f>SUM(F72:F81)</f>
        <v>0</v>
      </c>
      <c r="G82" s="1173">
        <f>SUM(G72:G81)</f>
        <v>0</v>
      </c>
      <c r="H82" s="1173"/>
      <c r="I82" s="1173">
        <f>SUM(I72:I81)</f>
        <v>0</v>
      </c>
      <c r="J82" s="1173">
        <f>SUM(J72:J81)</f>
        <v>0</v>
      </c>
      <c r="K82" s="1173"/>
      <c r="L82" s="1173">
        <f>SUM(L72:L81)</f>
        <v>0</v>
      </c>
      <c r="M82" s="1173">
        <f>SUM(M72:M81)</f>
        <v>0</v>
      </c>
      <c r="N82" s="1173"/>
      <c r="O82" s="1174">
        <f>SUM(O72:O81)</f>
        <v>0</v>
      </c>
      <c r="P82" s="1161"/>
    </row>
    <row r="83" spans="3:26">
      <c r="C83" s="1175"/>
      <c r="D83" s="1176"/>
      <c r="E83" s="1176"/>
      <c r="F83" s="1176"/>
      <c r="G83" s="1176"/>
      <c r="H83" s="1176"/>
      <c r="I83" s="1176"/>
      <c r="J83" s="1176"/>
      <c r="K83" s="1177"/>
      <c r="L83" s="1176"/>
      <c r="M83" s="1176"/>
      <c r="N83" s="1176"/>
      <c r="O83" s="1178"/>
      <c r="P83" s="1179"/>
    </row>
    <row r="84" spans="3:26" ht="30.75" customHeight="1" thickBot="1">
      <c r="C84" s="1180" t="s">
        <v>449</v>
      </c>
      <c r="D84" s="1181">
        <f>SUM(D67,D82)</f>
        <v>4169</v>
      </c>
      <c r="E84" s="1181">
        <f>E63</f>
        <v>216.63699999999997</v>
      </c>
      <c r="F84" s="1181">
        <f>SUM(F67,F82)</f>
        <v>1083.7915835999997</v>
      </c>
      <c r="G84" s="1181">
        <f>SUM(G67,G82)</f>
        <v>980</v>
      </c>
      <c r="H84" s="1181">
        <f>H63</f>
        <v>216.63699999999997</v>
      </c>
      <c r="I84" s="1181">
        <f>SUM(I67,I82)</f>
        <v>254.76511199999996</v>
      </c>
      <c r="J84" s="1181">
        <f>SUM(J67,J82)</f>
        <v>0</v>
      </c>
      <c r="K84" s="1181"/>
      <c r="L84" s="1181">
        <f>SUM(L67,L82)</f>
        <v>0</v>
      </c>
      <c r="M84" s="1181">
        <f>SUM(M67,M82)</f>
        <v>0</v>
      </c>
      <c r="N84" s="1181"/>
      <c r="O84" s="1182">
        <f>SUM(O67,O82)</f>
        <v>1338.5566955999998</v>
      </c>
      <c r="P84" s="1163"/>
    </row>
    <row r="85" spans="3:26">
      <c r="C85" s="1192"/>
      <c r="D85" s="1186"/>
      <c r="E85" s="1186"/>
      <c r="F85" s="1186"/>
      <c r="G85" s="1186"/>
      <c r="H85" s="1186"/>
      <c r="I85" s="1186"/>
      <c r="J85" s="1186"/>
      <c r="K85" s="1186"/>
      <c r="L85" s="1186"/>
      <c r="M85" s="1186"/>
      <c r="N85" s="1186"/>
      <c r="O85" s="1186"/>
      <c r="P85" s="1193"/>
    </row>
    <row r="88" spans="3:26">
      <c r="P88" s="1194"/>
    </row>
  </sheetData>
  <mergeCells count="51">
    <mergeCell ref="J70:L70"/>
    <mergeCell ref="D3:E3"/>
    <mergeCell ref="C5:K5"/>
    <mergeCell ref="C31:C33"/>
    <mergeCell ref="C6:H6"/>
    <mergeCell ref="C29:O30"/>
    <mergeCell ref="D31:F32"/>
    <mergeCell ref="G31:O31"/>
    <mergeCell ref="C8:O9"/>
    <mergeCell ref="C10:C12"/>
    <mergeCell ref="D10:F11"/>
    <mergeCell ref="G10:O10"/>
    <mergeCell ref="C19:C21"/>
    <mergeCell ref="D19:F20"/>
    <mergeCell ref="G19:O19"/>
    <mergeCell ref="C40:C42"/>
    <mergeCell ref="C58:O59"/>
    <mergeCell ref="C60:C62"/>
    <mergeCell ref="G60:O60"/>
    <mergeCell ref="C18:F18"/>
    <mergeCell ref="P69:P71"/>
    <mergeCell ref="G70:I70"/>
    <mergeCell ref="J61:L61"/>
    <mergeCell ref="M61:O61"/>
    <mergeCell ref="C68:F68"/>
    <mergeCell ref="C69:C71"/>
    <mergeCell ref="D69:F70"/>
    <mergeCell ref="G69:O69"/>
    <mergeCell ref="M70:O70"/>
    <mergeCell ref="D60:F61"/>
    <mergeCell ref="P60:P62"/>
    <mergeCell ref="G61:I61"/>
    <mergeCell ref="G41:I41"/>
    <mergeCell ref="D40:F41"/>
    <mergeCell ref="P19:P21"/>
    <mergeCell ref="G20:I20"/>
    <mergeCell ref="J20:L20"/>
    <mergeCell ref="M20:O20"/>
    <mergeCell ref="P31:P33"/>
    <mergeCell ref="G32:I32"/>
    <mergeCell ref="J32:L32"/>
    <mergeCell ref="M41:O41"/>
    <mergeCell ref="M32:O32"/>
    <mergeCell ref="P40:P42"/>
    <mergeCell ref="J41:L41"/>
    <mergeCell ref="G40:O40"/>
    <mergeCell ref="P10:P12"/>
    <mergeCell ref="G11:I11"/>
    <mergeCell ref="J11:L11"/>
    <mergeCell ref="M11:O11"/>
    <mergeCell ref="C39:F39"/>
  </mergeCells>
  <phoneticPr fontId="11" type="noConversion"/>
  <dataValidations count="1">
    <dataValidation type="decimal" allowBlank="1" showInputMessage="1" showErrorMessage="1" sqref="D63:O68 D58:D59 D34:O39 D1:K4 L1:O9 I6:K9 D7:H9 D13:O18 D22:O30 E57:O59 D43:O56 D72:O65386">
      <formula1>-9.99999999999999E+21</formula1>
      <formula2>9.99999999999999E+26</formula2>
    </dataValidation>
  </dataValidations>
  <hyperlinks>
    <hyperlink ref="A1" location="Index!A1" display="Index sheet"/>
  </hyperlinks>
  <printOptions horizontalCentered="1"/>
  <pageMargins left="0.51181102362204722" right="0.51181102362204722" top="0.51181102362204722" bottom="0.51181102362204722" header="0.23622047244094491" footer="0.23622047244094491"/>
  <pageSetup paperSize="9" scale="71" orientation="landscape" blackAndWhite="1" r:id="rId1"/>
  <headerFooter alignWithMargins="0"/>
</worksheet>
</file>

<file path=xl/worksheets/sheet5.xml><?xml version="1.0" encoding="utf-8"?>
<worksheet xmlns="http://schemas.openxmlformats.org/spreadsheetml/2006/main" xmlns:r="http://schemas.openxmlformats.org/officeDocument/2006/relationships">
  <sheetPr codeName="Sheet5"/>
  <dimension ref="A1:N39"/>
  <sheetViews>
    <sheetView view="pageBreakPreview" topLeftCell="A17" zoomScale="115" zoomScaleSheetLayoutView="115" workbookViewId="0">
      <selection activeCell="J32" sqref="J32:J34"/>
    </sheetView>
  </sheetViews>
  <sheetFormatPr defaultRowHeight="10.5"/>
  <cols>
    <col min="1" max="1" width="7.5703125" style="92" customWidth="1"/>
    <col min="2" max="2" width="6" style="92" hidden="1" customWidth="1"/>
    <col min="3" max="3" width="31.140625" style="92" customWidth="1"/>
    <col min="4" max="4" width="10.140625" style="104" customWidth="1"/>
    <col min="5" max="5" width="11.5703125" style="104" customWidth="1"/>
    <col min="6" max="6" width="12.7109375" style="104" customWidth="1"/>
    <col min="7" max="7" width="8.5703125" style="104" customWidth="1"/>
    <col min="8" max="8" width="13.42578125" style="104" customWidth="1"/>
    <col min="9" max="9" width="13" style="104" customWidth="1"/>
    <col min="10" max="10" width="12.7109375" style="301" customWidth="1"/>
    <col min="11" max="11" width="12.140625" style="92" customWidth="1"/>
    <col min="12" max="12" width="9.140625" style="92"/>
    <col min="13" max="13" width="17.140625" style="92" bestFit="1" customWidth="1"/>
    <col min="14" max="16384" width="9.140625" style="92"/>
  </cols>
  <sheetData>
    <row r="1" spans="1:13">
      <c r="A1" s="136" t="s">
        <v>396</v>
      </c>
    </row>
    <row r="3" spans="1:13">
      <c r="C3" s="91" t="s">
        <v>68</v>
      </c>
      <c r="D3" s="283" t="s">
        <v>86</v>
      </c>
    </row>
    <row r="4" spans="1:13">
      <c r="C4" s="91"/>
      <c r="D4" s="283"/>
    </row>
    <row r="5" spans="1:13" ht="23.25" customHeight="1">
      <c r="C5" s="1757" t="s">
        <v>543</v>
      </c>
      <c r="D5" s="1758"/>
      <c r="E5" s="1758"/>
      <c r="F5" s="1758"/>
      <c r="G5" s="1758"/>
      <c r="H5" s="1758"/>
      <c r="I5" s="1758"/>
      <c r="J5" s="1758"/>
      <c r="K5" s="1759"/>
    </row>
    <row r="6" spans="1:13" ht="26.25" customHeight="1">
      <c r="C6" s="1767" t="s">
        <v>501</v>
      </c>
      <c r="D6" s="1768"/>
      <c r="E6" s="1768"/>
      <c r="F6" s="1768"/>
      <c r="G6" s="1768"/>
      <c r="H6" s="1768"/>
      <c r="I6" s="941"/>
      <c r="J6" s="941"/>
      <c r="K6" s="942"/>
    </row>
    <row r="7" spans="1:13" ht="8.25" customHeight="1">
      <c r="C7" s="943"/>
      <c r="D7" s="943"/>
      <c r="E7" s="943"/>
      <c r="F7" s="943"/>
      <c r="G7" s="943"/>
      <c r="H7" s="943"/>
    </row>
    <row r="8" spans="1:13" ht="11.25" hidden="1" thickBot="1">
      <c r="C8" s="91" t="s">
        <v>645</v>
      </c>
    </row>
    <row r="9" spans="1:13" ht="23.25" hidden="1" customHeight="1">
      <c r="C9" s="1769"/>
      <c r="D9" s="1762" t="s">
        <v>87</v>
      </c>
      <c r="E9" s="1762"/>
      <c r="F9" s="1762"/>
      <c r="G9" s="1762" t="s">
        <v>88</v>
      </c>
      <c r="H9" s="1762"/>
      <c r="I9" s="1762"/>
      <c r="J9" s="1762" t="s">
        <v>415</v>
      </c>
      <c r="K9" s="1760" t="s">
        <v>365</v>
      </c>
      <c r="L9" s="1755"/>
      <c r="M9" s="1756"/>
    </row>
    <row r="10" spans="1:13" ht="31.5" hidden="1">
      <c r="C10" s="1770"/>
      <c r="D10" s="170" t="s">
        <v>89</v>
      </c>
      <c r="E10" s="170" t="s">
        <v>198</v>
      </c>
      <c r="F10" s="170" t="s">
        <v>383</v>
      </c>
      <c r="G10" s="170" t="s">
        <v>89</v>
      </c>
      <c r="H10" s="170" t="s">
        <v>579</v>
      </c>
      <c r="I10" s="170" t="s">
        <v>383</v>
      </c>
      <c r="J10" s="1726" t="s">
        <v>415</v>
      </c>
      <c r="K10" s="1761"/>
      <c r="L10" s="1755"/>
      <c r="M10" s="1756"/>
    </row>
    <row r="11" spans="1:13" ht="14.25" hidden="1" customHeight="1">
      <c r="B11" s="92">
        <v>1001</v>
      </c>
      <c r="C11" s="944" t="s">
        <v>502</v>
      </c>
      <c r="D11" s="945">
        <f>4562-D13</f>
        <v>3673.3989999999999</v>
      </c>
      <c r="E11" s="945">
        <v>4997.87</v>
      </c>
      <c r="F11" s="946">
        <f>D11*E11/10^7</f>
        <v>1.8359170660129998</v>
      </c>
      <c r="G11" s="945">
        <f>+D11</f>
        <v>3673.3989999999999</v>
      </c>
      <c r="H11" s="945">
        <v>2150.21</v>
      </c>
      <c r="I11" s="552">
        <f>G11*H11*12/10^7</f>
        <v>9.4782951165480007</v>
      </c>
      <c r="J11" s="947">
        <f>SUM(F11,I11)</f>
        <v>11.314212182561</v>
      </c>
      <c r="K11" s="948"/>
      <c r="M11" s="967"/>
    </row>
    <row r="12" spans="1:13" ht="14.25" hidden="1" customHeight="1">
      <c r="C12" s="944" t="s">
        <v>406</v>
      </c>
      <c r="D12" s="949"/>
      <c r="E12" s="949"/>
      <c r="F12" s="950"/>
      <c r="G12" s="949"/>
      <c r="H12" s="949"/>
      <c r="I12" s="949"/>
      <c r="J12" s="951"/>
      <c r="K12" s="952"/>
      <c r="M12" s="1058"/>
    </row>
    <row r="13" spans="1:13" ht="14.25" hidden="1" customHeight="1">
      <c r="B13" s="92">
        <v>1002</v>
      </c>
      <c r="C13" s="953" t="s">
        <v>503</v>
      </c>
      <c r="D13" s="945">
        <f>'1.1|Trans Cost'!G13</f>
        <v>888.601</v>
      </c>
      <c r="E13" s="945">
        <f>+E11</f>
        <v>4997.87</v>
      </c>
      <c r="F13" s="946">
        <f>D13*E13/10^7</f>
        <v>0.44411122798699998</v>
      </c>
      <c r="G13" s="945">
        <f>+D13</f>
        <v>888.601</v>
      </c>
      <c r="H13" s="945">
        <f>+H11</f>
        <v>2150.21</v>
      </c>
      <c r="I13" s="552">
        <f>G13*H13*12/10^7</f>
        <v>2.2928145074519999</v>
      </c>
      <c r="J13" s="947">
        <f>SUM(F13,I13)</f>
        <v>2.7369257354389998</v>
      </c>
      <c r="K13" s="952"/>
      <c r="L13" s="967">
        <f>J11+J13</f>
        <v>14.051137918</v>
      </c>
      <c r="M13" s="1059"/>
    </row>
    <row r="14" spans="1:13" ht="14.25" hidden="1" customHeight="1">
      <c r="B14" s="92">
        <v>1003</v>
      </c>
      <c r="C14" s="953" t="s">
        <v>409</v>
      </c>
      <c r="D14" s="945"/>
      <c r="E14" s="945"/>
      <c r="F14" s="552">
        <f>D14*E14/10^7</f>
        <v>0</v>
      </c>
      <c r="G14" s="945"/>
      <c r="H14" s="945"/>
      <c r="I14" s="552">
        <f>G14*H14*12/10^7</f>
        <v>0</v>
      </c>
      <c r="J14" s="954">
        <f>SUM(F14,I14)</f>
        <v>0</v>
      </c>
      <c r="K14" s="952"/>
      <c r="L14" s="967">
        <f>J11+J13</f>
        <v>14.051137918</v>
      </c>
    </row>
    <row r="15" spans="1:13" ht="14.25" hidden="1" customHeight="1">
      <c r="B15" s="92">
        <v>1004</v>
      </c>
      <c r="C15" s="953" t="s">
        <v>410</v>
      </c>
      <c r="D15" s="945"/>
      <c r="E15" s="945"/>
      <c r="F15" s="552">
        <f>D15*E15/10^7</f>
        <v>0</v>
      </c>
      <c r="G15" s="945"/>
      <c r="H15" s="945"/>
      <c r="I15" s="552"/>
      <c r="J15" s="954">
        <f>SUM(F15,I15)</f>
        <v>0</v>
      </c>
      <c r="K15" s="948"/>
    </row>
    <row r="16" spans="1:13" ht="14.25" hidden="1" customHeight="1" thickBot="1">
      <c r="C16" s="1057" t="s">
        <v>950</v>
      </c>
      <c r="D16" s="955"/>
      <c r="E16" s="955"/>
      <c r="F16" s="955"/>
      <c r="G16" s="955"/>
      <c r="H16" s="955"/>
      <c r="I16" s="956"/>
      <c r="J16" s="957"/>
      <c r="K16" s="958"/>
    </row>
    <row r="17" spans="1:13" ht="11.25" thickBot="1">
      <c r="C17" s="91" t="str">
        <f>Notes!$C$5</f>
        <v>Base Year</v>
      </c>
    </row>
    <row r="18" spans="1:13" ht="23.25" customHeight="1">
      <c r="C18" s="1763"/>
      <c r="D18" s="1762" t="s">
        <v>87</v>
      </c>
      <c r="E18" s="1762"/>
      <c r="F18" s="1762"/>
      <c r="G18" s="1762" t="s">
        <v>88</v>
      </c>
      <c r="H18" s="1762"/>
      <c r="I18" s="1762"/>
      <c r="J18" s="1762" t="s">
        <v>415</v>
      </c>
      <c r="K18" s="1760" t="s">
        <v>365</v>
      </c>
      <c r="L18" s="1755"/>
      <c r="M18" s="1756"/>
    </row>
    <row r="19" spans="1:13" ht="31.5">
      <c r="C19" s="1764"/>
      <c r="D19" s="170" t="s">
        <v>89</v>
      </c>
      <c r="E19" s="170" t="s">
        <v>198</v>
      </c>
      <c r="F19" s="170" t="s">
        <v>383</v>
      </c>
      <c r="G19" s="170" t="s">
        <v>89</v>
      </c>
      <c r="H19" s="170" t="s">
        <v>579</v>
      </c>
      <c r="I19" s="170" t="s">
        <v>383</v>
      </c>
      <c r="J19" s="1726" t="s">
        <v>415</v>
      </c>
      <c r="K19" s="1761"/>
      <c r="L19" s="1755"/>
      <c r="M19" s="1756"/>
    </row>
    <row r="20" spans="1:13">
      <c r="B20" s="92">
        <v>1001</v>
      </c>
      <c r="C20" s="944" t="s">
        <v>502</v>
      </c>
      <c r="D20" s="945">
        <f>8289-D22</f>
        <v>7311.5388999999996</v>
      </c>
      <c r="E20" s="945">
        <v>6382.27</v>
      </c>
      <c r="F20" s="946">
        <f>D20*E20/10^7</f>
        <v>4.6664215375303</v>
      </c>
      <c r="G20" s="945">
        <f>+D20</f>
        <v>7311.5388999999996</v>
      </c>
      <c r="H20" s="945">
        <v>2235.65</v>
      </c>
      <c r="I20" s="552">
        <f>G20*H20*12/10^7</f>
        <v>19.615250330142</v>
      </c>
      <c r="J20" s="954">
        <f>SUM(F20,I20)</f>
        <v>24.281671867672301</v>
      </c>
      <c r="K20" s="948"/>
    </row>
    <row r="21" spans="1:13">
      <c r="C21" s="944" t="s">
        <v>406</v>
      </c>
      <c r="D21" s="949"/>
      <c r="E21" s="949"/>
      <c r="F21" s="950"/>
      <c r="G21" s="949"/>
      <c r="H21" s="949"/>
      <c r="I21" s="949"/>
      <c r="J21" s="959"/>
      <c r="K21" s="952"/>
    </row>
    <row r="22" spans="1:13" ht="12.75" customHeight="1">
      <c r="B22" s="92">
        <v>1002</v>
      </c>
      <c r="C22" s="953" t="s">
        <v>503</v>
      </c>
      <c r="D22" s="945">
        <f>'1.1|Trans Cost'!G34</f>
        <v>977.4611000000001</v>
      </c>
      <c r="E22" s="945">
        <f>+E20</f>
        <v>6382.27</v>
      </c>
      <c r="F22" s="946">
        <f>D22*E22/10^7</f>
        <v>0.62384206546970011</v>
      </c>
      <c r="G22" s="945">
        <f>+D22</f>
        <v>977.4611000000001</v>
      </c>
      <c r="H22" s="945">
        <f>+H20</f>
        <v>2235.65</v>
      </c>
      <c r="I22" s="552">
        <f>G22*H22*12/10^7</f>
        <v>2.6223130898580003</v>
      </c>
      <c r="J22" s="954">
        <f>SUM(F22,I22)</f>
        <v>3.2461551553277004</v>
      </c>
      <c r="K22" s="952"/>
    </row>
    <row r="23" spans="1:13">
      <c r="B23" s="92">
        <v>1003</v>
      </c>
      <c r="C23" s="953" t="s">
        <v>409</v>
      </c>
      <c r="D23" s="945"/>
      <c r="E23" s="945"/>
      <c r="F23" s="552">
        <f>D23*E23/10^7</f>
        <v>0</v>
      </c>
      <c r="G23" s="945"/>
      <c r="H23" s="945"/>
      <c r="I23" s="552">
        <f>G23*H23*12/10^7</f>
        <v>0</v>
      </c>
      <c r="J23" s="954">
        <f>SUM(F23,I23)</f>
        <v>0</v>
      </c>
      <c r="K23" s="952"/>
    </row>
    <row r="24" spans="1:13">
      <c r="B24" s="92">
        <v>1004</v>
      </c>
      <c r="C24" s="953" t="s">
        <v>410</v>
      </c>
      <c r="D24" s="945"/>
      <c r="E24" s="945"/>
      <c r="F24" s="552">
        <f>D24*E24/10^7</f>
        <v>0</v>
      </c>
      <c r="G24" s="945"/>
      <c r="H24" s="945"/>
      <c r="I24" s="552"/>
      <c r="J24" s="954">
        <f>SUM(F24,I24)</f>
        <v>0</v>
      </c>
      <c r="K24" s="948"/>
      <c r="M24" s="104"/>
    </row>
    <row r="25" spans="1:13" ht="12" thickBot="1">
      <c r="C25" s="1057"/>
      <c r="D25" s="955"/>
      <c r="E25" s="955"/>
      <c r="F25" s="955"/>
      <c r="G25" s="955"/>
      <c r="H25" s="955"/>
      <c r="I25" s="956"/>
      <c r="J25" s="954">
        <f>SUM(F25,I25)</f>
        <v>0</v>
      </c>
      <c r="K25" s="958"/>
    </row>
    <row r="26" spans="1:13" ht="15" hidden="1" customHeight="1">
      <c r="C26" s="960"/>
      <c r="H26" s="961"/>
      <c r="J26" s="938"/>
      <c r="M26" s="104"/>
    </row>
    <row r="27" spans="1:13">
      <c r="C27" s="962"/>
      <c r="H27" s="961"/>
      <c r="I27" s="963"/>
    </row>
    <row r="28" spans="1:13" ht="11.25" customHeight="1">
      <c r="C28" s="962"/>
    </row>
    <row r="29" spans="1:13" ht="11.25" thickBot="1">
      <c r="A29" s="91" t="s">
        <v>60</v>
      </c>
      <c r="C29" s="91" t="str">
        <f>Notes!$C$6</f>
        <v>FY 2024-25</v>
      </c>
    </row>
    <row r="30" spans="1:13" ht="15.75" customHeight="1">
      <c r="C30" s="1765"/>
      <c r="D30" s="1762" t="s">
        <v>87</v>
      </c>
      <c r="E30" s="1762"/>
      <c r="F30" s="1762"/>
      <c r="G30" s="1762" t="s">
        <v>88</v>
      </c>
      <c r="H30" s="1762"/>
      <c r="I30" s="1762"/>
      <c r="J30" s="1762" t="s">
        <v>415</v>
      </c>
      <c r="K30" s="1760" t="s">
        <v>365</v>
      </c>
      <c r="L30" s="1755"/>
      <c r="M30" s="1756"/>
    </row>
    <row r="31" spans="1:13" ht="31.5">
      <c r="C31" s="1766"/>
      <c r="D31" s="170" t="s">
        <v>89</v>
      </c>
      <c r="E31" s="170" t="s">
        <v>198</v>
      </c>
      <c r="F31" s="170" t="s">
        <v>383</v>
      </c>
      <c r="G31" s="170" t="s">
        <v>89</v>
      </c>
      <c r="H31" s="170" t="s">
        <v>579</v>
      </c>
      <c r="I31" s="170" t="s">
        <v>383</v>
      </c>
      <c r="J31" s="1726" t="s">
        <v>415</v>
      </c>
      <c r="K31" s="1761"/>
      <c r="L31" s="1755"/>
      <c r="M31" s="1756"/>
    </row>
    <row r="32" spans="1:13">
      <c r="B32" s="92">
        <v>1001</v>
      </c>
      <c r="C32" s="944" t="s">
        <v>502</v>
      </c>
      <c r="D32" s="945">
        <f>8289-D34</f>
        <v>7309</v>
      </c>
      <c r="E32" s="945">
        <f>E20*1.15</f>
        <v>7339.6104999999998</v>
      </c>
      <c r="F32" s="552">
        <f>D32*E32/10^7</f>
        <v>5.3645213144499992</v>
      </c>
      <c r="G32" s="945">
        <f>+D32</f>
        <v>7309</v>
      </c>
      <c r="H32" s="945">
        <f>H20*1.15</f>
        <v>2570.9974999999999</v>
      </c>
      <c r="I32" s="552">
        <f>G32*H32*12/10^7</f>
        <v>22.549704873</v>
      </c>
      <c r="J32" s="954">
        <f>SUM(F32,I32)</f>
        <v>27.914226187449998</v>
      </c>
      <c r="K32" s="964"/>
      <c r="M32" s="965"/>
    </row>
    <row r="33" spans="2:14">
      <c r="C33" s="944" t="s">
        <v>406</v>
      </c>
      <c r="D33" s="949"/>
      <c r="E33" s="949"/>
      <c r="F33" s="949"/>
      <c r="G33" s="949"/>
      <c r="H33" s="949"/>
      <c r="I33" s="949"/>
      <c r="J33" s="959"/>
      <c r="K33" s="952"/>
    </row>
    <row r="34" spans="2:14" ht="12.75" customHeight="1">
      <c r="B34" s="92">
        <v>1002</v>
      </c>
      <c r="C34" s="966" t="s">
        <v>503</v>
      </c>
      <c r="D34" s="945">
        <f>'1.1|Trans Cost'!G63</f>
        <v>980</v>
      </c>
      <c r="E34" s="945">
        <f>E32</f>
        <v>7339.6104999999998</v>
      </c>
      <c r="F34" s="552">
        <f>D34*E34/10^7</f>
        <v>0.71928182900000004</v>
      </c>
      <c r="G34" s="945">
        <f>+D34</f>
        <v>980</v>
      </c>
      <c r="H34" s="945">
        <f>H32</f>
        <v>2570.9974999999999</v>
      </c>
      <c r="I34" s="552">
        <f>G34*H34*12/10^7</f>
        <v>3.0234930599999998</v>
      </c>
      <c r="J34" s="954">
        <f>SUM(F34,I34)</f>
        <v>3.7427748889999997</v>
      </c>
      <c r="K34" s="952"/>
      <c r="N34" s="965"/>
    </row>
    <row r="35" spans="2:14">
      <c r="B35" s="92">
        <v>1003</v>
      </c>
      <c r="C35" s="966" t="s">
        <v>409</v>
      </c>
      <c r="D35" s="945"/>
      <c r="E35" s="945"/>
      <c r="F35" s="552">
        <f>D35*E35/10^7</f>
        <v>0</v>
      </c>
      <c r="G35" s="945"/>
      <c r="H35" s="945"/>
      <c r="I35" s="552">
        <f>G35*H35*12/10^7</f>
        <v>0</v>
      </c>
      <c r="J35" s="954">
        <f>SUM(F35,I35)</f>
        <v>0</v>
      </c>
      <c r="K35" s="952"/>
      <c r="M35" s="967"/>
    </row>
    <row r="36" spans="2:14" ht="11.25" thickBot="1">
      <c r="B36" s="92">
        <v>1004</v>
      </c>
      <c r="C36" s="968" t="s">
        <v>410</v>
      </c>
      <c r="D36" s="969"/>
      <c r="E36" s="969"/>
      <c r="F36" s="970">
        <f>D36*E36/10^7</f>
        <v>0</v>
      </c>
      <c r="G36" s="969"/>
      <c r="H36" s="969"/>
      <c r="I36" s="970">
        <f>G36*H36*12/10^7</f>
        <v>0</v>
      </c>
      <c r="J36" s="971">
        <f>SUM(F36,I36)</f>
        <v>0</v>
      </c>
      <c r="K36" s="972"/>
    </row>
    <row r="37" spans="2:14">
      <c r="C37" s="973"/>
      <c r="D37" s="961"/>
      <c r="E37" s="961"/>
      <c r="F37" s="324"/>
      <c r="G37" s="961"/>
      <c r="H37" s="961"/>
      <c r="I37" s="324"/>
      <c r="J37" s="323"/>
      <c r="K37" s="974"/>
      <c r="N37" s="967"/>
    </row>
    <row r="38" spans="2:14">
      <c r="J38" s="1072"/>
    </row>
    <row r="39" spans="2:14">
      <c r="K39" s="104"/>
      <c r="M39" s="104"/>
    </row>
  </sheetData>
  <mergeCells count="23">
    <mergeCell ref="M30:M31"/>
    <mergeCell ref="L30:L31"/>
    <mergeCell ref="L18:L19"/>
    <mergeCell ref="G18:I18"/>
    <mergeCell ref="J18:J19"/>
    <mergeCell ref="K30:K31"/>
    <mergeCell ref="C30:C31"/>
    <mergeCell ref="D30:F30"/>
    <mergeCell ref="G30:I30"/>
    <mergeCell ref="J30:J31"/>
    <mergeCell ref="C6:H6"/>
    <mergeCell ref="C9:C10"/>
    <mergeCell ref="D9:F9"/>
    <mergeCell ref="G9:I9"/>
    <mergeCell ref="J9:J10"/>
    <mergeCell ref="L9:L10"/>
    <mergeCell ref="M9:M10"/>
    <mergeCell ref="C5:K5"/>
    <mergeCell ref="K18:K19"/>
    <mergeCell ref="D18:F18"/>
    <mergeCell ref="C18:C19"/>
    <mergeCell ref="K9:K10"/>
    <mergeCell ref="M18:M19"/>
  </mergeCells>
  <phoneticPr fontId="11" type="noConversion"/>
  <dataValidations count="4">
    <dataValidation type="decimal" allowBlank="1" showInputMessage="1" showErrorMessage="1" sqref="I38:I65493 I30:J37 L30:L31 J18:J25 F8:F65493 F1:F4 L18:L19 I1:I4 I7:I29 J9:J15 L9:L10">
      <formula1>0</formula1>
      <formula2>9.99999999999999E+32</formula2>
    </dataValidation>
    <dataValidation type="decimal" allowBlank="1" showInputMessage="1" showErrorMessage="1" sqref="H32:H65493 H20:H30 G1:H4 H11:H18 H7:H9 G7:G65493">
      <formula1>-99999999999999900000</formula1>
      <formula2>9.99999999999999E+32</formula2>
    </dataValidation>
    <dataValidation type="decimal" allowBlank="1" showInputMessage="1" showErrorMessage="1" sqref="D4 D1:D2 E1:E4 D7:E65493">
      <formula1>-9.99999999999999E+21</formula1>
      <formula2>9.99999999999999E+32</formula2>
    </dataValidation>
    <dataValidation type="decimal" allowBlank="1" showInputMessage="1" showErrorMessage="1" sqref="I6:K6">
      <formula1>-99999999999999900000</formula1>
      <formula2>999999999999999000000</formula2>
    </dataValidation>
  </dataValidations>
  <hyperlinks>
    <hyperlink ref="A1" location="Index!A1" display="Index sheet"/>
  </hyperlinks>
  <printOptions horizontalCentered="1" verticalCentered="1"/>
  <pageMargins left="0.5" right="0.5" top="0.5" bottom="0.5" header="0.25" footer="0.25"/>
  <pageSetup paperSize="9" fitToHeight="2" pageOrder="overThenDown" orientation="landscape" blackAndWhite="1" r:id="rId1"/>
  <headerFooter alignWithMargins="0"/>
</worksheet>
</file>

<file path=xl/worksheets/sheet6.xml><?xml version="1.0" encoding="utf-8"?>
<worksheet xmlns="http://schemas.openxmlformats.org/spreadsheetml/2006/main" xmlns:r="http://schemas.openxmlformats.org/officeDocument/2006/relationships">
  <sheetPr codeName="Sheet6"/>
  <dimension ref="A1:Z100"/>
  <sheetViews>
    <sheetView view="pageBreakPreview" topLeftCell="A83" zoomScaleSheetLayoutView="100" workbookViewId="0">
      <selection activeCell="R99" sqref="R99"/>
    </sheetView>
  </sheetViews>
  <sheetFormatPr defaultRowHeight="10.5"/>
  <cols>
    <col min="1" max="1" width="6.140625" style="92" customWidth="1"/>
    <col min="2" max="2" width="0.5703125" style="92" customWidth="1"/>
    <col min="3" max="3" width="25" style="92" customWidth="1"/>
    <col min="4" max="4" width="8.7109375" style="104" customWidth="1"/>
    <col min="5" max="5" width="8.28515625" style="104" customWidth="1"/>
    <col min="6" max="6" width="8.28515625" style="104" bestFit="1" customWidth="1"/>
    <col min="7" max="7" width="9.28515625" style="104" customWidth="1"/>
    <col min="8" max="8" width="10.42578125" style="104" customWidth="1"/>
    <col min="9" max="9" width="8.28515625" style="104" bestFit="1" customWidth="1"/>
    <col min="10" max="10" width="6.140625" style="104" bestFit="1" customWidth="1"/>
    <col min="11" max="11" width="8.5703125" style="301" customWidth="1"/>
    <col min="12" max="12" width="8.28515625" style="92" bestFit="1" customWidth="1"/>
    <col min="13" max="13" width="6.140625" style="92" bestFit="1" customWidth="1"/>
    <col min="14" max="14" width="8.28515625" style="92" customWidth="1"/>
    <col min="15" max="15" width="8.28515625" style="92" bestFit="1" customWidth="1"/>
    <col min="16" max="16" width="9.42578125" style="92" customWidth="1"/>
    <col min="17" max="16384" width="9.140625" style="92"/>
  </cols>
  <sheetData>
    <row r="1" spans="1:26">
      <c r="A1" s="136" t="s">
        <v>396</v>
      </c>
    </row>
    <row r="3" spans="1:26">
      <c r="C3" s="91" t="s">
        <v>71</v>
      </c>
      <c r="D3" s="1773" t="s">
        <v>70</v>
      </c>
      <c r="E3" s="1773"/>
    </row>
    <row r="4" spans="1:26">
      <c r="C4" s="91"/>
      <c r="D4" s="918"/>
      <c r="E4" s="918"/>
    </row>
    <row r="5" spans="1:26" ht="36" customHeight="1">
      <c r="C5" s="1757" t="s">
        <v>544</v>
      </c>
      <c r="D5" s="1758"/>
      <c r="E5" s="1758"/>
      <c r="F5" s="1758"/>
      <c r="G5" s="1758"/>
      <c r="H5" s="1758"/>
      <c r="I5" s="1758"/>
      <c r="J5" s="1758"/>
      <c r="K5" s="1759"/>
    </row>
    <row r="6" spans="1:26" ht="24.75" customHeight="1">
      <c r="C6" s="1767" t="s">
        <v>501</v>
      </c>
      <c r="D6" s="1768"/>
      <c r="E6" s="1768"/>
      <c r="F6" s="1768"/>
      <c r="G6" s="1768"/>
      <c r="H6" s="1768"/>
      <c r="I6" s="1768"/>
      <c r="J6" s="1768"/>
      <c r="K6" s="1774"/>
    </row>
    <row r="7" spans="1:26" ht="22.5" hidden="1" customHeight="1">
      <c r="C7" s="919"/>
      <c r="D7" s="919"/>
      <c r="E7" s="919"/>
      <c r="F7" s="919"/>
      <c r="G7" s="919"/>
      <c r="H7" s="919"/>
      <c r="I7" s="919"/>
      <c r="J7" s="919"/>
      <c r="K7" s="919"/>
      <c r="L7" s="919"/>
      <c r="M7" s="919"/>
      <c r="N7" s="919"/>
      <c r="O7" s="919"/>
    </row>
    <row r="8" spans="1:26" hidden="1">
      <c r="C8" s="920" t="s">
        <v>645</v>
      </c>
    </row>
    <row r="9" spans="1:26" ht="11.25" hidden="1" customHeight="1">
      <c r="C9" s="1734" t="s">
        <v>413</v>
      </c>
      <c r="D9" s="1734"/>
      <c r="E9" s="1734"/>
      <c r="F9" s="1734"/>
      <c r="G9" s="1734"/>
      <c r="H9" s="1734"/>
      <c r="I9" s="1734"/>
      <c r="J9" s="1734"/>
      <c r="K9" s="1734"/>
      <c r="L9" s="1734"/>
      <c r="M9" s="1734"/>
      <c r="N9" s="1734"/>
      <c r="O9" s="1734"/>
      <c r="P9" s="921"/>
    </row>
    <row r="10" spans="1:26" hidden="1">
      <c r="C10" s="1780"/>
      <c r="D10" s="1780"/>
      <c r="E10" s="1780"/>
      <c r="F10" s="1780"/>
      <c r="G10" s="1780"/>
      <c r="H10" s="1780"/>
      <c r="I10" s="1780"/>
      <c r="J10" s="1780"/>
      <c r="K10" s="1780"/>
      <c r="L10" s="1780"/>
      <c r="M10" s="1780"/>
      <c r="N10" s="1780"/>
      <c r="O10" s="1780"/>
      <c r="P10" s="921"/>
    </row>
    <row r="11" spans="1:26" ht="11.25" hidden="1" customHeight="1">
      <c r="C11" s="1771" t="s">
        <v>407</v>
      </c>
      <c r="D11" s="1726" t="s">
        <v>502</v>
      </c>
      <c r="E11" s="1726"/>
      <c r="F11" s="1726"/>
      <c r="G11" s="1726" t="s">
        <v>404</v>
      </c>
      <c r="H11" s="1726"/>
      <c r="I11" s="1726"/>
      <c r="J11" s="1726"/>
      <c r="K11" s="1726"/>
      <c r="L11" s="1726"/>
      <c r="M11" s="1726"/>
      <c r="N11" s="1726"/>
      <c r="O11" s="1726"/>
      <c r="P11" s="1771" t="s">
        <v>365</v>
      </c>
    </row>
    <row r="12" spans="1:26" ht="27" hidden="1" customHeight="1">
      <c r="C12" s="1771"/>
      <c r="D12" s="1726"/>
      <c r="E12" s="1726"/>
      <c r="F12" s="1726"/>
      <c r="G12" s="1726" t="s">
        <v>503</v>
      </c>
      <c r="H12" s="1726"/>
      <c r="I12" s="1726"/>
      <c r="J12" s="1726" t="s">
        <v>409</v>
      </c>
      <c r="K12" s="1726"/>
      <c r="L12" s="1726"/>
      <c r="M12" s="1726" t="s">
        <v>410</v>
      </c>
      <c r="N12" s="1726"/>
      <c r="O12" s="1726"/>
      <c r="P12" s="1771"/>
    </row>
    <row r="13" spans="1:26" ht="31.5" hidden="1">
      <c r="C13" s="1771"/>
      <c r="D13" s="170" t="s">
        <v>89</v>
      </c>
      <c r="E13" s="170" t="s">
        <v>90</v>
      </c>
      <c r="F13" s="170" t="s">
        <v>383</v>
      </c>
      <c r="G13" s="170" t="s">
        <v>89</v>
      </c>
      <c r="H13" s="170" t="s">
        <v>90</v>
      </c>
      <c r="I13" s="170" t="s">
        <v>383</v>
      </c>
      <c r="J13" s="170" t="s">
        <v>89</v>
      </c>
      <c r="K13" s="170" t="s">
        <v>90</v>
      </c>
      <c r="L13" s="170" t="s">
        <v>383</v>
      </c>
      <c r="M13" s="170" t="s">
        <v>89</v>
      </c>
      <c r="N13" s="170" t="s">
        <v>90</v>
      </c>
      <c r="O13" s="170" t="s">
        <v>383</v>
      </c>
      <c r="P13" s="1771"/>
    </row>
    <row r="14" spans="1:26" ht="18" hidden="1" customHeight="1">
      <c r="C14" s="925" t="s">
        <v>588</v>
      </c>
      <c r="D14" s="1060">
        <f>924-G14</f>
        <v>158.572</v>
      </c>
      <c r="E14" s="923">
        <v>54.73</v>
      </c>
      <c r="F14" s="923">
        <f>D14*E14*12*1000/10^7</f>
        <v>10.414374671999999</v>
      </c>
      <c r="G14" s="923">
        <v>765.428</v>
      </c>
      <c r="H14" s="923">
        <v>54.73</v>
      </c>
      <c r="I14" s="923">
        <f>G14*H14*12*1000/10^7</f>
        <v>50.270249327999998</v>
      </c>
      <c r="J14" s="923"/>
      <c r="K14" s="923"/>
      <c r="L14" s="923">
        <f>F14+I14</f>
        <v>60.684623999999999</v>
      </c>
      <c r="M14" s="923"/>
      <c r="N14" s="923"/>
      <c r="O14" s="923"/>
      <c r="P14" s="925"/>
      <c r="Z14" s="92" t="s">
        <v>484</v>
      </c>
    </row>
    <row r="15" spans="1:26" ht="18" hidden="1" customHeight="1">
      <c r="C15" s="925" t="s">
        <v>589</v>
      </c>
      <c r="D15" s="1060">
        <f>1204-G15</f>
        <v>1080.827</v>
      </c>
      <c r="E15" s="923">
        <v>427.5</v>
      </c>
      <c r="F15" s="923">
        <f>D15*E15*12*1000/10^7</f>
        <v>554.46425099999999</v>
      </c>
      <c r="G15" s="923">
        <v>123.173</v>
      </c>
      <c r="H15" s="923">
        <v>427.5</v>
      </c>
      <c r="I15" s="923">
        <f>G15*H15*12*1000/10^7</f>
        <v>63.187748999999997</v>
      </c>
      <c r="J15" s="923"/>
      <c r="K15" s="923"/>
      <c r="L15" s="923">
        <f>F15+I15</f>
        <v>617.65200000000004</v>
      </c>
      <c r="M15" s="923"/>
      <c r="N15" s="923"/>
      <c r="O15" s="923"/>
      <c r="P15" s="925"/>
      <c r="Z15" s="92" t="s">
        <v>484</v>
      </c>
    </row>
    <row r="16" spans="1:26" ht="18" hidden="1" customHeight="1">
      <c r="C16" s="925" t="s">
        <v>590</v>
      </c>
      <c r="D16" s="1060">
        <v>2348</v>
      </c>
      <c r="E16" s="923">
        <v>726.98</v>
      </c>
      <c r="F16" s="923">
        <f>D16*E16*12*1000/10^7</f>
        <v>2048.3388479999999</v>
      </c>
      <c r="G16" s="923"/>
      <c r="H16" s="923"/>
      <c r="I16" s="923"/>
      <c r="J16" s="923"/>
      <c r="K16" s="923"/>
      <c r="L16" s="923">
        <f>F16+I16</f>
        <v>2048.3388479999999</v>
      </c>
      <c r="M16" s="923"/>
      <c r="N16" s="923"/>
      <c r="O16" s="923"/>
      <c r="P16" s="925"/>
      <c r="Z16" s="92" t="s">
        <v>484</v>
      </c>
    </row>
    <row r="17" spans="3:26" ht="18" hidden="1" customHeight="1">
      <c r="C17" s="925" t="s">
        <v>562</v>
      </c>
      <c r="D17" s="923"/>
      <c r="E17" s="923"/>
      <c r="F17" s="923"/>
      <c r="G17" s="923"/>
      <c r="H17" s="923"/>
      <c r="I17" s="923"/>
      <c r="J17" s="923"/>
      <c r="K17" s="923"/>
      <c r="L17" s="923"/>
      <c r="M17" s="923"/>
      <c r="N17" s="923"/>
      <c r="O17" s="923"/>
      <c r="P17" s="926"/>
      <c r="Z17" s="92" t="s">
        <v>484</v>
      </c>
    </row>
    <row r="18" spans="3:26" ht="18" hidden="1" customHeight="1">
      <c r="C18" s="925" t="s">
        <v>949</v>
      </c>
      <c r="D18" s="923"/>
      <c r="E18" s="923"/>
      <c r="F18" s="923"/>
      <c r="G18" s="923"/>
      <c r="H18" s="923"/>
      <c r="I18" s="923"/>
      <c r="J18" s="923"/>
      <c r="K18" s="923"/>
      <c r="L18" s="923">
        <v>-1063.77059071331</v>
      </c>
      <c r="M18" s="923"/>
      <c r="N18" s="923"/>
      <c r="O18" s="923"/>
      <c r="P18" s="925"/>
      <c r="Z18" s="92" t="s">
        <v>484</v>
      </c>
    </row>
    <row r="19" spans="3:26" ht="18" hidden="1" customHeight="1">
      <c r="C19" s="922"/>
      <c r="D19" s="923"/>
      <c r="E19" s="923"/>
      <c r="F19" s="924"/>
      <c r="G19" s="923"/>
      <c r="H19" s="923"/>
      <c r="I19" s="924"/>
      <c r="J19" s="923"/>
      <c r="K19" s="923"/>
      <c r="L19" s="924"/>
      <c r="M19" s="923"/>
      <c r="N19" s="923"/>
      <c r="O19" s="923"/>
      <c r="P19" s="926"/>
      <c r="Z19" s="92" t="s">
        <v>484</v>
      </c>
    </row>
    <row r="20" spans="3:26" ht="18" hidden="1" customHeight="1">
      <c r="C20" s="922"/>
      <c r="D20" s="923"/>
      <c r="E20" s="923"/>
      <c r="F20" s="924"/>
      <c r="G20" s="923"/>
      <c r="H20" s="923"/>
      <c r="I20" s="924"/>
      <c r="J20" s="923"/>
      <c r="K20" s="923"/>
      <c r="L20" s="924"/>
      <c r="M20" s="923"/>
      <c r="N20" s="923"/>
      <c r="O20" s="923"/>
      <c r="P20" s="926"/>
      <c r="Z20" s="92" t="s">
        <v>484</v>
      </c>
    </row>
    <row r="21" spans="3:26" ht="18" hidden="1" customHeight="1">
      <c r="C21" s="922"/>
      <c r="D21" s="923"/>
      <c r="E21" s="923"/>
      <c r="F21" s="924"/>
      <c r="G21" s="923"/>
      <c r="H21" s="923"/>
      <c r="I21" s="924"/>
      <c r="J21" s="923"/>
      <c r="K21" s="923"/>
      <c r="L21" s="924"/>
      <c r="M21" s="923"/>
      <c r="N21" s="923"/>
      <c r="O21" s="923"/>
      <c r="P21" s="925"/>
      <c r="Z21" s="92" t="s">
        <v>484</v>
      </c>
    </row>
    <row r="22" spans="3:26" ht="18" hidden="1" customHeight="1">
      <c r="C22" s="922"/>
      <c r="D22" s="923"/>
      <c r="E22" s="923"/>
      <c r="F22" s="924"/>
      <c r="G22" s="923"/>
      <c r="H22" s="923"/>
      <c r="I22" s="924"/>
      <c r="J22" s="923"/>
      <c r="K22" s="923"/>
      <c r="L22" s="924"/>
      <c r="M22" s="923"/>
      <c r="N22" s="923"/>
      <c r="O22" s="923"/>
      <c r="P22" s="925"/>
      <c r="Z22" s="92" t="s">
        <v>484</v>
      </c>
    </row>
    <row r="23" spans="3:26" ht="18" hidden="1" customHeight="1">
      <c r="C23" s="922"/>
      <c r="D23" s="923"/>
      <c r="E23" s="923"/>
      <c r="F23" s="924"/>
      <c r="G23" s="923"/>
      <c r="H23" s="923"/>
      <c r="I23" s="924"/>
      <c r="J23" s="923"/>
      <c r="K23" s="923"/>
      <c r="L23" s="924"/>
      <c r="M23" s="923"/>
      <c r="N23" s="923"/>
      <c r="O23" s="923"/>
      <c r="P23" s="925"/>
      <c r="Z23" s="92" t="s">
        <v>484</v>
      </c>
    </row>
    <row r="24" spans="3:26" ht="18" hidden="1" customHeight="1">
      <c r="C24" s="927" t="s">
        <v>98</v>
      </c>
      <c r="D24" s="928">
        <f>SUM(D14:D23)</f>
        <v>3587.3989999999999</v>
      </c>
      <c r="E24" s="928"/>
      <c r="F24" s="928">
        <f>SUM(F14:F23)</f>
        <v>2613.2174736719999</v>
      </c>
      <c r="G24" s="928">
        <f>SUM(G14:G23)</f>
        <v>888.601</v>
      </c>
      <c r="H24" s="928"/>
      <c r="I24" s="928">
        <f>SUM(I14:I23)</f>
        <v>113.457998328</v>
      </c>
      <c r="J24" s="928">
        <f>SUM(J14:J23)</f>
        <v>0</v>
      </c>
      <c r="K24" s="928"/>
      <c r="L24" s="928">
        <f>SUM(L14:L23)</f>
        <v>1662.9048812866899</v>
      </c>
      <c r="M24" s="928">
        <f>SUM(M14:M23)</f>
        <v>0</v>
      </c>
      <c r="N24" s="928"/>
      <c r="O24" s="928">
        <f>SUM(O14:O23)</f>
        <v>0</v>
      </c>
      <c r="P24" s="925"/>
      <c r="R24" s="1058"/>
      <c r="S24" s="104"/>
    </row>
    <row r="25" spans="3:26" hidden="1">
      <c r="C25" s="1772" t="s">
        <v>414</v>
      </c>
      <c r="D25" s="1772"/>
      <c r="E25" s="1772"/>
      <c r="F25" s="1772"/>
      <c r="G25" s="929"/>
      <c r="H25" s="929"/>
      <c r="I25" s="929"/>
      <c r="J25" s="929"/>
      <c r="K25" s="929"/>
      <c r="L25" s="929"/>
      <c r="M25" s="929"/>
      <c r="N25" s="929"/>
      <c r="O25" s="929"/>
      <c r="P25" s="930"/>
    </row>
    <row r="26" spans="3:26" hidden="1">
      <c r="C26" s="1771" t="s">
        <v>407</v>
      </c>
      <c r="D26" s="1726" t="s">
        <v>502</v>
      </c>
      <c r="E26" s="1726"/>
      <c r="F26" s="1726"/>
      <c r="G26" s="1726" t="s">
        <v>404</v>
      </c>
      <c r="H26" s="1726"/>
      <c r="I26" s="1726"/>
      <c r="J26" s="1726"/>
      <c r="K26" s="1726"/>
      <c r="L26" s="1726"/>
      <c r="M26" s="1726"/>
      <c r="N26" s="1726"/>
      <c r="O26" s="1726"/>
      <c r="P26" s="1771" t="s">
        <v>365</v>
      </c>
      <c r="S26" s="104"/>
      <c r="Z26" s="301"/>
    </row>
    <row r="27" spans="3:26" ht="25.5" hidden="1" customHeight="1">
      <c r="C27" s="1771"/>
      <c r="D27" s="1726"/>
      <c r="E27" s="1726"/>
      <c r="F27" s="1726"/>
      <c r="G27" s="1726" t="s">
        <v>503</v>
      </c>
      <c r="H27" s="1726"/>
      <c r="I27" s="1726"/>
      <c r="J27" s="1726" t="s">
        <v>409</v>
      </c>
      <c r="K27" s="1726"/>
      <c r="L27" s="1726"/>
      <c r="M27" s="1726" t="s">
        <v>410</v>
      </c>
      <c r="N27" s="1726"/>
      <c r="O27" s="1726"/>
      <c r="P27" s="1771"/>
      <c r="Z27" s="301"/>
    </row>
    <row r="28" spans="3:26" ht="31.5" hidden="1">
      <c r="C28" s="1771"/>
      <c r="D28" s="170" t="s">
        <v>89</v>
      </c>
      <c r="E28" s="170" t="s">
        <v>90</v>
      </c>
      <c r="F28" s="170" t="s">
        <v>383</v>
      </c>
      <c r="G28" s="170" t="s">
        <v>89</v>
      </c>
      <c r="H28" s="170" t="s">
        <v>90</v>
      </c>
      <c r="I28" s="170" t="s">
        <v>383</v>
      </c>
      <c r="J28" s="170" t="s">
        <v>89</v>
      </c>
      <c r="K28" s="170" t="s">
        <v>90</v>
      </c>
      <c r="L28" s="170" t="s">
        <v>383</v>
      </c>
      <c r="M28" s="170" t="s">
        <v>89</v>
      </c>
      <c r="N28" s="170" t="s">
        <v>90</v>
      </c>
      <c r="O28" s="170" t="s">
        <v>383</v>
      </c>
      <c r="P28" s="1771"/>
      <c r="Z28" s="301"/>
    </row>
    <row r="29" spans="3:26" ht="12.75" hidden="1" customHeight="1">
      <c r="C29" s="922"/>
      <c r="D29" s="923"/>
      <c r="E29" s="923"/>
      <c r="F29" s="924"/>
      <c r="G29" s="923"/>
      <c r="H29" s="923"/>
      <c r="I29" s="924"/>
      <c r="J29" s="923"/>
      <c r="K29" s="923"/>
      <c r="L29" s="924"/>
      <c r="M29" s="923"/>
      <c r="N29" s="923"/>
      <c r="O29" s="923"/>
      <c r="P29" s="925"/>
      <c r="Z29" s="92" t="s">
        <v>483</v>
      </c>
    </row>
    <row r="30" spans="3:26" hidden="1">
      <c r="C30" s="922"/>
      <c r="D30" s="923"/>
      <c r="E30" s="923"/>
      <c r="F30" s="924"/>
      <c r="G30" s="923"/>
      <c r="H30" s="923"/>
      <c r="I30" s="924"/>
      <c r="J30" s="923"/>
      <c r="K30" s="923"/>
      <c r="L30" s="924"/>
      <c r="M30" s="923"/>
      <c r="N30" s="923"/>
      <c r="O30" s="923"/>
      <c r="P30" s="925"/>
      <c r="Z30" s="92" t="s">
        <v>483</v>
      </c>
    </row>
    <row r="31" spans="3:26" hidden="1">
      <c r="C31" s="925"/>
      <c r="D31" s="923"/>
      <c r="E31" s="923"/>
      <c r="F31" s="923"/>
      <c r="G31" s="923"/>
      <c r="H31" s="923"/>
      <c r="I31" s="923"/>
      <c r="J31" s="923"/>
      <c r="K31" s="923"/>
      <c r="L31" s="923"/>
      <c r="M31" s="923"/>
      <c r="N31" s="923"/>
      <c r="O31" s="923"/>
      <c r="P31" s="925"/>
      <c r="Z31" s="92" t="s">
        <v>483</v>
      </c>
    </row>
    <row r="32" spans="3:26" ht="12.75" hidden="1" customHeight="1">
      <c r="C32" s="922"/>
      <c r="D32" s="923"/>
      <c r="E32" s="923"/>
      <c r="F32" s="924"/>
      <c r="G32" s="923"/>
      <c r="H32" s="923"/>
      <c r="I32" s="924"/>
      <c r="J32" s="923"/>
      <c r="K32" s="923"/>
      <c r="L32" s="924"/>
      <c r="M32" s="923"/>
      <c r="N32" s="923"/>
      <c r="O32" s="923"/>
      <c r="P32" s="925"/>
      <c r="Z32" s="92" t="s">
        <v>483</v>
      </c>
    </row>
    <row r="33" spans="3:26" hidden="1">
      <c r="C33" s="922"/>
      <c r="D33" s="923"/>
      <c r="E33" s="923"/>
      <c r="F33" s="924"/>
      <c r="G33" s="923"/>
      <c r="H33" s="923"/>
      <c r="I33" s="924"/>
      <c r="J33" s="923"/>
      <c r="K33" s="923"/>
      <c r="L33" s="924"/>
      <c r="M33" s="923"/>
      <c r="N33" s="923"/>
      <c r="O33" s="923"/>
      <c r="P33" s="925"/>
      <c r="Z33" s="92" t="s">
        <v>483</v>
      </c>
    </row>
    <row r="34" spans="3:26" hidden="1">
      <c r="C34" s="922"/>
      <c r="D34" s="923"/>
      <c r="E34" s="923"/>
      <c r="F34" s="924"/>
      <c r="G34" s="923"/>
      <c r="H34" s="923"/>
      <c r="I34" s="924"/>
      <c r="J34" s="923"/>
      <c r="K34" s="923"/>
      <c r="L34" s="924"/>
      <c r="M34" s="923"/>
      <c r="N34" s="923"/>
      <c r="O34" s="923"/>
      <c r="P34" s="925"/>
      <c r="Z34" s="92" t="s">
        <v>483</v>
      </c>
    </row>
    <row r="35" spans="3:26" hidden="1">
      <c r="C35" s="922"/>
      <c r="D35" s="923"/>
      <c r="E35" s="923"/>
      <c r="F35" s="924"/>
      <c r="G35" s="923"/>
      <c r="H35" s="923"/>
      <c r="I35" s="924"/>
      <c r="J35" s="923"/>
      <c r="K35" s="923"/>
      <c r="L35" s="924"/>
      <c r="M35" s="923"/>
      <c r="N35" s="923"/>
      <c r="O35" s="923"/>
      <c r="P35" s="925"/>
      <c r="Z35" s="92" t="s">
        <v>483</v>
      </c>
    </row>
    <row r="36" spans="3:26" hidden="1">
      <c r="C36" s="922"/>
      <c r="D36" s="923"/>
      <c r="E36" s="923"/>
      <c r="F36" s="924"/>
      <c r="G36" s="923"/>
      <c r="H36" s="923"/>
      <c r="I36" s="924"/>
      <c r="J36" s="923"/>
      <c r="K36" s="923"/>
      <c r="L36" s="924"/>
      <c r="M36" s="923"/>
      <c r="N36" s="923"/>
      <c r="O36" s="923"/>
      <c r="P36" s="925"/>
      <c r="Z36" s="92" t="s">
        <v>483</v>
      </c>
    </row>
    <row r="37" spans="3:26" ht="12.75" hidden="1" customHeight="1">
      <c r="C37" s="922"/>
      <c r="D37" s="923"/>
      <c r="E37" s="923"/>
      <c r="F37" s="924"/>
      <c r="G37" s="923"/>
      <c r="H37" s="923"/>
      <c r="I37" s="924"/>
      <c r="J37" s="923"/>
      <c r="K37" s="923"/>
      <c r="L37" s="924"/>
      <c r="M37" s="923"/>
      <c r="N37" s="923"/>
      <c r="O37" s="923"/>
      <c r="P37" s="925"/>
      <c r="Z37" s="92" t="s">
        <v>483</v>
      </c>
    </row>
    <row r="38" spans="3:26" ht="25.5" hidden="1" customHeight="1">
      <c r="C38" s="922"/>
      <c r="D38" s="923"/>
      <c r="E38" s="923"/>
      <c r="F38" s="924"/>
      <c r="G38" s="923"/>
      <c r="H38" s="923"/>
      <c r="I38" s="924"/>
      <c r="J38" s="923"/>
      <c r="K38" s="923"/>
      <c r="L38" s="924"/>
      <c r="M38" s="923"/>
      <c r="N38" s="923"/>
      <c r="O38" s="923"/>
      <c r="P38" s="925"/>
      <c r="Z38" s="92" t="s">
        <v>483</v>
      </c>
    </row>
    <row r="39" spans="3:26" ht="18" hidden="1" customHeight="1">
      <c r="C39" s="927" t="s">
        <v>98</v>
      </c>
      <c r="D39" s="928">
        <f>SUM(D29:D38)</f>
        <v>0</v>
      </c>
      <c r="E39" s="928"/>
      <c r="F39" s="928">
        <f>SUM(F29:F38)</f>
        <v>0</v>
      </c>
      <c r="G39" s="928">
        <f>SUM(G29:G38)</f>
        <v>0</v>
      </c>
      <c r="H39" s="928"/>
      <c r="I39" s="928">
        <f>SUM(I29:I38)</f>
        <v>0</v>
      </c>
      <c r="J39" s="928">
        <f>SUM(J29:J38)</f>
        <v>0</v>
      </c>
      <c r="K39" s="928"/>
      <c r="L39" s="928">
        <f>SUM(L29:L38)</f>
        <v>0</v>
      </c>
      <c r="M39" s="928">
        <f>SUM(M29:M38)</f>
        <v>0</v>
      </c>
      <c r="N39" s="928"/>
      <c r="O39" s="928">
        <f>SUM(O29:O38)</f>
        <v>0</v>
      </c>
      <c r="P39" s="925"/>
    </row>
    <row r="40" spans="3:26" hidden="1">
      <c r="C40" s="95"/>
      <c r="D40" s="931"/>
      <c r="E40" s="931"/>
      <c r="F40" s="931"/>
      <c r="G40" s="931"/>
      <c r="H40" s="931"/>
      <c r="I40" s="931"/>
      <c r="J40" s="931"/>
      <c r="K40" s="932"/>
      <c r="L40" s="931"/>
      <c r="M40" s="931"/>
      <c r="N40" s="931"/>
      <c r="O40" s="931"/>
      <c r="P40" s="95"/>
    </row>
    <row r="41" spans="3:26" ht="39" hidden="1" customHeight="1">
      <c r="C41" s="933" t="s">
        <v>449</v>
      </c>
      <c r="D41" s="421">
        <f>SUM(D24,D39)</f>
        <v>3587.3989999999999</v>
      </c>
      <c r="E41" s="421"/>
      <c r="F41" s="421">
        <f>SUM(F24,F39)</f>
        <v>2613.2174736719999</v>
      </c>
      <c r="G41" s="421">
        <f>SUM(G24,G39)</f>
        <v>888.601</v>
      </c>
      <c r="H41" s="421"/>
      <c r="I41" s="421">
        <f>SUM(I24,I39)</f>
        <v>113.457998328</v>
      </c>
      <c r="J41" s="421">
        <f>SUM(J24,J39)</f>
        <v>0</v>
      </c>
      <c r="K41" s="421"/>
      <c r="L41" s="421">
        <f>SUM(L24,L39)</f>
        <v>1662.9048812866899</v>
      </c>
      <c r="M41" s="421">
        <f>SUM(M24,M39)</f>
        <v>0</v>
      </c>
      <c r="N41" s="421"/>
      <c r="O41" s="421">
        <f>SUM(O24,O39)</f>
        <v>0</v>
      </c>
      <c r="P41" s="925"/>
    </row>
    <row r="42" spans="3:26" ht="19.5" customHeight="1">
      <c r="C42" s="920" t="str">
        <f>Notes!$C$5</f>
        <v>Base Year</v>
      </c>
    </row>
    <row r="43" spans="3:26">
      <c r="C43" s="920"/>
    </row>
    <row r="44" spans="3:26" ht="11.25" customHeight="1">
      <c r="C44" s="1734" t="s">
        <v>413</v>
      </c>
      <c r="D44" s="1734"/>
      <c r="E44" s="1734"/>
      <c r="F44" s="1734"/>
      <c r="G44" s="1734"/>
      <c r="H44" s="1734"/>
      <c r="I44" s="1734"/>
      <c r="J44" s="1734"/>
      <c r="K44" s="1734"/>
      <c r="L44" s="1734"/>
      <c r="M44" s="1734"/>
      <c r="N44" s="1734"/>
      <c r="O44" s="1734"/>
      <c r="P44" s="921"/>
    </row>
    <row r="45" spans="3:26">
      <c r="C45" s="1780"/>
      <c r="D45" s="1780"/>
      <c r="E45" s="1780"/>
      <c r="F45" s="1780"/>
      <c r="G45" s="1780"/>
      <c r="H45" s="1780"/>
      <c r="I45" s="1780"/>
      <c r="J45" s="1780"/>
      <c r="K45" s="1780"/>
      <c r="L45" s="1780"/>
      <c r="M45" s="1780"/>
      <c r="N45" s="1780"/>
      <c r="O45" s="1780"/>
      <c r="P45" s="921"/>
    </row>
    <row r="46" spans="3:26" ht="11.25" customHeight="1">
      <c r="C46" s="1771" t="s">
        <v>407</v>
      </c>
      <c r="D46" s="1726" t="s">
        <v>502</v>
      </c>
      <c r="E46" s="1726"/>
      <c r="F46" s="1726"/>
      <c r="G46" s="1726" t="s">
        <v>404</v>
      </c>
      <c r="H46" s="1726"/>
      <c r="I46" s="1726"/>
      <c r="J46" s="1726"/>
      <c r="K46" s="1726"/>
      <c r="L46" s="1726"/>
      <c r="M46" s="1726"/>
      <c r="N46" s="1726"/>
      <c r="O46" s="1726"/>
      <c r="P46" s="1771" t="s">
        <v>365</v>
      </c>
    </row>
    <row r="47" spans="3:26" ht="27" customHeight="1">
      <c r="C47" s="1771"/>
      <c r="D47" s="1726"/>
      <c r="E47" s="1726"/>
      <c r="F47" s="1726"/>
      <c r="G47" s="1726" t="s">
        <v>503</v>
      </c>
      <c r="H47" s="1726"/>
      <c r="I47" s="1726"/>
      <c r="J47" s="1726" t="s">
        <v>409</v>
      </c>
      <c r="K47" s="1726"/>
      <c r="L47" s="1726"/>
      <c r="M47" s="1726" t="s">
        <v>410</v>
      </c>
      <c r="N47" s="1726"/>
      <c r="O47" s="1726"/>
      <c r="P47" s="1771"/>
    </row>
    <row r="48" spans="3:26" ht="31.5">
      <c r="C48" s="1771"/>
      <c r="D48" s="170" t="s">
        <v>89</v>
      </c>
      <c r="E48" s="170" t="s">
        <v>90</v>
      </c>
      <c r="F48" s="170" t="s">
        <v>383</v>
      </c>
      <c r="G48" s="170" t="s">
        <v>89</v>
      </c>
      <c r="H48" s="170" t="s">
        <v>90</v>
      </c>
      <c r="I48" s="170" t="s">
        <v>383</v>
      </c>
      <c r="J48" s="170" t="s">
        <v>89</v>
      </c>
      <c r="K48" s="170" t="s">
        <v>90</v>
      </c>
      <c r="L48" s="170" t="s">
        <v>383</v>
      </c>
      <c r="M48" s="170" t="s">
        <v>89</v>
      </c>
      <c r="N48" s="170" t="s">
        <v>90</v>
      </c>
      <c r="O48" s="170" t="s">
        <v>383</v>
      </c>
      <c r="P48" s="1771"/>
    </row>
    <row r="49" spans="3:26" ht="18" customHeight="1">
      <c r="C49" s="925" t="s">
        <v>588</v>
      </c>
      <c r="D49" s="923">
        <f>1025-G49</f>
        <v>183.02919999999995</v>
      </c>
      <c r="E49" s="923">
        <v>61.92</v>
      </c>
      <c r="F49" s="923">
        <f>D49*E49*12*1000/10^7</f>
        <v>13.599801676799999</v>
      </c>
      <c r="G49" s="923">
        <f>G14*1.1</f>
        <v>841.97080000000005</v>
      </c>
      <c r="H49" s="923">
        <f>E49</f>
        <v>61.92</v>
      </c>
      <c r="I49" s="923">
        <f>G49*H49*12*1000/10^7</f>
        <v>62.561798323200001</v>
      </c>
      <c r="J49" s="923"/>
      <c r="K49" s="923"/>
      <c r="L49" s="923">
        <f>F49+I49</f>
        <v>76.161599999999993</v>
      </c>
      <c r="M49" s="923"/>
      <c r="N49" s="923"/>
      <c r="O49" s="923"/>
      <c r="P49" s="925"/>
      <c r="R49" s="92">
        <v>1045</v>
      </c>
      <c r="Z49" s="92" t="s">
        <v>484</v>
      </c>
    </row>
    <row r="50" spans="3:26" ht="18" customHeight="1">
      <c r="C50" s="925" t="s">
        <v>589</v>
      </c>
      <c r="D50" s="923">
        <f>1309-G50</f>
        <v>1173.5097000000001</v>
      </c>
      <c r="E50" s="923">
        <v>489.07</v>
      </c>
      <c r="F50" s="923">
        <f>D50*E50*12*1000/10^7</f>
        <v>688.71406677480002</v>
      </c>
      <c r="G50" s="923">
        <f>G15*1.1</f>
        <v>135.49030000000002</v>
      </c>
      <c r="H50" s="923">
        <f>E50</f>
        <v>489.07</v>
      </c>
      <c r="I50" s="923">
        <f>G50*H50*12*1000/10^7</f>
        <v>79.51708922520001</v>
      </c>
      <c r="J50" s="923"/>
      <c r="K50" s="923"/>
      <c r="L50" s="923">
        <f t="shared" ref="L50:L51" si="0">F50+I50</f>
        <v>768.23115600000006</v>
      </c>
      <c r="M50" s="923"/>
      <c r="N50" s="923"/>
      <c r="O50" s="923"/>
      <c r="P50" s="925"/>
      <c r="R50" s="92">
        <v>1309</v>
      </c>
      <c r="Z50" s="92" t="s">
        <v>484</v>
      </c>
    </row>
    <row r="51" spans="3:26" ht="18" customHeight="1">
      <c r="C51" s="925" t="s">
        <v>590</v>
      </c>
      <c r="D51" s="923">
        <v>2497</v>
      </c>
      <c r="E51" s="923">
        <v>836.76</v>
      </c>
      <c r="F51" s="923">
        <f>D51*E51*12*1000/10^7</f>
        <v>2507.267664</v>
      </c>
      <c r="G51" s="923"/>
      <c r="H51" s="923"/>
      <c r="I51" s="923"/>
      <c r="J51" s="923"/>
      <c r="K51" s="923"/>
      <c r="L51" s="923">
        <f t="shared" si="0"/>
        <v>2507.267664</v>
      </c>
      <c r="M51" s="923"/>
      <c r="N51" s="923"/>
      <c r="O51" s="923"/>
      <c r="P51" s="925"/>
      <c r="R51" s="92">
        <v>2497</v>
      </c>
      <c r="Z51" s="92" t="s">
        <v>484</v>
      </c>
    </row>
    <row r="52" spans="3:26" ht="18" customHeight="1">
      <c r="C52" s="925" t="s">
        <v>562</v>
      </c>
      <c r="D52" s="923"/>
      <c r="E52" s="923"/>
      <c r="F52" s="923"/>
      <c r="G52" s="923"/>
      <c r="H52" s="923"/>
      <c r="I52" s="923"/>
      <c r="J52" s="923"/>
      <c r="K52" s="923"/>
      <c r="L52" s="923"/>
      <c r="M52" s="923"/>
      <c r="N52" s="923"/>
      <c r="O52" s="923"/>
      <c r="P52" s="926"/>
      <c r="Z52" s="92" t="s">
        <v>484</v>
      </c>
    </row>
    <row r="53" spans="3:26" ht="18" hidden="1" customHeight="1">
      <c r="C53" s="922"/>
      <c r="D53" s="923"/>
      <c r="E53" s="923"/>
      <c r="F53" s="924"/>
      <c r="G53" s="923"/>
      <c r="H53" s="923"/>
      <c r="I53" s="924"/>
      <c r="J53" s="923"/>
      <c r="K53" s="923"/>
      <c r="L53" s="924"/>
      <c r="M53" s="923"/>
      <c r="N53" s="923"/>
      <c r="O53" s="923"/>
      <c r="P53" s="925"/>
      <c r="Z53" s="92" t="s">
        <v>484</v>
      </c>
    </row>
    <row r="54" spans="3:26" ht="18" hidden="1" customHeight="1">
      <c r="C54" s="922"/>
      <c r="D54" s="923"/>
      <c r="E54" s="923"/>
      <c r="F54" s="924"/>
      <c r="G54" s="923"/>
      <c r="H54" s="923"/>
      <c r="I54" s="924"/>
      <c r="J54" s="923"/>
      <c r="K54" s="923"/>
      <c r="L54" s="924"/>
      <c r="M54" s="923"/>
      <c r="N54" s="923"/>
      <c r="O54" s="923"/>
      <c r="P54" s="926"/>
      <c r="Z54" s="92" t="s">
        <v>484</v>
      </c>
    </row>
    <row r="55" spans="3:26" ht="18" hidden="1" customHeight="1">
      <c r="C55" s="922"/>
      <c r="D55" s="923"/>
      <c r="E55" s="923"/>
      <c r="F55" s="924"/>
      <c r="G55" s="923"/>
      <c r="H55" s="923"/>
      <c r="I55" s="924"/>
      <c r="J55" s="923"/>
      <c r="K55" s="923"/>
      <c r="L55" s="924"/>
      <c r="M55" s="923"/>
      <c r="N55" s="923"/>
      <c r="O55" s="923"/>
      <c r="P55" s="926"/>
      <c r="Z55" s="92" t="s">
        <v>484</v>
      </c>
    </row>
    <row r="56" spans="3:26" ht="18" hidden="1" customHeight="1">
      <c r="C56" s="922"/>
      <c r="D56" s="923"/>
      <c r="E56" s="923"/>
      <c r="F56" s="924"/>
      <c r="G56" s="923"/>
      <c r="H56" s="923"/>
      <c r="I56" s="924"/>
      <c r="J56" s="923"/>
      <c r="K56" s="923"/>
      <c r="L56" s="924"/>
      <c r="M56" s="923"/>
      <c r="N56" s="923"/>
      <c r="O56" s="923"/>
      <c r="P56" s="925"/>
      <c r="Z56" s="92" t="s">
        <v>484</v>
      </c>
    </row>
    <row r="57" spans="3:26" ht="18" hidden="1" customHeight="1">
      <c r="C57" s="922"/>
      <c r="D57" s="923"/>
      <c r="E57" s="923"/>
      <c r="F57" s="924"/>
      <c r="G57" s="923"/>
      <c r="H57" s="923"/>
      <c r="I57" s="924"/>
      <c r="J57" s="923"/>
      <c r="K57" s="923"/>
      <c r="L57" s="924"/>
      <c r="M57" s="923"/>
      <c r="N57" s="923"/>
      <c r="O57" s="923"/>
      <c r="P57" s="925"/>
      <c r="Z57" s="92" t="s">
        <v>484</v>
      </c>
    </row>
    <row r="58" spans="3:26" ht="18" hidden="1" customHeight="1">
      <c r="C58" s="922"/>
      <c r="D58" s="923"/>
      <c r="E58" s="923"/>
      <c r="F58" s="924"/>
      <c r="G58" s="923"/>
      <c r="H58" s="923"/>
      <c r="I58" s="924"/>
      <c r="J58" s="923"/>
      <c r="K58" s="923"/>
      <c r="L58" s="924"/>
      <c r="M58" s="923"/>
      <c r="N58" s="923"/>
      <c r="O58" s="923"/>
      <c r="P58" s="925"/>
      <c r="Z58" s="92" t="s">
        <v>484</v>
      </c>
    </row>
    <row r="59" spans="3:26" ht="18" customHeight="1">
      <c r="C59" s="927" t="s">
        <v>98</v>
      </c>
      <c r="D59" s="928">
        <f>SUM(D49:D58)</f>
        <v>3853.5389</v>
      </c>
      <c r="E59" s="928"/>
      <c r="F59" s="928">
        <f>SUM(F49:F58)</f>
        <v>3209.5815324515997</v>
      </c>
      <c r="G59" s="928">
        <f>SUM(G49:G58)</f>
        <v>977.4611000000001</v>
      </c>
      <c r="H59" s="928"/>
      <c r="I59" s="928">
        <f>SUM(I49:I58)</f>
        <v>142.07888754840002</v>
      </c>
      <c r="J59" s="928">
        <f>SUM(J49:J58)</f>
        <v>0</v>
      </c>
      <c r="K59" s="928"/>
      <c r="L59" s="928">
        <f>SUM(L49:L58)</f>
        <v>3351.6604200000002</v>
      </c>
      <c r="M59" s="928">
        <f>SUM(M49:M58)</f>
        <v>0</v>
      </c>
      <c r="N59" s="928"/>
      <c r="O59" s="928">
        <f>SUM(O49:O58)</f>
        <v>0</v>
      </c>
      <c r="P59" s="925"/>
    </row>
    <row r="60" spans="3:26">
      <c r="C60" s="1778" t="s">
        <v>414</v>
      </c>
      <c r="D60" s="1779"/>
      <c r="E60" s="1779"/>
      <c r="F60" s="1779"/>
      <c r="G60" s="1419"/>
      <c r="H60" s="1419"/>
      <c r="I60" s="1419"/>
      <c r="J60" s="1419"/>
      <c r="K60" s="1419"/>
      <c r="L60" s="1419"/>
      <c r="M60" s="1419"/>
      <c r="N60" s="1419"/>
      <c r="O60" s="1419"/>
      <c r="P60" s="1420"/>
    </row>
    <row r="61" spans="3:26">
      <c r="C61" s="1771" t="s">
        <v>407</v>
      </c>
      <c r="D61" s="1726" t="s">
        <v>502</v>
      </c>
      <c r="E61" s="1726"/>
      <c r="F61" s="1726"/>
      <c r="G61" s="1726" t="s">
        <v>404</v>
      </c>
      <c r="H61" s="1726"/>
      <c r="I61" s="1726"/>
      <c r="J61" s="1726"/>
      <c r="K61" s="1726"/>
      <c r="L61" s="1726"/>
      <c r="M61" s="1726"/>
      <c r="N61" s="1726"/>
      <c r="O61" s="1726"/>
      <c r="P61" s="1771" t="s">
        <v>365</v>
      </c>
      <c r="Z61" s="301"/>
    </row>
    <row r="62" spans="3:26" ht="25.5" customHeight="1">
      <c r="C62" s="1771"/>
      <c r="D62" s="1726"/>
      <c r="E62" s="1726"/>
      <c r="F62" s="1726"/>
      <c r="G62" s="1726" t="s">
        <v>503</v>
      </c>
      <c r="H62" s="1726"/>
      <c r="I62" s="1726"/>
      <c r="J62" s="1726" t="s">
        <v>409</v>
      </c>
      <c r="K62" s="1726"/>
      <c r="L62" s="1726"/>
      <c r="M62" s="1726" t="s">
        <v>410</v>
      </c>
      <c r="N62" s="1726"/>
      <c r="O62" s="1726"/>
      <c r="P62" s="1771"/>
      <c r="Z62" s="301"/>
    </row>
    <row r="63" spans="3:26" ht="31.5">
      <c r="C63" s="1771"/>
      <c r="D63" s="170" t="s">
        <v>89</v>
      </c>
      <c r="E63" s="170" t="s">
        <v>90</v>
      </c>
      <c r="F63" s="170" t="s">
        <v>383</v>
      </c>
      <c r="G63" s="170" t="s">
        <v>89</v>
      </c>
      <c r="H63" s="170" t="s">
        <v>90</v>
      </c>
      <c r="I63" s="170" t="s">
        <v>383</v>
      </c>
      <c r="J63" s="170" t="s">
        <v>89</v>
      </c>
      <c r="K63" s="170" t="s">
        <v>90</v>
      </c>
      <c r="L63" s="170" t="s">
        <v>383</v>
      </c>
      <c r="M63" s="170" t="s">
        <v>89</v>
      </c>
      <c r="N63" s="170" t="s">
        <v>90</v>
      </c>
      <c r="O63" s="170" t="s">
        <v>383</v>
      </c>
      <c r="P63" s="1771"/>
      <c r="Z63" s="301"/>
    </row>
    <row r="64" spans="3:26" ht="12.75" hidden="1" customHeight="1">
      <c r="C64" s="922"/>
      <c r="D64" s="923"/>
      <c r="E64" s="923"/>
      <c r="F64" s="924"/>
      <c r="G64" s="923"/>
      <c r="H64" s="923"/>
      <c r="I64" s="924"/>
      <c r="J64" s="923"/>
      <c r="K64" s="923"/>
      <c r="L64" s="924"/>
      <c r="M64" s="923"/>
      <c r="N64" s="923"/>
      <c r="O64" s="923"/>
      <c r="P64" s="925"/>
      <c r="Z64" s="92" t="s">
        <v>483</v>
      </c>
    </row>
    <row r="65" spans="1:26" hidden="1">
      <c r="C65" s="922"/>
      <c r="D65" s="923"/>
      <c r="E65" s="923"/>
      <c r="F65" s="924"/>
      <c r="G65" s="923"/>
      <c r="H65" s="923"/>
      <c r="I65" s="924"/>
      <c r="J65" s="923"/>
      <c r="K65" s="923"/>
      <c r="L65" s="924"/>
      <c r="M65" s="923"/>
      <c r="N65" s="923"/>
      <c r="O65" s="923"/>
      <c r="P65" s="925"/>
      <c r="Z65" s="92" t="s">
        <v>483</v>
      </c>
    </row>
    <row r="66" spans="1:26">
      <c r="C66" s="925"/>
      <c r="D66" s="923"/>
      <c r="E66" s="923"/>
      <c r="F66" s="923"/>
      <c r="G66" s="923"/>
      <c r="H66" s="923"/>
      <c r="I66" s="923"/>
      <c r="J66" s="923"/>
      <c r="K66" s="923"/>
      <c r="L66" s="923"/>
      <c r="M66" s="923"/>
      <c r="N66" s="923"/>
      <c r="O66" s="923"/>
      <c r="P66" s="925"/>
      <c r="Z66" s="92" t="s">
        <v>483</v>
      </c>
    </row>
    <row r="67" spans="1:26" ht="12.75" hidden="1" customHeight="1">
      <c r="C67" s="922"/>
      <c r="D67" s="923"/>
      <c r="E67" s="923"/>
      <c r="F67" s="924"/>
      <c r="G67" s="923"/>
      <c r="H67" s="923"/>
      <c r="I67" s="924"/>
      <c r="J67" s="923"/>
      <c r="K67" s="923"/>
      <c r="L67" s="924"/>
      <c r="M67" s="923"/>
      <c r="N67" s="923"/>
      <c r="O67" s="923"/>
      <c r="P67" s="925"/>
      <c r="Z67" s="92" t="s">
        <v>483</v>
      </c>
    </row>
    <row r="68" spans="1:26" hidden="1">
      <c r="C68" s="922"/>
      <c r="D68" s="923"/>
      <c r="E68" s="923"/>
      <c r="F68" s="924"/>
      <c r="G68" s="923"/>
      <c r="H68" s="923"/>
      <c r="I68" s="924"/>
      <c r="J68" s="923"/>
      <c r="K68" s="923"/>
      <c r="L68" s="924"/>
      <c r="M68" s="923"/>
      <c r="N68" s="923"/>
      <c r="O68" s="923"/>
      <c r="P68" s="925"/>
      <c r="Z68" s="92" t="s">
        <v>483</v>
      </c>
    </row>
    <row r="69" spans="1:26" hidden="1">
      <c r="C69" s="922"/>
      <c r="D69" s="923"/>
      <c r="E69" s="923"/>
      <c r="F69" s="924"/>
      <c r="G69" s="923"/>
      <c r="H69" s="923"/>
      <c r="I69" s="924"/>
      <c r="J69" s="923"/>
      <c r="K69" s="923"/>
      <c r="L69" s="924"/>
      <c r="M69" s="923"/>
      <c r="N69" s="923"/>
      <c r="O69" s="923"/>
      <c r="P69" s="925"/>
      <c r="Z69" s="92" t="s">
        <v>483</v>
      </c>
    </row>
    <row r="70" spans="1:26" hidden="1">
      <c r="C70" s="922"/>
      <c r="D70" s="923"/>
      <c r="E70" s="923"/>
      <c r="F70" s="924"/>
      <c r="G70" s="923"/>
      <c r="H70" s="923"/>
      <c r="I70" s="924"/>
      <c r="J70" s="923"/>
      <c r="K70" s="923"/>
      <c r="L70" s="924"/>
      <c r="M70" s="923"/>
      <c r="N70" s="923"/>
      <c r="O70" s="923"/>
      <c r="P70" s="925"/>
      <c r="Z70" s="92" t="s">
        <v>483</v>
      </c>
    </row>
    <row r="71" spans="1:26" hidden="1">
      <c r="C71" s="922"/>
      <c r="D71" s="923"/>
      <c r="E71" s="923"/>
      <c r="F71" s="924"/>
      <c r="G71" s="923"/>
      <c r="H71" s="923"/>
      <c r="I71" s="924"/>
      <c r="J71" s="923"/>
      <c r="K71" s="923"/>
      <c r="L71" s="924"/>
      <c r="M71" s="923"/>
      <c r="N71" s="923"/>
      <c r="O71" s="923"/>
      <c r="P71" s="925"/>
      <c r="Z71" s="92" t="s">
        <v>483</v>
      </c>
    </row>
    <row r="72" spans="1:26" ht="12.75" hidden="1" customHeight="1">
      <c r="C72" s="922"/>
      <c r="D72" s="923"/>
      <c r="E72" s="923"/>
      <c r="F72" s="924"/>
      <c r="G72" s="923"/>
      <c r="H72" s="923"/>
      <c r="I72" s="924"/>
      <c r="J72" s="923"/>
      <c r="K72" s="923"/>
      <c r="L72" s="924"/>
      <c r="M72" s="923"/>
      <c r="N72" s="923"/>
      <c r="O72" s="923"/>
      <c r="P72" s="925"/>
      <c r="Z72" s="92" t="s">
        <v>483</v>
      </c>
    </row>
    <row r="73" spans="1:26" ht="25.5" hidden="1" customHeight="1">
      <c r="C73" s="922"/>
      <c r="D73" s="923"/>
      <c r="E73" s="923"/>
      <c r="F73" s="924"/>
      <c r="G73" s="923"/>
      <c r="H73" s="923"/>
      <c r="I73" s="924"/>
      <c r="J73" s="923"/>
      <c r="K73" s="923"/>
      <c r="L73" s="924"/>
      <c r="M73" s="923"/>
      <c r="N73" s="923"/>
      <c r="O73" s="923"/>
      <c r="P73" s="925"/>
      <c r="Z73" s="92" t="s">
        <v>483</v>
      </c>
    </row>
    <row r="74" spans="1:26" ht="18" customHeight="1">
      <c r="C74" s="927" t="s">
        <v>98</v>
      </c>
      <c r="D74" s="928">
        <f>SUM(D64:D73)</f>
        <v>0</v>
      </c>
      <c r="E74" s="928"/>
      <c r="F74" s="928">
        <f>SUM(F64:F73)</f>
        <v>0</v>
      </c>
      <c r="G74" s="928">
        <f>SUM(G64:G73)</f>
        <v>0</v>
      </c>
      <c r="H74" s="928"/>
      <c r="I74" s="928">
        <f>SUM(I64:I73)</f>
        <v>0</v>
      </c>
      <c r="J74" s="928">
        <f>SUM(J64:J73)</f>
        <v>0</v>
      </c>
      <c r="K74" s="928"/>
      <c r="L74" s="928">
        <f>SUM(L64:L73)</f>
        <v>0</v>
      </c>
      <c r="M74" s="928">
        <f>SUM(M64:M73)</f>
        <v>0</v>
      </c>
      <c r="N74" s="928"/>
      <c r="O74" s="928">
        <f>SUM(O64:O73)</f>
        <v>0</v>
      </c>
      <c r="P74" s="925"/>
    </row>
    <row r="75" spans="1:26">
      <c r="C75" s="95"/>
      <c r="D75" s="931"/>
      <c r="E75" s="931"/>
      <c r="F75" s="931"/>
      <c r="G75" s="931"/>
      <c r="H75" s="931"/>
      <c r="I75" s="931"/>
      <c r="J75" s="931"/>
      <c r="K75" s="932"/>
      <c r="L75" s="931"/>
      <c r="M75" s="931"/>
      <c r="N75" s="931"/>
      <c r="O75" s="931"/>
      <c r="P75" s="95"/>
    </row>
    <row r="76" spans="1:26" ht="31.5">
      <c r="C76" s="933" t="s">
        <v>449</v>
      </c>
      <c r="D76" s="421">
        <f>SUM(D59,D74)</f>
        <v>3853.5389</v>
      </c>
      <c r="E76" s="421"/>
      <c r="F76" s="421">
        <f>SUM(F59,F74)</f>
        <v>3209.5815324515997</v>
      </c>
      <c r="G76" s="421">
        <f>SUM(G59,G74)</f>
        <v>977.4611000000001</v>
      </c>
      <c r="H76" s="421"/>
      <c r="I76" s="421">
        <f>SUM(I59,I74)</f>
        <v>142.07888754840002</v>
      </c>
      <c r="J76" s="421">
        <f>SUM(J59,J74)</f>
        <v>0</v>
      </c>
      <c r="K76" s="421"/>
      <c r="L76" s="421">
        <f>SUM(L59,L74)</f>
        <v>3351.6604200000002</v>
      </c>
      <c r="M76" s="421">
        <f>SUM(M59,M74)</f>
        <v>0</v>
      </c>
      <c r="N76" s="421"/>
      <c r="O76" s="421">
        <f>SUM(O59,O74)</f>
        <v>0</v>
      </c>
      <c r="P76" s="925"/>
    </row>
    <row r="77" spans="1:26">
      <c r="C77" s="934"/>
      <c r="D77" s="935"/>
      <c r="E77" s="935"/>
      <c r="F77" s="935"/>
      <c r="G77" s="935"/>
      <c r="H77" s="935"/>
      <c r="I77" s="935"/>
      <c r="J77" s="935"/>
      <c r="K77" s="935"/>
      <c r="L77" s="935"/>
      <c r="M77" s="935"/>
      <c r="N77" s="935"/>
      <c r="O77" s="935"/>
      <c r="P77" s="936"/>
    </row>
    <row r="78" spans="1:26">
      <c r="C78" s="937"/>
      <c r="D78" s="935"/>
      <c r="E78" s="935"/>
      <c r="F78" s="935"/>
      <c r="G78" s="935"/>
      <c r="H78" s="935"/>
      <c r="I78" s="935"/>
      <c r="J78" s="935"/>
      <c r="K78" s="938"/>
      <c r="L78" s="935"/>
      <c r="M78" s="935"/>
      <c r="N78" s="935"/>
      <c r="O78" s="935"/>
      <c r="P78" s="270"/>
    </row>
    <row r="79" spans="1:26" ht="16.5" customHeight="1">
      <c r="A79" s="303" t="s">
        <v>575</v>
      </c>
      <c r="C79" s="934" t="str">
        <f>Notes!$C$6</f>
        <v>FY 2024-25</v>
      </c>
      <c r="D79" s="935"/>
      <c r="E79" s="935"/>
      <c r="F79" s="935"/>
      <c r="G79" s="935"/>
      <c r="H79" s="935"/>
      <c r="I79" s="935"/>
      <c r="J79" s="935"/>
      <c r="K79" s="938"/>
      <c r="L79" s="935"/>
      <c r="M79" s="935"/>
      <c r="N79" s="935"/>
      <c r="O79" s="935"/>
      <c r="P79" s="270"/>
    </row>
    <row r="80" spans="1:26" ht="11.25" customHeight="1">
      <c r="C80" s="1734" t="s">
        <v>413</v>
      </c>
      <c r="D80" s="1734"/>
      <c r="E80" s="1734"/>
      <c r="F80" s="1734"/>
      <c r="G80" s="1734"/>
      <c r="H80" s="1734"/>
      <c r="I80" s="1734"/>
      <c r="J80" s="1734"/>
      <c r="K80" s="1734"/>
      <c r="L80" s="1734"/>
      <c r="M80" s="1734"/>
      <c r="N80" s="1734"/>
      <c r="O80" s="1734"/>
      <c r="P80" s="921"/>
    </row>
    <row r="81" spans="3:26">
      <c r="C81" s="1780"/>
      <c r="D81" s="1780"/>
      <c r="E81" s="1780"/>
      <c r="F81" s="1780"/>
      <c r="G81" s="1780"/>
      <c r="H81" s="1780"/>
      <c r="I81" s="1780"/>
      <c r="J81" s="1780"/>
      <c r="K81" s="1780"/>
      <c r="L81" s="1780"/>
      <c r="M81" s="1780"/>
      <c r="N81" s="1780"/>
      <c r="O81" s="1780"/>
      <c r="P81" s="921"/>
    </row>
    <row r="82" spans="3:26" s="270" customFormat="1" ht="21.75" customHeight="1">
      <c r="C82" s="1781" t="s">
        <v>407</v>
      </c>
      <c r="D82" s="1784" t="s">
        <v>502</v>
      </c>
      <c r="E82" s="1785"/>
      <c r="F82" s="1786"/>
      <c r="G82" s="1775" t="s">
        <v>404</v>
      </c>
      <c r="H82" s="1776"/>
      <c r="I82" s="1776"/>
      <c r="J82" s="1776"/>
      <c r="K82" s="1776"/>
      <c r="L82" s="1776"/>
      <c r="M82" s="1776"/>
      <c r="N82" s="1776"/>
      <c r="O82" s="1777"/>
      <c r="P82" s="1771" t="s">
        <v>365</v>
      </c>
    </row>
    <row r="83" spans="3:26" s="270" customFormat="1" ht="29.25" customHeight="1">
      <c r="C83" s="1782"/>
      <c r="D83" s="1741"/>
      <c r="E83" s="1742"/>
      <c r="F83" s="1743"/>
      <c r="G83" s="1726" t="s">
        <v>503</v>
      </c>
      <c r="H83" s="1726"/>
      <c r="I83" s="1726"/>
      <c r="J83" s="1726" t="s">
        <v>409</v>
      </c>
      <c r="K83" s="1726"/>
      <c r="L83" s="1726"/>
      <c r="M83" s="1726" t="s">
        <v>410</v>
      </c>
      <c r="N83" s="1726"/>
      <c r="O83" s="1726"/>
      <c r="P83" s="1771"/>
    </row>
    <row r="84" spans="3:26" ht="36.75" customHeight="1">
      <c r="C84" s="1783"/>
      <c r="D84" s="939" t="s">
        <v>89</v>
      </c>
      <c r="E84" s="939" t="s">
        <v>90</v>
      </c>
      <c r="F84" s="939" t="s">
        <v>383</v>
      </c>
      <c r="G84" s="939" t="s">
        <v>89</v>
      </c>
      <c r="H84" s="939" t="s">
        <v>90</v>
      </c>
      <c r="I84" s="939" t="s">
        <v>383</v>
      </c>
      <c r="J84" s="939" t="s">
        <v>89</v>
      </c>
      <c r="K84" s="939" t="s">
        <v>90</v>
      </c>
      <c r="L84" s="939" t="s">
        <v>383</v>
      </c>
      <c r="M84" s="939" t="s">
        <v>89</v>
      </c>
      <c r="N84" s="939" t="s">
        <v>90</v>
      </c>
      <c r="O84" s="939" t="s">
        <v>383</v>
      </c>
      <c r="P84" s="1771"/>
    </row>
    <row r="85" spans="3:26" ht="18" customHeight="1">
      <c r="C85" s="925" t="s">
        <v>588</v>
      </c>
      <c r="D85" s="923">
        <v>0</v>
      </c>
      <c r="E85" s="923">
        <v>64.260376884546389</v>
      </c>
      <c r="F85" s="923">
        <f>(D85*E85*12*10^3)/10^7</f>
        <v>0</v>
      </c>
      <c r="G85" s="980">
        <v>494.64833985415356</v>
      </c>
      <c r="H85" s="923">
        <v>64.260376884546389</v>
      </c>
      <c r="I85" s="923">
        <f>G85*H85*12*1000/10^7</f>
        <v>38.143546493211716</v>
      </c>
      <c r="J85" s="923"/>
      <c r="K85" s="923"/>
      <c r="L85" s="923"/>
      <c r="M85" s="923"/>
      <c r="N85" s="923"/>
      <c r="O85" s="923"/>
      <c r="P85" s="925"/>
      <c r="Z85" s="92" t="s">
        <v>484</v>
      </c>
    </row>
    <row r="86" spans="3:26" ht="18" customHeight="1">
      <c r="C86" s="925" t="s">
        <v>589</v>
      </c>
      <c r="D86" s="923">
        <f>698.632255466721-G86</f>
        <v>213.28059532087451</v>
      </c>
      <c r="E86" s="923">
        <v>671.4760691531875</v>
      </c>
      <c r="F86" s="923">
        <f>(D86*E86*12*10^3)/10^7</f>
        <v>171.85537892725503</v>
      </c>
      <c r="G86" s="980">
        <v>485.35166014584644</v>
      </c>
      <c r="H86" s="923">
        <v>671.4760691531875</v>
      </c>
      <c r="I86" s="923">
        <f>G86*H86*12*1000/10^7</f>
        <v>391.08242989404806</v>
      </c>
      <c r="J86" s="923"/>
      <c r="K86" s="923"/>
      <c r="L86" s="923"/>
      <c r="M86" s="923"/>
      <c r="N86" s="923"/>
      <c r="O86" s="923"/>
      <c r="P86" s="925"/>
      <c r="R86" s="104"/>
      <c r="S86" s="104"/>
      <c r="Z86" s="92" t="s">
        <v>484</v>
      </c>
    </row>
    <row r="87" spans="3:26" ht="18" customHeight="1">
      <c r="C87" s="925" t="s">
        <v>590</v>
      </c>
      <c r="D87" s="923">
        <v>2202.3048616488436</v>
      </c>
      <c r="E87" s="923">
        <v>855.80226315482412</v>
      </c>
      <c r="F87" s="923">
        <f>(D87*E87*12*10^3)/10^7</f>
        <v>2261.6849817071425</v>
      </c>
      <c r="G87" s="923"/>
      <c r="H87" s="923"/>
      <c r="I87" s="923"/>
      <c r="J87" s="923"/>
      <c r="K87" s="923"/>
      <c r="L87" s="923"/>
      <c r="M87" s="923"/>
      <c r="N87" s="923"/>
      <c r="O87" s="923"/>
      <c r="P87" s="925"/>
      <c r="R87" s="104"/>
      <c r="Z87" s="92" t="s">
        <v>484</v>
      </c>
    </row>
    <row r="88" spans="3:26" ht="18" customHeight="1">
      <c r="C88" s="925" t="s">
        <v>562</v>
      </c>
      <c r="D88" s="923">
        <f>SUM(D85:D87)</f>
        <v>2415.5854569697181</v>
      </c>
      <c r="E88" s="923"/>
      <c r="F88" s="923">
        <f>SUM(F85:F87)</f>
        <v>2433.5403606343975</v>
      </c>
      <c r="G88" s="923"/>
      <c r="H88" s="923"/>
      <c r="I88" s="923"/>
      <c r="J88" s="923"/>
      <c r="K88" s="923"/>
      <c r="L88" s="923"/>
      <c r="M88" s="923"/>
      <c r="N88" s="923"/>
      <c r="O88" s="923"/>
      <c r="P88" s="926"/>
      <c r="Z88" s="92" t="s">
        <v>484</v>
      </c>
    </row>
    <row r="89" spans="3:26" ht="18" customHeight="1">
      <c r="C89" s="925"/>
      <c r="D89" s="923"/>
      <c r="E89" s="923"/>
      <c r="F89" s="923"/>
      <c r="G89" s="923"/>
      <c r="H89" s="923"/>
      <c r="I89" s="923"/>
      <c r="J89" s="923"/>
      <c r="K89" s="923"/>
      <c r="L89" s="923"/>
      <c r="M89" s="923"/>
      <c r="N89" s="923"/>
      <c r="O89" s="923"/>
      <c r="P89" s="925"/>
      <c r="R89" s="104"/>
      <c r="Z89" s="92" t="s">
        <v>484</v>
      </c>
    </row>
    <row r="90" spans="3:26">
      <c r="C90" s="922"/>
      <c r="D90" s="923"/>
      <c r="E90" s="923"/>
      <c r="F90" s="924"/>
      <c r="G90" s="923"/>
      <c r="H90" s="923"/>
      <c r="I90" s="924"/>
      <c r="J90" s="923"/>
      <c r="K90" s="923"/>
      <c r="L90" s="924"/>
      <c r="M90" s="923"/>
      <c r="N90" s="923"/>
      <c r="O90" s="923"/>
      <c r="P90" s="925"/>
      <c r="Z90" s="92" t="s">
        <v>484</v>
      </c>
    </row>
    <row r="91" spans="3:26" ht="18" customHeight="1">
      <c r="C91" s="927" t="s">
        <v>98</v>
      </c>
      <c r="D91" s="928">
        <f>D88</f>
        <v>2415.5854569697181</v>
      </c>
      <c r="E91" s="928"/>
      <c r="F91" s="928">
        <f>SUM(F88:F90)</f>
        <v>2433.5403606343975</v>
      </c>
      <c r="G91" s="928">
        <f>SUM(G85:G90)</f>
        <v>980</v>
      </c>
      <c r="H91" s="928"/>
      <c r="I91" s="928">
        <f>SUM(I85:I90)</f>
        <v>429.22597638725978</v>
      </c>
      <c r="J91" s="928">
        <f>SUM(J85:J90)</f>
        <v>0</v>
      </c>
      <c r="K91" s="928"/>
      <c r="L91" s="928">
        <f>SUM(L85:L90)</f>
        <v>0</v>
      </c>
      <c r="M91" s="928">
        <f>SUM(M85:M90)</f>
        <v>0</v>
      </c>
      <c r="N91" s="928"/>
      <c r="O91" s="928">
        <f>SUM(O85:O90)</f>
        <v>0</v>
      </c>
      <c r="P91" s="925"/>
    </row>
    <row r="92" spans="3:26" ht="18" customHeight="1">
      <c r="C92" s="1780" t="s">
        <v>414</v>
      </c>
      <c r="D92" s="1780"/>
      <c r="E92" s="1780"/>
      <c r="F92" s="1780"/>
      <c r="G92" s="940"/>
      <c r="H92" s="940"/>
      <c r="I92" s="940"/>
      <c r="J92" s="940"/>
      <c r="K92" s="940"/>
      <c r="L92" s="940"/>
      <c r="M92" s="940"/>
      <c r="N92" s="940"/>
      <c r="O92" s="940"/>
      <c r="P92" s="921"/>
    </row>
    <row r="93" spans="3:26" ht="11.25" customHeight="1">
      <c r="C93" s="1781" t="s">
        <v>407</v>
      </c>
      <c r="D93" s="1784" t="s">
        <v>502</v>
      </c>
      <c r="E93" s="1785"/>
      <c r="F93" s="1786"/>
      <c r="G93" s="1775" t="s">
        <v>404</v>
      </c>
      <c r="H93" s="1776"/>
      <c r="I93" s="1776"/>
      <c r="J93" s="1776"/>
      <c r="K93" s="1776"/>
      <c r="L93" s="1776"/>
      <c r="M93" s="1776"/>
      <c r="N93" s="1776"/>
      <c r="O93" s="1777"/>
      <c r="P93" s="1771" t="s">
        <v>365</v>
      </c>
      <c r="T93" s="104"/>
      <c r="Z93" s="301"/>
    </row>
    <row r="94" spans="3:26" ht="24.75" customHeight="1">
      <c r="C94" s="1782"/>
      <c r="D94" s="1741"/>
      <c r="E94" s="1742"/>
      <c r="F94" s="1743"/>
      <c r="G94" s="1726" t="s">
        <v>503</v>
      </c>
      <c r="H94" s="1726"/>
      <c r="I94" s="1726"/>
      <c r="J94" s="1726" t="s">
        <v>409</v>
      </c>
      <c r="K94" s="1726"/>
      <c r="L94" s="1726"/>
      <c r="M94" s="1726" t="s">
        <v>410</v>
      </c>
      <c r="N94" s="1726"/>
      <c r="O94" s="1726"/>
      <c r="P94" s="1771"/>
      <c r="Z94" s="301"/>
    </row>
    <row r="95" spans="3:26" ht="31.5">
      <c r="C95" s="1783"/>
      <c r="D95" s="939" t="s">
        <v>89</v>
      </c>
      <c r="E95" s="939" t="s">
        <v>90</v>
      </c>
      <c r="F95" s="939" t="s">
        <v>383</v>
      </c>
      <c r="G95" s="939" t="s">
        <v>89</v>
      </c>
      <c r="H95" s="939" t="s">
        <v>90</v>
      </c>
      <c r="I95" s="939" t="s">
        <v>383</v>
      </c>
      <c r="J95" s="939" t="s">
        <v>89</v>
      </c>
      <c r="K95" s="939" t="s">
        <v>90</v>
      </c>
      <c r="L95" s="939" t="s">
        <v>383</v>
      </c>
      <c r="M95" s="939" t="s">
        <v>89</v>
      </c>
      <c r="N95" s="939" t="s">
        <v>90</v>
      </c>
      <c r="O95" s="939" t="s">
        <v>383</v>
      </c>
      <c r="P95" s="1771"/>
      <c r="Z95" s="301"/>
    </row>
    <row r="96" spans="3:26">
      <c r="C96" s="922"/>
      <c r="D96" s="923"/>
      <c r="E96" s="923"/>
      <c r="F96" s="924"/>
      <c r="G96" s="923"/>
      <c r="H96" s="923"/>
      <c r="I96" s="924"/>
      <c r="J96" s="923"/>
      <c r="K96" s="923"/>
      <c r="L96" s="924"/>
      <c r="M96" s="923"/>
      <c r="N96" s="923"/>
      <c r="O96" s="923"/>
      <c r="P96" s="925"/>
      <c r="Z96" s="92" t="s">
        <v>483</v>
      </c>
    </row>
    <row r="97" spans="3:18" ht="18" customHeight="1">
      <c r="C97" s="927" t="s">
        <v>98</v>
      </c>
      <c r="D97" s="928">
        <f>SUM(D96:D96)</f>
        <v>0</v>
      </c>
      <c r="E97" s="928"/>
      <c r="F97" s="928">
        <f>SUM(F96:F96)</f>
        <v>0</v>
      </c>
      <c r="G97" s="928">
        <f>SUM(G96:G96)</f>
        <v>0</v>
      </c>
      <c r="H97" s="928"/>
      <c r="I97" s="928">
        <f>SUM(I96:I96)</f>
        <v>0</v>
      </c>
      <c r="J97" s="928">
        <f>SUM(J96:J96)</f>
        <v>0</v>
      </c>
      <c r="K97" s="928"/>
      <c r="L97" s="928">
        <f>SUM(L96:L96)</f>
        <v>0</v>
      </c>
      <c r="M97" s="928">
        <f>SUM(M96:M96)</f>
        <v>0</v>
      </c>
      <c r="N97" s="928"/>
      <c r="O97" s="928">
        <f>SUM(O96:O96)</f>
        <v>0</v>
      </c>
      <c r="P97" s="925"/>
    </row>
    <row r="98" spans="3:18">
      <c r="C98" s="95"/>
      <c r="D98" s="931"/>
      <c r="E98" s="931"/>
      <c r="F98" s="931"/>
      <c r="G98" s="931"/>
      <c r="H98" s="931"/>
      <c r="I98" s="931"/>
      <c r="J98" s="931"/>
      <c r="K98" s="932"/>
      <c r="L98" s="931"/>
      <c r="M98" s="931"/>
      <c r="N98" s="931"/>
      <c r="O98" s="931"/>
      <c r="P98" s="95"/>
    </row>
    <row r="99" spans="3:18" ht="31.5">
      <c r="C99" s="933" t="s">
        <v>449</v>
      </c>
      <c r="D99" s="421">
        <f>SUM(D91,D97)</f>
        <v>2415.5854569697181</v>
      </c>
      <c r="E99" s="421"/>
      <c r="F99" s="421">
        <f>SUM(F91,F97)</f>
        <v>2433.5403606343975</v>
      </c>
      <c r="G99" s="421">
        <f>SUM(G91,G97)</f>
        <v>980</v>
      </c>
      <c r="H99" s="421"/>
      <c r="I99" s="421">
        <f>SUM(I91,I97)</f>
        <v>429.22597638725978</v>
      </c>
      <c r="J99" s="421">
        <f>SUM(J91,J97)</f>
        <v>0</v>
      </c>
      <c r="K99" s="421"/>
      <c r="L99" s="421">
        <f>SUM(L91,L97)</f>
        <v>0</v>
      </c>
      <c r="M99" s="421">
        <f>SUM(M91,M97)</f>
        <v>0</v>
      </c>
      <c r="N99" s="421"/>
      <c r="O99" s="421">
        <f>SUM(O91,O97)</f>
        <v>0</v>
      </c>
      <c r="P99" s="925"/>
      <c r="R99" s="104">
        <f>F99+I99</f>
        <v>2862.7663370216574</v>
      </c>
    </row>
    <row r="100" spans="3:18">
      <c r="C100" s="270"/>
      <c r="D100" s="935"/>
      <c r="E100" s="935"/>
      <c r="F100" s="935"/>
      <c r="G100" s="935"/>
      <c r="H100" s="935"/>
      <c r="I100" s="935"/>
      <c r="J100" s="935"/>
      <c r="K100" s="938"/>
      <c r="L100" s="935"/>
      <c r="M100" s="935"/>
      <c r="N100" s="935"/>
      <c r="O100" s="935"/>
      <c r="P100" s="270"/>
    </row>
  </sheetData>
  <mergeCells count="51">
    <mergeCell ref="D93:F94"/>
    <mergeCell ref="C92:F92"/>
    <mergeCell ref="C93:C95"/>
    <mergeCell ref="J94:L94"/>
    <mergeCell ref="P82:P84"/>
    <mergeCell ref="P93:P95"/>
    <mergeCell ref="M94:O94"/>
    <mergeCell ref="J83:L83"/>
    <mergeCell ref="M83:O83"/>
    <mergeCell ref="G94:I94"/>
    <mergeCell ref="C80:O81"/>
    <mergeCell ref="C82:C84"/>
    <mergeCell ref="D82:F83"/>
    <mergeCell ref="G82:O82"/>
    <mergeCell ref="G83:I83"/>
    <mergeCell ref="D3:E3"/>
    <mergeCell ref="C5:K5"/>
    <mergeCell ref="C6:K6"/>
    <mergeCell ref="G93:O93"/>
    <mergeCell ref="C60:F60"/>
    <mergeCell ref="C44:O45"/>
    <mergeCell ref="C46:C48"/>
    <mergeCell ref="D46:F47"/>
    <mergeCell ref="G46:O46"/>
    <mergeCell ref="C9:O10"/>
    <mergeCell ref="C11:C13"/>
    <mergeCell ref="D11:F12"/>
    <mergeCell ref="G11:O11"/>
    <mergeCell ref="C26:C28"/>
    <mergeCell ref="D26:F27"/>
    <mergeCell ref="G26:O26"/>
    <mergeCell ref="C61:C63"/>
    <mergeCell ref="D61:F62"/>
    <mergeCell ref="G61:O61"/>
    <mergeCell ref="P61:P63"/>
    <mergeCell ref="G62:I62"/>
    <mergeCell ref="J62:L62"/>
    <mergeCell ref="M62:O62"/>
    <mergeCell ref="P46:P48"/>
    <mergeCell ref="G47:I47"/>
    <mergeCell ref="J47:L47"/>
    <mergeCell ref="M47:O47"/>
    <mergeCell ref="P26:P28"/>
    <mergeCell ref="G27:I27"/>
    <mergeCell ref="J27:L27"/>
    <mergeCell ref="M27:O27"/>
    <mergeCell ref="P11:P13"/>
    <mergeCell ref="G12:I12"/>
    <mergeCell ref="J12:L12"/>
    <mergeCell ref="M12:O12"/>
    <mergeCell ref="C25:F25"/>
  </mergeCells>
  <phoneticPr fontId="11" type="noConversion"/>
  <dataValidations count="2">
    <dataValidation type="decimal" allowBlank="1" showInputMessage="1" showErrorMessage="1" sqref="D1:K4 L1:O6 D8:O65396">
      <formula1>-99999999999999900000</formula1>
      <formula2>999999999999999000000</formula2>
    </dataValidation>
    <dataValidation type="decimal" allowBlank="1" showInputMessage="1" showErrorMessage="1" sqref="D7:O7">
      <formula1>-9.99999999999999E+21</formula1>
      <formula2>9.99999999999999E+26</formula2>
    </dataValidation>
  </dataValidations>
  <hyperlinks>
    <hyperlink ref="A1" location="Index!A1" display="Index sheet"/>
  </hyperlinks>
  <printOptions horizontalCentered="1" verticalCentered="1"/>
  <pageMargins left="0.51181102362204722" right="0.51181102362204722" top="0.51181102362204722" bottom="0.51181102362204722" header="0.23622047244094491" footer="0.23622047244094491"/>
  <pageSetup paperSize="9" orientation="landscape" blackAndWhite="1" r:id="rId1"/>
  <headerFooter alignWithMargins="0"/>
  <rowBreaks count="2" manualBreakCount="2">
    <brk id="77" max="16383" man="1"/>
    <brk id="99" min="2" max="15" man="1"/>
  </rowBreaks>
</worksheet>
</file>

<file path=xl/worksheets/sheet7.xml><?xml version="1.0" encoding="utf-8"?>
<worksheet xmlns="http://schemas.openxmlformats.org/spreadsheetml/2006/main" xmlns:r="http://schemas.openxmlformats.org/officeDocument/2006/relationships">
  <sheetPr codeName="Sheet7"/>
  <dimension ref="A1:AM360"/>
  <sheetViews>
    <sheetView topLeftCell="B1" zoomScale="85" zoomScaleNormal="85" zoomScaleSheetLayoutView="55" workbookViewId="0">
      <selection activeCell="M238" sqref="M238"/>
    </sheetView>
  </sheetViews>
  <sheetFormatPr defaultRowHeight="12.75"/>
  <cols>
    <col min="1" max="1" width="4.42578125" style="889" hidden="1" customWidth="1"/>
    <col min="2" max="2" width="4.5703125" style="889" customWidth="1"/>
    <col min="3" max="3" width="32.5703125" style="900" customWidth="1"/>
    <col min="4" max="4" width="7.140625" style="889" customWidth="1"/>
    <col min="5" max="5" width="11.85546875" style="889" customWidth="1"/>
    <col min="6" max="6" width="23.28515625" style="891" customWidth="1"/>
    <col min="7" max="7" width="9.85546875" style="891" customWidth="1"/>
    <col min="8" max="8" width="13.140625" style="891" bestFit="1" customWidth="1"/>
    <col min="9" max="9" width="14.5703125" style="891" bestFit="1" customWidth="1"/>
    <col min="10" max="10" width="10.7109375" style="891" bestFit="1" customWidth="1"/>
    <col min="11" max="11" width="9.42578125" style="891" bestFit="1" customWidth="1"/>
    <col min="12" max="12" width="10.7109375" style="891" bestFit="1" customWidth="1"/>
    <col min="13" max="15" width="8.42578125" style="891" customWidth="1"/>
    <col min="16" max="16" width="10.7109375" style="895" bestFit="1" customWidth="1"/>
    <col min="17" max="21" width="8.42578125" style="891" customWidth="1"/>
    <col min="22" max="22" width="8.42578125" style="895" customWidth="1"/>
    <col min="23" max="23" width="11.140625" style="889" customWidth="1"/>
    <col min="24" max="25" width="14.42578125" style="889" customWidth="1"/>
    <col min="26" max="26" width="9.140625" style="889" hidden="1" customWidth="1"/>
    <col min="27" max="28" width="14.42578125" style="889" customWidth="1"/>
    <col min="29" max="29" width="9.140625" style="889"/>
    <col min="30" max="35" width="15.140625" style="889" customWidth="1"/>
    <col min="36" max="38" width="9.140625" style="889"/>
    <col min="39" max="39" width="0" style="889" hidden="1" customWidth="1"/>
    <col min="40" max="16384" width="9.140625" style="889"/>
  </cols>
  <sheetData>
    <row r="1" spans="1:39">
      <c r="AM1" s="889">
        <v>1</v>
      </c>
    </row>
    <row r="2" spans="1:39" hidden="1">
      <c r="AM2" s="889">
        <v>2</v>
      </c>
    </row>
    <row r="3" spans="1:39" ht="15">
      <c r="C3" s="1429" t="s">
        <v>74</v>
      </c>
      <c r="D3" s="894" t="s">
        <v>1004</v>
      </c>
      <c r="E3" s="894"/>
      <c r="F3" s="895"/>
      <c r="G3" s="895"/>
      <c r="H3" s="895"/>
      <c r="I3" s="895"/>
      <c r="J3" s="895"/>
      <c r="K3" s="895"/>
    </row>
    <row r="4" spans="1:39">
      <c r="C4" s="1429"/>
      <c r="D4" s="894"/>
      <c r="E4" s="894"/>
      <c r="F4" s="895"/>
      <c r="G4" s="895"/>
      <c r="H4" s="895"/>
      <c r="I4" s="895"/>
      <c r="J4" s="895"/>
      <c r="K4" s="895"/>
    </row>
    <row r="5" spans="1:39" ht="15">
      <c r="C5" s="1430" t="s">
        <v>1005</v>
      </c>
      <c r="F5" s="889"/>
      <c r="G5" s="889"/>
      <c r="H5" s="889"/>
      <c r="I5" s="899"/>
      <c r="J5" s="899"/>
      <c r="K5" s="899"/>
    </row>
    <row r="6" spans="1:39">
      <c r="A6" s="900"/>
      <c r="B6" s="900"/>
      <c r="E6" s="901"/>
      <c r="F6" s="899"/>
      <c r="G6" s="899"/>
      <c r="H6" s="899"/>
      <c r="I6" s="899"/>
      <c r="J6" s="899"/>
      <c r="K6" s="899"/>
    </row>
    <row r="7" spans="1:39" hidden="1">
      <c r="E7" s="901"/>
      <c r="F7" s="899"/>
      <c r="G7" s="899"/>
      <c r="H7" s="899"/>
      <c r="I7" s="899"/>
      <c r="J7" s="899"/>
      <c r="K7" s="899"/>
    </row>
    <row r="8" spans="1:39" ht="13.5" hidden="1" thickBot="1">
      <c r="C8" s="1429" t="s">
        <v>645</v>
      </c>
      <c r="K8" s="902"/>
      <c r="N8" s="902"/>
    </row>
    <row r="9" spans="1:39" s="890" customFormat="1" ht="54.75" hidden="1" customHeight="1">
      <c r="C9" s="1528" t="s">
        <v>92</v>
      </c>
      <c r="D9" s="1446" t="s">
        <v>93</v>
      </c>
      <c r="E9" s="1446" t="s">
        <v>368</v>
      </c>
      <c r="F9" s="1510" t="s">
        <v>222</v>
      </c>
      <c r="G9" s="1510" t="s">
        <v>225</v>
      </c>
      <c r="H9" s="1510" t="s">
        <v>225</v>
      </c>
      <c r="I9" s="1790" t="s">
        <v>250</v>
      </c>
      <c r="J9" s="1790"/>
      <c r="K9" s="1762" t="s">
        <v>91</v>
      </c>
      <c r="L9" s="1762"/>
      <c r="M9" s="1762"/>
      <c r="N9" s="1762"/>
      <c r="O9" s="1762"/>
      <c r="P9" s="1762"/>
      <c r="Q9" s="1791" t="s">
        <v>370</v>
      </c>
      <c r="R9" s="1791"/>
      <c r="S9" s="1791"/>
      <c r="T9" s="1791"/>
      <c r="U9" s="1791"/>
      <c r="V9" s="1085"/>
      <c r="W9" s="1789" t="s">
        <v>365</v>
      </c>
    </row>
    <row r="10" spans="1:39" s="890" customFormat="1" ht="25.5" hidden="1">
      <c r="C10" s="1529"/>
      <c r="D10" s="1437"/>
      <c r="E10" s="1437"/>
      <c r="F10" s="1509" t="s">
        <v>223</v>
      </c>
      <c r="G10" s="1509" t="s">
        <v>224</v>
      </c>
      <c r="H10" s="1509" t="s">
        <v>223</v>
      </c>
      <c r="I10" s="1509" t="s">
        <v>521</v>
      </c>
      <c r="J10" s="1509" t="s">
        <v>209</v>
      </c>
      <c r="K10" s="1509" t="s">
        <v>94</v>
      </c>
      <c r="L10" s="1509" t="s">
        <v>95</v>
      </c>
      <c r="M10" s="1509" t="s">
        <v>96</v>
      </c>
      <c r="N10" s="1509" t="s">
        <v>576</v>
      </c>
      <c r="O10" s="1509" t="s">
        <v>392</v>
      </c>
      <c r="P10" s="1509" t="s">
        <v>98</v>
      </c>
      <c r="Q10" s="1426" t="s">
        <v>94</v>
      </c>
      <c r="R10" s="1426" t="s">
        <v>262</v>
      </c>
      <c r="S10" s="1426" t="s">
        <v>97</v>
      </c>
      <c r="T10" s="1426" t="s">
        <v>392</v>
      </c>
      <c r="U10" s="904" t="s">
        <v>95</v>
      </c>
      <c r="V10" s="1086" t="s">
        <v>98</v>
      </c>
      <c r="W10" s="1789"/>
    </row>
    <row r="11" spans="1:39" hidden="1">
      <c r="C11" s="1530" t="s">
        <v>99</v>
      </c>
      <c r="D11" s="1531"/>
      <c r="E11" s="1531"/>
      <c r="F11" s="1531"/>
      <c r="G11" s="1531"/>
      <c r="H11" s="1531"/>
      <c r="I11" s="1532"/>
      <c r="J11" s="1532"/>
      <c r="K11" s="1533"/>
      <c r="L11" s="1533"/>
      <c r="M11" s="1533"/>
      <c r="N11" s="1533"/>
      <c r="O11" s="1533"/>
      <c r="P11" s="1533"/>
      <c r="Q11" s="905"/>
      <c r="R11" s="905"/>
      <c r="S11" s="905"/>
      <c r="T11" s="905"/>
      <c r="U11" s="905"/>
      <c r="V11" s="1087"/>
      <c r="W11" s="911"/>
    </row>
    <row r="12" spans="1:39" ht="13.5" hidden="1" customHeight="1">
      <c r="C12" s="1530" t="s">
        <v>100</v>
      </c>
      <c r="D12" s="1531"/>
      <c r="E12" s="1531"/>
      <c r="F12" s="1531"/>
      <c r="G12" s="1531"/>
      <c r="H12" s="1531"/>
      <c r="I12" s="1532"/>
      <c r="J12" s="1532"/>
      <c r="K12" s="1533"/>
      <c r="L12" s="1533"/>
      <c r="M12" s="1533"/>
      <c r="N12" s="1533"/>
      <c r="O12" s="1533"/>
      <c r="P12" s="1533"/>
      <c r="Q12" s="905"/>
      <c r="R12" s="905"/>
      <c r="S12" s="905"/>
      <c r="T12" s="905"/>
      <c r="U12" s="905"/>
      <c r="V12" s="1087"/>
      <c r="W12" s="912"/>
    </row>
    <row r="13" spans="1:39" ht="13.5" hidden="1" customHeight="1">
      <c r="C13" s="1534" t="s">
        <v>101</v>
      </c>
      <c r="D13" s="1535"/>
      <c r="E13" s="1535"/>
      <c r="F13" s="1535"/>
      <c r="G13" s="1535"/>
      <c r="H13" s="1535"/>
      <c r="I13" s="1536">
        <v>960.83933066666668</v>
      </c>
      <c r="J13" s="1536">
        <v>832.49300004666668</v>
      </c>
      <c r="K13" s="945">
        <v>76.590956771339989</v>
      </c>
      <c r="L13" s="945">
        <v>327.02060937731335</v>
      </c>
      <c r="M13" s="1537"/>
      <c r="N13" s="1538"/>
      <c r="O13" s="1539"/>
      <c r="P13" s="1540">
        <f>SUM(K13:O13)</f>
        <v>403.61156614865331</v>
      </c>
      <c r="Q13" s="307">
        <f>IF(J13=0,0,K13/J13*10)</f>
        <v>0.92001922859467355</v>
      </c>
      <c r="R13" s="307">
        <f>IF(J13=0,0,M13/J13*10)</f>
        <v>0</v>
      </c>
      <c r="S13" s="307">
        <f>IF(J13=0,0,N13/J13*10)</f>
        <v>0</v>
      </c>
      <c r="T13" s="307">
        <f>IF(J13=0,0,O13/J13*10)</f>
        <v>0</v>
      </c>
      <c r="U13" s="307">
        <f>IF(J13=0,0,L13/J13*10)</f>
        <v>3.9282085177771071</v>
      </c>
      <c r="V13" s="436">
        <f>IF(J13=0,0,P13/J13*10)</f>
        <v>4.84822774637178</v>
      </c>
      <c r="W13" s="912"/>
    </row>
    <row r="14" spans="1:39" ht="13.5" hidden="1" customHeight="1">
      <c r="A14" s="889">
        <v>10001</v>
      </c>
      <c r="C14" s="1534" t="s">
        <v>102</v>
      </c>
      <c r="D14" s="1535"/>
      <c r="E14" s="1535"/>
      <c r="F14" s="1535"/>
      <c r="G14" s="1535"/>
      <c r="H14" s="1535"/>
      <c r="I14" s="1536">
        <v>960.83933066666668</v>
      </c>
      <c r="J14" s="1536">
        <v>832.49300004666668</v>
      </c>
      <c r="K14" s="945">
        <v>76.590956771339989</v>
      </c>
      <c r="L14" s="945">
        <v>327.02060937731335</v>
      </c>
      <c r="M14" s="1537"/>
      <c r="N14" s="1538"/>
      <c r="O14" s="1539"/>
      <c r="P14" s="1540">
        <f t="shared" ref="P14:P27" si="0">SUM(K14:O14)</f>
        <v>403.61156614865331</v>
      </c>
      <c r="Q14" s="307">
        <f t="shared" ref="Q14:Q77" si="1">IF(J14=0,0,K14/J14*10)</f>
        <v>0.92001922859467355</v>
      </c>
      <c r="R14" s="307">
        <f t="shared" ref="R14:R77" si="2">IF(J14=0,0,M14/J14*10)</f>
        <v>0</v>
      </c>
      <c r="S14" s="307">
        <f t="shared" ref="S14:S77" si="3">IF(J14=0,0,N14/J14*10)</f>
        <v>0</v>
      </c>
      <c r="T14" s="307">
        <f t="shared" ref="T14:T77" si="4">IF(J14=0,0,O14/J14*10)</f>
        <v>0</v>
      </c>
      <c r="U14" s="307">
        <f t="shared" ref="U14:U77" si="5">IF(J14=0,0,L14/J14*10)</f>
        <v>3.9282085177771071</v>
      </c>
      <c r="V14" s="436">
        <f t="shared" ref="V14:V77" si="6">IF(J14=0,0,P14/J14*10)</f>
        <v>4.84822774637178</v>
      </c>
      <c r="W14" s="912"/>
    </row>
    <row r="15" spans="1:39" ht="13.5" hidden="1" customHeight="1">
      <c r="A15" s="889">
        <v>10002</v>
      </c>
      <c r="C15" s="1534" t="s">
        <v>103</v>
      </c>
      <c r="D15" s="1535"/>
      <c r="E15" s="1535"/>
      <c r="F15" s="1535"/>
      <c r="G15" s="1535"/>
      <c r="H15" s="1535"/>
      <c r="I15" s="1536">
        <v>960.83933066666668</v>
      </c>
      <c r="J15" s="1536">
        <v>832.49300004666668</v>
      </c>
      <c r="K15" s="945">
        <v>76.590956771339989</v>
      </c>
      <c r="L15" s="945">
        <v>327.02060937731335</v>
      </c>
      <c r="M15" s="1537"/>
      <c r="N15" s="1538"/>
      <c r="O15" s="1539"/>
      <c r="P15" s="1540">
        <f t="shared" si="0"/>
        <v>403.61156614865331</v>
      </c>
      <c r="Q15" s="307">
        <f t="shared" si="1"/>
        <v>0.92001922859467355</v>
      </c>
      <c r="R15" s="307">
        <f t="shared" si="2"/>
        <v>0</v>
      </c>
      <c r="S15" s="307">
        <f t="shared" si="3"/>
        <v>0</v>
      </c>
      <c r="T15" s="307">
        <f t="shared" si="4"/>
        <v>0</v>
      </c>
      <c r="U15" s="307">
        <f t="shared" si="5"/>
        <v>3.9282085177771071</v>
      </c>
      <c r="V15" s="436">
        <f t="shared" si="6"/>
        <v>4.84822774637178</v>
      </c>
      <c r="W15" s="912"/>
    </row>
    <row r="16" spans="1:39" ht="13.5" hidden="1" customHeight="1">
      <c r="A16" s="889">
        <v>10003</v>
      </c>
      <c r="C16" s="1534" t="s">
        <v>398</v>
      </c>
      <c r="D16" s="1535"/>
      <c r="E16" s="1535"/>
      <c r="F16" s="1535"/>
      <c r="G16" s="1535"/>
      <c r="H16" s="1535"/>
      <c r="I16" s="1536">
        <v>1139.1986840000002</v>
      </c>
      <c r="J16" s="1536">
        <v>1169.8402607</v>
      </c>
      <c r="K16" s="945">
        <v>103.82825185511999</v>
      </c>
      <c r="L16" s="945">
        <v>420.86063549854003</v>
      </c>
      <c r="M16" s="1537"/>
      <c r="N16" s="1538"/>
      <c r="O16" s="1539"/>
      <c r="P16" s="1540">
        <f t="shared" si="0"/>
        <v>524.68888735365999</v>
      </c>
      <c r="Q16" s="307">
        <f t="shared" si="1"/>
        <v>0.88754213154702022</v>
      </c>
      <c r="R16" s="307">
        <f t="shared" si="2"/>
        <v>0</v>
      </c>
      <c r="S16" s="307">
        <f t="shared" si="3"/>
        <v>0</v>
      </c>
      <c r="T16" s="307">
        <f t="shared" si="4"/>
        <v>0</v>
      </c>
      <c r="U16" s="307">
        <f t="shared" si="5"/>
        <v>3.5975906252936509</v>
      </c>
      <c r="V16" s="436">
        <f t="shared" si="6"/>
        <v>4.4851327568406703</v>
      </c>
      <c r="W16" s="912"/>
    </row>
    <row r="17" spans="1:23" ht="13.5" hidden="1" customHeight="1">
      <c r="A17" s="889">
        <v>10012</v>
      </c>
      <c r="C17" s="1534" t="s">
        <v>104</v>
      </c>
      <c r="D17" s="1535"/>
      <c r="E17" s="1535"/>
      <c r="F17" s="1535"/>
      <c r="G17" s="1535"/>
      <c r="H17" s="1535"/>
      <c r="I17" s="1536">
        <v>703.60247600000002</v>
      </c>
      <c r="J17" s="1536">
        <v>685.26512305999995</v>
      </c>
      <c r="K17" s="945">
        <v>74.181432246</v>
      </c>
      <c r="L17" s="945">
        <v>293.81332586999997</v>
      </c>
      <c r="M17" s="1537"/>
      <c r="N17" s="1538"/>
      <c r="O17" s="1539"/>
      <c r="P17" s="1540">
        <f t="shared" si="0"/>
        <v>367.99475811599996</v>
      </c>
      <c r="Q17" s="307">
        <f t="shared" si="1"/>
        <v>1.0825216365127177</v>
      </c>
      <c r="R17" s="307">
        <f t="shared" si="2"/>
        <v>0</v>
      </c>
      <c r="S17" s="307">
        <f t="shared" si="3"/>
        <v>0</v>
      </c>
      <c r="T17" s="307">
        <f t="shared" si="4"/>
        <v>0</v>
      </c>
      <c r="U17" s="307">
        <f t="shared" si="5"/>
        <v>4.2875861616595721</v>
      </c>
      <c r="V17" s="436">
        <f t="shared" si="6"/>
        <v>5.37010779817229</v>
      </c>
      <c r="W17" s="912"/>
    </row>
    <row r="18" spans="1:23" ht="13.5" hidden="1" customHeight="1">
      <c r="A18" s="889">
        <v>10004</v>
      </c>
      <c r="C18" s="1534" t="s">
        <v>105</v>
      </c>
      <c r="D18" s="1535"/>
      <c r="E18" s="1535"/>
      <c r="F18" s="1535"/>
      <c r="G18" s="1535"/>
      <c r="H18" s="1535"/>
      <c r="I18" s="1536">
        <v>842.24901399999999</v>
      </c>
      <c r="J18" s="1536">
        <v>898.77764044000003</v>
      </c>
      <c r="K18" s="945">
        <v>95.584579710239993</v>
      </c>
      <c r="L18" s="945">
        <v>386.80784271843999</v>
      </c>
      <c r="M18" s="1537"/>
      <c r="N18" s="1538"/>
      <c r="O18" s="1539"/>
      <c r="P18" s="1540">
        <f t="shared" si="0"/>
        <v>482.39242242867999</v>
      </c>
      <c r="Q18" s="307">
        <f t="shared" si="1"/>
        <v>1.0634953008337658</v>
      </c>
      <c r="R18" s="307">
        <f t="shared" si="2"/>
        <v>0</v>
      </c>
      <c r="S18" s="307">
        <f t="shared" si="3"/>
        <v>0</v>
      </c>
      <c r="T18" s="307">
        <f t="shared" si="4"/>
        <v>0</v>
      </c>
      <c r="U18" s="307">
        <f t="shared" si="5"/>
        <v>4.3037101204373167</v>
      </c>
      <c r="V18" s="436">
        <f t="shared" si="6"/>
        <v>5.3672054212710831</v>
      </c>
      <c r="W18" s="912"/>
    </row>
    <row r="19" spans="1:23" ht="13.5" hidden="1" customHeight="1">
      <c r="A19" s="889">
        <v>10011</v>
      </c>
      <c r="C19" s="1534" t="s">
        <v>399</v>
      </c>
      <c r="D19" s="1535"/>
      <c r="E19" s="1535"/>
      <c r="F19" s="1535"/>
      <c r="G19" s="1535"/>
      <c r="H19" s="1535"/>
      <c r="I19" s="1536">
        <v>431.20634400000006</v>
      </c>
      <c r="J19" s="1536">
        <v>440.87871390000004</v>
      </c>
      <c r="K19" s="945">
        <v>61.769588144879997</v>
      </c>
      <c r="L19" s="945">
        <v>190.07596165772003</v>
      </c>
      <c r="M19" s="1537"/>
      <c r="N19" s="1538"/>
      <c r="O19" s="1539"/>
      <c r="P19" s="1540">
        <f t="shared" si="0"/>
        <v>251.84554980260003</v>
      </c>
      <c r="Q19" s="307">
        <f t="shared" si="1"/>
        <v>1.4010562587263071</v>
      </c>
      <c r="R19" s="307">
        <f t="shared" si="2"/>
        <v>0</v>
      </c>
      <c r="S19" s="307">
        <f t="shared" si="3"/>
        <v>0</v>
      </c>
      <c r="T19" s="307">
        <f t="shared" si="4"/>
        <v>0</v>
      </c>
      <c r="U19" s="307">
        <f t="shared" si="5"/>
        <v>4.311298224772834</v>
      </c>
      <c r="V19" s="436">
        <f t="shared" si="6"/>
        <v>5.7123544834991415</v>
      </c>
      <c r="W19" s="912"/>
    </row>
    <row r="20" spans="1:23" ht="13.5" hidden="1" customHeight="1">
      <c r="A20" s="889">
        <v>10013</v>
      </c>
      <c r="C20" s="1534" t="s">
        <v>667</v>
      </c>
      <c r="D20" s="1535"/>
      <c r="E20" s="1535"/>
      <c r="F20" s="1535"/>
      <c r="G20" s="1535"/>
      <c r="H20" s="1535"/>
      <c r="I20" s="1536"/>
      <c r="J20" s="1536">
        <v>1038.852985</v>
      </c>
      <c r="K20" s="945">
        <v>194.96511814040002</v>
      </c>
      <c r="L20" s="945">
        <v>419.92463318773997</v>
      </c>
      <c r="M20" s="1537"/>
      <c r="N20" s="1538"/>
      <c r="O20" s="1539"/>
      <c r="P20" s="1540">
        <f t="shared" si="0"/>
        <v>614.88975132813994</v>
      </c>
      <c r="Q20" s="307">
        <f t="shared" si="1"/>
        <v>1.8767344461199198</v>
      </c>
      <c r="R20" s="307">
        <f t="shared" si="2"/>
        <v>0</v>
      </c>
      <c r="S20" s="307">
        <f t="shared" si="3"/>
        <v>0</v>
      </c>
      <c r="T20" s="307">
        <f t="shared" si="4"/>
        <v>0</v>
      </c>
      <c r="U20" s="307">
        <f t="shared" si="5"/>
        <v>4.0421949905427663</v>
      </c>
      <c r="V20" s="436">
        <f t="shared" si="6"/>
        <v>5.918929436662685</v>
      </c>
      <c r="W20" s="912"/>
    </row>
    <row r="21" spans="1:23" ht="13.5" hidden="1" customHeight="1">
      <c r="A21" s="889">
        <v>10005</v>
      </c>
      <c r="C21" s="1534" t="s">
        <v>189</v>
      </c>
      <c r="D21" s="1535"/>
      <c r="E21" s="1535"/>
      <c r="F21" s="1535"/>
      <c r="G21" s="1535"/>
      <c r="H21" s="1535"/>
      <c r="I21" s="1536"/>
      <c r="J21" s="1536">
        <v>1046.9184545999999</v>
      </c>
      <c r="K21" s="945">
        <v>264.68364348099419</v>
      </c>
      <c r="L21" s="945">
        <v>338.49582105354</v>
      </c>
      <c r="M21" s="1537"/>
      <c r="N21" s="1538"/>
      <c r="O21" s="1539"/>
      <c r="P21" s="1540">
        <f t="shared" si="0"/>
        <v>603.17946453453419</v>
      </c>
      <c r="Q21" s="307">
        <f t="shared" si="1"/>
        <v>2.5282164271535637</v>
      </c>
      <c r="R21" s="307">
        <f t="shared" si="2"/>
        <v>0</v>
      </c>
      <c r="S21" s="307">
        <f t="shared" si="3"/>
        <v>0</v>
      </c>
      <c r="T21" s="307">
        <f t="shared" si="4"/>
        <v>0</v>
      </c>
      <c r="U21" s="307">
        <f t="shared" si="5"/>
        <v>3.2332587086056326</v>
      </c>
      <c r="V21" s="436">
        <f t="shared" si="6"/>
        <v>5.7614751357591949</v>
      </c>
      <c r="W21" s="912"/>
    </row>
    <row r="22" spans="1:23" ht="13.5" hidden="1" customHeight="1">
      <c r="C22" s="1534" t="s">
        <v>190</v>
      </c>
      <c r="D22" s="1535"/>
      <c r="E22" s="1535"/>
      <c r="F22" s="1535"/>
      <c r="G22" s="1535"/>
      <c r="H22" s="1535"/>
      <c r="I22" s="1536">
        <v>1951.5770640000001</v>
      </c>
      <c r="J22" s="1536">
        <v>926.37177500000007</v>
      </c>
      <c r="K22" s="945">
        <v>264.68364348099419</v>
      </c>
      <c r="L22" s="945">
        <v>299.59254448317995</v>
      </c>
      <c r="M22" s="1537"/>
      <c r="N22" s="1538"/>
      <c r="O22" s="1539"/>
      <c r="P22" s="1540">
        <f t="shared" si="0"/>
        <v>564.27618796417414</v>
      </c>
      <c r="Q22" s="307">
        <f t="shared" si="1"/>
        <v>2.8572075555841945</v>
      </c>
      <c r="R22" s="307">
        <f t="shared" si="2"/>
        <v>0</v>
      </c>
      <c r="S22" s="307">
        <f t="shared" si="3"/>
        <v>0</v>
      </c>
      <c r="T22" s="307">
        <f t="shared" si="4"/>
        <v>0</v>
      </c>
      <c r="U22" s="307">
        <f t="shared" si="5"/>
        <v>3.2340422341039043</v>
      </c>
      <c r="V22" s="436">
        <f t="shared" si="6"/>
        <v>6.0912497896880993</v>
      </c>
      <c r="W22" s="912"/>
    </row>
    <row r="23" spans="1:23" ht="13.5" hidden="1" customHeight="1">
      <c r="C23" s="1534" t="s">
        <v>1010</v>
      </c>
      <c r="D23" s="1535"/>
      <c r="E23" s="1535"/>
      <c r="F23" s="1535"/>
      <c r="G23" s="1535"/>
      <c r="H23" s="1535"/>
      <c r="I23" s="1536">
        <v>0</v>
      </c>
      <c r="J23" s="1536">
        <v>42.431360556000001</v>
      </c>
      <c r="K23" s="945">
        <v>6.0669721338400002</v>
      </c>
      <c r="L23" s="945">
        <v>13.323447207340001</v>
      </c>
      <c r="M23" s="1537"/>
      <c r="N23" s="1538"/>
      <c r="O23" s="1539"/>
      <c r="P23" s="1540">
        <f t="shared" si="0"/>
        <v>19.390419341179999</v>
      </c>
      <c r="Q23" s="307">
        <f t="shared" si="1"/>
        <v>1.4298320992636899</v>
      </c>
      <c r="R23" s="307">
        <f t="shared" si="2"/>
        <v>0</v>
      </c>
      <c r="S23" s="307">
        <f t="shared" si="3"/>
        <v>0</v>
      </c>
      <c r="T23" s="307">
        <f t="shared" si="4"/>
        <v>0</v>
      </c>
      <c r="U23" s="307">
        <f t="shared" si="5"/>
        <v>3.1399999982927724</v>
      </c>
      <c r="V23" s="436">
        <f t="shared" si="6"/>
        <v>4.5698320975564615</v>
      </c>
      <c r="W23" s="912"/>
    </row>
    <row r="24" spans="1:23" ht="13.5" hidden="1" customHeight="1">
      <c r="C24" s="1534" t="s">
        <v>1011</v>
      </c>
      <c r="D24" s="1535"/>
      <c r="E24" s="1535"/>
      <c r="F24" s="1535"/>
      <c r="G24" s="1535"/>
      <c r="H24" s="1535"/>
      <c r="I24" s="1536">
        <v>1212.1819840000001</v>
      </c>
      <c r="J24" s="1536">
        <v>0</v>
      </c>
      <c r="K24" s="945">
        <v>-131.54647019999999</v>
      </c>
      <c r="L24" s="945">
        <v>85.483949199999998</v>
      </c>
      <c r="M24" s="1537"/>
      <c r="N24" s="1538"/>
      <c r="O24" s="1539"/>
      <c r="P24" s="1540">
        <f t="shared" si="0"/>
        <v>-46.06252099999999</v>
      </c>
      <c r="Q24" s="307">
        <f t="shared" si="1"/>
        <v>0</v>
      </c>
      <c r="R24" s="307">
        <f t="shared" si="2"/>
        <v>0</v>
      </c>
      <c r="S24" s="307">
        <f t="shared" si="3"/>
        <v>0</v>
      </c>
      <c r="T24" s="307">
        <f t="shared" si="4"/>
        <v>0</v>
      </c>
      <c r="U24" s="307">
        <f t="shared" si="5"/>
        <v>0</v>
      </c>
      <c r="V24" s="436">
        <f t="shared" si="6"/>
        <v>0</v>
      </c>
      <c r="W24" s="912"/>
    </row>
    <row r="25" spans="1:23" ht="13.5" hidden="1" customHeight="1">
      <c r="C25" s="1534" t="s">
        <v>1012</v>
      </c>
      <c r="D25" s="1541"/>
      <c r="E25" s="1541"/>
      <c r="F25" s="1541"/>
      <c r="G25" s="1541"/>
      <c r="H25" s="1541"/>
      <c r="I25" s="1536"/>
      <c r="J25" s="1536">
        <v>208.001319</v>
      </c>
      <c r="K25" s="945">
        <v>0</v>
      </c>
      <c r="L25" s="945">
        <v>85.549030277400007</v>
      </c>
      <c r="M25" s="1537"/>
      <c r="N25" s="1539"/>
      <c r="O25" s="1539"/>
      <c r="P25" s="1540">
        <f t="shared" si="0"/>
        <v>85.549030277400007</v>
      </c>
      <c r="Q25" s="307">
        <f t="shared" si="1"/>
        <v>0</v>
      </c>
      <c r="R25" s="307">
        <f t="shared" si="2"/>
        <v>0</v>
      </c>
      <c r="S25" s="307">
        <f t="shared" si="3"/>
        <v>0</v>
      </c>
      <c r="T25" s="307">
        <f t="shared" si="4"/>
        <v>0</v>
      </c>
      <c r="U25" s="307">
        <f t="shared" si="5"/>
        <v>4.1129080665781741</v>
      </c>
      <c r="V25" s="436">
        <f t="shared" si="6"/>
        <v>4.1129080665781741</v>
      </c>
      <c r="W25" s="912"/>
    </row>
    <row r="26" spans="1:23" ht="13.5" hidden="1" customHeight="1">
      <c r="C26" s="1534" t="s">
        <v>1013</v>
      </c>
      <c r="D26" s="1541"/>
      <c r="E26" s="1541"/>
      <c r="F26" s="1541"/>
      <c r="G26" s="1541"/>
      <c r="H26" s="1541"/>
      <c r="I26" s="1536"/>
      <c r="J26" s="1536">
        <v>0</v>
      </c>
      <c r="K26" s="945">
        <v>0</v>
      </c>
      <c r="L26" s="945">
        <v>-97.86</v>
      </c>
      <c r="M26" s="1537"/>
      <c r="N26" s="1539"/>
      <c r="O26" s="1539"/>
      <c r="P26" s="1540">
        <f t="shared" si="0"/>
        <v>-97.86</v>
      </c>
      <c r="Q26" s="307">
        <f t="shared" si="1"/>
        <v>0</v>
      </c>
      <c r="R26" s="307">
        <f t="shared" si="2"/>
        <v>0</v>
      </c>
      <c r="S26" s="307">
        <f t="shared" si="3"/>
        <v>0</v>
      </c>
      <c r="T26" s="307">
        <f t="shared" si="4"/>
        <v>0</v>
      </c>
      <c r="U26" s="307">
        <f t="shared" si="5"/>
        <v>0</v>
      </c>
      <c r="V26" s="436">
        <f t="shared" si="6"/>
        <v>0</v>
      </c>
      <c r="W26" s="912"/>
    </row>
    <row r="27" spans="1:23" ht="13.5" hidden="1" customHeight="1">
      <c r="C27" s="1534" t="s">
        <v>1014</v>
      </c>
      <c r="D27" s="1535"/>
      <c r="E27" s="1535"/>
      <c r="F27" s="1535"/>
      <c r="G27" s="1535"/>
      <c r="H27" s="1535"/>
      <c r="I27" s="1536">
        <v>0</v>
      </c>
      <c r="J27" s="1536">
        <v>0</v>
      </c>
      <c r="K27" s="945">
        <v>0</v>
      </c>
      <c r="L27" s="945">
        <v>14.546593110679998</v>
      </c>
      <c r="M27" s="1537"/>
      <c r="N27" s="1538"/>
      <c r="O27" s="1539"/>
      <c r="P27" s="1540">
        <f t="shared" si="0"/>
        <v>14.546593110679998</v>
      </c>
      <c r="Q27" s="307">
        <f t="shared" si="1"/>
        <v>0</v>
      </c>
      <c r="R27" s="307">
        <f t="shared" si="2"/>
        <v>0</v>
      </c>
      <c r="S27" s="307">
        <f t="shared" si="3"/>
        <v>0</v>
      </c>
      <c r="T27" s="307">
        <f t="shared" si="4"/>
        <v>0</v>
      </c>
      <c r="U27" s="307">
        <f t="shared" si="5"/>
        <v>0</v>
      </c>
      <c r="V27" s="436">
        <f t="shared" si="6"/>
        <v>0</v>
      </c>
      <c r="W27" s="912"/>
    </row>
    <row r="28" spans="1:23" hidden="1">
      <c r="C28" s="1530" t="s">
        <v>107</v>
      </c>
      <c r="D28" s="1531"/>
      <c r="E28" s="1531"/>
      <c r="F28" s="1531"/>
      <c r="G28" s="1531"/>
      <c r="H28" s="1531"/>
      <c r="I28" s="1542">
        <f>SUM(I13:I27)</f>
        <v>9162.533558000001</v>
      </c>
      <c r="J28" s="1542">
        <f>SUM(J13:J27)</f>
        <v>8954.8166323960013</v>
      </c>
      <c r="K28" s="1542">
        <f t="shared" ref="K28:P28" si="7">SUM(K13:K27)</f>
        <v>1163.9896293064885</v>
      </c>
      <c r="L28" s="1542">
        <f t="shared" si="7"/>
        <v>3431.6756123965201</v>
      </c>
      <c r="M28" s="1542">
        <f t="shared" si="7"/>
        <v>0</v>
      </c>
      <c r="N28" s="1542">
        <f t="shared" si="7"/>
        <v>0</v>
      </c>
      <c r="O28" s="1542">
        <f t="shared" si="7"/>
        <v>0</v>
      </c>
      <c r="P28" s="1542">
        <f t="shared" si="7"/>
        <v>4595.6652417030082</v>
      </c>
      <c r="Q28" s="307">
        <f t="shared" si="1"/>
        <v>1.2998475313224196</v>
      </c>
      <c r="R28" s="307">
        <f t="shared" si="2"/>
        <v>0</v>
      </c>
      <c r="S28" s="307">
        <f t="shared" si="3"/>
        <v>0</v>
      </c>
      <c r="T28" s="307">
        <f t="shared" si="4"/>
        <v>0</v>
      </c>
      <c r="U28" s="307">
        <f t="shared" si="5"/>
        <v>3.8322120410391047</v>
      </c>
      <c r="V28" s="436">
        <f t="shared" si="6"/>
        <v>5.1320595723615234</v>
      </c>
      <c r="W28" s="912"/>
    </row>
    <row r="29" spans="1:23" hidden="1">
      <c r="C29" s="1543"/>
      <c r="D29" s="101"/>
      <c r="E29" s="101"/>
      <c r="F29" s="101"/>
      <c r="G29" s="101"/>
      <c r="H29" s="101"/>
      <c r="I29" s="1536"/>
      <c r="J29" s="1536"/>
      <c r="K29" s="945"/>
      <c r="L29" s="945"/>
      <c r="M29" s="1537"/>
      <c r="N29" s="1538"/>
      <c r="O29" s="1539"/>
      <c r="P29" s="1540"/>
      <c r="Q29" s="307">
        <f t="shared" si="1"/>
        <v>0</v>
      </c>
      <c r="R29" s="307">
        <f t="shared" si="2"/>
        <v>0</v>
      </c>
      <c r="S29" s="307">
        <f t="shared" si="3"/>
        <v>0</v>
      </c>
      <c r="T29" s="307">
        <f t="shared" si="4"/>
        <v>0</v>
      </c>
      <c r="U29" s="307">
        <f t="shared" si="5"/>
        <v>0</v>
      </c>
      <c r="V29" s="436">
        <f t="shared" si="6"/>
        <v>0</v>
      </c>
      <c r="W29" s="912"/>
    </row>
    <row r="30" spans="1:23" hidden="1">
      <c r="C30" s="1534" t="s">
        <v>108</v>
      </c>
      <c r="D30" s="1535"/>
      <c r="E30" s="1535"/>
      <c r="F30" s="1535"/>
      <c r="G30" s="1535"/>
      <c r="H30" s="1535"/>
      <c r="I30" s="1536">
        <v>137.24667122000002</v>
      </c>
      <c r="J30" s="1536">
        <v>96.035555219999992</v>
      </c>
      <c r="K30" s="945">
        <v>15.978141304336697</v>
      </c>
      <c r="L30" s="945">
        <v>0</v>
      </c>
      <c r="M30" s="1537"/>
      <c r="N30" s="1538"/>
      <c r="O30" s="1539"/>
      <c r="P30" s="1540">
        <f t="shared" ref="P30:P39" si="8">SUM(K30:O30)</f>
        <v>15.978141304336697</v>
      </c>
      <c r="Q30" s="307">
        <f t="shared" si="1"/>
        <v>1.663773512605168</v>
      </c>
      <c r="R30" s="307">
        <f t="shared" si="2"/>
        <v>0</v>
      </c>
      <c r="S30" s="307">
        <f t="shared" si="3"/>
        <v>0</v>
      </c>
      <c r="T30" s="307">
        <f t="shared" si="4"/>
        <v>0</v>
      </c>
      <c r="U30" s="307">
        <f t="shared" si="5"/>
        <v>0</v>
      </c>
      <c r="V30" s="436">
        <f t="shared" si="6"/>
        <v>1.663773512605168</v>
      </c>
      <c r="W30" s="912"/>
    </row>
    <row r="31" spans="1:23" hidden="1">
      <c r="C31" s="1534" t="s">
        <v>109</v>
      </c>
      <c r="D31" s="1535"/>
      <c r="E31" s="1535"/>
      <c r="F31" s="1535"/>
      <c r="G31" s="1535"/>
      <c r="H31" s="1535"/>
      <c r="I31" s="1536">
        <v>64.618291000000013</v>
      </c>
      <c r="J31" s="1536">
        <v>62.956843380000002</v>
      </c>
      <c r="K31" s="945">
        <v>7.4815526956632841</v>
      </c>
      <c r="L31" s="945">
        <v>0</v>
      </c>
      <c r="M31" s="1537"/>
      <c r="N31" s="1538"/>
      <c r="O31" s="1539"/>
      <c r="P31" s="1540">
        <f t="shared" si="8"/>
        <v>7.4815526956632841</v>
      </c>
      <c r="Q31" s="307">
        <f t="shared" si="1"/>
        <v>1.1883621055308513</v>
      </c>
      <c r="R31" s="307">
        <f t="shared" si="2"/>
        <v>0</v>
      </c>
      <c r="S31" s="307">
        <f t="shared" si="3"/>
        <v>0</v>
      </c>
      <c r="T31" s="307">
        <f t="shared" si="4"/>
        <v>0</v>
      </c>
      <c r="U31" s="307">
        <f t="shared" si="5"/>
        <v>0</v>
      </c>
      <c r="V31" s="436">
        <f t="shared" si="6"/>
        <v>1.1883621055308513</v>
      </c>
      <c r="W31" s="912"/>
    </row>
    <row r="32" spans="1:23" hidden="1">
      <c r="C32" s="1534" t="s">
        <v>612</v>
      </c>
      <c r="D32" s="1535"/>
      <c r="E32" s="1535"/>
      <c r="F32" s="1535"/>
      <c r="G32" s="1535"/>
      <c r="H32" s="1535"/>
      <c r="I32" s="1536">
        <v>116.37620991939998</v>
      </c>
      <c r="J32" s="1536">
        <v>138.081594739</v>
      </c>
      <c r="K32" s="945">
        <v>26.986504452061943</v>
      </c>
      <c r="L32" s="945">
        <v>0</v>
      </c>
      <c r="M32" s="1537"/>
      <c r="N32" s="1538"/>
      <c r="O32" s="1539"/>
      <c r="P32" s="1540">
        <f t="shared" si="8"/>
        <v>26.986504452061943</v>
      </c>
      <c r="Q32" s="307">
        <f t="shared" si="1"/>
        <v>1.9543882371196157</v>
      </c>
      <c r="R32" s="307">
        <f t="shared" si="2"/>
        <v>0</v>
      </c>
      <c r="S32" s="307">
        <f t="shared" si="3"/>
        <v>0</v>
      </c>
      <c r="T32" s="307">
        <f t="shared" si="4"/>
        <v>0</v>
      </c>
      <c r="U32" s="307">
        <f t="shared" si="5"/>
        <v>0</v>
      </c>
      <c r="V32" s="436">
        <f t="shared" si="6"/>
        <v>1.9543882371196157</v>
      </c>
      <c r="W32" s="912"/>
    </row>
    <row r="33" spans="1:23" hidden="1">
      <c r="C33" s="1534" t="s">
        <v>613</v>
      </c>
      <c r="D33" s="1535"/>
      <c r="E33" s="1535"/>
      <c r="F33" s="1535"/>
      <c r="G33" s="1535"/>
      <c r="H33" s="1535"/>
      <c r="I33" s="1536">
        <v>329.34482894500002</v>
      </c>
      <c r="J33" s="1536">
        <v>383.27859916840004</v>
      </c>
      <c r="K33" s="945">
        <v>57.322448915514791</v>
      </c>
      <c r="L33" s="945">
        <v>0</v>
      </c>
      <c r="M33" s="1537"/>
      <c r="N33" s="1538"/>
      <c r="O33" s="1539"/>
      <c r="P33" s="1540">
        <f t="shared" si="8"/>
        <v>57.322448915514791</v>
      </c>
      <c r="Q33" s="307">
        <f t="shared" si="1"/>
        <v>1.4955817788910564</v>
      </c>
      <c r="R33" s="307">
        <f t="shared" si="2"/>
        <v>0</v>
      </c>
      <c r="S33" s="307">
        <f t="shared" si="3"/>
        <v>0</v>
      </c>
      <c r="T33" s="307">
        <f t="shared" si="4"/>
        <v>0</v>
      </c>
      <c r="U33" s="307">
        <f t="shared" si="5"/>
        <v>0</v>
      </c>
      <c r="V33" s="436">
        <f t="shared" si="6"/>
        <v>1.4955817788910564</v>
      </c>
      <c r="W33" s="912"/>
    </row>
    <row r="34" spans="1:23" hidden="1">
      <c r="C34" s="1534" t="s">
        <v>614</v>
      </c>
      <c r="D34" s="1535"/>
      <c r="E34" s="1535"/>
      <c r="F34" s="1535"/>
      <c r="G34" s="1535"/>
      <c r="H34" s="1535"/>
      <c r="I34" s="1536">
        <v>23.450548449999999</v>
      </c>
      <c r="J34" s="1536">
        <v>35.160471190199999</v>
      </c>
      <c r="K34" s="945">
        <v>4.2453247773031713</v>
      </c>
      <c r="L34" s="945">
        <v>0</v>
      </c>
      <c r="M34" s="1537"/>
      <c r="N34" s="1538"/>
      <c r="O34" s="1539"/>
      <c r="P34" s="1540">
        <f t="shared" si="8"/>
        <v>4.2453247773031713</v>
      </c>
      <c r="Q34" s="307">
        <f t="shared" si="1"/>
        <v>1.207414074270551</v>
      </c>
      <c r="R34" s="307">
        <f t="shared" si="2"/>
        <v>0</v>
      </c>
      <c r="S34" s="307">
        <f t="shared" si="3"/>
        <v>0</v>
      </c>
      <c r="T34" s="307">
        <f t="shared" si="4"/>
        <v>0</v>
      </c>
      <c r="U34" s="307">
        <f t="shared" si="5"/>
        <v>0</v>
      </c>
      <c r="V34" s="436">
        <f t="shared" si="6"/>
        <v>1.207414074270551</v>
      </c>
      <c r="W34" s="912"/>
    </row>
    <row r="35" spans="1:23" hidden="1">
      <c r="C35" s="1534" t="s">
        <v>615</v>
      </c>
      <c r="D35" s="1535"/>
      <c r="E35" s="1535"/>
      <c r="F35" s="1535"/>
      <c r="G35" s="1535"/>
      <c r="H35" s="1535"/>
      <c r="I35" s="1536">
        <v>510.00829644999999</v>
      </c>
      <c r="J35" s="1536">
        <v>667.76019627000005</v>
      </c>
      <c r="K35" s="945">
        <v>82.331682000000001</v>
      </c>
      <c r="L35" s="945">
        <v>0</v>
      </c>
      <c r="M35" s="1537"/>
      <c r="N35" s="1538"/>
      <c r="O35" s="1539"/>
      <c r="P35" s="1540">
        <f t="shared" si="8"/>
        <v>82.331682000000001</v>
      </c>
      <c r="Q35" s="307">
        <f t="shared" si="1"/>
        <v>1.2329528243805397</v>
      </c>
      <c r="R35" s="307">
        <f t="shared" si="2"/>
        <v>0</v>
      </c>
      <c r="S35" s="307">
        <f t="shared" si="3"/>
        <v>0</v>
      </c>
      <c r="T35" s="307">
        <f t="shared" si="4"/>
        <v>0</v>
      </c>
      <c r="U35" s="307">
        <f t="shared" si="5"/>
        <v>0</v>
      </c>
      <c r="V35" s="436">
        <f t="shared" si="6"/>
        <v>1.2329528243805397</v>
      </c>
      <c r="W35" s="912"/>
    </row>
    <row r="36" spans="1:23" hidden="1">
      <c r="C36" s="1534" t="s">
        <v>616</v>
      </c>
      <c r="D36" s="1535"/>
      <c r="E36" s="1535"/>
      <c r="F36" s="1535"/>
      <c r="G36" s="1535"/>
      <c r="H36" s="1535"/>
      <c r="I36" s="1536">
        <v>100.3178429224</v>
      </c>
      <c r="J36" s="1536">
        <v>106.8617613926</v>
      </c>
      <c r="K36" s="945">
        <v>9.4497981448800026</v>
      </c>
      <c r="L36" s="945">
        <v>0</v>
      </c>
      <c r="M36" s="1537"/>
      <c r="N36" s="1538"/>
      <c r="O36" s="1539"/>
      <c r="P36" s="1540">
        <f t="shared" si="8"/>
        <v>9.4497981448800026</v>
      </c>
      <c r="Q36" s="307">
        <f t="shared" si="1"/>
        <v>0.88430117768341265</v>
      </c>
      <c r="R36" s="307">
        <f t="shared" si="2"/>
        <v>0</v>
      </c>
      <c r="S36" s="307">
        <f t="shared" si="3"/>
        <v>0</v>
      </c>
      <c r="T36" s="307">
        <f t="shared" si="4"/>
        <v>0</v>
      </c>
      <c r="U36" s="307">
        <f t="shared" si="5"/>
        <v>0</v>
      </c>
      <c r="V36" s="436">
        <f t="shared" si="6"/>
        <v>0.88430117768341265</v>
      </c>
      <c r="W36" s="912"/>
    </row>
    <row r="37" spans="1:23" hidden="1">
      <c r="A37" s="889">
        <v>10008</v>
      </c>
      <c r="C37" s="1534" t="s">
        <v>617</v>
      </c>
      <c r="D37" s="1535"/>
      <c r="E37" s="1535"/>
      <c r="F37" s="1535"/>
      <c r="G37" s="1535"/>
      <c r="H37" s="1535"/>
      <c r="I37" s="1536">
        <v>1.823609993</v>
      </c>
      <c r="J37" s="1536">
        <v>4.8784634693999998</v>
      </c>
      <c r="K37" s="945">
        <v>4.8969437102399995</v>
      </c>
      <c r="L37" s="945">
        <v>0</v>
      </c>
      <c r="M37" s="1537"/>
      <c r="N37" s="1538"/>
      <c r="O37" s="1539"/>
      <c r="P37" s="1540">
        <f t="shared" si="8"/>
        <v>4.8969437102399995</v>
      </c>
      <c r="Q37" s="307">
        <f t="shared" si="1"/>
        <v>10.03788127338847</v>
      </c>
      <c r="R37" s="307">
        <f t="shared" si="2"/>
        <v>0</v>
      </c>
      <c r="S37" s="307">
        <f t="shared" si="3"/>
        <v>0</v>
      </c>
      <c r="T37" s="307">
        <f t="shared" si="4"/>
        <v>0</v>
      </c>
      <c r="U37" s="307">
        <f t="shared" si="5"/>
        <v>0</v>
      </c>
      <c r="V37" s="436">
        <f t="shared" si="6"/>
        <v>10.03788127338847</v>
      </c>
      <c r="W37" s="912"/>
    </row>
    <row r="38" spans="1:23" hidden="1">
      <c r="C38" s="1534" t="s">
        <v>618</v>
      </c>
      <c r="D38" s="1535"/>
      <c r="E38" s="1535"/>
      <c r="F38" s="1535"/>
      <c r="G38" s="1535"/>
      <c r="H38" s="1535"/>
      <c r="I38" s="1536">
        <v>0.86765010000000009</v>
      </c>
      <c r="J38" s="1536">
        <v>1.04007541</v>
      </c>
      <c r="K38" s="945">
        <v>0.6592041448799999</v>
      </c>
      <c r="L38" s="945">
        <v>0</v>
      </c>
      <c r="M38" s="1537"/>
      <c r="N38" s="1538"/>
      <c r="O38" s="1539"/>
      <c r="P38" s="1540">
        <f t="shared" si="8"/>
        <v>0.6592041448799999</v>
      </c>
      <c r="Q38" s="307">
        <f t="shared" si="1"/>
        <v>6.338041824101964</v>
      </c>
      <c r="R38" s="307">
        <f t="shared" si="2"/>
        <v>0</v>
      </c>
      <c r="S38" s="307">
        <f t="shared" si="3"/>
        <v>0</v>
      </c>
      <c r="T38" s="307">
        <f t="shared" si="4"/>
        <v>0</v>
      </c>
      <c r="U38" s="307">
        <f t="shared" si="5"/>
        <v>0</v>
      </c>
      <c r="V38" s="436">
        <f t="shared" si="6"/>
        <v>6.338041824101964</v>
      </c>
      <c r="W38" s="912"/>
    </row>
    <row r="39" spans="1:23" hidden="1">
      <c r="C39" s="1534" t="s">
        <v>400</v>
      </c>
      <c r="D39" s="1535"/>
      <c r="E39" s="1535"/>
      <c r="F39" s="1535"/>
      <c r="G39" s="1535"/>
      <c r="H39" s="1535"/>
      <c r="I39" s="1536">
        <v>48.487062040000012</v>
      </c>
      <c r="J39" s="1536">
        <v>34.497847659999998</v>
      </c>
      <c r="K39" s="945">
        <v>18.14622</v>
      </c>
      <c r="L39" s="945">
        <v>0</v>
      </c>
      <c r="M39" s="1537"/>
      <c r="N39" s="1538"/>
      <c r="O39" s="1539"/>
      <c r="P39" s="1540">
        <f t="shared" si="8"/>
        <v>18.14622</v>
      </c>
      <c r="Q39" s="307">
        <f t="shared" si="1"/>
        <v>5.2601020732781567</v>
      </c>
      <c r="R39" s="307">
        <f t="shared" si="2"/>
        <v>0</v>
      </c>
      <c r="S39" s="307">
        <f t="shared" si="3"/>
        <v>0</v>
      </c>
      <c r="T39" s="307">
        <f t="shared" si="4"/>
        <v>0</v>
      </c>
      <c r="U39" s="307">
        <f t="shared" si="5"/>
        <v>0</v>
      </c>
      <c r="V39" s="436">
        <f t="shared" si="6"/>
        <v>5.2601020732781567</v>
      </c>
      <c r="W39" s="912"/>
    </row>
    <row r="40" spans="1:23" hidden="1">
      <c r="C40" s="1530" t="s">
        <v>110</v>
      </c>
      <c r="D40" s="1531"/>
      <c r="E40" s="1531"/>
      <c r="F40" s="1531"/>
      <c r="G40" s="1531"/>
      <c r="H40" s="1531"/>
      <c r="I40" s="1542">
        <f>SUM(I30:I39)</f>
        <v>1332.5410110398</v>
      </c>
      <c r="J40" s="1542">
        <f t="shared" ref="J40:P40" si="9">SUM(J30:J39)</f>
        <v>1530.5514078996002</v>
      </c>
      <c r="K40" s="1542">
        <f t="shared" si="9"/>
        <v>227.49782014487985</v>
      </c>
      <c r="L40" s="1542">
        <f t="shared" si="9"/>
        <v>0</v>
      </c>
      <c r="M40" s="1542">
        <f t="shared" si="9"/>
        <v>0</v>
      </c>
      <c r="N40" s="1542">
        <f t="shared" si="9"/>
        <v>0</v>
      </c>
      <c r="O40" s="1542">
        <f t="shared" si="9"/>
        <v>0</v>
      </c>
      <c r="P40" s="1542">
        <f t="shared" si="9"/>
        <v>227.49782014487985</v>
      </c>
      <c r="Q40" s="307">
        <f t="shared" si="1"/>
        <v>1.4863781704469416</v>
      </c>
      <c r="R40" s="307">
        <f t="shared" si="2"/>
        <v>0</v>
      </c>
      <c r="S40" s="307">
        <f t="shared" si="3"/>
        <v>0</v>
      </c>
      <c r="T40" s="307">
        <f t="shared" si="4"/>
        <v>0</v>
      </c>
      <c r="U40" s="307">
        <f t="shared" si="5"/>
        <v>0</v>
      </c>
      <c r="V40" s="436">
        <f t="shared" si="6"/>
        <v>1.4863781704469416</v>
      </c>
      <c r="W40" s="908"/>
    </row>
    <row r="41" spans="1:23" hidden="1">
      <c r="C41" s="1530" t="s">
        <v>111</v>
      </c>
      <c r="D41" s="1531"/>
      <c r="E41" s="1531"/>
      <c r="F41" s="1531"/>
      <c r="G41" s="1531"/>
      <c r="H41" s="1531"/>
      <c r="I41" s="1542">
        <f>I28+I40</f>
        <v>10495.074569039802</v>
      </c>
      <c r="J41" s="1542">
        <f t="shared" ref="J41:P41" si="10">J28+J40</f>
        <v>10485.368040295602</v>
      </c>
      <c r="K41" s="1542">
        <f t="shared" si="10"/>
        <v>1391.4874494513683</v>
      </c>
      <c r="L41" s="1542">
        <f t="shared" si="10"/>
        <v>3431.6756123965201</v>
      </c>
      <c r="M41" s="1542">
        <f t="shared" si="10"/>
        <v>0</v>
      </c>
      <c r="N41" s="1542">
        <f t="shared" si="10"/>
        <v>0</v>
      </c>
      <c r="O41" s="1542">
        <f t="shared" si="10"/>
        <v>0</v>
      </c>
      <c r="P41" s="1542">
        <f t="shared" si="10"/>
        <v>4823.1630618478885</v>
      </c>
      <c r="Q41" s="307">
        <f t="shared" si="1"/>
        <v>1.3270754484762364</v>
      </c>
      <c r="R41" s="307">
        <f t="shared" si="2"/>
        <v>0</v>
      </c>
      <c r="S41" s="307">
        <f t="shared" si="3"/>
        <v>0</v>
      </c>
      <c r="T41" s="307">
        <f t="shared" si="4"/>
        <v>0</v>
      </c>
      <c r="U41" s="307">
        <f t="shared" si="5"/>
        <v>3.2728232325355506</v>
      </c>
      <c r="V41" s="436">
        <f t="shared" si="6"/>
        <v>4.599898681011787</v>
      </c>
      <c r="W41" s="912"/>
    </row>
    <row r="42" spans="1:23" hidden="1">
      <c r="A42" s="889">
        <v>10015</v>
      </c>
      <c r="C42" s="1543"/>
      <c r="D42" s="101"/>
      <c r="E42" s="101"/>
      <c r="F42" s="101"/>
      <c r="G42" s="101"/>
      <c r="H42" s="101"/>
      <c r="I42" s="1536"/>
      <c r="J42" s="1536"/>
      <c r="K42" s="1540"/>
      <c r="L42" s="1540"/>
      <c r="M42" s="1537"/>
      <c r="N42" s="1544"/>
      <c r="O42" s="1539"/>
      <c r="P42" s="1540"/>
      <c r="Q42" s="307">
        <f t="shared" si="1"/>
        <v>0</v>
      </c>
      <c r="R42" s="307">
        <f t="shared" si="2"/>
        <v>0</v>
      </c>
      <c r="S42" s="307">
        <f t="shared" si="3"/>
        <v>0</v>
      </c>
      <c r="T42" s="307">
        <f t="shared" si="4"/>
        <v>0</v>
      </c>
      <c r="U42" s="307">
        <f t="shared" si="5"/>
        <v>0</v>
      </c>
      <c r="V42" s="436">
        <f t="shared" si="6"/>
        <v>0</v>
      </c>
      <c r="W42" s="912"/>
    </row>
    <row r="43" spans="1:23" hidden="1">
      <c r="A43" s="889">
        <v>10016</v>
      </c>
      <c r="C43" s="1530" t="s">
        <v>211</v>
      </c>
      <c r="D43" s="1531"/>
      <c r="E43" s="1531"/>
      <c r="F43" s="1531"/>
      <c r="G43" s="1531"/>
      <c r="H43" s="1531"/>
      <c r="I43" s="1532"/>
      <c r="J43" s="1532"/>
      <c r="K43" s="1533"/>
      <c r="L43" s="1533"/>
      <c r="M43" s="1533"/>
      <c r="N43" s="1545"/>
      <c r="O43" s="1545"/>
      <c r="P43" s="1540"/>
      <c r="Q43" s="307">
        <f t="shared" si="1"/>
        <v>0</v>
      </c>
      <c r="R43" s="307">
        <f t="shared" si="2"/>
        <v>0</v>
      </c>
      <c r="S43" s="307">
        <f t="shared" si="3"/>
        <v>0</v>
      </c>
      <c r="T43" s="307">
        <f t="shared" si="4"/>
        <v>0</v>
      </c>
      <c r="U43" s="307">
        <f t="shared" si="5"/>
        <v>0</v>
      </c>
      <c r="V43" s="436">
        <f t="shared" si="6"/>
        <v>0</v>
      </c>
      <c r="W43" s="912"/>
    </row>
    <row r="44" spans="1:23" hidden="1">
      <c r="C44" s="1530" t="s">
        <v>212</v>
      </c>
      <c r="D44" s="1531"/>
      <c r="E44" s="1531"/>
      <c r="F44" s="1531"/>
      <c r="G44" s="1531"/>
      <c r="H44" s="1531"/>
      <c r="I44" s="1532"/>
      <c r="J44" s="1532"/>
      <c r="K44" s="1533"/>
      <c r="L44" s="1533"/>
      <c r="M44" s="1533"/>
      <c r="N44" s="1545"/>
      <c r="O44" s="1545"/>
      <c r="P44" s="1540"/>
      <c r="Q44" s="307">
        <f t="shared" si="1"/>
        <v>0</v>
      </c>
      <c r="R44" s="307">
        <f t="shared" si="2"/>
        <v>0</v>
      </c>
      <c r="S44" s="307">
        <f t="shared" si="3"/>
        <v>0</v>
      </c>
      <c r="T44" s="307">
        <f t="shared" si="4"/>
        <v>0</v>
      </c>
      <c r="U44" s="307">
        <f t="shared" si="5"/>
        <v>0</v>
      </c>
      <c r="V44" s="436">
        <f t="shared" si="6"/>
        <v>0</v>
      </c>
      <c r="W44" s="912"/>
    </row>
    <row r="45" spans="1:23" hidden="1">
      <c r="C45" s="1543" t="s">
        <v>213</v>
      </c>
      <c r="D45" s="101"/>
      <c r="E45" s="101"/>
      <c r="F45" s="101"/>
      <c r="G45" s="101"/>
      <c r="H45" s="101"/>
      <c r="I45" s="1536"/>
      <c r="J45" s="1536"/>
      <c r="K45" s="945"/>
      <c r="L45" s="945"/>
      <c r="M45" s="1537"/>
      <c r="N45" s="1544"/>
      <c r="O45" s="1539"/>
      <c r="P45" s="1540"/>
      <c r="Q45" s="307">
        <f t="shared" si="1"/>
        <v>0</v>
      </c>
      <c r="R45" s="307">
        <f t="shared" si="2"/>
        <v>0</v>
      </c>
      <c r="S45" s="307">
        <f t="shared" si="3"/>
        <v>0</v>
      </c>
      <c r="T45" s="307">
        <f t="shared" si="4"/>
        <v>0</v>
      </c>
      <c r="U45" s="307">
        <f t="shared" si="5"/>
        <v>0</v>
      </c>
      <c r="V45" s="436">
        <f t="shared" si="6"/>
        <v>0</v>
      </c>
      <c r="W45" s="912"/>
    </row>
    <row r="46" spans="1:23" hidden="1">
      <c r="C46" s="1534" t="s">
        <v>619</v>
      </c>
      <c r="D46" s="1535"/>
      <c r="E46" s="1535"/>
      <c r="F46" s="1535"/>
      <c r="G46" s="1535"/>
      <c r="H46" s="1535"/>
      <c r="I46" s="1536">
        <v>738.22517400000004</v>
      </c>
      <c r="J46" s="1536">
        <v>727.16319299999998</v>
      </c>
      <c r="K46" s="945">
        <v>58.5907257</v>
      </c>
      <c r="L46" s="945">
        <v>300.81564350000002</v>
      </c>
      <c r="M46" s="1537"/>
      <c r="N46" s="1544"/>
      <c r="O46" s="1539"/>
      <c r="P46" s="1540">
        <f t="shared" ref="P46:P48" si="11">SUM(K46:O46)</f>
        <v>359.40636920000003</v>
      </c>
      <c r="Q46" s="307">
        <f t="shared" si="1"/>
        <v>0.8057438311512557</v>
      </c>
      <c r="R46" s="307">
        <f t="shared" si="2"/>
        <v>0</v>
      </c>
      <c r="S46" s="307">
        <f t="shared" si="3"/>
        <v>0</v>
      </c>
      <c r="T46" s="307">
        <f t="shared" si="4"/>
        <v>0</v>
      </c>
      <c r="U46" s="307">
        <f t="shared" si="5"/>
        <v>4.13683814576682</v>
      </c>
      <c r="V46" s="436">
        <f t="shared" si="6"/>
        <v>4.9425819769180759</v>
      </c>
      <c r="W46" s="912"/>
    </row>
    <row r="47" spans="1:23" ht="12" hidden="1" customHeight="1">
      <c r="C47" s="1534" t="s">
        <v>1015</v>
      </c>
      <c r="D47" s="1535"/>
      <c r="E47" s="1535"/>
      <c r="F47" s="1535"/>
      <c r="G47" s="1535"/>
      <c r="H47" s="1535"/>
      <c r="I47" s="1536"/>
      <c r="J47" s="1536">
        <v>0</v>
      </c>
      <c r="K47" s="945">
        <v>0</v>
      </c>
      <c r="L47" s="945">
        <v>-3.5872300000000003E-2</v>
      </c>
      <c r="M47" s="1537"/>
      <c r="N47" s="1544"/>
      <c r="O47" s="1539"/>
      <c r="P47" s="1540">
        <f t="shared" si="11"/>
        <v>-3.5872300000000003E-2</v>
      </c>
      <c r="Q47" s="307">
        <f t="shared" si="1"/>
        <v>0</v>
      </c>
      <c r="R47" s="307">
        <f t="shared" si="2"/>
        <v>0</v>
      </c>
      <c r="S47" s="307">
        <f t="shared" si="3"/>
        <v>0</v>
      </c>
      <c r="T47" s="307">
        <f t="shared" si="4"/>
        <v>0</v>
      </c>
      <c r="U47" s="307">
        <f t="shared" si="5"/>
        <v>0</v>
      </c>
      <c r="V47" s="436">
        <f t="shared" si="6"/>
        <v>0</v>
      </c>
      <c r="W47" s="912"/>
    </row>
    <row r="48" spans="1:23" hidden="1">
      <c r="A48" s="889">
        <v>12000</v>
      </c>
      <c r="C48" s="1534" t="s">
        <v>620</v>
      </c>
      <c r="D48" s="1535"/>
      <c r="E48" s="1535"/>
      <c r="F48" s="1535"/>
      <c r="G48" s="1535"/>
      <c r="H48" s="1535"/>
      <c r="I48" s="1536">
        <v>217.942984</v>
      </c>
      <c r="J48" s="1536">
        <v>164.35554500000001</v>
      </c>
      <c r="K48" s="945">
        <v>14.872260600000001</v>
      </c>
      <c r="L48" s="945">
        <v>63.171011700000001</v>
      </c>
      <c r="M48" s="1537"/>
      <c r="N48" s="1538"/>
      <c r="O48" s="1539"/>
      <c r="P48" s="1540">
        <f t="shared" si="11"/>
        <v>78.043272299999998</v>
      </c>
      <c r="Q48" s="307">
        <f t="shared" si="1"/>
        <v>0.90488340992693606</v>
      </c>
      <c r="R48" s="307">
        <f t="shared" si="2"/>
        <v>0</v>
      </c>
      <c r="S48" s="307">
        <f t="shared" si="3"/>
        <v>0</v>
      </c>
      <c r="T48" s="307">
        <f t="shared" si="4"/>
        <v>0</v>
      </c>
      <c r="U48" s="307">
        <f t="shared" si="5"/>
        <v>3.8435582870051634</v>
      </c>
      <c r="V48" s="436">
        <f t="shared" si="6"/>
        <v>4.7484416969320993</v>
      </c>
      <c r="W48" s="1084"/>
    </row>
    <row r="49" spans="1:23" hidden="1">
      <c r="C49" s="1530" t="s">
        <v>112</v>
      </c>
      <c r="D49" s="1531"/>
      <c r="E49" s="1531"/>
      <c r="F49" s="1531"/>
      <c r="G49" s="1531"/>
      <c r="H49" s="1531"/>
      <c r="I49" s="1542">
        <f>I46+I47+I48</f>
        <v>956.16815800000006</v>
      </c>
      <c r="J49" s="1542">
        <f t="shared" ref="J49:P49" si="12">J46+J47+J48</f>
        <v>891.51873799999998</v>
      </c>
      <c r="K49" s="1542">
        <f t="shared" si="12"/>
        <v>73.462986299999997</v>
      </c>
      <c r="L49" s="1542">
        <f t="shared" si="12"/>
        <v>363.95078290000004</v>
      </c>
      <c r="M49" s="1542">
        <f t="shared" si="12"/>
        <v>0</v>
      </c>
      <c r="N49" s="1542">
        <f t="shared" si="12"/>
        <v>0</v>
      </c>
      <c r="O49" s="1542">
        <f t="shared" si="12"/>
        <v>0</v>
      </c>
      <c r="P49" s="1542">
        <f t="shared" si="12"/>
        <v>437.41376920000005</v>
      </c>
      <c r="Q49" s="307">
        <f t="shared" si="1"/>
        <v>0.8240206646110898</v>
      </c>
      <c r="R49" s="307">
        <f t="shared" si="2"/>
        <v>0</v>
      </c>
      <c r="S49" s="307">
        <f t="shared" si="3"/>
        <v>0</v>
      </c>
      <c r="T49" s="307">
        <f t="shared" si="4"/>
        <v>0</v>
      </c>
      <c r="U49" s="307">
        <f t="shared" si="5"/>
        <v>4.082368293418865</v>
      </c>
      <c r="V49" s="436">
        <f t="shared" si="6"/>
        <v>4.9063889580299556</v>
      </c>
      <c r="W49" s="1084"/>
    </row>
    <row r="50" spans="1:23" hidden="1">
      <c r="C50" s="1543"/>
      <c r="D50" s="101"/>
      <c r="E50" s="101"/>
      <c r="F50" s="101"/>
      <c r="G50" s="101"/>
      <c r="H50" s="101"/>
      <c r="I50" s="1536"/>
      <c r="J50" s="1536"/>
      <c r="K50" s="945"/>
      <c r="L50" s="945"/>
      <c r="M50" s="1537"/>
      <c r="N50" s="1544"/>
      <c r="O50" s="1539"/>
      <c r="P50" s="1540"/>
      <c r="Q50" s="307">
        <f t="shared" si="1"/>
        <v>0</v>
      </c>
      <c r="R50" s="307">
        <f t="shared" si="2"/>
        <v>0</v>
      </c>
      <c r="S50" s="307">
        <f t="shared" si="3"/>
        <v>0</v>
      </c>
      <c r="T50" s="307">
        <f t="shared" si="4"/>
        <v>0</v>
      </c>
      <c r="U50" s="307">
        <f t="shared" si="5"/>
        <v>0</v>
      </c>
      <c r="V50" s="436">
        <f t="shared" si="6"/>
        <v>0</v>
      </c>
      <c r="W50" s="912"/>
    </row>
    <row r="51" spans="1:23" hidden="1">
      <c r="A51" s="889">
        <v>20001</v>
      </c>
      <c r="C51" s="1530" t="s">
        <v>214</v>
      </c>
      <c r="D51" s="1531"/>
      <c r="E51" s="1531"/>
      <c r="F51" s="1531"/>
      <c r="G51" s="1531"/>
      <c r="H51" s="1531"/>
      <c r="I51" s="1536"/>
      <c r="J51" s="1536"/>
      <c r="K51" s="945"/>
      <c r="L51" s="945"/>
      <c r="M51" s="1537"/>
      <c r="N51" s="1544"/>
      <c r="O51" s="1539"/>
      <c r="P51" s="1540"/>
      <c r="Q51" s="307">
        <f t="shared" si="1"/>
        <v>0</v>
      </c>
      <c r="R51" s="307">
        <f t="shared" si="2"/>
        <v>0</v>
      </c>
      <c r="S51" s="307">
        <f t="shared" si="3"/>
        <v>0</v>
      </c>
      <c r="T51" s="307">
        <f t="shared" si="4"/>
        <v>0</v>
      </c>
      <c r="U51" s="307">
        <f t="shared" si="5"/>
        <v>0</v>
      </c>
      <c r="V51" s="436">
        <f t="shared" si="6"/>
        <v>0</v>
      </c>
      <c r="W51" s="912"/>
    </row>
    <row r="52" spans="1:23" hidden="1">
      <c r="A52" s="889">
        <v>20002</v>
      </c>
      <c r="C52" s="1534" t="s">
        <v>118</v>
      </c>
      <c r="D52" s="1535"/>
      <c r="E52" s="1535"/>
      <c r="F52" s="1535"/>
      <c r="G52" s="1535"/>
      <c r="H52" s="1535"/>
      <c r="I52" s="1536"/>
      <c r="J52" s="1536"/>
      <c r="K52" s="945"/>
      <c r="L52" s="945"/>
      <c r="M52" s="1537"/>
      <c r="N52" s="1538"/>
      <c r="O52" s="1539"/>
      <c r="P52" s="1540"/>
      <c r="Q52" s="307">
        <f t="shared" si="1"/>
        <v>0</v>
      </c>
      <c r="R52" s="307">
        <f t="shared" si="2"/>
        <v>0</v>
      </c>
      <c r="S52" s="307">
        <f t="shared" si="3"/>
        <v>0</v>
      </c>
      <c r="T52" s="307">
        <f t="shared" si="4"/>
        <v>0</v>
      </c>
      <c r="U52" s="307">
        <f t="shared" si="5"/>
        <v>0</v>
      </c>
      <c r="V52" s="436">
        <f t="shared" si="6"/>
        <v>0</v>
      </c>
      <c r="W52" s="912"/>
    </row>
    <row r="53" spans="1:23" hidden="1">
      <c r="C53" s="1534" t="s">
        <v>119</v>
      </c>
      <c r="D53" s="1535"/>
      <c r="E53" s="1535"/>
      <c r="F53" s="1535"/>
      <c r="G53" s="1535"/>
      <c r="H53" s="1535"/>
      <c r="I53" s="1536"/>
      <c r="J53" s="1536">
        <v>0</v>
      </c>
      <c r="K53" s="945"/>
      <c r="L53" s="945"/>
      <c r="M53" s="1537"/>
      <c r="N53" s="1538"/>
      <c r="O53" s="1539"/>
      <c r="P53" s="1540">
        <f t="shared" ref="P53:P58" si="13">SUM(K53:O53)</f>
        <v>0</v>
      </c>
      <c r="Q53" s="307">
        <f t="shared" si="1"/>
        <v>0</v>
      </c>
      <c r="R53" s="307">
        <f t="shared" si="2"/>
        <v>0</v>
      </c>
      <c r="S53" s="307">
        <f t="shared" si="3"/>
        <v>0</v>
      </c>
      <c r="T53" s="307">
        <f t="shared" si="4"/>
        <v>0</v>
      </c>
      <c r="U53" s="307">
        <f t="shared" si="5"/>
        <v>0</v>
      </c>
      <c r="V53" s="436">
        <f t="shared" si="6"/>
        <v>0</v>
      </c>
      <c r="W53" s="912"/>
    </row>
    <row r="54" spans="1:23" hidden="1">
      <c r="A54" s="889">
        <v>20004</v>
      </c>
      <c r="C54" s="1534" t="s">
        <v>120</v>
      </c>
      <c r="D54" s="1535"/>
      <c r="E54" s="1535"/>
      <c r="F54" s="1535"/>
      <c r="G54" s="1535"/>
      <c r="H54" s="1535"/>
      <c r="I54" s="1536"/>
      <c r="J54" s="1536">
        <v>0</v>
      </c>
      <c r="K54" s="945"/>
      <c r="L54" s="945"/>
      <c r="M54" s="1537"/>
      <c r="N54" s="1538"/>
      <c r="O54" s="1539"/>
      <c r="P54" s="1540">
        <f t="shared" si="13"/>
        <v>0</v>
      </c>
      <c r="Q54" s="307">
        <f t="shared" si="1"/>
        <v>0</v>
      </c>
      <c r="R54" s="307">
        <f t="shared" si="2"/>
        <v>0</v>
      </c>
      <c r="S54" s="307">
        <f t="shared" si="3"/>
        <v>0</v>
      </c>
      <c r="T54" s="307">
        <f t="shared" si="4"/>
        <v>0</v>
      </c>
      <c r="U54" s="307">
        <f t="shared" si="5"/>
        <v>0</v>
      </c>
      <c r="V54" s="436">
        <f t="shared" si="6"/>
        <v>0</v>
      </c>
      <c r="W54" s="912"/>
    </row>
    <row r="55" spans="1:23" hidden="1">
      <c r="C55" s="1534" t="s">
        <v>215</v>
      </c>
      <c r="D55" s="1535"/>
      <c r="E55" s="1535"/>
      <c r="F55" s="1535"/>
      <c r="G55" s="1535"/>
      <c r="H55" s="1535"/>
      <c r="I55" s="1536"/>
      <c r="J55" s="1536">
        <v>476.37680899999992</v>
      </c>
      <c r="K55" s="945">
        <v>59.625853999999997</v>
      </c>
      <c r="L55" s="945">
        <v>92.202318500000004</v>
      </c>
      <c r="M55" s="1537"/>
      <c r="N55" s="1538"/>
      <c r="O55" s="1539"/>
      <c r="P55" s="1540">
        <f t="shared" si="13"/>
        <v>151.82817249999999</v>
      </c>
      <c r="Q55" s="307">
        <f t="shared" si="1"/>
        <v>1.2516531634939434</v>
      </c>
      <c r="R55" s="307">
        <f t="shared" si="2"/>
        <v>0</v>
      </c>
      <c r="S55" s="307">
        <f t="shared" si="3"/>
        <v>0</v>
      </c>
      <c r="T55" s="307">
        <f t="shared" si="4"/>
        <v>0</v>
      </c>
      <c r="U55" s="307">
        <f t="shared" si="5"/>
        <v>1.9354913328704888</v>
      </c>
      <c r="V55" s="436">
        <f t="shared" si="6"/>
        <v>3.1871444963644318</v>
      </c>
      <c r="W55" s="912"/>
    </row>
    <row r="56" spans="1:23" hidden="1">
      <c r="A56" s="889">
        <v>20006</v>
      </c>
      <c r="C56" s="1534" t="s">
        <v>1016</v>
      </c>
      <c r="D56" s="1535"/>
      <c r="E56" s="1535"/>
      <c r="F56" s="1535"/>
      <c r="G56" s="1535"/>
      <c r="H56" s="1535"/>
      <c r="I56" s="1536"/>
      <c r="J56" s="1536">
        <v>0</v>
      </c>
      <c r="K56" s="945">
        <v>4.5862661999999998</v>
      </c>
      <c r="L56" s="945">
        <v>0</v>
      </c>
      <c r="M56" s="1537"/>
      <c r="N56" s="1538"/>
      <c r="O56" s="1539"/>
      <c r="P56" s="1540">
        <f t="shared" si="13"/>
        <v>4.5862661999999998</v>
      </c>
      <c r="Q56" s="307">
        <f t="shared" si="1"/>
        <v>0</v>
      </c>
      <c r="R56" s="307">
        <f t="shared" si="2"/>
        <v>0</v>
      </c>
      <c r="S56" s="307">
        <f t="shared" si="3"/>
        <v>0</v>
      </c>
      <c r="T56" s="307">
        <f t="shared" si="4"/>
        <v>0</v>
      </c>
      <c r="U56" s="307">
        <f t="shared" si="5"/>
        <v>0</v>
      </c>
      <c r="V56" s="436">
        <f t="shared" si="6"/>
        <v>0</v>
      </c>
      <c r="W56" s="912"/>
    </row>
    <row r="57" spans="1:23" hidden="1">
      <c r="C57" s="1534" t="s">
        <v>844</v>
      </c>
      <c r="D57" s="1535"/>
      <c r="E57" s="1535"/>
      <c r="F57" s="1535"/>
      <c r="G57" s="1535"/>
      <c r="H57" s="1535"/>
      <c r="I57" s="1536"/>
      <c r="J57" s="1536">
        <v>0</v>
      </c>
      <c r="K57" s="945">
        <v>0</v>
      </c>
      <c r="L57" s="945">
        <v>-6.1095717</v>
      </c>
      <c r="M57" s="1537"/>
      <c r="N57" s="1538"/>
      <c r="O57" s="1539"/>
      <c r="P57" s="1540">
        <f t="shared" si="13"/>
        <v>-6.1095717</v>
      </c>
      <c r="Q57" s="307">
        <f t="shared" si="1"/>
        <v>0</v>
      </c>
      <c r="R57" s="307">
        <f t="shared" si="2"/>
        <v>0</v>
      </c>
      <c r="S57" s="307">
        <f t="shared" si="3"/>
        <v>0</v>
      </c>
      <c r="T57" s="307">
        <f t="shared" si="4"/>
        <v>0</v>
      </c>
      <c r="U57" s="307">
        <f t="shared" si="5"/>
        <v>0</v>
      </c>
      <c r="V57" s="436">
        <f t="shared" si="6"/>
        <v>0</v>
      </c>
      <c r="W57" s="912"/>
    </row>
    <row r="58" spans="1:23" hidden="1">
      <c r="A58" s="889">
        <v>20008</v>
      </c>
      <c r="C58" s="1534" t="s">
        <v>385</v>
      </c>
      <c r="D58" s="1535"/>
      <c r="E58" s="1535"/>
      <c r="F58" s="1535"/>
      <c r="G58" s="1535"/>
      <c r="H58" s="1535"/>
      <c r="I58" s="1536">
        <v>483.43920600000001</v>
      </c>
      <c r="J58" s="1536">
        <v>0</v>
      </c>
      <c r="K58" s="945"/>
      <c r="L58" s="945"/>
      <c r="M58" s="1537"/>
      <c r="N58" s="1538"/>
      <c r="O58" s="1539"/>
      <c r="P58" s="1540">
        <f t="shared" si="13"/>
        <v>0</v>
      </c>
      <c r="Q58" s="307">
        <f t="shared" si="1"/>
        <v>0</v>
      </c>
      <c r="R58" s="307">
        <f t="shared" si="2"/>
        <v>0</v>
      </c>
      <c r="S58" s="307">
        <f t="shared" si="3"/>
        <v>0</v>
      </c>
      <c r="T58" s="307">
        <f t="shared" si="4"/>
        <v>0</v>
      </c>
      <c r="U58" s="307">
        <f t="shared" si="5"/>
        <v>0</v>
      </c>
      <c r="V58" s="436">
        <f t="shared" si="6"/>
        <v>0</v>
      </c>
      <c r="W58" s="912"/>
    </row>
    <row r="59" spans="1:23" hidden="1">
      <c r="A59" s="889">
        <v>20009</v>
      </c>
      <c r="C59" s="1530" t="s">
        <v>216</v>
      </c>
      <c r="D59" s="1531"/>
      <c r="E59" s="1531"/>
      <c r="F59" s="1531"/>
      <c r="G59" s="1531"/>
      <c r="H59" s="1531"/>
      <c r="I59" s="1542">
        <f>SUM(I53:I58)</f>
        <v>483.43920600000001</v>
      </c>
      <c r="J59" s="1542">
        <f t="shared" ref="J59:P59" si="14">SUM(J53:J58)</f>
        <v>476.37680899999992</v>
      </c>
      <c r="K59" s="1542">
        <f t="shared" si="14"/>
        <v>64.212120200000001</v>
      </c>
      <c r="L59" s="1542">
        <f t="shared" si="14"/>
        <v>86.0927468</v>
      </c>
      <c r="M59" s="1542">
        <f t="shared" si="14"/>
        <v>0</v>
      </c>
      <c r="N59" s="1542">
        <f t="shared" si="14"/>
        <v>0</v>
      </c>
      <c r="O59" s="1542">
        <f t="shared" si="14"/>
        <v>0</v>
      </c>
      <c r="P59" s="1542">
        <f t="shared" si="14"/>
        <v>150.304867</v>
      </c>
      <c r="Q59" s="307">
        <f t="shared" si="1"/>
        <v>1.3479270818156055</v>
      </c>
      <c r="R59" s="307">
        <f t="shared" si="2"/>
        <v>0</v>
      </c>
      <c r="S59" s="307">
        <f t="shared" si="3"/>
        <v>0</v>
      </c>
      <c r="T59" s="307">
        <f t="shared" si="4"/>
        <v>0</v>
      </c>
      <c r="U59" s="307">
        <f t="shared" si="5"/>
        <v>1.8072405115757852</v>
      </c>
      <c r="V59" s="436">
        <f t="shared" si="6"/>
        <v>3.1551675933913907</v>
      </c>
      <c r="W59" s="912"/>
    </row>
    <row r="60" spans="1:23" hidden="1">
      <c r="A60" s="889">
        <v>20010</v>
      </c>
      <c r="C60" s="1530" t="s">
        <v>779</v>
      </c>
      <c r="D60" s="1531"/>
      <c r="E60" s="1531"/>
      <c r="F60" s="1531"/>
      <c r="G60" s="1531"/>
      <c r="H60" s="1531"/>
      <c r="I60" s="1536"/>
      <c r="J60" s="1536"/>
      <c r="K60" s="945"/>
      <c r="L60" s="945"/>
      <c r="M60" s="1537"/>
      <c r="N60" s="1544"/>
      <c r="O60" s="1539"/>
      <c r="P60" s="1540"/>
      <c r="Q60" s="307">
        <f t="shared" si="1"/>
        <v>0</v>
      </c>
      <c r="R60" s="307">
        <f t="shared" si="2"/>
        <v>0</v>
      </c>
      <c r="S60" s="307">
        <f t="shared" si="3"/>
        <v>0</v>
      </c>
      <c r="T60" s="307">
        <f t="shared" si="4"/>
        <v>0</v>
      </c>
      <c r="U60" s="307">
        <f t="shared" si="5"/>
        <v>0</v>
      </c>
      <c r="V60" s="436">
        <f t="shared" si="6"/>
        <v>0</v>
      </c>
      <c r="W60" s="912"/>
    </row>
    <row r="61" spans="1:23" hidden="1">
      <c r="A61" s="889">
        <v>20011</v>
      </c>
      <c r="C61" s="1546" t="s">
        <v>778</v>
      </c>
      <c r="D61" s="1547"/>
      <c r="E61" s="1547"/>
      <c r="F61" s="1547"/>
      <c r="G61" s="1547"/>
      <c r="H61" s="1547"/>
      <c r="I61" s="1536">
        <v>0</v>
      </c>
      <c r="J61" s="1536">
        <v>0</v>
      </c>
      <c r="K61" s="1548">
        <v>0</v>
      </c>
      <c r="L61" s="1548">
        <v>0</v>
      </c>
      <c r="M61" s="1537"/>
      <c r="N61" s="1537"/>
      <c r="O61" s="1549"/>
      <c r="P61" s="1540">
        <f t="shared" ref="P61" si="15">SUM(K61:O61)</f>
        <v>0</v>
      </c>
      <c r="Q61" s="307">
        <f t="shared" si="1"/>
        <v>0</v>
      </c>
      <c r="R61" s="307">
        <f t="shared" si="2"/>
        <v>0</v>
      </c>
      <c r="S61" s="307">
        <f t="shared" si="3"/>
        <v>0</v>
      </c>
      <c r="T61" s="307">
        <f t="shared" si="4"/>
        <v>0</v>
      </c>
      <c r="U61" s="307">
        <f t="shared" si="5"/>
        <v>0</v>
      </c>
      <c r="V61" s="436">
        <f t="shared" si="6"/>
        <v>0</v>
      </c>
      <c r="W61" s="912"/>
    </row>
    <row r="62" spans="1:23" hidden="1">
      <c r="C62" s="1530" t="s">
        <v>784</v>
      </c>
      <c r="D62" s="1531"/>
      <c r="E62" s="1531"/>
      <c r="F62" s="1531"/>
      <c r="G62" s="1531"/>
      <c r="H62" s="1531"/>
      <c r="I62" s="1542">
        <f>I61</f>
        <v>0</v>
      </c>
      <c r="J62" s="1542">
        <f t="shared" ref="J62:P62" si="16">J61</f>
        <v>0</v>
      </c>
      <c r="K62" s="1542">
        <f t="shared" si="16"/>
        <v>0</v>
      </c>
      <c r="L62" s="1542">
        <f t="shared" si="16"/>
        <v>0</v>
      </c>
      <c r="M62" s="1542">
        <f t="shared" si="16"/>
        <v>0</v>
      </c>
      <c r="N62" s="1542">
        <f t="shared" si="16"/>
        <v>0</v>
      </c>
      <c r="O62" s="1542">
        <f t="shared" si="16"/>
        <v>0</v>
      </c>
      <c r="P62" s="1542">
        <f t="shared" si="16"/>
        <v>0</v>
      </c>
      <c r="Q62" s="307">
        <f t="shared" si="1"/>
        <v>0</v>
      </c>
      <c r="R62" s="307">
        <f t="shared" si="2"/>
        <v>0</v>
      </c>
      <c r="S62" s="307">
        <f t="shared" si="3"/>
        <v>0</v>
      </c>
      <c r="T62" s="307">
        <f t="shared" si="4"/>
        <v>0</v>
      </c>
      <c r="U62" s="307">
        <f t="shared" si="5"/>
        <v>0</v>
      </c>
      <c r="V62" s="436">
        <f t="shared" si="6"/>
        <v>0</v>
      </c>
      <c r="W62" s="912"/>
    </row>
    <row r="63" spans="1:23" hidden="1">
      <c r="A63" s="889">
        <v>20013</v>
      </c>
      <c r="C63" s="1550" t="s">
        <v>951</v>
      </c>
      <c r="D63" s="1535"/>
      <c r="E63" s="1535"/>
      <c r="F63" s="1535"/>
      <c r="G63" s="1535"/>
      <c r="H63" s="1535"/>
      <c r="I63" s="1536">
        <v>0</v>
      </c>
      <c r="J63" s="1536">
        <v>0</v>
      </c>
      <c r="K63" s="945">
        <v>0.58474530000000002</v>
      </c>
      <c r="L63" s="945">
        <v>0</v>
      </c>
      <c r="M63" s="1537"/>
      <c r="N63" s="1539"/>
      <c r="O63" s="1539"/>
      <c r="P63" s="1540">
        <f t="shared" ref="P63:P65" si="17">SUM(K63:O63)</f>
        <v>0.58474530000000002</v>
      </c>
      <c r="Q63" s="307">
        <f t="shared" si="1"/>
        <v>0</v>
      </c>
      <c r="R63" s="307">
        <f t="shared" si="2"/>
        <v>0</v>
      </c>
      <c r="S63" s="307">
        <f t="shared" si="3"/>
        <v>0</v>
      </c>
      <c r="T63" s="307">
        <f t="shared" si="4"/>
        <v>0</v>
      </c>
      <c r="U63" s="307">
        <f t="shared" si="5"/>
        <v>0</v>
      </c>
      <c r="V63" s="436">
        <f t="shared" si="6"/>
        <v>0</v>
      </c>
      <c r="W63" s="912"/>
    </row>
    <row r="64" spans="1:23" hidden="1">
      <c r="A64" s="889">
        <v>20014</v>
      </c>
      <c r="C64" s="1550" t="s">
        <v>1017</v>
      </c>
      <c r="D64" s="1535"/>
      <c r="E64" s="1535"/>
      <c r="F64" s="1535"/>
      <c r="G64" s="1535"/>
      <c r="H64" s="1535"/>
      <c r="I64" s="1536"/>
      <c r="J64" s="1536">
        <v>0</v>
      </c>
      <c r="K64" s="945">
        <v>1.7584732000000001</v>
      </c>
      <c r="L64" s="945">
        <v>0</v>
      </c>
      <c r="M64" s="1537"/>
      <c r="N64" s="1539"/>
      <c r="O64" s="1539"/>
      <c r="P64" s="1540">
        <f t="shared" si="17"/>
        <v>1.7584732000000001</v>
      </c>
      <c r="Q64" s="307">
        <f t="shared" si="1"/>
        <v>0</v>
      </c>
      <c r="R64" s="307">
        <f t="shared" si="2"/>
        <v>0</v>
      </c>
      <c r="S64" s="307">
        <f t="shared" si="3"/>
        <v>0</v>
      </c>
      <c r="T64" s="307">
        <f t="shared" si="4"/>
        <v>0</v>
      </c>
      <c r="U64" s="307">
        <f t="shared" si="5"/>
        <v>0</v>
      </c>
      <c r="V64" s="436">
        <f t="shared" si="6"/>
        <v>0</v>
      </c>
      <c r="W64" s="912"/>
    </row>
    <row r="65" spans="1:23" hidden="1">
      <c r="A65" s="889">
        <v>20015</v>
      </c>
      <c r="C65" s="1550" t="s">
        <v>952</v>
      </c>
      <c r="D65" s="101"/>
      <c r="E65" s="101"/>
      <c r="F65" s="101"/>
      <c r="G65" s="101"/>
      <c r="H65" s="101"/>
      <c r="I65" s="1536">
        <v>0</v>
      </c>
      <c r="J65" s="1536">
        <v>0</v>
      </c>
      <c r="K65" s="945">
        <v>-9.8898299999999995E-2</v>
      </c>
      <c r="L65" s="945">
        <v>0</v>
      </c>
      <c r="M65" s="1537"/>
      <c r="N65" s="1544"/>
      <c r="O65" s="1539"/>
      <c r="P65" s="1540">
        <f t="shared" si="17"/>
        <v>-9.8898299999999995E-2</v>
      </c>
      <c r="Q65" s="307">
        <f t="shared" si="1"/>
        <v>0</v>
      </c>
      <c r="R65" s="307">
        <f t="shared" si="2"/>
        <v>0</v>
      </c>
      <c r="S65" s="307">
        <f t="shared" si="3"/>
        <v>0</v>
      </c>
      <c r="T65" s="307">
        <f t="shared" si="4"/>
        <v>0</v>
      </c>
      <c r="U65" s="307">
        <f t="shared" si="5"/>
        <v>0</v>
      </c>
      <c r="V65" s="436">
        <f t="shared" si="6"/>
        <v>0</v>
      </c>
      <c r="W65" s="912"/>
    </row>
    <row r="66" spans="1:23" hidden="1">
      <c r="C66" s="1530" t="s">
        <v>217</v>
      </c>
      <c r="D66" s="1531"/>
      <c r="E66" s="1531"/>
      <c r="F66" s="1531"/>
      <c r="G66" s="1531"/>
      <c r="H66" s="1531"/>
      <c r="I66" s="1542">
        <f>I49+I59+I62+I63+I64+I65</f>
        <v>1439.607364</v>
      </c>
      <c r="J66" s="1542">
        <f t="shared" ref="J66:K66" si="18">J49+J59+J62+J63+J64+J65</f>
        <v>1367.8955469999999</v>
      </c>
      <c r="K66" s="1542">
        <f t="shared" si="18"/>
        <v>139.9194267</v>
      </c>
      <c r="L66" s="1542">
        <f t="shared" ref="L66" si="19">L49+L59+L62+L63+L64+L65</f>
        <v>450.04352970000002</v>
      </c>
      <c r="M66" s="1542">
        <f t="shared" ref="M66" si="20">M49+M59+M62+M63+M64+M65</f>
        <v>0</v>
      </c>
      <c r="N66" s="1542">
        <f t="shared" ref="N66" si="21">N49+N59+N62+N63+N64+N65</f>
        <v>0</v>
      </c>
      <c r="O66" s="1542">
        <f t="shared" ref="O66" si="22">O49+O59+O62+O63+O64+O65</f>
        <v>0</v>
      </c>
      <c r="P66" s="1542">
        <f t="shared" ref="P66" si="23">P49+P59+P62+P63+P64+P65</f>
        <v>589.96295640000005</v>
      </c>
      <c r="Q66" s="307">
        <f t="shared" si="1"/>
        <v>1.0228809283491294</v>
      </c>
      <c r="R66" s="307">
        <f t="shared" si="2"/>
        <v>0</v>
      </c>
      <c r="S66" s="307">
        <f t="shared" si="3"/>
        <v>0</v>
      </c>
      <c r="T66" s="307">
        <f t="shared" si="4"/>
        <v>0</v>
      </c>
      <c r="U66" s="307">
        <f t="shared" si="5"/>
        <v>3.2900430934731313</v>
      </c>
      <c r="V66" s="436">
        <f t="shared" si="6"/>
        <v>4.3129240218222611</v>
      </c>
      <c r="W66" s="912"/>
    </row>
    <row r="67" spans="1:23" hidden="1">
      <c r="A67" s="889">
        <v>20017</v>
      </c>
      <c r="C67" s="1543"/>
      <c r="D67" s="101"/>
      <c r="E67" s="101"/>
      <c r="F67" s="101"/>
      <c r="G67" s="101"/>
      <c r="H67" s="101"/>
      <c r="I67" s="1536"/>
      <c r="J67" s="1536"/>
      <c r="K67" s="945"/>
      <c r="L67" s="945"/>
      <c r="M67" s="1537"/>
      <c r="N67" s="1544"/>
      <c r="O67" s="1539"/>
      <c r="P67" s="1540">
        <f t="shared" ref="P67:P75" si="24">SUM(K67:O67)</f>
        <v>0</v>
      </c>
      <c r="Q67" s="307">
        <f t="shared" si="1"/>
        <v>0</v>
      </c>
      <c r="R67" s="307">
        <f t="shared" si="2"/>
        <v>0</v>
      </c>
      <c r="S67" s="307">
        <f t="shared" si="3"/>
        <v>0</v>
      </c>
      <c r="T67" s="307">
        <f t="shared" si="4"/>
        <v>0</v>
      </c>
      <c r="U67" s="307">
        <f t="shared" si="5"/>
        <v>0</v>
      </c>
      <c r="V67" s="436">
        <f t="shared" si="6"/>
        <v>0</v>
      </c>
      <c r="W67" s="912"/>
    </row>
    <row r="68" spans="1:23" hidden="1">
      <c r="C68" s="1530" t="s">
        <v>113</v>
      </c>
      <c r="D68" s="101"/>
      <c r="E68" s="101"/>
      <c r="F68" s="101"/>
      <c r="G68" s="101"/>
      <c r="H68" s="101"/>
      <c r="I68" s="1536"/>
      <c r="J68" s="1536"/>
      <c r="K68" s="945"/>
      <c r="L68" s="945"/>
      <c r="M68" s="1537"/>
      <c r="N68" s="1544"/>
      <c r="O68" s="1539"/>
      <c r="P68" s="1540">
        <f t="shared" si="24"/>
        <v>0</v>
      </c>
      <c r="Q68" s="307">
        <f t="shared" si="1"/>
        <v>0</v>
      </c>
      <c r="R68" s="307">
        <f t="shared" si="2"/>
        <v>0</v>
      </c>
      <c r="S68" s="307">
        <f t="shared" si="3"/>
        <v>0</v>
      </c>
      <c r="T68" s="307">
        <f t="shared" si="4"/>
        <v>0</v>
      </c>
      <c r="U68" s="307">
        <f t="shared" si="5"/>
        <v>0</v>
      </c>
      <c r="V68" s="436">
        <f t="shared" si="6"/>
        <v>0</v>
      </c>
      <c r="W68" s="912"/>
    </row>
    <row r="69" spans="1:23" hidden="1">
      <c r="C69" s="1534" t="s">
        <v>114</v>
      </c>
      <c r="D69" s="1535"/>
      <c r="E69" s="1535"/>
      <c r="F69" s="1535"/>
      <c r="G69" s="1535"/>
      <c r="H69" s="1535"/>
      <c r="I69" s="1536">
        <v>112.64057799999999</v>
      </c>
      <c r="J69" s="1536">
        <v>81.236653000000004</v>
      </c>
      <c r="K69" s="945">
        <v>9.7161971999999999</v>
      </c>
      <c r="L69" s="945">
        <v>22.177819800000002</v>
      </c>
      <c r="M69" s="1537"/>
      <c r="N69" s="1539"/>
      <c r="O69" s="1539"/>
      <c r="P69" s="1540">
        <f t="shared" si="24"/>
        <v>31.894017000000002</v>
      </c>
      <c r="Q69" s="307">
        <f t="shared" si="1"/>
        <v>1.1960361291595802</v>
      </c>
      <c r="R69" s="307">
        <f t="shared" si="2"/>
        <v>0</v>
      </c>
      <c r="S69" s="307">
        <f t="shared" si="3"/>
        <v>0</v>
      </c>
      <c r="T69" s="307">
        <f t="shared" si="4"/>
        <v>0</v>
      </c>
      <c r="U69" s="307">
        <f t="shared" si="5"/>
        <v>2.7300262850563279</v>
      </c>
      <c r="V69" s="436">
        <f t="shared" si="6"/>
        <v>3.9260624142159086</v>
      </c>
      <c r="W69" s="912"/>
    </row>
    <row r="70" spans="1:23" hidden="1">
      <c r="C70" s="1550" t="s">
        <v>115</v>
      </c>
      <c r="D70" s="1535"/>
      <c r="E70" s="1535"/>
      <c r="F70" s="1535"/>
      <c r="G70" s="1535"/>
      <c r="H70" s="1535"/>
      <c r="I70" s="1536"/>
      <c r="J70" s="1536">
        <v>161.75209999999998</v>
      </c>
      <c r="K70" s="945">
        <v>18.633758</v>
      </c>
      <c r="L70" s="945">
        <v>44.286270299999998</v>
      </c>
      <c r="M70" s="1537"/>
      <c r="N70" s="1539"/>
      <c r="O70" s="1539"/>
      <c r="P70" s="1540">
        <f t="shared" si="24"/>
        <v>62.920028299999998</v>
      </c>
      <c r="Q70" s="307">
        <f t="shared" si="1"/>
        <v>1.1519948118138807</v>
      </c>
      <c r="R70" s="307">
        <f t="shared" si="2"/>
        <v>0</v>
      </c>
      <c r="S70" s="307">
        <f t="shared" si="3"/>
        <v>0</v>
      </c>
      <c r="T70" s="307">
        <f t="shared" si="4"/>
        <v>0</v>
      </c>
      <c r="U70" s="307">
        <f t="shared" si="5"/>
        <v>2.7379100673190644</v>
      </c>
      <c r="V70" s="436">
        <f t="shared" si="6"/>
        <v>3.8899048791329447</v>
      </c>
      <c r="W70" s="912"/>
    </row>
    <row r="71" spans="1:23" hidden="1">
      <c r="C71" s="1550" t="s">
        <v>1018</v>
      </c>
      <c r="D71" s="1535"/>
      <c r="E71" s="1535"/>
      <c r="F71" s="1535"/>
      <c r="G71" s="1535"/>
      <c r="H71" s="1535"/>
      <c r="I71" s="1536"/>
      <c r="J71" s="1536">
        <v>0</v>
      </c>
      <c r="K71" s="945">
        <v>5.1646124999999996</v>
      </c>
      <c r="L71" s="945">
        <v>0</v>
      </c>
      <c r="M71" s="1537"/>
      <c r="N71" s="1539"/>
      <c r="O71" s="1539"/>
      <c r="P71" s="1540">
        <f t="shared" si="24"/>
        <v>5.1646124999999996</v>
      </c>
      <c r="Q71" s="307">
        <f t="shared" si="1"/>
        <v>0</v>
      </c>
      <c r="R71" s="307">
        <f t="shared" si="2"/>
        <v>0</v>
      </c>
      <c r="S71" s="307">
        <f t="shared" si="3"/>
        <v>0</v>
      </c>
      <c r="T71" s="307">
        <f t="shared" si="4"/>
        <v>0</v>
      </c>
      <c r="U71" s="307">
        <f t="shared" si="5"/>
        <v>0</v>
      </c>
      <c r="V71" s="436">
        <f t="shared" si="6"/>
        <v>0</v>
      </c>
      <c r="W71" s="912"/>
    </row>
    <row r="72" spans="1:23" hidden="1">
      <c r="C72" s="1550" t="s">
        <v>1019</v>
      </c>
      <c r="D72" s="1535"/>
      <c r="E72" s="1535"/>
      <c r="F72" s="1535"/>
      <c r="G72" s="1535"/>
      <c r="H72" s="1535"/>
      <c r="I72" s="1536"/>
      <c r="J72" s="1536">
        <v>2.6473529999999998</v>
      </c>
      <c r="K72" s="945">
        <v>0.30174339999999999</v>
      </c>
      <c r="L72" s="945">
        <v>0.65307559999999998</v>
      </c>
      <c r="M72" s="1537"/>
      <c r="N72" s="1539"/>
      <c r="O72" s="1539"/>
      <c r="P72" s="1540">
        <f t="shared" si="24"/>
        <v>0.95481899999999997</v>
      </c>
      <c r="Q72" s="307">
        <f t="shared" si="1"/>
        <v>1.1397928421332555</v>
      </c>
      <c r="R72" s="307">
        <f t="shared" si="2"/>
        <v>0</v>
      </c>
      <c r="S72" s="307">
        <f t="shared" si="3"/>
        <v>0</v>
      </c>
      <c r="T72" s="307">
        <f t="shared" si="4"/>
        <v>0</v>
      </c>
      <c r="U72" s="307">
        <f t="shared" si="5"/>
        <v>2.466900334031767</v>
      </c>
      <c r="V72" s="436">
        <f t="shared" si="6"/>
        <v>3.6066931761650221</v>
      </c>
      <c r="W72" s="912"/>
    </row>
    <row r="73" spans="1:23" hidden="1">
      <c r="C73" s="1550" t="s">
        <v>1020</v>
      </c>
      <c r="D73" s="1535"/>
      <c r="E73" s="1535"/>
      <c r="F73" s="1535"/>
      <c r="G73" s="1535"/>
      <c r="H73" s="1535"/>
      <c r="I73" s="1536"/>
      <c r="J73" s="1536">
        <v>0</v>
      </c>
      <c r="K73" s="945">
        <v>4.08204E-2</v>
      </c>
      <c r="L73" s="945">
        <v>0</v>
      </c>
      <c r="M73" s="1537"/>
      <c r="N73" s="1539"/>
      <c r="O73" s="1539"/>
      <c r="P73" s="1540">
        <f t="shared" si="24"/>
        <v>4.08204E-2</v>
      </c>
      <c r="Q73" s="307">
        <f t="shared" si="1"/>
        <v>0</v>
      </c>
      <c r="R73" s="307">
        <f t="shared" si="2"/>
        <v>0</v>
      </c>
      <c r="S73" s="307">
        <f t="shared" si="3"/>
        <v>0</v>
      </c>
      <c r="T73" s="307">
        <f t="shared" si="4"/>
        <v>0</v>
      </c>
      <c r="U73" s="307">
        <f t="shared" si="5"/>
        <v>0</v>
      </c>
      <c r="V73" s="436">
        <f t="shared" si="6"/>
        <v>0</v>
      </c>
      <c r="W73" s="912"/>
    </row>
    <row r="74" spans="1:23" hidden="1">
      <c r="C74" s="1550" t="s">
        <v>1021</v>
      </c>
      <c r="D74" s="1535"/>
      <c r="E74" s="1535"/>
      <c r="F74" s="1535"/>
      <c r="G74" s="1535"/>
      <c r="H74" s="1535"/>
      <c r="I74" s="1536"/>
      <c r="J74" s="1536">
        <v>0</v>
      </c>
      <c r="K74" s="945">
        <v>9.9005907000000004</v>
      </c>
      <c r="L74" s="945">
        <v>0</v>
      </c>
      <c r="M74" s="1537"/>
      <c r="N74" s="1539"/>
      <c r="O74" s="1539"/>
      <c r="P74" s="1540">
        <f t="shared" si="24"/>
        <v>9.9005907000000004</v>
      </c>
      <c r="Q74" s="307">
        <f t="shared" si="1"/>
        <v>0</v>
      </c>
      <c r="R74" s="307">
        <f t="shared" si="2"/>
        <v>0</v>
      </c>
      <c r="S74" s="307">
        <f t="shared" si="3"/>
        <v>0</v>
      </c>
      <c r="T74" s="307">
        <f t="shared" si="4"/>
        <v>0</v>
      </c>
      <c r="U74" s="307">
        <f t="shared" si="5"/>
        <v>0</v>
      </c>
      <c r="V74" s="436">
        <f t="shared" si="6"/>
        <v>0</v>
      </c>
      <c r="W74" s="912"/>
    </row>
    <row r="75" spans="1:23" hidden="1">
      <c r="C75" s="1550" t="s">
        <v>1022</v>
      </c>
      <c r="D75" s="1535"/>
      <c r="E75" s="1535"/>
      <c r="F75" s="1535"/>
      <c r="G75" s="1535"/>
      <c r="H75" s="1535"/>
      <c r="I75" s="1536">
        <v>179.82505600000002</v>
      </c>
      <c r="J75" s="1536">
        <v>1.008138</v>
      </c>
      <c r="K75" s="945">
        <v>0.22027179999999999</v>
      </c>
      <c r="L75" s="945">
        <v>0.26442399999999999</v>
      </c>
      <c r="M75" s="1537"/>
      <c r="N75" s="1539"/>
      <c r="O75" s="1539"/>
      <c r="P75" s="1540">
        <f t="shared" si="24"/>
        <v>0.48469580000000001</v>
      </c>
      <c r="Q75" s="307">
        <f t="shared" si="1"/>
        <v>2.1849369828336993</v>
      </c>
      <c r="R75" s="307">
        <f t="shared" si="2"/>
        <v>0</v>
      </c>
      <c r="S75" s="307">
        <f t="shared" si="3"/>
        <v>0</v>
      </c>
      <c r="T75" s="307">
        <f t="shared" si="4"/>
        <v>0</v>
      </c>
      <c r="U75" s="307">
        <f t="shared" si="5"/>
        <v>2.6228948814547213</v>
      </c>
      <c r="V75" s="436">
        <f t="shared" si="6"/>
        <v>4.8078318642884206</v>
      </c>
      <c r="W75" s="912"/>
    </row>
    <row r="76" spans="1:23" hidden="1">
      <c r="C76" s="1530" t="s">
        <v>116</v>
      </c>
      <c r="D76" s="1531"/>
      <c r="E76" s="1531"/>
      <c r="F76" s="1531"/>
      <c r="G76" s="1531"/>
      <c r="H76" s="1531"/>
      <c r="I76" s="1542">
        <f>SUM(I69:I75)</f>
        <v>292.46563400000002</v>
      </c>
      <c r="J76" s="1542">
        <f>SUM(J69:J75)</f>
        <v>246.64424399999999</v>
      </c>
      <c r="K76" s="1542">
        <f>SUM(K69:K75)</f>
        <v>43.977994000000002</v>
      </c>
      <c r="L76" s="1542">
        <f t="shared" ref="L76:P76" si="25">SUM(L69:L75)</f>
        <v>67.381589699999992</v>
      </c>
      <c r="M76" s="1542">
        <f t="shared" si="25"/>
        <v>0</v>
      </c>
      <c r="N76" s="1542">
        <f t="shared" si="25"/>
        <v>0</v>
      </c>
      <c r="O76" s="1542">
        <f t="shared" si="25"/>
        <v>0</v>
      </c>
      <c r="P76" s="1542">
        <f t="shared" si="25"/>
        <v>111.3595837</v>
      </c>
      <c r="Q76" s="307">
        <f t="shared" si="1"/>
        <v>1.7830537330520473</v>
      </c>
      <c r="R76" s="307">
        <f t="shared" si="2"/>
        <v>0</v>
      </c>
      <c r="S76" s="307">
        <f t="shared" si="3"/>
        <v>0</v>
      </c>
      <c r="T76" s="307">
        <f t="shared" si="4"/>
        <v>0</v>
      </c>
      <c r="U76" s="307">
        <f t="shared" si="5"/>
        <v>2.7319344091403162</v>
      </c>
      <c r="V76" s="436">
        <f t="shared" si="6"/>
        <v>4.5149881421923634</v>
      </c>
      <c r="W76" s="912"/>
    </row>
    <row r="77" spans="1:23" hidden="1">
      <c r="A77" s="889">
        <v>22000</v>
      </c>
      <c r="C77" s="1543"/>
      <c r="D77" s="101"/>
      <c r="E77" s="101"/>
      <c r="F77" s="101"/>
      <c r="G77" s="101"/>
      <c r="H77" s="101"/>
      <c r="I77" s="1536"/>
      <c r="J77" s="1536"/>
      <c r="K77" s="945"/>
      <c r="L77" s="945"/>
      <c r="M77" s="1537"/>
      <c r="N77" s="1544"/>
      <c r="O77" s="1539"/>
      <c r="P77" s="1540">
        <f t="shared" ref="P77:P82" si="26">SUM(K77:O77)</f>
        <v>0</v>
      </c>
      <c r="Q77" s="307">
        <f t="shared" si="1"/>
        <v>0</v>
      </c>
      <c r="R77" s="307">
        <f t="shared" si="2"/>
        <v>0</v>
      </c>
      <c r="S77" s="307">
        <f t="shared" si="3"/>
        <v>0</v>
      </c>
      <c r="T77" s="307">
        <f t="shared" si="4"/>
        <v>0</v>
      </c>
      <c r="U77" s="307">
        <f t="shared" si="5"/>
        <v>0</v>
      </c>
      <c r="V77" s="436">
        <f t="shared" si="6"/>
        <v>0</v>
      </c>
      <c r="W77" s="1084"/>
    </row>
    <row r="78" spans="1:23" hidden="1">
      <c r="A78" s="889">
        <v>23000</v>
      </c>
      <c r="C78" s="1530" t="s">
        <v>218</v>
      </c>
      <c r="D78" s="1531"/>
      <c r="E78" s="1531"/>
      <c r="F78" s="1531"/>
      <c r="G78" s="1531"/>
      <c r="H78" s="1531"/>
      <c r="I78" s="1536"/>
      <c r="J78" s="1536"/>
      <c r="K78" s="945"/>
      <c r="L78" s="945"/>
      <c r="M78" s="1537"/>
      <c r="N78" s="1544"/>
      <c r="O78" s="1539"/>
      <c r="P78" s="1540">
        <f t="shared" si="26"/>
        <v>0</v>
      </c>
      <c r="Q78" s="307">
        <f t="shared" ref="Q78:Q141" si="27">IF(J78=0,0,K78/J78*10)</f>
        <v>0</v>
      </c>
      <c r="R78" s="307">
        <f t="shared" ref="R78:R141" si="28">IF(J78=0,0,M78/J78*10)</f>
        <v>0</v>
      </c>
      <c r="S78" s="307">
        <f t="shared" ref="S78:S141" si="29">IF(J78=0,0,N78/J78*10)</f>
        <v>0</v>
      </c>
      <c r="T78" s="307">
        <f t="shared" ref="T78:T141" si="30">IF(J78=0,0,O78/J78*10)</f>
        <v>0</v>
      </c>
      <c r="U78" s="307">
        <f t="shared" ref="U78:U141" si="31">IF(J78=0,0,L78/J78*10)</f>
        <v>0</v>
      </c>
      <c r="V78" s="436">
        <f t="shared" ref="V78:V141" si="32">IF(J78=0,0,P78/J78*10)</f>
        <v>0</v>
      </c>
      <c r="W78" s="1084"/>
    </row>
    <row r="79" spans="1:23" hidden="1">
      <c r="C79" s="1546" t="s">
        <v>117</v>
      </c>
      <c r="D79" s="1547"/>
      <c r="E79" s="1547"/>
      <c r="F79" s="1547"/>
      <c r="G79" s="1547"/>
      <c r="H79" s="1547"/>
      <c r="I79" s="1536">
        <v>11.648727601400001</v>
      </c>
      <c r="J79" s="1536">
        <v>21.492802196000003</v>
      </c>
      <c r="K79" s="945">
        <v>0</v>
      </c>
      <c r="L79" s="945">
        <v>5.6457283867800001</v>
      </c>
      <c r="M79" s="1537"/>
      <c r="N79" s="1539"/>
      <c r="O79" s="1539"/>
      <c r="P79" s="1540">
        <f t="shared" si="26"/>
        <v>5.6457283867800001</v>
      </c>
      <c r="Q79" s="307">
        <f t="shared" si="27"/>
        <v>0</v>
      </c>
      <c r="R79" s="307">
        <f t="shared" si="28"/>
        <v>0</v>
      </c>
      <c r="S79" s="307">
        <f t="shared" si="29"/>
        <v>0</v>
      </c>
      <c r="T79" s="307">
        <f t="shared" si="30"/>
        <v>0</v>
      </c>
      <c r="U79" s="307">
        <f t="shared" si="31"/>
        <v>2.6267995840164198</v>
      </c>
      <c r="V79" s="436">
        <f t="shared" si="32"/>
        <v>2.6267995840164198</v>
      </c>
      <c r="W79" s="912"/>
    </row>
    <row r="80" spans="1:23" hidden="1">
      <c r="A80" s="894"/>
      <c r="B80" s="894"/>
      <c r="C80" s="1534" t="s">
        <v>1023</v>
      </c>
      <c r="D80" s="1535"/>
      <c r="E80" s="1535"/>
      <c r="F80" s="1535"/>
      <c r="G80" s="1535"/>
      <c r="H80" s="1535"/>
      <c r="I80" s="1536">
        <v>319.36802523639994</v>
      </c>
      <c r="J80" s="1536">
        <v>318.27907590479998</v>
      </c>
      <c r="K80" s="945">
        <v>0</v>
      </c>
      <c r="L80" s="945">
        <v>112.51448824358</v>
      </c>
      <c r="M80" s="1537"/>
      <c r="N80" s="1539"/>
      <c r="O80" s="1539"/>
      <c r="P80" s="1540">
        <f t="shared" si="26"/>
        <v>112.51448824358</v>
      </c>
      <c r="Q80" s="307">
        <f t="shared" si="27"/>
        <v>0</v>
      </c>
      <c r="R80" s="307">
        <f t="shared" si="28"/>
        <v>0</v>
      </c>
      <c r="S80" s="307">
        <f t="shared" si="29"/>
        <v>0</v>
      </c>
      <c r="T80" s="307">
        <f t="shared" si="30"/>
        <v>0</v>
      </c>
      <c r="U80" s="307">
        <f t="shared" si="31"/>
        <v>3.5350890699844202</v>
      </c>
      <c r="V80" s="436">
        <f t="shared" si="32"/>
        <v>3.5350890699844202</v>
      </c>
      <c r="W80" s="1084"/>
    </row>
    <row r="81" spans="1:23" hidden="1">
      <c r="A81" s="894"/>
      <c r="B81" s="894"/>
      <c r="C81" s="1534" t="s">
        <v>1024</v>
      </c>
      <c r="D81" s="1535"/>
      <c r="E81" s="1535"/>
      <c r="F81" s="1535"/>
      <c r="G81" s="1535"/>
      <c r="H81" s="1535"/>
      <c r="I81" s="1536"/>
      <c r="J81" s="1536">
        <v>0</v>
      </c>
      <c r="K81" s="945"/>
      <c r="L81" s="945"/>
      <c r="M81" s="1537"/>
      <c r="N81" s="1539"/>
      <c r="O81" s="1539"/>
      <c r="P81" s="1540">
        <f t="shared" si="26"/>
        <v>0</v>
      </c>
      <c r="Q81" s="307">
        <f t="shared" si="27"/>
        <v>0</v>
      </c>
      <c r="R81" s="307">
        <f t="shared" si="28"/>
        <v>0</v>
      </c>
      <c r="S81" s="307">
        <f t="shared" si="29"/>
        <v>0</v>
      </c>
      <c r="T81" s="307">
        <f t="shared" si="30"/>
        <v>0</v>
      </c>
      <c r="U81" s="307">
        <f t="shared" si="31"/>
        <v>0</v>
      </c>
      <c r="V81" s="436">
        <f t="shared" si="32"/>
        <v>0</v>
      </c>
      <c r="W81" s="1084"/>
    </row>
    <row r="82" spans="1:23" hidden="1">
      <c r="A82" s="894"/>
      <c r="B82" s="894"/>
      <c r="C82" s="1550" t="s">
        <v>1025</v>
      </c>
      <c r="D82" s="1535"/>
      <c r="E82" s="1535"/>
      <c r="F82" s="1535"/>
      <c r="G82" s="1535"/>
      <c r="H82" s="1535"/>
      <c r="I82" s="1536">
        <v>0</v>
      </c>
      <c r="J82" s="1536">
        <v>2.3060224932</v>
      </c>
      <c r="K82" s="945">
        <v>0</v>
      </c>
      <c r="L82" s="945">
        <v>1.0132386279199999</v>
      </c>
      <c r="M82" s="1537"/>
      <c r="N82" s="1539"/>
      <c r="O82" s="1539"/>
      <c r="P82" s="1540">
        <f t="shared" si="26"/>
        <v>1.0132386279199999</v>
      </c>
      <c r="Q82" s="307">
        <f t="shared" si="27"/>
        <v>0</v>
      </c>
      <c r="R82" s="307">
        <f t="shared" si="28"/>
        <v>0</v>
      </c>
      <c r="S82" s="307">
        <f t="shared" si="29"/>
        <v>0</v>
      </c>
      <c r="T82" s="307">
        <f t="shared" si="30"/>
        <v>0</v>
      </c>
      <c r="U82" s="307">
        <f t="shared" si="31"/>
        <v>4.3938800723229647</v>
      </c>
      <c r="V82" s="436">
        <f t="shared" si="32"/>
        <v>4.3938800723229647</v>
      </c>
      <c r="W82" s="1084"/>
    </row>
    <row r="83" spans="1:23" hidden="1">
      <c r="C83" s="1530" t="s">
        <v>369</v>
      </c>
      <c r="D83" s="1531"/>
      <c r="E83" s="1531"/>
      <c r="F83" s="1531"/>
      <c r="G83" s="1531"/>
      <c r="H83" s="1531"/>
      <c r="I83" s="1542">
        <f>SUM(I79:I82)</f>
        <v>331.01675283779997</v>
      </c>
      <c r="J83" s="1542">
        <f t="shared" ref="J83:P83" si="33">SUM(J79:J82)</f>
        <v>342.07790059399997</v>
      </c>
      <c r="K83" s="1542">
        <f t="shared" si="33"/>
        <v>0</v>
      </c>
      <c r="L83" s="1542">
        <f t="shared" si="33"/>
        <v>119.17345525828</v>
      </c>
      <c r="M83" s="1542">
        <f t="shared" si="33"/>
        <v>0</v>
      </c>
      <c r="N83" s="1542">
        <f t="shared" si="33"/>
        <v>0</v>
      </c>
      <c r="O83" s="1542">
        <f t="shared" si="33"/>
        <v>0</v>
      </c>
      <c r="P83" s="1542">
        <f t="shared" si="33"/>
        <v>119.17345525828</v>
      </c>
      <c r="Q83" s="307">
        <f t="shared" si="27"/>
        <v>0</v>
      </c>
      <c r="R83" s="307">
        <f t="shared" si="28"/>
        <v>0</v>
      </c>
      <c r="S83" s="307">
        <f t="shared" si="29"/>
        <v>0</v>
      </c>
      <c r="T83" s="307">
        <f t="shared" si="30"/>
        <v>0</v>
      </c>
      <c r="U83" s="307">
        <f t="shared" si="31"/>
        <v>3.4838104142752768</v>
      </c>
      <c r="V83" s="436">
        <f t="shared" si="32"/>
        <v>3.4838104142752768</v>
      </c>
      <c r="W83" s="1084"/>
    </row>
    <row r="84" spans="1:23" hidden="1">
      <c r="C84" s="1543"/>
      <c r="D84" s="101"/>
      <c r="E84" s="101"/>
      <c r="F84" s="101"/>
      <c r="G84" s="101"/>
      <c r="H84" s="101"/>
      <c r="I84" s="1536"/>
      <c r="J84" s="1536"/>
      <c r="K84" s="945"/>
      <c r="L84" s="945"/>
      <c r="M84" s="1537"/>
      <c r="N84" s="1544"/>
      <c r="O84" s="1539"/>
      <c r="P84" s="1540">
        <f t="shared" ref="P84:P88" si="34">SUM(K84:O84)</f>
        <v>0</v>
      </c>
      <c r="Q84" s="307">
        <f t="shared" si="27"/>
        <v>0</v>
      </c>
      <c r="R84" s="307">
        <f t="shared" si="28"/>
        <v>0</v>
      </c>
      <c r="S84" s="307">
        <f t="shared" si="29"/>
        <v>0</v>
      </c>
      <c r="T84" s="307">
        <f t="shared" si="30"/>
        <v>0</v>
      </c>
      <c r="U84" s="307">
        <f t="shared" si="31"/>
        <v>0</v>
      </c>
      <c r="V84" s="436">
        <f t="shared" si="32"/>
        <v>0</v>
      </c>
      <c r="W84" s="1084"/>
    </row>
    <row r="85" spans="1:23" hidden="1">
      <c r="C85" s="1543" t="s">
        <v>416</v>
      </c>
      <c r="D85" s="101"/>
      <c r="E85" s="101"/>
      <c r="F85" s="101"/>
      <c r="G85" s="101"/>
      <c r="H85" s="101"/>
      <c r="I85" s="1536"/>
      <c r="J85" s="1536"/>
      <c r="K85" s="945"/>
      <c r="L85" s="945"/>
      <c r="M85" s="1537"/>
      <c r="N85" s="1544"/>
      <c r="O85" s="1539"/>
      <c r="P85" s="1540">
        <f t="shared" si="34"/>
        <v>0</v>
      </c>
      <c r="Q85" s="307">
        <f t="shared" si="27"/>
        <v>0</v>
      </c>
      <c r="R85" s="307">
        <f t="shared" si="28"/>
        <v>0</v>
      </c>
      <c r="S85" s="307">
        <f t="shared" si="29"/>
        <v>0</v>
      </c>
      <c r="T85" s="307">
        <f t="shared" si="30"/>
        <v>0</v>
      </c>
      <c r="U85" s="307">
        <f t="shared" si="31"/>
        <v>0</v>
      </c>
      <c r="V85" s="436">
        <f t="shared" si="32"/>
        <v>0</v>
      </c>
      <c r="W85" s="1084"/>
    </row>
    <row r="86" spans="1:23" hidden="1">
      <c r="C86" s="1534" t="s">
        <v>417</v>
      </c>
      <c r="D86" s="1535"/>
      <c r="E86" s="1535"/>
      <c r="F86" s="1535"/>
      <c r="G86" s="1535"/>
      <c r="H86" s="1535"/>
      <c r="I86" s="1536">
        <v>1240.411852</v>
      </c>
      <c r="J86" s="1536">
        <v>1169.9720749999999</v>
      </c>
      <c r="K86" s="945">
        <v>200.3022177</v>
      </c>
      <c r="L86" s="945">
        <v>525.24178949999998</v>
      </c>
      <c r="M86" s="1537"/>
      <c r="N86" s="1539"/>
      <c r="O86" s="1539"/>
      <c r="P86" s="1540">
        <f t="shared" si="34"/>
        <v>725.54400720000001</v>
      </c>
      <c r="Q86" s="307">
        <f t="shared" si="27"/>
        <v>1.712025628474936</v>
      </c>
      <c r="R86" s="307">
        <f t="shared" si="28"/>
        <v>0</v>
      </c>
      <c r="S86" s="307">
        <f t="shared" si="29"/>
        <v>0</v>
      </c>
      <c r="T86" s="307">
        <f t="shared" si="30"/>
        <v>0</v>
      </c>
      <c r="U86" s="307">
        <f t="shared" si="31"/>
        <v>4.4893532138363215</v>
      </c>
      <c r="V86" s="436">
        <f t="shared" si="32"/>
        <v>6.2013788423112581</v>
      </c>
      <c r="W86" s="912"/>
    </row>
    <row r="87" spans="1:23" hidden="1">
      <c r="A87" s="894"/>
      <c r="B87" s="894"/>
      <c r="C87" s="1534" t="s">
        <v>419</v>
      </c>
      <c r="D87" s="1535"/>
      <c r="E87" s="1535"/>
      <c r="F87" s="1535"/>
      <c r="G87" s="1535"/>
      <c r="H87" s="1535"/>
      <c r="I87" s="1536"/>
      <c r="J87" s="1536">
        <v>492.60601100000002</v>
      </c>
      <c r="K87" s="945">
        <v>112.4426098</v>
      </c>
      <c r="L87" s="945">
        <v>214.89742939999999</v>
      </c>
      <c r="M87" s="1537"/>
      <c r="N87" s="1539"/>
      <c r="O87" s="1539"/>
      <c r="P87" s="1540">
        <f t="shared" si="34"/>
        <v>327.34003919999998</v>
      </c>
      <c r="Q87" s="307">
        <f t="shared" si="27"/>
        <v>2.2826073431734879</v>
      </c>
      <c r="R87" s="307">
        <f t="shared" si="28"/>
        <v>0</v>
      </c>
      <c r="S87" s="307">
        <f t="shared" si="29"/>
        <v>0</v>
      </c>
      <c r="T87" s="307">
        <f t="shared" si="30"/>
        <v>0</v>
      </c>
      <c r="U87" s="307">
        <f t="shared" si="31"/>
        <v>4.3624605587689427</v>
      </c>
      <c r="V87" s="436">
        <f t="shared" si="32"/>
        <v>6.6450679019424292</v>
      </c>
      <c r="W87" s="1084"/>
    </row>
    <row r="88" spans="1:23" hidden="1">
      <c r="A88" s="889">
        <v>31001</v>
      </c>
      <c r="C88" s="1534" t="s">
        <v>1026</v>
      </c>
      <c r="D88" s="1535"/>
      <c r="E88" s="1535"/>
      <c r="F88" s="1535"/>
      <c r="G88" s="1535"/>
      <c r="H88" s="1535"/>
      <c r="I88" s="1536">
        <v>543.02110600000003</v>
      </c>
      <c r="J88" s="1536">
        <v>0</v>
      </c>
      <c r="K88" s="945">
        <v>22.464270200000001</v>
      </c>
      <c r="L88" s="945">
        <v>0</v>
      </c>
      <c r="M88" s="1537"/>
      <c r="N88" s="1539"/>
      <c r="O88" s="1539"/>
      <c r="P88" s="1540">
        <f t="shared" si="34"/>
        <v>22.464270200000001</v>
      </c>
      <c r="Q88" s="307">
        <f t="shared" si="27"/>
        <v>0</v>
      </c>
      <c r="R88" s="307">
        <f t="shared" si="28"/>
        <v>0</v>
      </c>
      <c r="S88" s="307">
        <f t="shared" si="29"/>
        <v>0</v>
      </c>
      <c r="T88" s="307">
        <f t="shared" si="30"/>
        <v>0</v>
      </c>
      <c r="U88" s="307">
        <f t="shared" si="31"/>
        <v>0</v>
      </c>
      <c r="V88" s="436">
        <f t="shared" si="32"/>
        <v>0</v>
      </c>
      <c r="W88" s="912"/>
    </row>
    <row r="89" spans="1:23" hidden="1">
      <c r="A89" s="889">
        <v>31002</v>
      </c>
      <c r="C89" s="1530" t="s">
        <v>418</v>
      </c>
      <c r="D89" s="1531"/>
      <c r="E89" s="1531"/>
      <c r="F89" s="1531"/>
      <c r="G89" s="1531"/>
      <c r="H89" s="1531"/>
      <c r="I89" s="1542">
        <f>SUM(I86:I88)</f>
        <v>1783.4329579999999</v>
      </c>
      <c r="J89" s="1542">
        <f>SUM(J86:J88)</f>
        <v>1662.578086</v>
      </c>
      <c r="K89" s="1542">
        <f>SUM(K86:K88)</f>
        <v>335.20909769999997</v>
      </c>
      <c r="L89" s="1542">
        <f t="shared" ref="L89:P89" si="35">SUM(L86:L88)</f>
        <v>740.13921889999995</v>
      </c>
      <c r="M89" s="1542">
        <f t="shared" si="35"/>
        <v>0</v>
      </c>
      <c r="N89" s="1542">
        <f t="shared" si="35"/>
        <v>0</v>
      </c>
      <c r="O89" s="1542">
        <f t="shared" si="35"/>
        <v>0</v>
      </c>
      <c r="P89" s="1542">
        <f t="shared" si="35"/>
        <v>1075.3483166000001</v>
      </c>
      <c r="Q89" s="307">
        <f t="shared" si="27"/>
        <v>2.0162006255386187</v>
      </c>
      <c r="R89" s="307">
        <f t="shared" si="28"/>
        <v>0</v>
      </c>
      <c r="S89" s="307">
        <f t="shared" si="29"/>
        <v>0</v>
      </c>
      <c r="T89" s="307">
        <f t="shared" si="30"/>
        <v>0</v>
      </c>
      <c r="U89" s="307">
        <f t="shared" si="31"/>
        <v>4.4517561318319938</v>
      </c>
      <c r="V89" s="436">
        <f t="shared" si="32"/>
        <v>6.4679567573706134</v>
      </c>
      <c r="W89" s="912"/>
    </row>
    <row r="90" spans="1:23" hidden="1">
      <c r="A90" s="889">
        <v>31003</v>
      </c>
      <c r="C90" s="1543"/>
      <c r="D90" s="101"/>
      <c r="E90" s="101"/>
      <c r="F90" s="101"/>
      <c r="G90" s="101"/>
      <c r="H90" s="101"/>
      <c r="I90" s="1536"/>
      <c r="J90" s="1536"/>
      <c r="K90" s="945"/>
      <c r="L90" s="945"/>
      <c r="M90" s="1537"/>
      <c r="N90" s="1544"/>
      <c r="O90" s="1539"/>
      <c r="P90" s="1540">
        <f t="shared" ref="P90:P101" si="36">SUM(K90:O90)</f>
        <v>0</v>
      </c>
      <c r="Q90" s="307">
        <f t="shared" si="27"/>
        <v>0</v>
      </c>
      <c r="R90" s="307">
        <f t="shared" si="28"/>
        <v>0</v>
      </c>
      <c r="S90" s="307">
        <f t="shared" si="29"/>
        <v>0</v>
      </c>
      <c r="T90" s="307">
        <f t="shared" si="30"/>
        <v>0</v>
      </c>
      <c r="U90" s="307">
        <f t="shared" si="31"/>
        <v>0</v>
      </c>
      <c r="V90" s="436">
        <f t="shared" si="32"/>
        <v>0</v>
      </c>
      <c r="W90" s="1084"/>
    </row>
    <row r="91" spans="1:23" hidden="1">
      <c r="A91" s="889">
        <v>31004</v>
      </c>
      <c r="C91" s="1530" t="s">
        <v>401</v>
      </c>
      <c r="D91" s="1531"/>
      <c r="E91" s="1531"/>
      <c r="F91" s="1531"/>
      <c r="G91" s="1531"/>
      <c r="H91" s="1531"/>
      <c r="I91" s="1536"/>
      <c r="J91" s="1536"/>
      <c r="K91" s="945"/>
      <c r="L91" s="945"/>
      <c r="M91" s="1537"/>
      <c r="N91" s="1544"/>
      <c r="O91" s="1539"/>
      <c r="P91" s="1540">
        <f t="shared" si="36"/>
        <v>0</v>
      </c>
      <c r="Q91" s="307">
        <f t="shared" si="27"/>
        <v>0</v>
      </c>
      <c r="R91" s="307">
        <f t="shared" si="28"/>
        <v>0</v>
      </c>
      <c r="S91" s="307">
        <f t="shared" si="29"/>
        <v>0</v>
      </c>
      <c r="T91" s="307">
        <f t="shared" si="30"/>
        <v>0</v>
      </c>
      <c r="U91" s="307">
        <f t="shared" si="31"/>
        <v>0</v>
      </c>
      <c r="V91" s="436">
        <f t="shared" si="32"/>
        <v>0</v>
      </c>
      <c r="W91" s="912"/>
    </row>
    <row r="92" spans="1:23" hidden="1">
      <c r="A92" s="889">
        <v>31005</v>
      </c>
      <c r="C92" s="1534" t="s">
        <v>127</v>
      </c>
      <c r="D92" s="1535"/>
      <c r="E92" s="1535"/>
      <c r="F92" s="1535"/>
      <c r="G92" s="1535"/>
      <c r="H92" s="1535"/>
      <c r="I92" s="1536">
        <v>241.03323399999994</v>
      </c>
      <c r="J92" s="1536">
        <v>200.76336800000001</v>
      </c>
      <c r="K92" s="945">
        <v>41.669118400000002</v>
      </c>
      <c r="L92" s="945">
        <v>69.806353299999998</v>
      </c>
      <c r="M92" s="1537"/>
      <c r="N92" s="1539"/>
      <c r="O92" s="1539"/>
      <c r="P92" s="1540">
        <f t="shared" si="36"/>
        <v>111.4754717</v>
      </c>
      <c r="Q92" s="307">
        <f t="shared" si="27"/>
        <v>2.0755339390401142</v>
      </c>
      <c r="R92" s="307">
        <f t="shared" si="28"/>
        <v>0</v>
      </c>
      <c r="S92" s="307">
        <f t="shared" si="29"/>
        <v>0</v>
      </c>
      <c r="T92" s="307">
        <f t="shared" si="30"/>
        <v>0</v>
      </c>
      <c r="U92" s="307">
        <f t="shared" si="31"/>
        <v>3.4770463354649439</v>
      </c>
      <c r="V92" s="436">
        <f t="shared" si="32"/>
        <v>5.5525802745050576</v>
      </c>
      <c r="W92" s="912"/>
    </row>
    <row r="93" spans="1:23" hidden="1">
      <c r="A93" s="889">
        <v>31100</v>
      </c>
      <c r="C93" s="1534" t="s">
        <v>1027</v>
      </c>
      <c r="D93" s="1535"/>
      <c r="E93" s="1535"/>
      <c r="F93" s="1535"/>
      <c r="G93" s="1535"/>
      <c r="H93" s="1535"/>
      <c r="I93" s="1536">
        <v>599.49533000000008</v>
      </c>
      <c r="J93" s="1536">
        <v>0</v>
      </c>
      <c r="K93" s="945">
        <v>0.9192051</v>
      </c>
      <c r="L93" s="945">
        <v>0</v>
      </c>
      <c r="M93" s="1537"/>
      <c r="N93" s="1539"/>
      <c r="O93" s="1539"/>
      <c r="P93" s="1540">
        <f t="shared" si="36"/>
        <v>0.9192051</v>
      </c>
      <c r="Q93" s="307">
        <f t="shared" si="27"/>
        <v>0</v>
      </c>
      <c r="R93" s="307">
        <f t="shared" si="28"/>
        <v>0</v>
      </c>
      <c r="S93" s="307">
        <f t="shared" si="29"/>
        <v>0</v>
      </c>
      <c r="T93" s="307">
        <f t="shared" si="30"/>
        <v>0</v>
      </c>
      <c r="U93" s="307">
        <f t="shared" si="31"/>
        <v>0</v>
      </c>
      <c r="V93" s="436">
        <f t="shared" si="32"/>
        <v>0</v>
      </c>
      <c r="W93" s="912"/>
    </row>
    <row r="94" spans="1:23" hidden="1">
      <c r="C94" s="1534" t="s">
        <v>621</v>
      </c>
      <c r="D94" s="1535"/>
      <c r="E94" s="1535"/>
      <c r="F94" s="1535"/>
      <c r="G94" s="1535"/>
      <c r="H94" s="1535"/>
      <c r="I94" s="1536">
        <v>245.24562</v>
      </c>
      <c r="J94" s="1536">
        <v>444.59891899999991</v>
      </c>
      <c r="K94" s="945">
        <v>100.5651223</v>
      </c>
      <c r="L94" s="945">
        <v>253.61410749999999</v>
      </c>
      <c r="M94" s="1537"/>
      <c r="N94" s="1539"/>
      <c r="O94" s="1539"/>
      <c r="P94" s="1540">
        <f t="shared" si="36"/>
        <v>354.17922979999997</v>
      </c>
      <c r="Q94" s="307">
        <f t="shared" si="27"/>
        <v>2.2619290781496484</v>
      </c>
      <c r="R94" s="307">
        <f t="shared" si="28"/>
        <v>0</v>
      </c>
      <c r="S94" s="307">
        <f t="shared" si="29"/>
        <v>0</v>
      </c>
      <c r="T94" s="307">
        <f t="shared" si="30"/>
        <v>0</v>
      </c>
      <c r="U94" s="307">
        <f t="shared" si="31"/>
        <v>5.7043347759466778</v>
      </c>
      <c r="V94" s="436">
        <f t="shared" si="32"/>
        <v>7.9662638540963258</v>
      </c>
      <c r="W94" s="912"/>
    </row>
    <row r="95" spans="1:23" hidden="1">
      <c r="A95" s="889">
        <v>31200</v>
      </c>
      <c r="C95" s="1534" t="s">
        <v>594</v>
      </c>
      <c r="D95" s="1535"/>
      <c r="E95" s="1535"/>
      <c r="F95" s="1535"/>
      <c r="G95" s="1535"/>
      <c r="H95" s="1535"/>
      <c r="I95" s="1536">
        <v>108.50787600000001</v>
      </c>
      <c r="J95" s="1536">
        <v>254.730796</v>
      </c>
      <c r="K95" s="945">
        <v>47.182970900000001</v>
      </c>
      <c r="L95" s="945">
        <v>105.8759561</v>
      </c>
      <c r="M95" s="1537"/>
      <c r="N95" s="1539"/>
      <c r="O95" s="1539"/>
      <c r="P95" s="1540">
        <f t="shared" si="36"/>
        <v>153.05892699999998</v>
      </c>
      <c r="Q95" s="307">
        <f t="shared" si="27"/>
        <v>1.8522680273020464</v>
      </c>
      <c r="R95" s="307">
        <f t="shared" si="28"/>
        <v>0</v>
      </c>
      <c r="S95" s="307">
        <f t="shared" si="29"/>
        <v>0</v>
      </c>
      <c r="T95" s="307">
        <f t="shared" si="30"/>
        <v>0</v>
      </c>
      <c r="U95" s="307">
        <f t="shared" si="31"/>
        <v>4.1563861834750435</v>
      </c>
      <c r="V95" s="436">
        <f t="shared" si="32"/>
        <v>6.0086542107770899</v>
      </c>
      <c r="W95" s="1084"/>
    </row>
    <row r="96" spans="1:23" hidden="1">
      <c r="C96" s="1534" t="s">
        <v>1028</v>
      </c>
      <c r="D96" s="1535"/>
      <c r="E96" s="1535"/>
      <c r="F96" s="1535"/>
      <c r="G96" s="1535"/>
      <c r="H96" s="1535"/>
      <c r="I96" s="1536">
        <v>68.190010033800007</v>
      </c>
      <c r="J96" s="1536">
        <v>0</v>
      </c>
      <c r="K96" s="945">
        <v>5.0609770000000003</v>
      </c>
      <c r="L96" s="945">
        <v>0</v>
      </c>
      <c r="M96" s="1537"/>
      <c r="N96" s="1539"/>
      <c r="O96" s="1539"/>
      <c r="P96" s="1540">
        <f t="shared" si="36"/>
        <v>5.0609770000000003</v>
      </c>
      <c r="Q96" s="307">
        <f t="shared" si="27"/>
        <v>0</v>
      </c>
      <c r="R96" s="307">
        <f t="shared" si="28"/>
        <v>0</v>
      </c>
      <c r="S96" s="307">
        <f t="shared" si="29"/>
        <v>0</v>
      </c>
      <c r="T96" s="307">
        <f t="shared" si="30"/>
        <v>0</v>
      </c>
      <c r="U96" s="307">
        <f t="shared" si="31"/>
        <v>0</v>
      </c>
      <c r="V96" s="436">
        <f t="shared" si="32"/>
        <v>0</v>
      </c>
      <c r="W96" s="912"/>
    </row>
    <row r="97" spans="1:23" hidden="1">
      <c r="C97" s="1534" t="s">
        <v>780</v>
      </c>
      <c r="D97" s="1535"/>
      <c r="E97" s="1535"/>
      <c r="F97" s="1535"/>
      <c r="G97" s="1535"/>
      <c r="H97" s="1535"/>
      <c r="I97" s="1536">
        <v>0</v>
      </c>
      <c r="J97" s="1536">
        <v>130.67268799999999</v>
      </c>
      <c r="K97" s="945">
        <v>24.038649899999999</v>
      </c>
      <c r="L97" s="945">
        <v>28.782468399999999</v>
      </c>
      <c r="M97" s="1537"/>
      <c r="N97" s="1539"/>
      <c r="O97" s="1539"/>
      <c r="P97" s="1540">
        <f t="shared" si="36"/>
        <v>52.821118299999995</v>
      </c>
      <c r="Q97" s="307">
        <f t="shared" si="27"/>
        <v>1.8396078222558643</v>
      </c>
      <c r="R97" s="307">
        <f t="shared" si="28"/>
        <v>0</v>
      </c>
      <c r="S97" s="307">
        <f t="shared" si="29"/>
        <v>0</v>
      </c>
      <c r="T97" s="307">
        <f t="shared" si="30"/>
        <v>0</v>
      </c>
      <c r="U97" s="307">
        <f t="shared" si="31"/>
        <v>2.20263842739655</v>
      </c>
      <c r="V97" s="436">
        <f t="shared" si="32"/>
        <v>4.0422462496524139</v>
      </c>
      <c r="W97" s="912"/>
    </row>
    <row r="98" spans="1:23" hidden="1">
      <c r="A98" s="889">
        <v>32001</v>
      </c>
      <c r="C98" s="1534" t="s">
        <v>813</v>
      </c>
      <c r="D98" s="1535"/>
      <c r="E98" s="1535"/>
      <c r="F98" s="1535"/>
      <c r="G98" s="1535"/>
      <c r="H98" s="1535"/>
      <c r="I98" s="1536"/>
      <c r="J98" s="1536">
        <v>81.821313000000004</v>
      </c>
      <c r="K98" s="945">
        <v>13.6740019</v>
      </c>
      <c r="L98" s="945">
        <v>34.952741199999998</v>
      </c>
      <c r="M98" s="1537"/>
      <c r="N98" s="1539"/>
      <c r="O98" s="1539"/>
      <c r="P98" s="1540">
        <f t="shared" si="36"/>
        <v>48.626743099999999</v>
      </c>
      <c r="Q98" s="307">
        <f t="shared" si="27"/>
        <v>1.6712029419523002</v>
      </c>
      <c r="R98" s="307">
        <f t="shared" si="28"/>
        <v>0</v>
      </c>
      <c r="S98" s="307">
        <f t="shared" si="29"/>
        <v>0</v>
      </c>
      <c r="T98" s="307">
        <f t="shared" si="30"/>
        <v>0</v>
      </c>
      <c r="U98" s="307">
        <f t="shared" si="31"/>
        <v>4.2718382189735813</v>
      </c>
      <c r="V98" s="436">
        <f t="shared" si="32"/>
        <v>5.9430411609258815</v>
      </c>
      <c r="W98" s="1084"/>
    </row>
    <row r="99" spans="1:23" hidden="1">
      <c r="C99" s="1534" t="s">
        <v>654</v>
      </c>
      <c r="D99" s="1541"/>
      <c r="E99" s="1541"/>
      <c r="F99" s="1541"/>
      <c r="G99" s="1541"/>
      <c r="H99" s="1541"/>
      <c r="I99" s="1536"/>
      <c r="J99" s="1536">
        <v>0</v>
      </c>
      <c r="K99" s="945">
        <v>0.2005922</v>
      </c>
      <c r="L99" s="945">
        <v>0</v>
      </c>
      <c r="M99" s="1537"/>
      <c r="N99" s="1539"/>
      <c r="O99" s="1539"/>
      <c r="P99" s="1540">
        <f t="shared" si="36"/>
        <v>0.2005922</v>
      </c>
      <c r="Q99" s="307">
        <f t="shared" si="27"/>
        <v>0</v>
      </c>
      <c r="R99" s="307">
        <f t="shared" si="28"/>
        <v>0</v>
      </c>
      <c r="S99" s="307">
        <f t="shared" si="29"/>
        <v>0</v>
      </c>
      <c r="T99" s="307">
        <f t="shared" si="30"/>
        <v>0</v>
      </c>
      <c r="U99" s="307">
        <f t="shared" si="31"/>
        <v>0</v>
      </c>
      <c r="V99" s="436">
        <f t="shared" si="32"/>
        <v>0</v>
      </c>
      <c r="W99" s="912"/>
    </row>
    <row r="100" spans="1:23" hidden="1">
      <c r="C100" s="1534" t="s">
        <v>652</v>
      </c>
      <c r="D100" s="1541"/>
      <c r="E100" s="1541"/>
      <c r="F100" s="1541"/>
      <c r="G100" s="1541"/>
      <c r="H100" s="1541"/>
      <c r="I100" s="1536"/>
      <c r="J100" s="1536">
        <v>0</v>
      </c>
      <c r="K100" s="945">
        <v>0.1206425</v>
      </c>
      <c r="L100" s="945">
        <v>0</v>
      </c>
      <c r="M100" s="1537"/>
      <c r="N100" s="1539"/>
      <c r="O100" s="1539"/>
      <c r="P100" s="1540">
        <f t="shared" si="36"/>
        <v>0.1206425</v>
      </c>
      <c r="Q100" s="307">
        <f t="shared" si="27"/>
        <v>0</v>
      </c>
      <c r="R100" s="307">
        <f t="shared" si="28"/>
        <v>0</v>
      </c>
      <c r="S100" s="307">
        <f t="shared" si="29"/>
        <v>0</v>
      </c>
      <c r="T100" s="307">
        <f t="shared" si="30"/>
        <v>0</v>
      </c>
      <c r="U100" s="307">
        <f t="shared" si="31"/>
        <v>0</v>
      </c>
      <c r="V100" s="436">
        <f t="shared" si="32"/>
        <v>0</v>
      </c>
      <c r="W100" s="912"/>
    </row>
    <row r="101" spans="1:23" hidden="1">
      <c r="C101" s="1534" t="s">
        <v>781</v>
      </c>
      <c r="D101" s="1535"/>
      <c r="E101" s="1535"/>
      <c r="F101" s="1535"/>
      <c r="G101" s="1535"/>
      <c r="H101" s="1535"/>
      <c r="I101" s="1536">
        <v>0</v>
      </c>
      <c r="J101" s="1536">
        <v>14.474770306888198</v>
      </c>
      <c r="K101" s="945">
        <v>0</v>
      </c>
      <c r="L101" s="945">
        <v>74.304082100279999</v>
      </c>
      <c r="M101" s="1537"/>
      <c r="N101" s="1539"/>
      <c r="O101" s="1539"/>
      <c r="P101" s="1540">
        <f t="shared" si="36"/>
        <v>74.304082100279999</v>
      </c>
      <c r="Q101" s="307">
        <f t="shared" si="27"/>
        <v>0</v>
      </c>
      <c r="R101" s="307">
        <f t="shared" si="28"/>
        <v>0</v>
      </c>
      <c r="S101" s="307">
        <f t="shared" si="29"/>
        <v>0</v>
      </c>
      <c r="T101" s="307">
        <f t="shared" si="30"/>
        <v>0</v>
      </c>
      <c r="U101" s="307">
        <f t="shared" si="31"/>
        <v>51.333513779434867</v>
      </c>
      <c r="V101" s="436">
        <f t="shared" si="32"/>
        <v>51.333513779434867</v>
      </c>
      <c r="W101" s="912"/>
    </row>
    <row r="102" spans="1:23" hidden="1">
      <c r="C102" s="1530" t="s">
        <v>219</v>
      </c>
      <c r="D102" s="1531"/>
      <c r="E102" s="1531"/>
      <c r="F102" s="1531"/>
      <c r="G102" s="1531"/>
      <c r="H102" s="1531"/>
      <c r="I102" s="1542">
        <f>I66+I76+I83+I89+SUM(I92:I101)</f>
        <v>5108.9947788715999</v>
      </c>
      <c r="J102" s="1542">
        <f t="shared" ref="J102:P102" si="37">J66+J76+J83+J89+SUM(J92:J101)</f>
        <v>4746.2576319008876</v>
      </c>
      <c r="K102" s="1542">
        <f t="shared" si="37"/>
        <v>752.53779859999986</v>
      </c>
      <c r="L102" s="1542">
        <f t="shared" si="37"/>
        <v>1944.0735021585599</v>
      </c>
      <c r="M102" s="1542">
        <f t="shared" si="37"/>
        <v>0</v>
      </c>
      <c r="N102" s="1542">
        <f t="shared" si="37"/>
        <v>0</v>
      </c>
      <c r="O102" s="1542">
        <f t="shared" si="37"/>
        <v>0</v>
      </c>
      <c r="P102" s="1542">
        <f t="shared" si="37"/>
        <v>2696.61130075856</v>
      </c>
      <c r="Q102" s="307">
        <f t="shared" si="27"/>
        <v>1.5855392963542239</v>
      </c>
      <c r="R102" s="307">
        <f t="shared" si="28"/>
        <v>0</v>
      </c>
      <c r="S102" s="307">
        <f t="shared" si="29"/>
        <v>0</v>
      </c>
      <c r="T102" s="307">
        <f t="shared" si="30"/>
        <v>0</v>
      </c>
      <c r="U102" s="307">
        <f t="shared" si="31"/>
        <v>4.0960134340199179</v>
      </c>
      <c r="V102" s="436">
        <f t="shared" si="32"/>
        <v>5.6815527303741415</v>
      </c>
      <c r="W102" s="912"/>
    </row>
    <row r="103" spans="1:23" hidden="1">
      <c r="C103" s="1543"/>
      <c r="D103" s="101"/>
      <c r="E103" s="101"/>
      <c r="F103" s="101"/>
      <c r="G103" s="101"/>
      <c r="H103" s="101"/>
      <c r="I103" s="1536"/>
      <c r="J103" s="1536"/>
      <c r="K103" s="945"/>
      <c r="L103" s="945"/>
      <c r="M103" s="1537"/>
      <c r="N103" s="1544"/>
      <c r="O103" s="1539"/>
      <c r="P103" s="1540">
        <f t="shared" ref="P103:P106" si="38">SUM(K103:O103)</f>
        <v>0</v>
      </c>
      <c r="Q103" s="307">
        <f t="shared" si="27"/>
        <v>0</v>
      </c>
      <c r="R103" s="307">
        <f t="shared" si="28"/>
        <v>0</v>
      </c>
      <c r="S103" s="307">
        <f t="shared" si="29"/>
        <v>0</v>
      </c>
      <c r="T103" s="307">
        <f t="shared" si="30"/>
        <v>0</v>
      </c>
      <c r="U103" s="307">
        <f t="shared" si="31"/>
        <v>0</v>
      </c>
      <c r="V103" s="436">
        <f t="shared" si="32"/>
        <v>0</v>
      </c>
      <c r="W103" s="1084"/>
    </row>
    <row r="104" spans="1:23" hidden="1">
      <c r="A104" s="889">
        <v>33002</v>
      </c>
      <c r="C104" s="1530" t="s">
        <v>121</v>
      </c>
      <c r="D104" s="1531"/>
      <c r="E104" s="1531"/>
      <c r="F104" s="1531"/>
      <c r="G104" s="1531"/>
      <c r="H104" s="1531"/>
      <c r="I104" s="1536"/>
      <c r="J104" s="1536"/>
      <c r="K104" s="945"/>
      <c r="L104" s="945"/>
      <c r="M104" s="1537"/>
      <c r="N104" s="1544"/>
      <c r="O104" s="1539"/>
      <c r="P104" s="1540">
        <f t="shared" si="38"/>
        <v>0</v>
      </c>
      <c r="Q104" s="307">
        <f t="shared" si="27"/>
        <v>0</v>
      </c>
      <c r="R104" s="307">
        <f t="shared" si="28"/>
        <v>0</v>
      </c>
      <c r="S104" s="307">
        <f t="shared" si="29"/>
        <v>0</v>
      </c>
      <c r="T104" s="307">
        <f t="shared" si="30"/>
        <v>0</v>
      </c>
      <c r="U104" s="307">
        <f t="shared" si="31"/>
        <v>0</v>
      </c>
      <c r="V104" s="436">
        <f t="shared" si="32"/>
        <v>0</v>
      </c>
      <c r="W104" s="912"/>
    </row>
    <row r="105" spans="1:23" hidden="1">
      <c r="C105" s="1551" t="s">
        <v>122</v>
      </c>
      <c r="D105" s="1552"/>
      <c r="E105" s="1552"/>
      <c r="F105" s="1552"/>
      <c r="G105" s="1552"/>
      <c r="H105" s="1552"/>
      <c r="I105" s="1536">
        <v>0</v>
      </c>
      <c r="J105" s="1536">
        <v>0</v>
      </c>
      <c r="K105" s="945">
        <v>0</v>
      </c>
      <c r="L105" s="945">
        <v>0</v>
      </c>
      <c r="M105" s="1537"/>
      <c r="N105" s="1539"/>
      <c r="O105" s="1539"/>
      <c r="P105" s="1540">
        <f t="shared" si="38"/>
        <v>0</v>
      </c>
      <c r="Q105" s="307">
        <f t="shared" si="27"/>
        <v>0</v>
      </c>
      <c r="R105" s="307">
        <f t="shared" si="28"/>
        <v>0</v>
      </c>
      <c r="S105" s="307">
        <f t="shared" si="29"/>
        <v>0</v>
      </c>
      <c r="T105" s="307">
        <f t="shared" si="30"/>
        <v>0</v>
      </c>
      <c r="U105" s="307">
        <f t="shared" si="31"/>
        <v>0</v>
      </c>
      <c r="V105" s="436">
        <f t="shared" si="32"/>
        <v>0</v>
      </c>
      <c r="W105" s="912"/>
    </row>
    <row r="106" spans="1:23" hidden="1">
      <c r="C106" s="1551" t="s">
        <v>123</v>
      </c>
      <c r="D106" s="1552"/>
      <c r="E106" s="1552"/>
      <c r="F106" s="1552"/>
      <c r="G106" s="1552"/>
      <c r="H106" s="1552"/>
      <c r="I106" s="1536">
        <v>0</v>
      </c>
      <c r="J106" s="1536">
        <v>0</v>
      </c>
      <c r="K106" s="945">
        <v>0</v>
      </c>
      <c r="L106" s="945">
        <v>0</v>
      </c>
      <c r="M106" s="1537"/>
      <c r="N106" s="1539"/>
      <c r="O106" s="1539"/>
      <c r="P106" s="1540">
        <f t="shared" si="38"/>
        <v>0</v>
      </c>
      <c r="Q106" s="307">
        <f t="shared" si="27"/>
        <v>0</v>
      </c>
      <c r="R106" s="307">
        <f t="shared" si="28"/>
        <v>0</v>
      </c>
      <c r="S106" s="307">
        <f t="shared" si="29"/>
        <v>0</v>
      </c>
      <c r="T106" s="307">
        <f t="shared" si="30"/>
        <v>0</v>
      </c>
      <c r="U106" s="307">
        <f t="shared" si="31"/>
        <v>0</v>
      </c>
      <c r="V106" s="436">
        <f t="shared" si="32"/>
        <v>0</v>
      </c>
      <c r="W106" s="912"/>
    </row>
    <row r="107" spans="1:23" hidden="1">
      <c r="C107" s="1530" t="s">
        <v>220</v>
      </c>
      <c r="D107" s="1531"/>
      <c r="E107" s="1531"/>
      <c r="F107" s="1531"/>
      <c r="G107" s="1531"/>
      <c r="H107" s="1531"/>
      <c r="I107" s="1542">
        <f>I105+I106</f>
        <v>0</v>
      </c>
      <c r="J107" s="1542">
        <f t="shared" ref="J107:P107" si="39">J105+J106</f>
        <v>0</v>
      </c>
      <c r="K107" s="1542">
        <f t="shared" si="39"/>
        <v>0</v>
      </c>
      <c r="L107" s="1542">
        <f t="shared" si="39"/>
        <v>0</v>
      </c>
      <c r="M107" s="1542">
        <f t="shared" si="39"/>
        <v>0</v>
      </c>
      <c r="N107" s="1542">
        <f t="shared" si="39"/>
        <v>0</v>
      </c>
      <c r="O107" s="1542">
        <f t="shared" si="39"/>
        <v>0</v>
      </c>
      <c r="P107" s="1542">
        <f t="shared" si="39"/>
        <v>0</v>
      </c>
      <c r="Q107" s="307">
        <f t="shared" si="27"/>
        <v>0</v>
      </c>
      <c r="R107" s="307">
        <f t="shared" si="28"/>
        <v>0</v>
      </c>
      <c r="S107" s="307">
        <f t="shared" si="29"/>
        <v>0</v>
      </c>
      <c r="T107" s="307">
        <f t="shared" si="30"/>
        <v>0</v>
      </c>
      <c r="U107" s="307">
        <f t="shared" si="31"/>
        <v>0</v>
      </c>
      <c r="V107" s="436">
        <f t="shared" si="32"/>
        <v>0</v>
      </c>
      <c r="W107" s="912"/>
    </row>
    <row r="108" spans="1:23" hidden="1">
      <c r="C108" s="1543"/>
      <c r="D108" s="101"/>
      <c r="E108" s="101"/>
      <c r="F108" s="101"/>
      <c r="G108" s="101"/>
      <c r="H108" s="101"/>
      <c r="I108" s="1536"/>
      <c r="J108" s="1536"/>
      <c r="K108" s="1540"/>
      <c r="L108" s="1540"/>
      <c r="M108" s="1537"/>
      <c r="N108" s="1539"/>
      <c r="O108" s="1539"/>
      <c r="P108" s="1540">
        <f t="shared" ref="P108:P112" si="40">SUM(K108:O108)</f>
        <v>0</v>
      </c>
      <c r="Q108" s="307">
        <f t="shared" si="27"/>
        <v>0</v>
      </c>
      <c r="R108" s="307">
        <f t="shared" si="28"/>
        <v>0</v>
      </c>
      <c r="S108" s="307">
        <f t="shared" si="29"/>
        <v>0</v>
      </c>
      <c r="T108" s="307">
        <f t="shared" si="30"/>
        <v>0</v>
      </c>
      <c r="U108" s="307">
        <f t="shared" si="31"/>
        <v>0</v>
      </c>
      <c r="V108" s="436">
        <f t="shared" si="32"/>
        <v>0</v>
      </c>
      <c r="W108" s="912"/>
    </row>
    <row r="109" spans="1:23" hidden="1">
      <c r="A109" s="889">
        <v>33201</v>
      </c>
      <c r="C109" s="1530" t="s">
        <v>124</v>
      </c>
      <c r="D109" s="1531"/>
      <c r="E109" s="1531"/>
      <c r="F109" s="1531"/>
      <c r="G109" s="1531"/>
      <c r="H109" s="1531"/>
      <c r="I109" s="1536"/>
      <c r="J109" s="1536"/>
      <c r="K109" s="945"/>
      <c r="L109" s="945"/>
      <c r="M109" s="1537"/>
      <c r="N109" s="1544"/>
      <c r="O109" s="1539"/>
      <c r="P109" s="1540">
        <f t="shared" si="40"/>
        <v>0</v>
      </c>
      <c r="Q109" s="307">
        <f t="shared" si="27"/>
        <v>0</v>
      </c>
      <c r="R109" s="307">
        <f t="shared" si="28"/>
        <v>0</v>
      </c>
      <c r="S109" s="307">
        <f t="shared" si="29"/>
        <v>0</v>
      </c>
      <c r="T109" s="307">
        <f t="shared" si="30"/>
        <v>0</v>
      </c>
      <c r="U109" s="307">
        <f t="shared" si="31"/>
        <v>0</v>
      </c>
      <c r="V109" s="436">
        <f t="shared" si="32"/>
        <v>0</v>
      </c>
      <c r="W109" s="912"/>
    </row>
    <row r="110" spans="1:23" hidden="1">
      <c r="A110" s="889">
        <v>33202</v>
      </c>
      <c r="C110" s="1553" t="s">
        <v>648</v>
      </c>
      <c r="D110" s="1541"/>
      <c r="E110" s="1541"/>
      <c r="F110" s="1541"/>
      <c r="G110" s="1541"/>
      <c r="H110" s="1541"/>
      <c r="I110" s="1536">
        <v>177.4982832</v>
      </c>
      <c r="J110" s="1536">
        <v>82.583628566199991</v>
      </c>
      <c r="K110" s="945">
        <v>10.85903888662</v>
      </c>
      <c r="L110" s="945">
        <v>48.064899586940008</v>
      </c>
      <c r="M110" s="1537"/>
      <c r="N110" s="1539"/>
      <c r="O110" s="1539"/>
      <c r="P110" s="1540">
        <f t="shared" si="40"/>
        <v>58.923938473560007</v>
      </c>
      <c r="Q110" s="307">
        <f t="shared" si="27"/>
        <v>1.3149142360480406</v>
      </c>
      <c r="R110" s="307">
        <f t="shared" si="28"/>
        <v>0</v>
      </c>
      <c r="S110" s="307">
        <f t="shared" si="29"/>
        <v>0</v>
      </c>
      <c r="T110" s="307">
        <f t="shared" si="30"/>
        <v>0</v>
      </c>
      <c r="U110" s="307">
        <f t="shared" si="31"/>
        <v>5.8201486688624531</v>
      </c>
      <c r="V110" s="436">
        <f t="shared" si="32"/>
        <v>7.1350629049104928</v>
      </c>
      <c r="W110" s="912"/>
    </row>
    <row r="111" spans="1:23" hidden="1">
      <c r="A111" s="889">
        <v>33210</v>
      </c>
      <c r="C111" s="1551" t="s">
        <v>125</v>
      </c>
      <c r="D111" s="1552"/>
      <c r="E111" s="1552"/>
      <c r="F111" s="1552"/>
      <c r="G111" s="1552"/>
      <c r="H111" s="1552"/>
      <c r="I111" s="1536">
        <v>0</v>
      </c>
      <c r="J111" s="1536">
        <v>0</v>
      </c>
      <c r="K111" s="945">
        <v>0</v>
      </c>
      <c r="L111" s="945">
        <v>0</v>
      </c>
      <c r="M111" s="1537"/>
      <c r="N111" s="1539"/>
      <c r="O111" s="1539"/>
      <c r="P111" s="1540">
        <f t="shared" si="40"/>
        <v>0</v>
      </c>
      <c r="Q111" s="307">
        <f t="shared" si="27"/>
        <v>0</v>
      </c>
      <c r="R111" s="307">
        <f t="shared" si="28"/>
        <v>0</v>
      </c>
      <c r="S111" s="307">
        <f t="shared" si="29"/>
        <v>0</v>
      </c>
      <c r="T111" s="307">
        <f t="shared" si="30"/>
        <v>0</v>
      </c>
      <c r="U111" s="307">
        <f t="shared" si="31"/>
        <v>0</v>
      </c>
      <c r="V111" s="436">
        <f t="shared" si="32"/>
        <v>0</v>
      </c>
      <c r="W111" s="912"/>
    </row>
    <row r="112" spans="1:23" hidden="1">
      <c r="C112" s="1551" t="s">
        <v>126</v>
      </c>
      <c r="D112" s="1552"/>
      <c r="E112" s="1552"/>
      <c r="F112" s="1552"/>
      <c r="G112" s="1552"/>
      <c r="H112" s="1552"/>
      <c r="I112" s="1536">
        <v>0</v>
      </c>
      <c r="J112" s="1536">
        <v>0</v>
      </c>
      <c r="K112" s="945">
        <v>0</v>
      </c>
      <c r="L112" s="945">
        <v>0.40869549999999999</v>
      </c>
      <c r="M112" s="1537"/>
      <c r="N112" s="1539"/>
      <c r="O112" s="1539"/>
      <c r="P112" s="1540">
        <f t="shared" si="40"/>
        <v>0.40869549999999999</v>
      </c>
      <c r="Q112" s="307">
        <f t="shared" si="27"/>
        <v>0</v>
      </c>
      <c r="R112" s="307">
        <f t="shared" si="28"/>
        <v>0</v>
      </c>
      <c r="S112" s="307">
        <f t="shared" si="29"/>
        <v>0</v>
      </c>
      <c r="T112" s="307">
        <f t="shared" si="30"/>
        <v>0</v>
      </c>
      <c r="U112" s="307">
        <f t="shared" si="31"/>
        <v>0</v>
      </c>
      <c r="V112" s="436">
        <f t="shared" si="32"/>
        <v>0</v>
      </c>
      <c r="W112" s="912"/>
    </row>
    <row r="113" spans="1:23" hidden="1">
      <c r="C113" s="1530" t="s">
        <v>221</v>
      </c>
      <c r="D113" s="1531"/>
      <c r="E113" s="1531"/>
      <c r="F113" s="1531"/>
      <c r="G113" s="1531"/>
      <c r="H113" s="1531"/>
      <c r="I113" s="1542">
        <f>I110+I111+I112</f>
        <v>177.4982832</v>
      </c>
      <c r="J113" s="1542">
        <f t="shared" ref="J113:P113" si="41">J110+J111+J112</f>
        <v>82.583628566199991</v>
      </c>
      <c r="K113" s="1542">
        <f t="shared" si="41"/>
        <v>10.85903888662</v>
      </c>
      <c r="L113" s="1542">
        <f t="shared" si="41"/>
        <v>48.473595086940009</v>
      </c>
      <c r="M113" s="1542">
        <f t="shared" si="41"/>
        <v>0</v>
      </c>
      <c r="N113" s="1542">
        <f t="shared" si="41"/>
        <v>0</v>
      </c>
      <c r="O113" s="1542">
        <f t="shared" si="41"/>
        <v>0</v>
      </c>
      <c r="P113" s="1542">
        <f t="shared" si="41"/>
        <v>59.332633973560007</v>
      </c>
      <c r="Q113" s="307">
        <f t="shared" si="27"/>
        <v>1.3149142360480406</v>
      </c>
      <c r="R113" s="307">
        <f t="shared" si="28"/>
        <v>0</v>
      </c>
      <c r="S113" s="307">
        <f t="shared" si="29"/>
        <v>0</v>
      </c>
      <c r="T113" s="307">
        <f t="shared" si="30"/>
        <v>0</v>
      </c>
      <c r="U113" s="307">
        <f t="shared" si="31"/>
        <v>5.8696373516795788</v>
      </c>
      <c r="V113" s="436">
        <f t="shared" si="32"/>
        <v>7.1845515877276185</v>
      </c>
      <c r="W113" s="912"/>
    </row>
    <row r="114" spans="1:23" hidden="1">
      <c r="C114" s="1543"/>
      <c r="D114" s="101"/>
      <c r="E114" s="101"/>
      <c r="F114" s="101"/>
      <c r="G114" s="101"/>
      <c r="H114" s="101"/>
      <c r="I114" s="1536"/>
      <c r="J114" s="1536"/>
      <c r="K114" s="1540"/>
      <c r="L114" s="1540"/>
      <c r="M114" s="1537"/>
      <c r="N114" s="1545"/>
      <c r="O114" s="1539"/>
      <c r="P114" s="1540"/>
      <c r="Q114" s="307">
        <f t="shared" si="27"/>
        <v>0</v>
      </c>
      <c r="R114" s="307">
        <f t="shared" si="28"/>
        <v>0</v>
      </c>
      <c r="S114" s="307">
        <f t="shared" si="29"/>
        <v>0</v>
      </c>
      <c r="T114" s="307">
        <f t="shared" si="30"/>
        <v>0</v>
      </c>
      <c r="U114" s="307">
        <f t="shared" si="31"/>
        <v>0</v>
      </c>
      <c r="V114" s="436">
        <f t="shared" si="32"/>
        <v>0</v>
      </c>
      <c r="W114" s="912"/>
    </row>
    <row r="115" spans="1:23" hidden="1">
      <c r="C115" s="1530" t="s">
        <v>253</v>
      </c>
      <c r="D115" s="1531"/>
      <c r="E115" s="1531"/>
      <c r="F115" s="1531"/>
      <c r="G115" s="1531"/>
      <c r="H115" s="1531"/>
      <c r="I115" s="1536"/>
      <c r="J115" s="1536"/>
      <c r="K115" s="945"/>
      <c r="L115" s="945"/>
      <c r="M115" s="1537"/>
      <c r="N115" s="1544"/>
      <c r="O115" s="1539"/>
      <c r="P115" s="1540"/>
      <c r="Q115" s="307">
        <f t="shared" si="27"/>
        <v>0</v>
      </c>
      <c r="R115" s="307">
        <f t="shared" si="28"/>
        <v>0</v>
      </c>
      <c r="S115" s="307">
        <f t="shared" si="29"/>
        <v>0</v>
      </c>
      <c r="T115" s="307">
        <f t="shared" si="30"/>
        <v>0</v>
      </c>
      <c r="U115" s="307">
        <f t="shared" si="31"/>
        <v>0</v>
      </c>
      <c r="V115" s="436">
        <f t="shared" si="32"/>
        <v>0</v>
      </c>
      <c r="W115" s="912"/>
    </row>
    <row r="116" spans="1:23" hidden="1">
      <c r="C116" s="1554" t="s">
        <v>649</v>
      </c>
      <c r="D116" s="1555"/>
      <c r="E116" s="1555"/>
      <c r="F116" s="1555"/>
      <c r="G116" s="1555"/>
      <c r="H116" s="1555"/>
      <c r="I116" s="1536">
        <v>13.661570086666666</v>
      </c>
      <c r="J116" s="1536">
        <v>4.243845331148</v>
      </c>
      <c r="K116" s="945">
        <v>0.49677396701999998</v>
      </c>
      <c r="L116" s="945">
        <v>2.6834244202287998</v>
      </c>
      <c r="M116" s="1537"/>
      <c r="N116" s="1539"/>
      <c r="O116" s="1539"/>
      <c r="P116" s="1540">
        <f t="shared" ref="P116:P179" si="42">SUM(K116:O116)</f>
        <v>3.1801983872488</v>
      </c>
      <c r="Q116" s="307">
        <f t="shared" si="27"/>
        <v>1.1705750993654096</v>
      </c>
      <c r="R116" s="307">
        <f t="shared" si="28"/>
        <v>0</v>
      </c>
      <c r="S116" s="307">
        <f t="shared" si="29"/>
        <v>0</v>
      </c>
      <c r="T116" s="307">
        <f t="shared" si="30"/>
        <v>0</v>
      </c>
      <c r="U116" s="307">
        <f t="shared" si="31"/>
        <v>6.3230966513638434</v>
      </c>
      <c r="V116" s="436">
        <f t="shared" si="32"/>
        <v>7.493671750729253</v>
      </c>
      <c r="W116" s="912"/>
    </row>
    <row r="117" spans="1:23" hidden="1">
      <c r="C117" s="1554" t="s">
        <v>128</v>
      </c>
      <c r="D117" s="1555"/>
      <c r="E117" s="1555"/>
      <c r="F117" s="1555"/>
      <c r="G117" s="1555"/>
      <c r="H117" s="1555"/>
      <c r="I117" s="1536">
        <v>6.5163364999999995</v>
      </c>
      <c r="J117" s="1536">
        <v>9.8931674124999986</v>
      </c>
      <c r="K117" s="945">
        <v>0.37329687006500001</v>
      </c>
      <c r="L117" s="945">
        <v>5.1066292952564005</v>
      </c>
      <c r="M117" s="1537"/>
      <c r="N117" s="1539"/>
      <c r="O117" s="1539"/>
      <c r="P117" s="1540">
        <f t="shared" si="42"/>
        <v>5.4799261653214009</v>
      </c>
      <c r="Q117" s="307">
        <f t="shared" si="27"/>
        <v>0.37732796232007565</v>
      </c>
      <c r="R117" s="307">
        <f t="shared" si="28"/>
        <v>0</v>
      </c>
      <c r="S117" s="307">
        <f t="shared" si="29"/>
        <v>0</v>
      </c>
      <c r="T117" s="307">
        <f t="shared" si="30"/>
        <v>0</v>
      </c>
      <c r="U117" s="307">
        <f t="shared" si="31"/>
        <v>5.1617738610226924</v>
      </c>
      <c r="V117" s="436">
        <f t="shared" si="32"/>
        <v>5.5391018233427687</v>
      </c>
      <c r="W117" s="912"/>
    </row>
    <row r="118" spans="1:23" hidden="1">
      <c r="C118" s="1554" t="s">
        <v>650</v>
      </c>
      <c r="D118" s="1555"/>
      <c r="E118" s="1555"/>
      <c r="F118" s="1555"/>
      <c r="G118" s="1555"/>
      <c r="H118" s="1555"/>
      <c r="I118" s="1536">
        <v>19.728079999999995</v>
      </c>
      <c r="J118" s="1536">
        <v>87.823984920000001</v>
      </c>
      <c r="K118" s="945">
        <v>1.4438009861600001</v>
      </c>
      <c r="L118" s="945">
        <v>54.325675355247995</v>
      </c>
      <c r="M118" s="1537"/>
      <c r="N118" s="1539"/>
      <c r="O118" s="1539"/>
      <c r="P118" s="1540">
        <f t="shared" si="42"/>
        <v>55.769476341407994</v>
      </c>
      <c r="Q118" s="307">
        <f t="shared" si="27"/>
        <v>0.164397116286078</v>
      </c>
      <c r="R118" s="307">
        <f t="shared" si="28"/>
        <v>0</v>
      </c>
      <c r="S118" s="307">
        <f t="shared" si="29"/>
        <v>0</v>
      </c>
      <c r="T118" s="307">
        <f t="shared" si="30"/>
        <v>0</v>
      </c>
      <c r="U118" s="307">
        <f t="shared" si="31"/>
        <v>6.1857447489696522</v>
      </c>
      <c r="V118" s="436">
        <f t="shared" si="32"/>
        <v>6.3501418652557309</v>
      </c>
      <c r="W118" s="912"/>
    </row>
    <row r="119" spans="1:23" hidden="1">
      <c r="C119" s="1554" t="s">
        <v>129</v>
      </c>
      <c r="D119" s="1555"/>
      <c r="E119" s="1555"/>
      <c r="F119" s="1555"/>
      <c r="G119" s="1555"/>
      <c r="H119" s="1555"/>
      <c r="I119" s="1536">
        <v>0</v>
      </c>
      <c r="J119" s="1536">
        <v>571.05393338045212</v>
      </c>
      <c r="K119" s="945">
        <v>0</v>
      </c>
      <c r="L119" s="945">
        <v>263.95673184305201</v>
      </c>
      <c r="M119" s="1537"/>
      <c r="N119" s="1539"/>
      <c r="O119" s="1539"/>
      <c r="P119" s="1540">
        <f t="shared" si="42"/>
        <v>263.95673184305201</v>
      </c>
      <c r="Q119" s="307">
        <f t="shared" si="27"/>
        <v>0</v>
      </c>
      <c r="R119" s="307">
        <f t="shared" si="28"/>
        <v>0</v>
      </c>
      <c r="S119" s="307">
        <f t="shared" si="29"/>
        <v>0</v>
      </c>
      <c r="T119" s="307">
        <f t="shared" si="30"/>
        <v>0</v>
      </c>
      <c r="U119" s="307">
        <f t="shared" si="31"/>
        <v>4.6222732462503968</v>
      </c>
      <c r="V119" s="436">
        <f t="shared" si="32"/>
        <v>4.6222732462503968</v>
      </c>
      <c r="W119" s="912"/>
    </row>
    <row r="120" spans="1:23" hidden="1">
      <c r="C120" s="1554" t="s">
        <v>668</v>
      </c>
      <c r="D120" s="1555"/>
      <c r="E120" s="1555"/>
      <c r="F120" s="1555"/>
      <c r="G120" s="1555"/>
      <c r="H120" s="1555"/>
      <c r="I120" s="1536">
        <v>19.973321999999996</v>
      </c>
      <c r="J120" s="1536">
        <v>24.304370091999996</v>
      </c>
      <c r="K120" s="945">
        <v>1.5852751312</v>
      </c>
      <c r="L120" s="945">
        <v>4.1820920741100007</v>
      </c>
      <c r="M120" s="1537"/>
      <c r="N120" s="1539"/>
      <c r="O120" s="1539"/>
      <c r="P120" s="1540">
        <f t="shared" si="42"/>
        <v>5.7673672053100002</v>
      </c>
      <c r="Q120" s="307">
        <f t="shared" si="27"/>
        <v>0.65225929542679562</v>
      </c>
      <c r="R120" s="307">
        <f t="shared" si="28"/>
        <v>0</v>
      </c>
      <c r="S120" s="307">
        <f t="shared" si="29"/>
        <v>0</v>
      </c>
      <c r="T120" s="307">
        <f t="shared" si="30"/>
        <v>0</v>
      </c>
      <c r="U120" s="307">
        <f t="shared" si="31"/>
        <v>1.7207160927353449</v>
      </c>
      <c r="V120" s="436">
        <f t="shared" si="32"/>
        <v>2.37297538816214</v>
      </c>
      <c r="W120" s="912"/>
    </row>
    <row r="121" spans="1:23" hidden="1">
      <c r="C121" s="1554" t="s">
        <v>622</v>
      </c>
      <c r="D121" s="1555"/>
      <c r="E121" s="1555"/>
      <c r="F121" s="1555"/>
      <c r="G121" s="1555"/>
      <c r="H121" s="1555"/>
      <c r="I121" s="1536">
        <v>16.834670000000003</v>
      </c>
      <c r="J121" s="1536">
        <v>483.36228288599995</v>
      </c>
      <c r="K121" s="945">
        <v>0</v>
      </c>
      <c r="L121" s="945">
        <v>233.32527297497788</v>
      </c>
      <c r="M121" s="1537"/>
      <c r="N121" s="1539"/>
      <c r="O121" s="1539"/>
      <c r="P121" s="1540">
        <f t="shared" si="42"/>
        <v>233.32527297497788</v>
      </c>
      <c r="Q121" s="307">
        <f t="shared" si="27"/>
        <v>0</v>
      </c>
      <c r="R121" s="307">
        <f t="shared" si="28"/>
        <v>0</v>
      </c>
      <c r="S121" s="307">
        <f t="shared" si="29"/>
        <v>0</v>
      </c>
      <c r="T121" s="307">
        <f t="shared" si="30"/>
        <v>0</v>
      </c>
      <c r="U121" s="307">
        <f t="shared" si="31"/>
        <v>4.8271303168685007</v>
      </c>
      <c r="V121" s="436">
        <f t="shared" si="32"/>
        <v>4.8271303168685007</v>
      </c>
      <c r="W121" s="912"/>
    </row>
    <row r="122" spans="1:23" hidden="1">
      <c r="C122" s="1554" t="s">
        <v>651</v>
      </c>
      <c r="D122" s="1555"/>
      <c r="E122" s="1555"/>
      <c r="F122" s="1555"/>
      <c r="G122" s="1555"/>
      <c r="H122" s="1555"/>
      <c r="I122" s="1536">
        <v>0</v>
      </c>
      <c r="J122" s="1536">
        <v>8.5699852239999998</v>
      </c>
      <c r="K122" s="945">
        <v>0</v>
      </c>
      <c r="L122" s="945">
        <v>9.2224687840999984</v>
      </c>
      <c r="M122" s="1537"/>
      <c r="N122" s="1539"/>
      <c r="O122" s="1539"/>
      <c r="P122" s="1540">
        <f t="shared" si="42"/>
        <v>9.2224687840999984</v>
      </c>
      <c r="Q122" s="307">
        <f t="shared" si="27"/>
        <v>0</v>
      </c>
      <c r="R122" s="307">
        <f t="shared" si="28"/>
        <v>0</v>
      </c>
      <c r="S122" s="307">
        <f t="shared" si="29"/>
        <v>0</v>
      </c>
      <c r="T122" s="307">
        <f t="shared" si="30"/>
        <v>0</v>
      </c>
      <c r="U122" s="307">
        <f t="shared" si="31"/>
        <v>10.761359025769073</v>
      </c>
      <c r="V122" s="436">
        <f t="shared" si="32"/>
        <v>10.761359025769073</v>
      </c>
      <c r="W122" s="912"/>
    </row>
    <row r="123" spans="1:23" hidden="1">
      <c r="C123" s="1554" t="s">
        <v>653</v>
      </c>
      <c r="D123" s="1555"/>
      <c r="E123" s="1555"/>
      <c r="F123" s="1555"/>
      <c r="G123" s="1555"/>
      <c r="H123" s="1555"/>
      <c r="I123" s="1536">
        <v>0</v>
      </c>
      <c r="J123" s="1536">
        <v>515.06676426440004</v>
      </c>
      <c r="K123" s="945">
        <v>0</v>
      </c>
      <c r="L123" s="945">
        <v>230.21111673941999</v>
      </c>
      <c r="M123" s="1537"/>
      <c r="N123" s="1539"/>
      <c r="O123" s="1539"/>
      <c r="P123" s="1540">
        <f t="shared" si="42"/>
        <v>230.21111673941999</v>
      </c>
      <c r="Q123" s="307">
        <f t="shared" si="27"/>
        <v>0</v>
      </c>
      <c r="R123" s="307">
        <f t="shared" si="28"/>
        <v>0</v>
      </c>
      <c r="S123" s="307">
        <f t="shared" si="29"/>
        <v>0</v>
      </c>
      <c r="T123" s="307">
        <f t="shared" si="30"/>
        <v>0</v>
      </c>
      <c r="U123" s="307">
        <f t="shared" si="31"/>
        <v>4.4695393434713129</v>
      </c>
      <c r="V123" s="436">
        <f t="shared" si="32"/>
        <v>4.4695393434713129</v>
      </c>
      <c r="W123" s="912"/>
    </row>
    <row r="124" spans="1:23" hidden="1">
      <c r="A124" s="894"/>
      <c r="B124" s="894"/>
      <c r="C124" s="1554" t="s">
        <v>654</v>
      </c>
      <c r="D124" s="1555"/>
      <c r="E124" s="1555"/>
      <c r="F124" s="1555"/>
      <c r="G124" s="1555"/>
      <c r="H124" s="1555"/>
      <c r="I124" s="1536">
        <v>0</v>
      </c>
      <c r="J124" s="1536">
        <v>0</v>
      </c>
      <c r="K124" s="945">
        <v>6.6362008000000001</v>
      </c>
      <c r="L124" s="945">
        <v>8.0488000000000004E-2</v>
      </c>
      <c r="M124" s="1537"/>
      <c r="N124" s="1539"/>
      <c r="O124" s="1539"/>
      <c r="P124" s="1540">
        <f t="shared" si="42"/>
        <v>6.7166888</v>
      </c>
      <c r="Q124" s="307">
        <f t="shared" si="27"/>
        <v>0</v>
      </c>
      <c r="R124" s="307">
        <f t="shared" si="28"/>
        <v>0</v>
      </c>
      <c r="S124" s="307">
        <f t="shared" si="29"/>
        <v>0</v>
      </c>
      <c r="T124" s="307">
        <f t="shared" si="30"/>
        <v>0</v>
      </c>
      <c r="U124" s="307">
        <f t="shared" si="31"/>
        <v>0</v>
      </c>
      <c r="V124" s="436">
        <f t="shared" si="32"/>
        <v>0</v>
      </c>
      <c r="W124" s="1084"/>
    </row>
    <row r="125" spans="1:23" hidden="1">
      <c r="A125" s="889">
        <v>40001</v>
      </c>
      <c r="C125" s="1554" t="s">
        <v>1029</v>
      </c>
      <c r="D125" s="1555"/>
      <c r="E125" s="1555"/>
      <c r="F125" s="1555"/>
      <c r="G125" s="1555"/>
      <c r="H125" s="1555"/>
      <c r="I125" s="1536">
        <v>0</v>
      </c>
      <c r="J125" s="1536">
        <v>379.93565658220001</v>
      </c>
      <c r="K125" s="945">
        <v>4.3878692000000004E-2</v>
      </c>
      <c r="L125" s="945">
        <v>129.65299627482</v>
      </c>
      <c r="M125" s="1537"/>
      <c r="N125" s="1539"/>
      <c r="O125" s="1539"/>
      <c r="P125" s="1540">
        <f t="shared" si="42"/>
        <v>129.69687496681999</v>
      </c>
      <c r="Q125" s="307">
        <f t="shared" si="27"/>
        <v>1.1548979739022399E-3</v>
      </c>
      <c r="R125" s="307">
        <f t="shared" si="28"/>
        <v>0</v>
      </c>
      <c r="S125" s="307">
        <f t="shared" si="29"/>
        <v>0</v>
      </c>
      <c r="T125" s="307">
        <f t="shared" si="30"/>
        <v>0</v>
      </c>
      <c r="U125" s="307">
        <f t="shared" si="31"/>
        <v>3.4124987752174625</v>
      </c>
      <c r="V125" s="436">
        <f t="shared" si="32"/>
        <v>3.4136536731913649</v>
      </c>
      <c r="W125" s="912"/>
    </row>
    <row r="126" spans="1:23" hidden="1">
      <c r="A126" s="889">
        <v>40002</v>
      </c>
      <c r="C126" s="1554" t="s">
        <v>1052</v>
      </c>
      <c r="D126" s="1555"/>
      <c r="E126" s="1555"/>
      <c r="F126" s="1555"/>
      <c r="G126" s="1555"/>
      <c r="H126" s="1555"/>
      <c r="I126" s="1536">
        <v>0</v>
      </c>
      <c r="J126" s="1536"/>
      <c r="K126" s="945">
        <v>0</v>
      </c>
      <c r="L126" s="945">
        <v>0</v>
      </c>
      <c r="M126" s="1537"/>
      <c r="N126" s="1539"/>
      <c r="O126" s="1539"/>
      <c r="P126" s="1540">
        <f t="shared" si="42"/>
        <v>0</v>
      </c>
      <c r="Q126" s="307">
        <f t="shared" si="27"/>
        <v>0</v>
      </c>
      <c r="R126" s="307">
        <f t="shared" si="28"/>
        <v>0</v>
      </c>
      <c r="S126" s="307">
        <f t="shared" si="29"/>
        <v>0</v>
      </c>
      <c r="T126" s="307">
        <f t="shared" si="30"/>
        <v>0</v>
      </c>
      <c r="U126" s="307">
        <f t="shared" si="31"/>
        <v>0</v>
      </c>
      <c r="V126" s="436">
        <f t="shared" si="32"/>
        <v>0</v>
      </c>
      <c r="W126" s="912"/>
    </row>
    <row r="127" spans="1:23" hidden="1">
      <c r="A127" s="889">
        <v>40003</v>
      </c>
      <c r="C127" s="1554" t="s">
        <v>1053</v>
      </c>
      <c r="D127" s="1555"/>
      <c r="E127" s="1555"/>
      <c r="F127" s="1555"/>
      <c r="G127" s="1555"/>
      <c r="H127" s="1555"/>
      <c r="I127" s="1536">
        <v>0</v>
      </c>
      <c r="J127" s="1536"/>
      <c r="K127" s="945">
        <v>0</v>
      </c>
      <c r="L127" s="945">
        <v>0</v>
      </c>
      <c r="M127" s="1537"/>
      <c r="N127" s="1539"/>
      <c r="O127" s="1539"/>
      <c r="P127" s="1540">
        <f t="shared" si="42"/>
        <v>0</v>
      </c>
      <c r="Q127" s="307">
        <f t="shared" si="27"/>
        <v>0</v>
      </c>
      <c r="R127" s="307">
        <f t="shared" si="28"/>
        <v>0</v>
      </c>
      <c r="S127" s="307">
        <f t="shared" si="29"/>
        <v>0</v>
      </c>
      <c r="T127" s="307">
        <f t="shared" si="30"/>
        <v>0</v>
      </c>
      <c r="U127" s="307">
        <f t="shared" si="31"/>
        <v>0</v>
      </c>
      <c r="V127" s="436">
        <f t="shared" si="32"/>
        <v>0</v>
      </c>
      <c r="W127" s="912"/>
    </row>
    <row r="128" spans="1:23" hidden="1">
      <c r="A128" s="889">
        <v>40004</v>
      </c>
      <c r="C128" s="1554" t="s">
        <v>1054</v>
      </c>
      <c r="D128" s="1541"/>
      <c r="E128" s="1541"/>
      <c r="F128" s="1541"/>
      <c r="G128" s="1541"/>
      <c r="H128" s="1541"/>
      <c r="I128" s="1536">
        <v>0</v>
      </c>
      <c r="J128" s="1536"/>
      <c r="K128" s="945">
        <v>0</v>
      </c>
      <c r="L128" s="945">
        <v>0</v>
      </c>
      <c r="M128" s="1537"/>
      <c r="N128" s="1544"/>
      <c r="O128" s="1539"/>
      <c r="P128" s="1540">
        <f t="shared" si="42"/>
        <v>0</v>
      </c>
      <c r="Q128" s="307">
        <f t="shared" si="27"/>
        <v>0</v>
      </c>
      <c r="R128" s="307">
        <f t="shared" si="28"/>
        <v>0</v>
      </c>
      <c r="S128" s="307">
        <f t="shared" si="29"/>
        <v>0</v>
      </c>
      <c r="T128" s="307">
        <f t="shared" si="30"/>
        <v>0</v>
      </c>
      <c r="U128" s="307">
        <f t="shared" si="31"/>
        <v>0</v>
      </c>
      <c r="V128" s="436">
        <f t="shared" si="32"/>
        <v>0</v>
      </c>
      <c r="W128" s="912"/>
    </row>
    <row r="129" spans="1:23" hidden="1">
      <c r="A129" s="889">
        <v>41000</v>
      </c>
      <c r="C129" s="1554" t="s">
        <v>1057</v>
      </c>
      <c r="D129" s="1541"/>
      <c r="E129" s="1541"/>
      <c r="F129" s="1541"/>
      <c r="G129" s="1541"/>
      <c r="H129" s="1541"/>
      <c r="I129" s="1536"/>
      <c r="J129" s="1536"/>
      <c r="K129" s="945">
        <v>0</v>
      </c>
      <c r="L129" s="945">
        <v>0.42263430000000002</v>
      </c>
      <c r="M129" s="1537"/>
      <c r="N129" s="1539"/>
      <c r="O129" s="1539"/>
      <c r="P129" s="1540">
        <f t="shared" si="42"/>
        <v>0.42263430000000002</v>
      </c>
      <c r="Q129" s="307">
        <f t="shared" si="27"/>
        <v>0</v>
      </c>
      <c r="R129" s="307">
        <f t="shared" si="28"/>
        <v>0</v>
      </c>
      <c r="S129" s="307">
        <f t="shared" si="29"/>
        <v>0</v>
      </c>
      <c r="T129" s="307">
        <f t="shared" si="30"/>
        <v>0</v>
      </c>
      <c r="U129" s="307">
        <f t="shared" si="31"/>
        <v>0</v>
      </c>
      <c r="V129" s="436">
        <f t="shared" si="32"/>
        <v>0</v>
      </c>
      <c r="W129" s="912"/>
    </row>
    <row r="130" spans="1:23" hidden="1">
      <c r="C130" s="1554" t="s">
        <v>1058</v>
      </c>
      <c r="D130" s="1541"/>
      <c r="E130" s="1541"/>
      <c r="F130" s="1541"/>
      <c r="G130" s="1541"/>
      <c r="H130" s="1541"/>
      <c r="I130" s="1536"/>
      <c r="J130" s="1536"/>
      <c r="K130" s="945">
        <v>0</v>
      </c>
      <c r="L130" s="945">
        <v>0.1151239</v>
      </c>
      <c r="M130" s="1537"/>
      <c r="N130" s="1539"/>
      <c r="O130" s="1539"/>
      <c r="P130" s="1540">
        <f t="shared" si="42"/>
        <v>0.1151239</v>
      </c>
      <c r="Q130" s="307">
        <f t="shared" si="27"/>
        <v>0</v>
      </c>
      <c r="R130" s="307">
        <f t="shared" si="28"/>
        <v>0</v>
      </c>
      <c r="S130" s="307">
        <f t="shared" si="29"/>
        <v>0</v>
      </c>
      <c r="T130" s="307">
        <f t="shared" si="30"/>
        <v>0</v>
      </c>
      <c r="U130" s="307">
        <f t="shared" si="31"/>
        <v>0</v>
      </c>
      <c r="V130" s="436">
        <f t="shared" si="32"/>
        <v>0</v>
      </c>
      <c r="W130" s="912"/>
    </row>
    <row r="131" spans="1:23" hidden="1">
      <c r="A131" s="894"/>
      <c r="B131" s="894"/>
      <c r="C131" s="1554" t="s">
        <v>1059</v>
      </c>
      <c r="D131" s="1541"/>
      <c r="E131" s="1541"/>
      <c r="F131" s="1541"/>
      <c r="G131" s="1541"/>
      <c r="H131" s="1541"/>
      <c r="I131" s="1536"/>
      <c r="J131" s="1536"/>
      <c r="K131" s="945">
        <v>0</v>
      </c>
      <c r="L131" s="945">
        <v>0.25117299999999998</v>
      </c>
      <c r="M131" s="1537"/>
      <c r="N131" s="1539"/>
      <c r="O131" s="1539"/>
      <c r="P131" s="1540">
        <f t="shared" si="42"/>
        <v>0.25117299999999998</v>
      </c>
      <c r="Q131" s="307">
        <f t="shared" si="27"/>
        <v>0</v>
      </c>
      <c r="R131" s="307">
        <f t="shared" si="28"/>
        <v>0</v>
      </c>
      <c r="S131" s="307">
        <f t="shared" si="29"/>
        <v>0</v>
      </c>
      <c r="T131" s="307">
        <f t="shared" si="30"/>
        <v>0</v>
      </c>
      <c r="U131" s="307">
        <f t="shared" si="31"/>
        <v>0</v>
      </c>
      <c r="V131" s="436">
        <f t="shared" si="32"/>
        <v>0</v>
      </c>
      <c r="W131" s="1084"/>
    </row>
    <row r="132" spans="1:23" hidden="1">
      <c r="A132" s="889">
        <v>50001</v>
      </c>
      <c r="C132" s="1554" t="s">
        <v>1060</v>
      </c>
      <c r="D132" s="1541"/>
      <c r="E132" s="1541"/>
      <c r="F132" s="1541"/>
      <c r="G132" s="1541"/>
      <c r="H132" s="1541"/>
      <c r="I132" s="1536"/>
      <c r="J132" s="1536"/>
      <c r="K132" s="945">
        <v>0</v>
      </c>
      <c r="L132" s="945">
        <v>0.51436059999999995</v>
      </c>
      <c r="M132" s="1537"/>
      <c r="N132" s="1539"/>
      <c r="O132" s="1539"/>
      <c r="P132" s="1540">
        <f t="shared" si="42"/>
        <v>0.51436059999999995</v>
      </c>
      <c r="Q132" s="307">
        <f t="shared" si="27"/>
        <v>0</v>
      </c>
      <c r="R132" s="307">
        <f t="shared" si="28"/>
        <v>0</v>
      </c>
      <c r="S132" s="307">
        <f t="shared" si="29"/>
        <v>0</v>
      </c>
      <c r="T132" s="307">
        <f t="shared" si="30"/>
        <v>0</v>
      </c>
      <c r="U132" s="307">
        <f t="shared" si="31"/>
        <v>0</v>
      </c>
      <c r="V132" s="436">
        <f t="shared" si="32"/>
        <v>0</v>
      </c>
      <c r="W132" s="912"/>
    </row>
    <row r="133" spans="1:23" hidden="1">
      <c r="A133" s="889">
        <v>50002</v>
      </c>
      <c r="C133" s="1554" t="s">
        <v>1061</v>
      </c>
      <c r="D133" s="1541"/>
      <c r="E133" s="1541"/>
      <c r="F133" s="1541"/>
      <c r="G133" s="1541"/>
      <c r="H133" s="1541"/>
      <c r="I133" s="1536"/>
      <c r="J133" s="1536"/>
      <c r="K133" s="945">
        <v>0</v>
      </c>
      <c r="L133" s="945">
        <v>0.29236509999999999</v>
      </c>
      <c r="M133" s="1537"/>
      <c r="N133" s="1539"/>
      <c r="O133" s="1539"/>
      <c r="P133" s="1540">
        <f t="shared" si="42"/>
        <v>0.29236509999999999</v>
      </c>
      <c r="Q133" s="307">
        <f t="shared" si="27"/>
        <v>0</v>
      </c>
      <c r="R133" s="307">
        <f t="shared" si="28"/>
        <v>0</v>
      </c>
      <c r="S133" s="307">
        <f t="shared" si="29"/>
        <v>0</v>
      </c>
      <c r="T133" s="307">
        <f t="shared" si="30"/>
        <v>0</v>
      </c>
      <c r="U133" s="307">
        <f t="shared" si="31"/>
        <v>0</v>
      </c>
      <c r="V133" s="436">
        <f t="shared" si="32"/>
        <v>0</v>
      </c>
      <c r="W133" s="912"/>
    </row>
    <row r="134" spans="1:23" hidden="1">
      <c r="A134" s="889">
        <v>50003</v>
      </c>
      <c r="C134" s="1554" t="s">
        <v>1062</v>
      </c>
      <c r="D134" s="1541"/>
      <c r="E134" s="1541"/>
      <c r="F134" s="1541"/>
      <c r="G134" s="1541"/>
      <c r="H134" s="1541"/>
      <c r="I134" s="1536"/>
      <c r="J134" s="1536"/>
      <c r="K134" s="945">
        <v>0</v>
      </c>
      <c r="L134" s="945">
        <v>1.0882999999999999E-3</v>
      </c>
      <c r="M134" s="1537"/>
      <c r="N134" s="1539"/>
      <c r="O134" s="1539"/>
      <c r="P134" s="1540">
        <f t="shared" si="42"/>
        <v>1.0882999999999999E-3</v>
      </c>
      <c r="Q134" s="307">
        <f t="shared" si="27"/>
        <v>0</v>
      </c>
      <c r="R134" s="307">
        <f t="shared" si="28"/>
        <v>0</v>
      </c>
      <c r="S134" s="307">
        <f t="shared" si="29"/>
        <v>0</v>
      </c>
      <c r="T134" s="307">
        <f t="shared" si="30"/>
        <v>0</v>
      </c>
      <c r="U134" s="307">
        <f t="shared" si="31"/>
        <v>0</v>
      </c>
      <c r="V134" s="436">
        <f t="shared" si="32"/>
        <v>0</v>
      </c>
      <c r="W134" s="912"/>
    </row>
    <row r="135" spans="1:23" hidden="1">
      <c r="A135" s="889">
        <v>50004</v>
      </c>
      <c r="C135" s="1554" t="s">
        <v>1063</v>
      </c>
      <c r="D135" s="1541"/>
      <c r="E135" s="1541"/>
      <c r="F135" s="1541"/>
      <c r="G135" s="1541"/>
      <c r="H135" s="1541"/>
      <c r="I135" s="1536"/>
      <c r="J135" s="1536"/>
      <c r="K135" s="945">
        <v>0</v>
      </c>
      <c r="L135" s="945">
        <v>1.1289E-3</v>
      </c>
      <c r="M135" s="1537"/>
      <c r="N135" s="1539"/>
      <c r="O135" s="1539"/>
      <c r="P135" s="1540">
        <f t="shared" si="42"/>
        <v>1.1289E-3</v>
      </c>
      <c r="Q135" s="307">
        <f t="shared" si="27"/>
        <v>0</v>
      </c>
      <c r="R135" s="307">
        <f t="shared" si="28"/>
        <v>0</v>
      </c>
      <c r="S135" s="307">
        <f t="shared" si="29"/>
        <v>0</v>
      </c>
      <c r="T135" s="307">
        <f t="shared" si="30"/>
        <v>0</v>
      </c>
      <c r="U135" s="307">
        <f t="shared" si="31"/>
        <v>0</v>
      </c>
      <c r="V135" s="436">
        <f t="shared" si="32"/>
        <v>0</v>
      </c>
      <c r="W135" s="912"/>
    </row>
    <row r="136" spans="1:23" hidden="1">
      <c r="A136" s="889">
        <v>50005</v>
      </c>
      <c r="C136" s="1554" t="s">
        <v>1064</v>
      </c>
      <c r="D136" s="1541"/>
      <c r="E136" s="1541"/>
      <c r="F136" s="1541"/>
      <c r="G136" s="1541"/>
      <c r="H136" s="1541"/>
      <c r="I136" s="1536"/>
      <c r="J136" s="1536"/>
      <c r="K136" s="945">
        <v>0</v>
      </c>
      <c r="L136" s="945">
        <v>1.1425999999999999E-3</v>
      </c>
      <c r="M136" s="1537"/>
      <c r="N136" s="1539"/>
      <c r="O136" s="1539"/>
      <c r="P136" s="1540">
        <f t="shared" si="42"/>
        <v>1.1425999999999999E-3</v>
      </c>
      <c r="Q136" s="307">
        <f t="shared" si="27"/>
        <v>0</v>
      </c>
      <c r="R136" s="307">
        <f t="shared" si="28"/>
        <v>0</v>
      </c>
      <c r="S136" s="307">
        <f t="shared" si="29"/>
        <v>0</v>
      </c>
      <c r="T136" s="307">
        <f t="shared" si="30"/>
        <v>0</v>
      </c>
      <c r="U136" s="307">
        <f t="shared" si="31"/>
        <v>0</v>
      </c>
      <c r="V136" s="436">
        <f t="shared" si="32"/>
        <v>0</v>
      </c>
      <c r="W136" s="912"/>
    </row>
    <row r="137" spans="1:23" hidden="1">
      <c r="A137" s="889">
        <v>50006</v>
      </c>
      <c r="C137" s="1554" t="s">
        <v>1065</v>
      </c>
      <c r="D137" s="1541"/>
      <c r="E137" s="1541"/>
      <c r="F137" s="1541"/>
      <c r="G137" s="1541"/>
      <c r="H137" s="1541"/>
      <c r="I137" s="1536"/>
      <c r="J137" s="1536"/>
      <c r="K137" s="945">
        <v>0</v>
      </c>
      <c r="L137" s="945">
        <v>9.7630000000000004E-4</v>
      </c>
      <c r="M137" s="1537"/>
      <c r="N137" s="1539"/>
      <c r="O137" s="1539"/>
      <c r="P137" s="1540">
        <f t="shared" si="42"/>
        <v>9.7630000000000004E-4</v>
      </c>
      <c r="Q137" s="307">
        <f t="shared" si="27"/>
        <v>0</v>
      </c>
      <c r="R137" s="307">
        <f t="shared" si="28"/>
        <v>0</v>
      </c>
      <c r="S137" s="307">
        <f t="shared" si="29"/>
        <v>0</v>
      </c>
      <c r="T137" s="307">
        <f t="shared" si="30"/>
        <v>0</v>
      </c>
      <c r="U137" s="307">
        <f t="shared" si="31"/>
        <v>0</v>
      </c>
      <c r="V137" s="436">
        <f t="shared" si="32"/>
        <v>0</v>
      </c>
      <c r="W137" s="912"/>
    </row>
    <row r="138" spans="1:23" hidden="1">
      <c r="A138" s="889">
        <v>50007</v>
      </c>
      <c r="C138" s="1554" t="s">
        <v>1066</v>
      </c>
      <c r="D138" s="1541"/>
      <c r="E138" s="1541"/>
      <c r="F138" s="1541"/>
      <c r="G138" s="1541"/>
      <c r="H138" s="1541"/>
      <c r="I138" s="1536"/>
      <c r="J138" s="1536"/>
      <c r="K138" s="945">
        <v>0</v>
      </c>
      <c r="L138" s="945">
        <v>1.0721999999999999E-3</v>
      </c>
      <c r="M138" s="1537"/>
      <c r="N138" s="1539"/>
      <c r="O138" s="1539"/>
      <c r="P138" s="1540">
        <f t="shared" si="42"/>
        <v>1.0721999999999999E-3</v>
      </c>
      <c r="Q138" s="307">
        <f t="shared" si="27"/>
        <v>0</v>
      </c>
      <c r="R138" s="307">
        <f t="shared" si="28"/>
        <v>0</v>
      </c>
      <c r="S138" s="307">
        <f t="shared" si="29"/>
        <v>0</v>
      </c>
      <c r="T138" s="307">
        <f t="shared" si="30"/>
        <v>0</v>
      </c>
      <c r="U138" s="307">
        <f t="shared" si="31"/>
        <v>0</v>
      </c>
      <c r="V138" s="436">
        <f t="shared" si="32"/>
        <v>0</v>
      </c>
      <c r="W138" s="912"/>
    </row>
    <row r="139" spans="1:23" hidden="1">
      <c r="A139" s="889">
        <v>50008</v>
      </c>
      <c r="C139" s="1554" t="s">
        <v>1067</v>
      </c>
      <c r="D139" s="1541"/>
      <c r="E139" s="1541"/>
      <c r="F139" s="1541"/>
      <c r="G139" s="1541"/>
      <c r="H139" s="1541"/>
      <c r="I139" s="1536"/>
      <c r="J139" s="1536"/>
      <c r="K139" s="945">
        <v>0</v>
      </c>
      <c r="L139" s="945">
        <v>7.827E-4</v>
      </c>
      <c r="M139" s="1537"/>
      <c r="N139" s="1539"/>
      <c r="O139" s="1539"/>
      <c r="P139" s="1540">
        <f t="shared" si="42"/>
        <v>7.827E-4</v>
      </c>
      <c r="Q139" s="307">
        <f t="shared" si="27"/>
        <v>0</v>
      </c>
      <c r="R139" s="307">
        <f t="shared" si="28"/>
        <v>0</v>
      </c>
      <c r="S139" s="307">
        <f t="shared" si="29"/>
        <v>0</v>
      </c>
      <c r="T139" s="307">
        <f t="shared" si="30"/>
        <v>0</v>
      </c>
      <c r="U139" s="307">
        <f t="shared" si="31"/>
        <v>0</v>
      </c>
      <c r="V139" s="436">
        <f t="shared" si="32"/>
        <v>0</v>
      </c>
      <c r="W139" s="912"/>
    </row>
    <row r="140" spans="1:23" hidden="1">
      <c r="A140" s="889">
        <v>50009</v>
      </c>
      <c r="C140" s="1554" t="s">
        <v>1068</v>
      </c>
      <c r="D140" s="1541"/>
      <c r="E140" s="1541"/>
      <c r="F140" s="1541"/>
      <c r="G140" s="1541"/>
      <c r="H140" s="1541"/>
      <c r="I140" s="1536"/>
      <c r="J140" s="1536"/>
      <c r="K140" s="945">
        <v>0</v>
      </c>
      <c r="L140" s="945">
        <v>5.6249999999999996E-4</v>
      </c>
      <c r="M140" s="1537"/>
      <c r="N140" s="1539"/>
      <c r="O140" s="1539"/>
      <c r="P140" s="1540">
        <f t="shared" si="42"/>
        <v>5.6249999999999996E-4</v>
      </c>
      <c r="Q140" s="307">
        <f t="shared" si="27"/>
        <v>0</v>
      </c>
      <c r="R140" s="307">
        <f t="shared" si="28"/>
        <v>0</v>
      </c>
      <c r="S140" s="307">
        <f t="shared" si="29"/>
        <v>0</v>
      </c>
      <c r="T140" s="307">
        <f t="shared" si="30"/>
        <v>0</v>
      </c>
      <c r="U140" s="307">
        <f t="shared" si="31"/>
        <v>0</v>
      </c>
      <c r="V140" s="436">
        <f t="shared" si="32"/>
        <v>0</v>
      </c>
      <c r="W140" s="912"/>
    </row>
    <row r="141" spans="1:23" hidden="1">
      <c r="C141" s="1554" t="s">
        <v>1069</v>
      </c>
      <c r="D141" s="1541"/>
      <c r="E141" s="1541"/>
      <c r="F141" s="1541"/>
      <c r="G141" s="1541"/>
      <c r="H141" s="1541"/>
      <c r="I141" s="1536"/>
      <c r="J141" s="1536"/>
      <c r="K141" s="945">
        <v>0</v>
      </c>
      <c r="L141" s="945">
        <v>8.5619999999999999E-4</v>
      </c>
      <c r="M141" s="1537"/>
      <c r="N141" s="1539"/>
      <c r="O141" s="1539"/>
      <c r="P141" s="1540">
        <f t="shared" si="42"/>
        <v>8.5619999999999999E-4</v>
      </c>
      <c r="Q141" s="307">
        <f t="shared" si="27"/>
        <v>0</v>
      </c>
      <c r="R141" s="307">
        <f t="shared" si="28"/>
        <v>0</v>
      </c>
      <c r="S141" s="307">
        <f t="shared" si="29"/>
        <v>0</v>
      </c>
      <c r="T141" s="307">
        <f t="shared" si="30"/>
        <v>0</v>
      </c>
      <c r="U141" s="307">
        <f t="shared" si="31"/>
        <v>0</v>
      </c>
      <c r="V141" s="436">
        <f t="shared" si="32"/>
        <v>0</v>
      </c>
      <c r="W141" s="912"/>
    </row>
    <row r="142" spans="1:23" hidden="1">
      <c r="C142" s="1554" t="s">
        <v>1070</v>
      </c>
      <c r="D142" s="1541"/>
      <c r="E142" s="1541"/>
      <c r="F142" s="1541"/>
      <c r="G142" s="1541"/>
      <c r="H142" s="1541"/>
      <c r="I142" s="1536"/>
      <c r="J142" s="1536"/>
      <c r="K142" s="945">
        <v>0</v>
      </c>
      <c r="L142" s="945">
        <v>8.185E-4</v>
      </c>
      <c r="M142" s="1537"/>
      <c r="N142" s="1539"/>
      <c r="O142" s="1539"/>
      <c r="P142" s="1540">
        <f t="shared" si="42"/>
        <v>8.185E-4</v>
      </c>
      <c r="Q142" s="307">
        <f t="shared" ref="Q142:Q205" si="43">IF(J142=0,0,K142/J142*10)</f>
        <v>0</v>
      </c>
      <c r="R142" s="307">
        <f t="shared" ref="R142:R205" si="44">IF(J142=0,0,M142/J142*10)</f>
        <v>0</v>
      </c>
      <c r="S142" s="307">
        <f t="shared" ref="S142:S205" si="45">IF(J142=0,0,N142/J142*10)</f>
        <v>0</v>
      </c>
      <c r="T142" s="307">
        <f t="shared" ref="T142:T205" si="46">IF(J142=0,0,O142/J142*10)</f>
        <v>0</v>
      </c>
      <c r="U142" s="307">
        <f t="shared" ref="U142:U205" si="47">IF(J142=0,0,L142/J142*10)</f>
        <v>0</v>
      </c>
      <c r="V142" s="436">
        <f t="shared" ref="V142:V205" si="48">IF(J142=0,0,P142/J142*10)</f>
        <v>0</v>
      </c>
      <c r="W142" s="912"/>
    </row>
    <row r="143" spans="1:23" hidden="1">
      <c r="C143" s="1554" t="s">
        <v>1071</v>
      </c>
      <c r="D143" s="1541"/>
      <c r="E143" s="1541"/>
      <c r="F143" s="1541"/>
      <c r="G143" s="1541"/>
      <c r="H143" s="1541"/>
      <c r="I143" s="1536"/>
      <c r="J143" s="1536"/>
      <c r="K143" s="945">
        <v>0</v>
      </c>
      <c r="L143" s="945">
        <v>7.1860000000000001E-4</v>
      </c>
      <c r="M143" s="1537"/>
      <c r="N143" s="1539"/>
      <c r="O143" s="1539"/>
      <c r="P143" s="1540">
        <f t="shared" si="42"/>
        <v>7.1860000000000001E-4</v>
      </c>
      <c r="Q143" s="307">
        <f t="shared" si="43"/>
        <v>0</v>
      </c>
      <c r="R143" s="307">
        <f t="shared" si="44"/>
        <v>0</v>
      </c>
      <c r="S143" s="307">
        <f t="shared" si="45"/>
        <v>0</v>
      </c>
      <c r="T143" s="307">
        <f t="shared" si="46"/>
        <v>0</v>
      </c>
      <c r="U143" s="307">
        <f t="shared" si="47"/>
        <v>0</v>
      </c>
      <c r="V143" s="436">
        <f t="shared" si="48"/>
        <v>0</v>
      </c>
      <c r="W143" s="912"/>
    </row>
    <row r="144" spans="1:23" hidden="1">
      <c r="C144" s="1554" t="s">
        <v>1072</v>
      </c>
      <c r="D144" s="1541"/>
      <c r="E144" s="1541"/>
      <c r="F144" s="1541"/>
      <c r="G144" s="1541"/>
      <c r="H144" s="1541"/>
      <c r="I144" s="1536"/>
      <c r="J144" s="1536"/>
      <c r="K144" s="945">
        <v>0</v>
      </c>
      <c r="L144" s="945">
        <v>9.4459999999999998E-4</v>
      </c>
      <c r="M144" s="1537"/>
      <c r="N144" s="1539"/>
      <c r="O144" s="1539"/>
      <c r="P144" s="1540">
        <f t="shared" si="42"/>
        <v>9.4459999999999998E-4</v>
      </c>
      <c r="Q144" s="307">
        <f t="shared" si="43"/>
        <v>0</v>
      </c>
      <c r="R144" s="307">
        <f t="shared" si="44"/>
        <v>0</v>
      </c>
      <c r="S144" s="307">
        <f t="shared" si="45"/>
        <v>0</v>
      </c>
      <c r="T144" s="307">
        <f t="shared" si="46"/>
        <v>0</v>
      </c>
      <c r="U144" s="307">
        <f t="shared" si="47"/>
        <v>0</v>
      </c>
      <c r="V144" s="436">
        <f t="shared" si="48"/>
        <v>0</v>
      </c>
      <c r="W144" s="912"/>
    </row>
    <row r="145" spans="3:23" hidden="1">
      <c r="C145" s="1554" t="s">
        <v>1073</v>
      </c>
      <c r="D145" s="1541"/>
      <c r="E145" s="1541"/>
      <c r="F145" s="1541"/>
      <c r="G145" s="1541"/>
      <c r="H145" s="1541"/>
      <c r="I145" s="1536"/>
      <c r="J145" s="1536"/>
      <c r="K145" s="945">
        <v>0</v>
      </c>
      <c r="L145" s="945">
        <v>2.82483E-2</v>
      </c>
      <c r="M145" s="1537"/>
      <c r="N145" s="1539"/>
      <c r="O145" s="1539"/>
      <c r="P145" s="1540">
        <f t="shared" si="42"/>
        <v>2.82483E-2</v>
      </c>
      <c r="Q145" s="307">
        <f t="shared" si="43"/>
        <v>0</v>
      </c>
      <c r="R145" s="307">
        <f t="shared" si="44"/>
        <v>0</v>
      </c>
      <c r="S145" s="307">
        <f t="shared" si="45"/>
        <v>0</v>
      </c>
      <c r="T145" s="307">
        <f t="shared" si="46"/>
        <v>0</v>
      </c>
      <c r="U145" s="307">
        <f t="shared" si="47"/>
        <v>0</v>
      </c>
      <c r="V145" s="436">
        <f t="shared" si="48"/>
        <v>0</v>
      </c>
      <c r="W145" s="912"/>
    </row>
    <row r="146" spans="3:23" hidden="1">
      <c r="C146" s="1554" t="s">
        <v>1074</v>
      </c>
      <c r="D146" s="1541"/>
      <c r="E146" s="1541"/>
      <c r="F146" s="1541"/>
      <c r="G146" s="1541"/>
      <c r="H146" s="1541"/>
      <c r="I146" s="1536"/>
      <c r="J146" s="1536"/>
      <c r="K146" s="945">
        <v>0</v>
      </c>
      <c r="L146" s="945">
        <v>1.3394400000000001E-2</v>
      </c>
      <c r="M146" s="1537"/>
      <c r="N146" s="1539"/>
      <c r="O146" s="1539"/>
      <c r="P146" s="1540">
        <f t="shared" si="42"/>
        <v>1.3394400000000001E-2</v>
      </c>
      <c r="Q146" s="307">
        <f t="shared" si="43"/>
        <v>0</v>
      </c>
      <c r="R146" s="307">
        <f t="shared" si="44"/>
        <v>0</v>
      </c>
      <c r="S146" s="307">
        <f t="shared" si="45"/>
        <v>0</v>
      </c>
      <c r="T146" s="307">
        <f t="shared" si="46"/>
        <v>0</v>
      </c>
      <c r="U146" s="307">
        <f t="shared" si="47"/>
        <v>0</v>
      </c>
      <c r="V146" s="436">
        <f t="shared" si="48"/>
        <v>0</v>
      </c>
      <c r="W146" s="912"/>
    </row>
    <row r="147" spans="3:23" hidden="1">
      <c r="C147" s="1554" t="s">
        <v>1075</v>
      </c>
      <c r="D147" s="1541"/>
      <c r="E147" s="1541"/>
      <c r="F147" s="1541"/>
      <c r="G147" s="1541"/>
      <c r="H147" s="1541"/>
      <c r="I147" s="1536"/>
      <c r="J147" s="1536"/>
      <c r="K147" s="945">
        <v>0</v>
      </c>
      <c r="L147" s="945">
        <v>0</v>
      </c>
      <c r="M147" s="1537"/>
      <c r="N147" s="1539"/>
      <c r="O147" s="1539"/>
      <c r="P147" s="1540">
        <f t="shared" si="42"/>
        <v>0</v>
      </c>
      <c r="Q147" s="307">
        <f t="shared" si="43"/>
        <v>0</v>
      </c>
      <c r="R147" s="307">
        <f t="shared" si="44"/>
        <v>0</v>
      </c>
      <c r="S147" s="307">
        <f t="shared" si="45"/>
        <v>0</v>
      </c>
      <c r="T147" s="307">
        <f t="shared" si="46"/>
        <v>0</v>
      </c>
      <c r="U147" s="307">
        <f t="shared" si="47"/>
        <v>0</v>
      </c>
      <c r="V147" s="436">
        <f t="shared" si="48"/>
        <v>0</v>
      </c>
      <c r="W147" s="912"/>
    </row>
    <row r="148" spans="3:23" hidden="1">
      <c r="C148" s="1554" t="s">
        <v>1076</v>
      </c>
      <c r="D148" s="1541"/>
      <c r="E148" s="1541"/>
      <c r="F148" s="1541"/>
      <c r="G148" s="1541"/>
      <c r="H148" s="1541"/>
      <c r="I148" s="1536"/>
      <c r="J148" s="1536"/>
      <c r="K148" s="945">
        <v>0</v>
      </c>
      <c r="L148" s="945">
        <v>-0.46171649999999997</v>
      </c>
      <c r="M148" s="1537"/>
      <c r="N148" s="1539"/>
      <c r="O148" s="1539"/>
      <c r="P148" s="1540">
        <f t="shared" si="42"/>
        <v>-0.46171649999999997</v>
      </c>
      <c r="Q148" s="307">
        <f t="shared" si="43"/>
        <v>0</v>
      </c>
      <c r="R148" s="307">
        <f t="shared" si="44"/>
        <v>0</v>
      </c>
      <c r="S148" s="307">
        <f t="shared" si="45"/>
        <v>0</v>
      </c>
      <c r="T148" s="307">
        <f t="shared" si="46"/>
        <v>0</v>
      </c>
      <c r="U148" s="307">
        <f t="shared" si="47"/>
        <v>0</v>
      </c>
      <c r="V148" s="436">
        <f t="shared" si="48"/>
        <v>0</v>
      </c>
      <c r="W148" s="912"/>
    </row>
    <row r="149" spans="3:23" hidden="1">
      <c r="C149" s="1554" t="s">
        <v>1077</v>
      </c>
      <c r="D149" s="1541"/>
      <c r="E149" s="1541"/>
      <c r="F149" s="1541"/>
      <c r="G149" s="1541"/>
      <c r="H149" s="1541"/>
      <c r="I149" s="1536"/>
      <c r="J149" s="1536"/>
      <c r="K149" s="945">
        <v>0</v>
      </c>
      <c r="L149" s="945">
        <v>0</v>
      </c>
      <c r="M149" s="1537"/>
      <c r="N149" s="1539"/>
      <c r="O149" s="1539"/>
      <c r="P149" s="1540">
        <f t="shared" si="42"/>
        <v>0</v>
      </c>
      <c r="Q149" s="307">
        <f t="shared" si="43"/>
        <v>0</v>
      </c>
      <c r="R149" s="307">
        <f t="shared" si="44"/>
        <v>0</v>
      </c>
      <c r="S149" s="307">
        <f t="shared" si="45"/>
        <v>0</v>
      </c>
      <c r="T149" s="307">
        <f t="shared" si="46"/>
        <v>0</v>
      </c>
      <c r="U149" s="307">
        <f t="shared" si="47"/>
        <v>0</v>
      </c>
      <c r="V149" s="436">
        <f t="shared" si="48"/>
        <v>0</v>
      </c>
      <c r="W149" s="912"/>
    </row>
    <row r="150" spans="3:23" hidden="1">
      <c r="C150" s="1554" t="s">
        <v>1078</v>
      </c>
      <c r="D150" s="1541"/>
      <c r="E150" s="1541"/>
      <c r="F150" s="1541"/>
      <c r="G150" s="1541"/>
      <c r="H150" s="1541"/>
      <c r="I150" s="1536"/>
      <c r="J150" s="1536"/>
      <c r="K150" s="945">
        <v>0</v>
      </c>
      <c r="L150" s="945">
        <v>8.6030000000000004E-4</v>
      </c>
      <c r="M150" s="1537"/>
      <c r="N150" s="1539"/>
      <c r="O150" s="1539"/>
      <c r="P150" s="1540">
        <f t="shared" si="42"/>
        <v>8.6030000000000004E-4</v>
      </c>
      <c r="Q150" s="307">
        <f t="shared" si="43"/>
        <v>0</v>
      </c>
      <c r="R150" s="307">
        <f t="shared" si="44"/>
        <v>0</v>
      </c>
      <c r="S150" s="307">
        <f t="shared" si="45"/>
        <v>0</v>
      </c>
      <c r="T150" s="307">
        <f t="shared" si="46"/>
        <v>0</v>
      </c>
      <c r="U150" s="307">
        <f t="shared" si="47"/>
        <v>0</v>
      </c>
      <c r="V150" s="436">
        <f t="shared" si="48"/>
        <v>0</v>
      </c>
      <c r="W150" s="912"/>
    </row>
    <row r="151" spans="3:23" hidden="1">
      <c r="C151" s="1554" t="s">
        <v>1079</v>
      </c>
      <c r="D151" s="1541"/>
      <c r="E151" s="1541"/>
      <c r="F151" s="1541"/>
      <c r="G151" s="1541"/>
      <c r="H151" s="1541"/>
      <c r="I151" s="1536"/>
      <c r="J151" s="1536"/>
      <c r="K151" s="945">
        <v>0</v>
      </c>
      <c r="L151" s="945">
        <v>1.3288E-3</v>
      </c>
      <c r="M151" s="1537"/>
      <c r="N151" s="1539"/>
      <c r="O151" s="1539"/>
      <c r="P151" s="1540">
        <f t="shared" si="42"/>
        <v>1.3288E-3</v>
      </c>
      <c r="Q151" s="307">
        <f t="shared" si="43"/>
        <v>0</v>
      </c>
      <c r="R151" s="307">
        <f t="shared" si="44"/>
        <v>0</v>
      </c>
      <c r="S151" s="307">
        <f t="shared" si="45"/>
        <v>0</v>
      </c>
      <c r="T151" s="307">
        <f t="shared" si="46"/>
        <v>0</v>
      </c>
      <c r="U151" s="307">
        <f t="shared" si="47"/>
        <v>0</v>
      </c>
      <c r="V151" s="436">
        <f t="shared" si="48"/>
        <v>0</v>
      </c>
      <c r="W151" s="912"/>
    </row>
    <row r="152" spans="3:23" hidden="1">
      <c r="C152" s="1554" t="s">
        <v>1080</v>
      </c>
      <c r="D152" s="1541"/>
      <c r="E152" s="1541"/>
      <c r="F152" s="1541"/>
      <c r="G152" s="1541"/>
      <c r="H152" s="1541"/>
      <c r="I152" s="1536"/>
      <c r="J152" s="1536"/>
      <c r="K152" s="945">
        <v>0</v>
      </c>
      <c r="L152" s="945">
        <v>8.2410000000000003E-4</v>
      </c>
      <c r="M152" s="1537"/>
      <c r="N152" s="1539"/>
      <c r="O152" s="1539"/>
      <c r="P152" s="1540">
        <f t="shared" si="42"/>
        <v>8.2410000000000003E-4</v>
      </c>
      <c r="Q152" s="307">
        <f t="shared" si="43"/>
        <v>0</v>
      </c>
      <c r="R152" s="307">
        <f t="shared" si="44"/>
        <v>0</v>
      </c>
      <c r="S152" s="307">
        <f t="shared" si="45"/>
        <v>0</v>
      </c>
      <c r="T152" s="307">
        <f t="shared" si="46"/>
        <v>0</v>
      </c>
      <c r="U152" s="307">
        <f t="shared" si="47"/>
        <v>0</v>
      </c>
      <c r="V152" s="436">
        <f t="shared" si="48"/>
        <v>0</v>
      </c>
      <c r="W152" s="912"/>
    </row>
    <row r="153" spans="3:23" hidden="1">
      <c r="C153" s="1554" t="s">
        <v>1081</v>
      </c>
      <c r="D153" s="1541"/>
      <c r="E153" s="1541"/>
      <c r="F153" s="1541"/>
      <c r="G153" s="1541"/>
      <c r="H153" s="1541"/>
      <c r="I153" s="1536"/>
      <c r="J153" s="1536"/>
      <c r="K153" s="945">
        <v>0</v>
      </c>
      <c r="L153" s="945">
        <v>1.6758999999999999E-3</v>
      </c>
      <c r="M153" s="1537"/>
      <c r="N153" s="1539"/>
      <c r="O153" s="1539"/>
      <c r="P153" s="1540">
        <f t="shared" si="42"/>
        <v>1.6758999999999999E-3</v>
      </c>
      <c r="Q153" s="307">
        <f t="shared" si="43"/>
        <v>0</v>
      </c>
      <c r="R153" s="307">
        <f t="shared" si="44"/>
        <v>0</v>
      </c>
      <c r="S153" s="307">
        <f t="shared" si="45"/>
        <v>0</v>
      </c>
      <c r="T153" s="307">
        <f t="shared" si="46"/>
        <v>0</v>
      </c>
      <c r="U153" s="307">
        <f t="shared" si="47"/>
        <v>0</v>
      </c>
      <c r="V153" s="436">
        <f t="shared" si="48"/>
        <v>0</v>
      </c>
      <c r="W153" s="912"/>
    </row>
    <row r="154" spans="3:23" hidden="1">
      <c r="C154" s="1554" t="s">
        <v>1082</v>
      </c>
      <c r="D154" s="1541"/>
      <c r="E154" s="1541"/>
      <c r="F154" s="1541"/>
      <c r="G154" s="1541"/>
      <c r="H154" s="1541"/>
      <c r="I154" s="1536"/>
      <c r="J154" s="1536"/>
      <c r="K154" s="945">
        <v>0</v>
      </c>
      <c r="L154" s="945">
        <v>8.4769999999999995E-4</v>
      </c>
      <c r="M154" s="1537"/>
      <c r="N154" s="1539"/>
      <c r="O154" s="1539"/>
      <c r="P154" s="1540">
        <f t="shared" si="42"/>
        <v>8.4769999999999995E-4</v>
      </c>
      <c r="Q154" s="307">
        <f t="shared" si="43"/>
        <v>0</v>
      </c>
      <c r="R154" s="307">
        <f t="shared" si="44"/>
        <v>0</v>
      </c>
      <c r="S154" s="307">
        <f t="shared" si="45"/>
        <v>0</v>
      </c>
      <c r="T154" s="307">
        <f t="shared" si="46"/>
        <v>0</v>
      </c>
      <c r="U154" s="307">
        <f t="shared" si="47"/>
        <v>0</v>
      </c>
      <c r="V154" s="436">
        <f t="shared" si="48"/>
        <v>0</v>
      </c>
      <c r="W154" s="912"/>
    </row>
    <row r="155" spans="3:23" hidden="1">
      <c r="C155" s="1554" t="s">
        <v>1083</v>
      </c>
      <c r="D155" s="1541"/>
      <c r="E155" s="1541"/>
      <c r="F155" s="1541"/>
      <c r="G155" s="1541"/>
      <c r="H155" s="1541"/>
      <c r="I155" s="1536"/>
      <c r="J155" s="1536"/>
      <c r="K155" s="945">
        <v>0</v>
      </c>
      <c r="L155" s="945">
        <v>7.3550000000000004E-4</v>
      </c>
      <c r="M155" s="1537"/>
      <c r="N155" s="1539"/>
      <c r="O155" s="1539"/>
      <c r="P155" s="1540">
        <f t="shared" si="42"/>
        <v>7.3550000000000004E-4</v>
      </c>
      <c r="Q155" s="307">
        <f t="shared" si="43"/>
        <v>0</v>
      </c>
      <c r="R155" s="307">
        <f t="shared" si="44"/>
        <v>0</v>
      </c>
      <c r="S155" s="307">
        <f t="shared" si="45"/>
        <v>0</v>
      </c>
      <c r="T155" s="307">
        <f t="shared" si="46"/>
        <v>0</v>
      </c>
      <c r="U155" s="307">
        <f t="shared" si="47"/>
        <v>0</v>
      </c>
      <c r="V155" s="436">
        <f t="shared" si="48"/>
        <v>0</v>
      </c>
      <c r="W155" s="912"/>
    </row>
    <row r="156" spans="3:23" hidden="1">
      <c r="C156" s="1554" t="s">
        <v>1084</v>
      </c>
      <c r="D156" s="1541"/>
      <c r="E156" s="1541"/>
      <c r="F156" s="1541"/>
      <c r="G156" s="1541"/>
      <c r="H156" s="1541"/>
      <c r="I156" s="1536"/>
      <c r="J156" s="1536"/>
      <c r="K156" s="945">
        <v>0</v>
      </c>
      <c r="L156" s="945">
        <v>1.7734000000000001E-3</v>
      </c>
      <c r="M156" s="1537"/>
      <c r="N156" s="1539"/>
      <c r="O156" s="1539"/>
      <c r="P156" s="1540">
        <f t="shared" si="42"/>
        <v>1.7734000000000001E-3</v>
      </c>
      <c r="Q156" s="307">
        <f t="shared" si="43"/>
        <v>0</v>
      </c>
      <c r="R156" s="307">
        <f t="shared" si="44"/>
        <v>0</v>
      </c>
      <c r="S156" s="307">
        <f t="shared" si="45"/>
        <v>0</v>
      </c>
      <c r="T156" s="307">
        <f t="shared" si="46"/>
        <v>0</v>
      </c>
      <c r="U156" s="307">
        <f t="shared" si="47"/>
        <v>0</v>
      </c>
      <c r="V156" s="436">
        <f t="shared" si="48"/>
        <v>0</v>
      </c>
      <c r="W156" s="912"/>
    </row>
    <row r="157" spans="3:23" hidden="1">
      <c r="C157" s="1554" t="s">
        <v>1085</v>
      </c>
      <c r="D157" s="1541"/>
      <c r="E157" s="1541"/>
      <c r="F157" s="1541"/>
      <c r="G157" s="1541"/>
      <c r="H157" s="1541"/>
      <c r="I157" s="1536"/>
      <c r="J157" s="1536"/>
      <c r="K157" s="945">
        <v>0</v>
      </c>
      <c r="L157" s="945">
        <v>2.3592000000000001E-3</v>
      </c>
      <c r="M157" s="1537"/>
      <c r="N157" s="1539"/>
      <c r="O157" s="1539"/>
      <c r="P157" s="1540">
        <f t="shared" si="42"/>
        <v>2.3592000000000001E-3</v>
      </c>
      <c r="Q157" s="307">
        <f t="shared" si="43"/>
        <v>0</v>
      </c>
      <c r="R157" s="307">
        <f t="shared" si="44"/>
        <v>0</v>
      </c>
      <c r="S157" s="307">
        <f t="shared" si="45"/>
        <v>0</v>
      </c>
      <c r="T157" s="307">
        <f t="shared" si="46"/>
        <v>0</v>
      </c>
      <c r="U157" s="307">
        <f t="shared" si="47"/>
        <v>0</v>
      </c>
      <c r="V157" s="436">
        <f t="shared" si="48"/>
        <v>0</v>
      </c>
      <c r="W157" s="912"/>
    </row>
    <row r="158" spans="3:23" hidden="1">
      <c r="C158" s="1554" t="s">
        <v>1086</v>
      </c>
      <c r="D158" s="1541"/>
      <c r="E158" s="1541"/>
      <c r="F158" s="1541"/>
      <c r="G158" s="1541"/>
      <c r="H158" s="1541"/>
      <c r="I158" s="1536"/>
      <c r="J158" s="1536"/>
      <c r="K158" s="945">
        <v>0</v>
      </c>
      <c r="L158" s="945">
        <v>9.0316573328200001</v>
      </c>
      <c r="M158" s="1537"/>
      <c r="N158" s="1539"/>
      <c r="O158" s="1539"/>
      <c r="P158" s="1540">
        <f t="shared" si="42"/>
        <v>9.0316573328200001</v>
      </c>
      <c r="Q158" s="307">
        <f t="shared" si="43"/>
        <v>0</v>
      </c>
      <c r="R158" s="307">
        <f t="shared" si="44"/>
        <v>0</v>
      </c>
      <c r="S158" s="307">
        <f t="shared" si="45"/>
        <v>0</v>
      </c>
      <c r="T158" s="307">
        <f t="shared" si="46"/>
        <v>0</v>
      </c>
      <c r="U158" s="307">
        <f t="shared" si="47"/>
        <v>0</v>
      </c>
      <c r="V158" s="436">
        <f t="shared" si="48"/>
        <v>0</v>
      </c>
      <c r="W158" s="912"/>
    </row>
    <row r="159" spans="3:23" hidden="1">
      <c r="C159" s="1554" t="s">
        <v>884</v>
      </c>
      <c r="D159" s="1541"/>
      <c r="E159" s="1541"/>
      <c r="F159" s="1541"/>
      <c r="G159" s="1541"/>
      <c r="H159" s="1541"/>
      <c r="I159" s="1536"/>
      <c r="J159" s="1536"/>
      <c r="K159" s="945">
        <v>0</v>
      </c>
      <c r="L159" s="945">
        <v>1.6448797227199998</v>
      </c>
      <c r="M159" s="1537"/>
      <c r="N159" s="1539"/>
      <c r="O159" s="1539"/>
      <c r="P159" s="1540">
        <f t="shared" si="42"/>
        <v>1.6448797227199998</v>
      </c>
      <c r="Q159" s="307">
        <f t="shared" si="43"/>
        <v>0</v>
      </c>
      <c r="R159" s="307">
        <f t="shared" si="44"/>
        <v>0</v>
      </c>
      <c r="S159" s="307">
        <f t="shared" si="45"/>
        <v>0</v>
      </c>
      <c r="T159" s="307">
        <f t="shared" si="46"/>
        <v>0</v>
      </c>
      <c r="U159" s="307">
        <f t="shared" si="47"/>
        <v>0</v>
      </c>
      <c r="V159" s="436">
        <f t="shared" si="48"/>
        <v>0</v>
      </c>
      <c r="W159" s="912"/>
    </row>
    <row r="160" spans="3:23" hidden="1">
      <c r="C160" s="1554" t="s">
        <v>1087</v>
      </c>
      <c r="D160" s="1541"/>
      <c r="E160" s="1541"/>
      <c r="F160" s="1541"/>
      <c r="G160" s="1541"/>
      <c r="H160" s="1541"/>
      <c r="I160" s="1536"/>
      <c r="J160" s="1536"/>
      <c r="K160" s="945">
        <v>0</v>
      </c>
      <c r="L160" s="1556">
        <v>6.1799999999999995E-4</v>
      </c>
      <c r="M160" s="1537"/>
      <c r="N160" s="1539"/>
      <c r="O160" s="1539"/>
      <c r="P160" s="1540">
        <f t="shared" si="42"/>
        <v>6.1799999999999995E-4</v>
      </c>
      <c r="Q160" s="307">
        <f t="shared" si="43"/>
        <v>0</v>
      </c>
      <c r="R160" s="307">
        <f t="shared" si="44"/>
        <v>0</v>
      </c>
      <c r="S160" s="307">
        <f t="shared" si="45"/>
        <v>0</v>
      </c>
      <c r="T160" s="307">
        <f t="shared" si="46"/>
        <v>0</v>
      </c>
      <c r="U160" s="307">
        <f t="shared" si="47"/>
        <v>0</v>
      </c>
      <c r="V160" s="436">
        <f t="shared" si="48"/>
        <v>0</v>
      </c>
      <c r="W160" s="912"/>
    </row>
    <row r="161" spans="3:23" hidden="1">
      <c r="C161" s="1554" t="s">
        <v>1088</v>
      </c>
      <c r="D161" s="1541"/>
      <c r="E161" s="1541"/>
      <c r="F161" s="1541"/>
      <c r="G161" s="1541"/>
      <c r="H161" s="1541"/>
      <c r="I161" s="1536"/>
      <c r="J161" s="1536"/>
      <c r="K161" s="945">
        <v>0</v>
      </c>
      <c r="L161" s="1556">
        <v>1.2608000000000001E-3</v>
      </c>
      <c r="M161" s="1537"/>
      <c r="N161" s="1539"/>
      <c r="O161" s="1539"/>
      <c r="P161" s="1540">
        <f t="shared" si="42"/>
        <v>1.2608000000000001E-3</v>
      </c>
      <c r="Q161" s="307">
        <f t="shared" si="43"/>
        <v>0</v>
      </c>
      <c r="R161" s="307">
        <f t="shared" si="44"/>
        <v>0</v>
      </c>
      <c r="S161" s="307">
        <f t="shared" si="45"/>
        <v>0</v>
      </c>
      <c r="T161" s="307">
        <f t="shared" si="46"/>
        <v>0</v>
      </c>
      <c r="U161" s="307">
        <f t="shared" si="47"/>
        <v>0</v>
      </c>
      <c r="V161" s="436">
        <f t="shared" si="48"/>
        <v>0</v>
      </c>
      <c r="W161" s="912"/>
    </row>
    <row r="162" spans="3:23" hidden="1">
      <c r="C162" s="1554" t="s">
        <v>1089</v>
      </c>
      <c r="D162" s="1541"/>
      <c r="E162" s="1541"/>
      <c r="F162" s="1541"/>
      <c r="G162" s="1541"/>
      <c r="H162" s="1541"/>
      <c r="I162" s="1536"/>
      <c r="J162" s="1536"/>
      <c r="K162" s="945">
        <v>0</v>
      </c>
      <c r="L162" s="1556">
        <v>7.3820000000000005E-4</v>
      </c>
      <c r="M162" s="1537"/>
      <c r="N162" s="1539"/>
      <c r="O162" s="1539"/>
      <c r="P162" s="1540">
        <f t="shared" si="42"/>
        <v>7.3820000000000005E-4</v>
      </c>
      <c r="Q162" s="307">
        <f t="shared" si="43"/>
        <v>0</v>
      </c>
      <c r="R162" s="307">
        <f t="shared" si="44"/>
        <v>0</v>
      </c>
      <c r="S162" s="307">
        <f t="shared" si="45"/>
        <v>0</v>
      </c>
      <c r="T162" s="307">
        <f t="shared" si="46"/>
        <v>0</v>
      </c>
      <c r="U162" s="307">
        <f t="shared" si="47"/>
        <v>0</v>
      </c>
      <c r="V162" s="436">
        <f t="shared" si="48"/>
        <v>0</v>
      </c>
      <c r="W162" s="912"/>
    </row>
    <row r="163" spans="3:23" hidden="1">
      <c r="C163" s="1554" t="s">
        <v>1090</v>
      </c>
      <c r="D163" s="1541"/>
      <c r="E163" s="1541"/>
      <c r="F163" s="1541"/>
      <c r="G163" s="1541"/>
      <c r="H163" s="1541"/>
      <c r="I163" s="1536"/>
      <c r="J163" s="1536"/>
      <c r="K163" s="945">
        <v>0</v>
      </c>
      <c r="L163" s="945">
        <v>0</v>
      </c>
      <c r="M163" s="1537"/>
      <c r="N163" s="1539"/>
      <c r="O163" s="1539"/>
      <c r="P163" s="1540">
        <f t="shared" si="42"/>
        <v>0</v>
      </c>
      <c r="Q163" s="307">
        <f t="shared" si="43"/>
        <v>0</v>
      </c>
      <c r="R163" s="307">
        <f t="shared" si="44"/>
        <v>0</v>
      </c>
      <c r="S163" s="307">
        <f t="shared" si="45"/>
        <v>0</v>
      </c>
      <c r="T163" s="307">
        <f t="shared" si="46"/>
        <v>0</v>
      </c>
      <c r="U163" s="307">
        <f t="shared" si="47"/>
        <v>0</v>
      </c>
      <c r="V163" s="436">
        <f t="shared" si="48"/>
        <v>0</v>
      </c>
      <c r="W163" s="912"/>
    </row>
    <row r="164" spans="3:23" hidden="1">
      <c r="C164" s="1554" t="s">
        <v>1091</v>
      </c>
      <c r="D164" s="1541"/>
      <c r="E164" s="1541"/>
      <c r="F164" s="1541"/>
      <c r="G164" s="1541"/>
      <c r="H164" s="1541"/>
      <c r="I164" s="1536"/>
      <c r="J164" s="1536"/>
      <c r="K164" s="945">
        <v>0</v>
      </c>
      <c r="L164" s="945">
        <v>0</v>
      </c>
      <c r="M164" s="1537"/>
      <c r="N164" s="1539"/>
      <c r="O164" s="1539"/>
      <c r="P164" s="1540">
        <f t="shared" si="42"/>
        <v>0</v>
      </c>
      <c r="Q164" s="307">
        <f t="shared" si="43"/>
        <v>0</v>
      </c>
      <c r="R164" s="307">
        <f t="shared" si="44"/>
        <v>0</v>
      </c>
      <c r="S164" s="307">
        <f t="shared" si="45"/>
        <v>0</v>
      </c>
      <c r="T164" s="307">
        <f t="shared" si="46"/>
        <v>0</v>
      </c>
      <c r="U164" s="307">
        <f t="shared" si="47"/>
        <v>0</v>
      </c>
      <c r="V164" s="436">
        <f t="shared" si="48"/>
        <v>0</v>
      </c>
      <c r="W164" s="912"/>
    </row>
    <row r="165" spans="3:23" hidden="1">
      <c r="C165" s="1554" t="s">
        <v>1092</v>
      </c>
      <c r="D165" s="1541"/>
      <c r="E165" s="1541"/>
      <c r="F165" s="1541"/>
      <c r="G165" s="1541"/>
      <c r="H165" s="1541"/>
      <c r="I165" s="1536"/>
      <c r="J165" s="1536"/>
      <c r="K165" s="945">
        <v>0</v>
      </c>
      <c r="L165" s="945">
        <v>0</v>
      </c>
      <c r="M165" s="1537"/>
      <c r="N165" s="1539"/>
      <c r="O165" s="1539"/>
      <c r="P165" s="1540">
        <f t="shared" si="42"/>
        <v>0</v>
      </c>
      <c r="Q165" s="307">
        <f t="shared" si="43"/>
        <v>0</v>
      </c>
      <c r="R165" s="307">
        <f t="shared" si="44"/>
        <v>0</v>
      </c>
      <c r="S165" s="307">
        <f t="shared" si="45"/>
        <v>0</v>
      </c>
      <c r="T165" s="307">
        <f t="shared" si="46"/>
        <v>0</v>
      </c>
      <c r="U165" s="307">
        <f t="shared" si="47"/>
        <v>0</v>
      </c>
      <c r="V165" s="436">
        <f t="shared" si="48"/>
        <v>0</v>
      </c>
      <c r="W165" s="912"/>
    </row>
    <row r="166" spans="3:23" hidden="1">
      <c r="C166" s="1554" t="s">
        <v>1093</v>
      </c>
      <c r="D166" s="1541"/>
      <c r="E166" s="1541"/>
      <c r="F166" s="1541"/>
      <c r="G166" s="1541"/>
      <c r="H166" s="1541"/>
      <c r="I166" s="1536"/>
      <c r="J166" s="1536"/>
      <c r="K166" s="945">
        <v>0</v>
      </c>
      <c r="L166" s="945">
        <v>0</v>
      </c>
      <c r="M166" s="1537"/>
      <c r="N166" s="1539"/>
      <c r="O166" s="1539"/>
      <c r="P166" s="1540">
        <f t="shared" si="42"/>
        <v>0</v>
      </c>
      <c r="Q166" s="307">
        <f t="shared" si="43"/>
        <v>0</v>
      </c>
      <c r="R166" s="307">
        <f t="shared" si="44"/>
        <v>0</v>
      </c>
      <c r="S166" s="307">
        <f t="shared" si="45"/>
        <v>0</v>
      </c>
      <c r="T166" s="307">
        <f t="shared" si="46"/>
        <v>0</v>
      </c>
      <c r="U166" s="307">
        <f t="shared" si="47"/>
        <v>0</v>
      </c>
      <c r="V166" s="436">
        <f t="shared" si="48"/>
        <v>0</v>
      </c>
      <c r="W166" s="912"/>
    </row>
    <row r="167" spans="3:23" hidden="1">
      <c r="C167" s="1554" t="s">
        <v>1094</v>
      </c>
      <c r="D167" s="1541"/>
      <c r="E167" s="1541"/>
      <c r="F167" s="1541"/>
      <c r="G167" s="1541"/>
      <c r="H167" s="1541"/>
      <c r="I167" s="1536"/>
      <c r="J167" s="1536"/>
      <c r="K167" s="945">
        <v>0</v>
      </c>
      <c r="L167" s="945">
        <v>0</v>
      </c>
      <c r="M167" s="1537"/>
      <c r="N167" s="1539"/>
      <c r="O167" s="1539"/>
      <c r="P167" s="1540">
        <f t="shared" si="42"/>
        <v>0</v>
      </c>
      <c r="Q167" s="307">
        <f t="shared" si="43"/>
        <v>0</v>
      </c>
      <c r="R167" s="307">
        <f t="shared" si="44"/>
        <v>0</v>
      </c>
      <c r="S167" s="307">
        <f t="shared" si="45"/>
        <v>0</v>
      </c>
      <c r="T167" s="307">
        <f t="shared" si="46"/>
        <v>0</v>
      </c>
      <c r="U167" s="307">
        <f t="shared" si="47"/>
        <v>0</v>
      </c>
      <c r="V167" s="436">
        <f t="shared" si="48"/>
        <v>0</v>
      </c>
      <c r="W167" s="912"/>
    </row>
    <row r="168" spans="3:23" hidden="1">
      <c r="C168" s="1554" t="s">
        <v>1095</v>
      </c>
      <c r="D168" s="1541"/>
      <c r="E168" s="1541"/>
      <c r="F168" s="1541"/>
      <c r="G168" s="1541"/>
      <c r="H168" s="1541"/>
      <c r="I168" s="1536"/>
      <c r="J168" s="1536"/>
      <c r="K168" s="945">
        <v>0</v>
      </c>
      <c r="L168" s="945">
        <v>0</v>
      </c>
      <c r="M168" s="1537"/>
      <c r="N168" s="1539"/>
      <c r="O168" s="1539"/>
      <c r="P168" s="1540">
        <f t="shared" si="42"/>
        <v>0</v>
      </c>
      <c r="Q168" s="307">
        <f t="shared" si="43"/>
        <v>0</v>
      </c>
      <c r="R168" s="307">
        <f t="shared" si="44"/>
        <v>0</v>
      </c>
      <c r="S168" s="307">
        <f t="shared" si="45"/>
        <v>0</v>
      </c>
      <c r="T168" s="307">
        <f t="shared" si="46"/>
        <v>0</v>
      </c>
      <c r="U168" s="307">
        <f t="shared" si="47"/>
        <v>0</v>
      </c>
      <c r="V168" s="436">
        <f t="shared" si="48"/>
        <v>0</v>
      </c>
      <c r="W168" s="912"/>
    </row>
    <row r="169" spans="3:23" hidden="1">
      <c r="C169" s="1554" t="s">
        <v>1096</v>
      </c>
      <c r="D169" s="1541"/>
      <c r="E169" s="1541"/>
      <c r="F169" s="1541"/>
      <c r="G169" s="1541"/>
      <c r="H169" s="1541"/>
      <c r="I169" s="1536"/>
      <c r="J169" s="1536"/>
      <c r="K169" s="945">
        <v>0</v>
      </c>
      <c r="L169" s="945">
        <v>0</v>
      </c>
      <c r="M169" s="1537"/>
      <c r="N169" s="1539"/>
      <c r="O169" s="1539"/>
      <c r="P169" s="1540">
        <f t="shared" si="42"/>
        <v>0</v>
      </c>
      <c r="Q169" s="307">
        <f t="shared" si="43"/>
        <v>0</v>
      </c>
      <c r="R169" s="307">
        <f t="shared" si="44"/>
        <v>0</v>
      </c>
      <c r="S169" s="307">
        <f t="shared" si="45"/>
        <v>0</v>
      </c>
      <c r="T169" s="307">
        <f t="shared" si="46"/>
        <v>0</v>
      </c>
      <c r="U169" s="307">
        <f t="shared" si="47"/>
        <v>0</v>
      </c>
      <c r="V169" s="436">
        <f t="shared" si="48"/>
        <v>0</v>
      </c>
      <c r="W169" s="912"/>
    </row>
    <row r="170" spans="3:23" hidden="1">
      <c r="C170" s="1554" t="s">
        <v>1097</v>
      </c>
      <c r="D170" s="1541"/>
      <c r="E170" s="1541"/>
      <c r="F170" s="1541"/>
      <c r="G170" s="1541"/>
      <c r="H170" s="1541"/>
      <c r="I170" s="1536"/>
      <c r="J170" s="1536"/>
      <c r="K170" s="945">
        <v>0</v>
      </c>
      <c r="L170" s="1557">
        <v>2.7950000000000002E-4</v>
      </c>
      <c r="M170" s="1537"/>
      <c r="N170" s="1539"/>
      <c r="O170" s="1539"/>
      <c r="P170" s="1540">
        <f t="shared" si="42"/>
        <v>2.7950000000000002E-4</v>
      </c>
      <c r="Q170" s="307">
        <f t="shared" si="43"/>
        <v>0</v>
      </c>
      <c r="R170" s="307">
        <f t="shared" si="44"/>
        <v>0</v>
      </c>
      <c r="S170" s="307">
        <f t="shared" si="45"/>
        <v>0</v>
      </c>
      <c r="T170" s="307">
        <f t="shared" si="46"/>
        <v>0</v>
      </c>
      <c r="U170" s="307">
        <f t="shared" si="47"/>
        <v>0</v>
      </c>
      <c r="V170" s="436">
        <f t="shared" si="48"/>
        <v>0</v>
      </c>
      <c r="W170" s="912"/>
    </row>
    <row r="171" spans="3:23" hidden="1">
      <c r="C171" s="1554" t="s">
        <v>1098</v>
      </c>
      <c r="D171" s="1541"/>
      <c r="E171" s="1541"/>
      <c r="F171" s="1541"/>
      <c r="G171" s="1541"/>
      <c r="H171" s="1541"/>
      <c r="I171" s="1536"/>
      <c r="J171" s="1536"/>
      <c r="K171" s="945">
        <v>0</v>
      </c>
      <c r="L171" s="1556">
        <v>3.2594299810000005E-2</v>
      </c>
      <c r="M171" s="1537"/>
      <c r="N171" s="1539"/>
      <c r="O171" s="1539"/>
      <c r="P171" s="1540">
        <f t="shared" si="42"/>
        <v>3.2594299810000005E-2</v>
      </c>
      <c r="Q171" s="307">
        <f t="shared" si="43"/>
        <v>0</v>
      </c>
      <c r="R171" s="307">
        <f t="shared" si="44"/>
        <v>0</v>
      </c>
      <c r="S171" s="307">
        <f t="shared" si="45"/>
        <v>0</v>
      </c>
      <c r="T171" s="307">
        <f t="shared" si="46"/>
        <v>0</v>
      </c>
      <c r="U171" s="307">
        <f t="shared" si="47"/>
        <v>0</v>
      </c>
      <c r="V171" s="436">
        <f t="shared" si="48"/>
        <v>0</v>
      </c>
      <c r="W171" s="912"/>
    </row>
    <row r="172" spans="3:23" hidden="1">
      <c r="C172" s="1554" t="s">
        <v>1099</v>
      </c>
      <c r="D172" s="1541"/>
      <c r="E172" s="1541"/>
      <c r="F172" s="1541"/>
      <c r="G172" s="1541"/>
      <c r="H172" s="1541"/>
      <c r="I172" s="1536"/>
      <c r="J172" s="1536"/>
      <c r="K172" s="945">
        <v>0</v>
      </c>
      <c r="L172" s="945">
        <v>1.30274E-2</v>
      </c>
      <c r="M172" s="1537"/>
      <c r="N172" s="1539"/>
      <c r="O172" s="1539"/>
      <c r="P172" s="1540">
        <f t="shared" si="42"/>
        <v>1.30274E-2</v>
      </c>
      <c r="Q172" s="307">
        <f t="shared" si="43"/>
        <v>0</v>
      </c>
      <c r="R172" s="307">
        <f t="shared" si="44"/>
        <v>0</v>
      </c>
      <c r="S172" s="307">
        <f t="shared" si="45"/>
        <v>0</v>
      </c>
      <c r="T172" s="307">
        <f t="shared" si="46"/>
        <v>0</v>
      </c>
      <c r="U172" s="307">
        <f t="shared" si="47"/>
        <v>0</v>
      </c>
      <c r="V172" s="436">
        <f t="shared" si="48"/>
        <v>0</v>
      </c>
      <c r="W172" s="912"/>
    </row>
    <row r="173" spans="3:23" ht="16.5" hidden="1" customHeight="1">
      <c r="C173" s="1554" t="s">
        <v>1100</v>
      </c>
      <c r="D173" s="1541"/>
      <c r="E173" s="1541"/>
      <c r="F173" s="1541"/>
      <c r="G173" s="1541"/>
      <c r="H173" s="1541"/>
      <c r="I173" s="1536"/>
      <c r="J173" s="1536"/>
      <c r="K173" s="945">
        <v>0</v>
      </c>
      <c r="L173" s="945">
        <v>0.24097443988</v>
      </c>
      <c r="M173" s="1537"/>
      <c r="N173" s="1539"/>
      <c r="O173" s="1539"/>
      <c r="P173" s="1540">
        <f t="shared" si="42"/>
        <v>0.24097443988</v>
      </c>
      <c r="Q173" s="307">
        <f t="shared" si="43"/>
        <v>0</v>
      </c>
      <c r="R173" s="307">
        <f t="shared" si="44"/>
        <v>0</v>
      </c>
      <c r="S173" s="307">
        <f t="shared" si="45"/>
        <v>0</v>
      </c>
      <c r="T173" s="307">
        <f t="shared" si="46"/>
        <v>0</v>
      </c>
      <c r="U173" s="307">
        <f t="shared" si="47"/>
        <v>0</v>
      </c>
      <c r="V173" s="436">
        <f t="shared" si="48"/>
        <v>0</v>
      </c>
      <c r="W173" s="912"/>
    </row>
    <row r="174" spans="3:23" ht="19.5" hidden="1" customHeight="1">
      <c r="C174" s="1554" t="s">
        <v>1101</v>
      </c>
      <c r="D174" s="1541"/>
      <c r="E174" s="1541"/>
      <c r="F174" s="1541"/>
      <c r="G174" s="1541"/>
      <c r="H174" s="1541"/>
      <c r="I174" s="1536"/>
      <c r="J174" s="1536"/>
      <c r="K174" s="945">
        <v>0</v>
      </c>
      <c r="L174" s="945">
        <v>0.1271235</v>
      </c>
      <c r="M174" s="1537"/>
      <c r="N174" s="1539"/>
      <c r="O174" s="1539"/>
      <c r="P174" s="1540">
        <f t="shared" si="42"/>
        <v>0.1271235</v>
      </c>
      <c r="Q174" s="307">
        <f t="shared" si="43"/>
        <v>0</v>
      </c>
      <c r="R174" s="307">
        <f t="shared" si="44"/>
        <v>0</v>
      </c>
      <c r="S174" s="307">
        <f t="shared" si="45"/>
        <v>0</v>
      </c>
      <c r="T174" s="307">
        <f t="shared" si="46"/>
        <v>0</v>
      </c>
      <c r="U174" s="307">
        <f t="shared" si="47"/>
        <v>0</v>
      </c>
      <c r="V174" s="436">
        <f t="shared" si="48"/>
        <v>0</v>
      </c>
      <c r="W174" s="912"/>
    </row>
    <row r="175" spans="3:23" hidden="1">
      <c r="C175" s="1554" t="s">
        <v>1102</v>
      </c>
      <c r="D175" s="1541"/>
      <c r="E175" s="1541"/>
      <c r="F175" s="1541"/>
      <c r="G175" s="1541"/>
      <c r="H175" s="1541"/>
      <c r="I175" s="1536"/>
      <c r="J175" s="1536"/>
      <c r="K175" s="945">
        <v>0</v>
      </c>
      <c r="L175" s="945">
        <v>3.4135600000000002E-2</v>
      </c>
      <c r="M175" s="1537"/>
      <c r="N175" s="1539"/>
      <c r="O175" s="1539"/>
      <c r="P175" s="1540">
        <f t="shared" si="42"/>
        <v>3.4135600000000002E-2</v>
      </c>
      <c r="Q175" s="307">
        <f t="shared" si="43"/>
        <v>0</v>
      </c>
      <c r="R175" s="307">
        <f t="shared" si="44"/>
        <v>0</v>
      </c>
      <c r="S175" s="307">
        <f t="shared" si="45"/>
        <v>0</v>
      </c>
      <c r="T175" s="307">
        <f t="shared" si="46"/>
        <v>0</v>
      </c>
      <c r="U175" s="307">
        <f t="shared" si="47"/>
        <v>0</v>
      </c>
      <c r="V175" s="436">
        <f t="shared" si="48"/>
        <v>0</v>
      </c>
      <c r="W175" s="912"/>
    </row>
    <row r="176" spans="3:23" hidden="1">
      <c r="C176" s="1554" t="s">
        <v>1103</v>
      </c>
      <c r="D176" s="1541"/>
      <c r="E176" s="1541"/>
      <c r="F176" s="1541"/>
      <c r="G176" s="1541"/>
      <c r="H176" s="1541"/>
      <c r="I176" s="1536"/>
      <c r="J176" s="1536"/>
      <c r="K176" s="945">
        <v>0</v>
      </c>
      <c r="L176" s="945">
        <v>0</v>
      </c>
      <c r="M176" s="1537"/>
      <c r="N176" s="1539"/>
      <c r="O176" s="1539"/>
      <c r="P176" s="1540">
        <f t="shared" si="42"/>
        <v>0</v>
      </c>
      <c r="Q176" s="307">
        <f t="shared" si="43"/>
        <v>0</v>
      </c>
      <c r="R176" s="307">
        <f t="shared" si="44"/>
        <v>0</v>
      </c>
      <c r="S176" s="307">
        <f t="shared" si="45"/>
        <v>0</v>
      </c>
      <c r="T176" s="307">
        <f t="shared" si="46"/>
        <v>0</v>
      </c>
      <c r="U176" s="307">
        <f t="shared" si="47"/>
        <v>0</v>
      </c>
      <c r="V176" s="436">
        <f t="shared" si="48"/>
        <v>0</v>
      </c>
      <c r="W176" s="912"/>
    </row>
    <row r="177" spans="3:23" hidden="1">
      <c r="C177" s="1554" t="s">
        <v>1104</v>
      </c>
      <c r="D177" s="1541"/>
      <c r="E177" s="1541"/>
      <c r="F177" s="1541"/>
      <c r="G177" s="1541"/>
      <c r="H177" s="1541"/>
      <c r="I177" s="1536"/>
      <c r="J177" s="1536"/>
      <c r="K177" s="945">
        <v>0</v>
      </c>
      <c r="L177" s="945">
        <v>-5.6215067999999997</v>
      </c>
      <c r="M177" s="1537"/>
      <c r="N177" s="1539"/>
      <c r="O177" s="1539"/>
      <c r="P177" s="1540">
        <f t="shared" si="42"/>
        <v>-5.6215067999999997</v>
      </c>
      <c r="Q177" s="307">
        <f t="shared" si="43"/>
        <v>0</v>
      </c>
      <c r="R177" s="307">
        <f t="shared" si="44"/>
        <v>0</v>
      </c>
      <c r="S177" s="307">
        <f t="shared" si="45"/>
        <v>0</v>
      </c>
      <c r="T177" s="307">
        <f t="shared" si="46"/>
        <v>0</v>
      </c>
      <c r="U177" s="307">
        <f t="shared" si="47"/>
        <v>0</v>
      </c>
      <c r="V177" s="436">
        <f t="shared" si="48"/>
        <v>0</v>
      </c>
      <c r="W177" s="912"/>
    </row>
    <row r="178" spans="3:23" hidden="1">
      <c r="C178" s="1554" t="s">
        <v>1105</v>
      </c>
      <c r="D178" s="1541"/>
      <c r="E178" s="1541"/>
      <c r="F178" s="1541"/>
      <c r="G178" s="1541"/>
      <c r="H178" s="1541"/>
      <c r="I178" s="1536"/>
      <c r="J178" s="1536"/>
      <c r="K178" s="945">
        <v>0</v>
      </c>
      <c r="L178" s="945">
        <v>2.3794181999999999</v>
      </c>
      <c r="M178" s="1537"/>
      <c r="N178" s="1539"/>
      <c r="O178" s="1539"/>
      <c r="P178" s="1540">
        <f t="shared" si="42"/>
        <v>2.3794181999999999</v>
      </c>
      <c r="Q178" s="307">
        <f t="shared" si="43"/>
        <v>0</v>
      </c>
      <c r="R178" s="307">
        <f t="shared" si="44"/>
        <v>0</v>
      </c>
      <c r="S178" s="307">
        <f t="shared" si="45"/>
        <v>0</v>
      </c>
      <c r="T178" s="307">
        <f t="shared" si="46"/>
        <v>0</v>
      </c>
      <c r="U178" s="307">
        <f t="shared" si="47"/>
        <v>0</v>
      </c>
      <c r="V178" s="436">
        <f t="shared" si="48"/>
        <v>0</v>
      </c>
      <c r="W178" s="912"/>
    </row>
    <row r="179" spans="3:23" hidden="1">
      <c r="C179" s="1554" t="s">
        <v>870</v>
      </c>
      <c r="D179" s="1541"/>
      <c r="E179" s="1541"/>
      <c r="F179" s="1541"/>
      <c r="G179" s="1541"/>
      <c r="H179" s="1541"/>
      <c r="I179" s="1536"/>
      <c r="J179" s="1536"/>
      <c r="K179" s="945">
        <v>0.24340690000000001</v>
      </c>
      <c r="L179" s="945">
        <v>0</v>
      </c>
      <c r="M179" s="1537"/>
      <c r="N179" s="1539"/>
      <c r="O179" s="1539"/>
      <c r="P179" s="1540">
        <f t="shared" si="42"/>
        <v>0.24340690000000001</v>
      </c>
      <c r="Q179" s="307">
        <f t="shared" si="43"/>
        <v>0</v>
      </c>
      <c r="R179" s="307">
        <f t="shared" si="44"/>
        <v>0</v>
      </c>
      <c r="S179" s="307">
        <f t="shared" si="45"/>
        <v>0</v>
      </c>
      <c r="T179" s="307">
        <f t="shared" si="46"/>
        <v>0</v>
      </c>
      <c r="U179" s="307">
        <f t="shared" si="47"/>
        <v>0</v>
      </c>
      <c r="V179" s="436">
        <f t="shared" si="48"/>
        <v>0</v>
      </c>
      <c r="W179" s="912"/>
    </row>
    <row r="180" spans="3:23" hidden="1">
      <c r="C180" s="1558" t="s">
        <v>254</v>
      </c>
      <c r="D180" s="1559"/>
      <c r="E180" s="1559"/>
      <c r="F180" s="1559"/>
      <c r="G180" s="1559"/>
      <c r="H180" s="1559"/>
      <c r="I180" s="1542">
        <f>SUM(I116:I179)</f>
        <v>76.713978586666656</v>
      </c>
      <c r="J180" s="1542">
        <f>SUM(J116:J179)</f>
        <v>2084.2539900927</v>
      </c>
      <c r="K180" s="1542">
        <f t="shared" ref="K180:P180" si="49">SUM(K116:K179)</f>
        <v>10.822633346445</v>
      </c>
      <c r="L180" s="1542">
        <f t="shared" si="49"/>
        <v>941.82817535644347</v>
      </c>
      <c r="M180" s="1542">
        <f t="shared" si="49"/>
        <v>0</v>
      </c>
      <c r="N180" s="1542">
        <f t="shared" si="49"/>
        <v>0</v>
      </c>
      <c r="O180" s="1542">
        <f t="shared" si="49"/>
        <v>0</v>
      </c>
      <c r="P180" s="1542">
        <f t="shared" si="49"/>
        <v>952.65080870288841</v>
      </c>
      <c r="Q180" s="307">
        <f t="shared" si="43"/>
        <v>5.192569330748241E-2</v>
      </c>
      <c r="R180" s="307">
        <f t="shared" si="44"/>
        <v>0</v>
      </c>
      <c r="S180" s="307">
        <f t="shared" si="45"/>
        <v>0</v>
      </c>
      <c r="T180" s="307">
        <f t="shared" si="46"/>
        <v>0</v>
      </c>
      <c r="U180" s="307">
        <f t="shared" si="47"/>
        <v>4.5187783246827538</v>
      </c>
      <c r="V180" s="436">
        <f t="shared" si="48"/>
        <v>4.5707040179902352</v>
      </c>
      <c r="W180" s="912"/>
    </row>
    <row r="181" spans="3:23" hidden="1">
      <c r="C181" s="1543"/>
      <c r="D181" s="101"/>
      <c r="E181" s="101"/>
      <c r="F181" s="101"/>
      <c r="G181" s="101"/>
      <c r="H181" s="101"/>
      <c r="I181" s="1536"/>
      <c r="J181" s="1536"/>
      <c r="K181" s="945"/>
      <c r="L181" s="945"/>
      <c r="M181" s="1537"/>
      <c r="N181" s="1544"/>
      <c r="O181" s="1539"/>
      <c r="P181" s="1540"/>
      <c r="Q181" s="307">
        <f t="shared" si="43"/>
        <v>0</v>
      </c>
      <c r="R181" s="307">
        <f t="shared" si="44"/>
        <v>0</v>
      </c>
      <c r="S181" s="307">
        <f t="shared" si="45"/>
        <v>0</v>
      </c>
      <c r="T181" s="307">
        <f t="shared" si="46"/>
        <v>0</v>
      </c>
      <c r="U181" s="307">
        <f t="shared" si="47"/>
        <v>0</v>
      </c>
      <c r="V181" s="436">
        <f t="shared" si="48"/>
        <v>0</v>
      </c>
      <c r="W181" s="912"/>
    </row>
    <row r="182" spans="3:23" hidden="1">
      <c r="C182" s="1560" t="s">
        <v>662</v>
      </c>
      <c r="D182" s="1561"/>
      <c r="E182" s="1561"/>
      <c r="F182" s="1561"/>
      <c r="G182" s="1561"/>
      <c r="H182" s="1561"/>
      <c r="I182" s="1536"/>
      <c r="J182" s="1536"/>
      <c r="K182" s="945"/>
      <c r="L182" s="945"/>
      <c r="M182" s="1537"/>
      <c r="N182" s="1544"/>
      <c r="O182" s="1539"/>
      <c r="P182" s="1540"/>
      <c r="Q182" s="307">
        <f t="shared" si="43"/>
        <v>0</v>
      </c>
      <c r="R182" s="307">
        <f t="shared" si="44"/>
        <v>0</v>
      </c>
      <c r="S182" s="307">
        <f t="shared" si="45"/>
        <v>0</v>
      </c>
      <c r="T182" s="307">
        <f t="shared" si="46"/>
        <v>0</v>
      </c>
      <c r="U182" s="307">
        <f t="shared" si="47"/>
        <v>0</v>
      </c>
      <c r="V182" s="436">
        <f t="shared" si="48"/>
        <v>0</v>
      </c>
      <c r="W182" s="912"/>
    </row>
    <row r="183" spans="3:23" hidden="1">
      <c r="C183" s="1551" t="s">
        <v>610</v>
      </c>
      <c r="D183" s="1552"/>
      <c r="E183" s="1552"/>
      <c r="F183" s="1552"/>
      <c r="G183" s="1552"/>
      <c r="H183" s="1552"/>
      <c r="I183" s="1536">
        <v>0</v>
      </c>
      <c r="J183" s="1536">
        <v>0</v>
      </c>
      <c r="K183" s="945">
        <v>0</v>
      </c>
      <c r="L183" s="945">
        <v>0</v>
      </c>
      <c r="M183" s="1537"/>
      <c r="N183" s="1539"/>
      <c r="O183" s="1539"/>
      <c r="P183" s="1540">
        <f t="shared" ref="P183:P186" si="50">SUM(K183:O183)</f>
        <v>0</v>
      </c>
      <c r="Q183" s="307">
        <f t="shared" si="43"/>
        <v>0</v>
      </c>
      <c r="R183" s="307">
        <f t="shared" si="44"/>
        <v>0</v>
      </c>
      <c r="S183" s="307">
        <f t="shared" si="45"/>
        <v>0</v>
      </c>
      <c r="T183" s="307">
        <f t="shared" si="46"/>
        <v>0</v>
      </c>
      <c r="U183" s="307">
        <f t="shared" si="47"/>
        <v>0</v>
      </c>
      <c r="V183" s="436">
        <f t="shared" si="48"/>
        <v>0</v>
      </c>
      <c r="W183" s="912"/>
    </row>
    <row r="184" spans="3:23" hidden="1">
      <c r="C184" s="1551" t="s">
        <v>1030</v>
      </c>
      <c r="D184" s="1541"/>
      <c r="E184" s="1541"/>
      <c r="F184" s="1541"/>
      <c r="G184" s="1541"/>
      <c r="H184" s="1541"/>
      <c r="I184" s="1536"/>
      <c r="J184" s="1536">
        <v>1641.9612611999999</v>
      </c>
      <c r="K184" s="945">
        <v>222.34213708986005</v>
      </c>
      <c r="L184" s="945">
        <v>505.87887993352001</v>
      </c>
      <c r="M184" s="1537"/>
      <c r="N184" s="1539"/>
      <c r="O184" s="1539"/>
      <c r="P184" s="1540">
        <f t="shared" si="50"/>
        <v>728.22101702338</v>
      </c>
      <c r="Q184" s="307">
        <f t="shared" si="43"/>
        <v>1.354125352064427</v>
      </c>
      <c r="R184" s="307">
        <f t="shared" si="44"/>
        <v>0</v>
      </c>
      <c r="S184" s="307">
        <f t="shared" si="45"/>
        <v>0</v>
      </c>
      <c r="T184" s="307">
        <f t="shared" si="46"/>
        <v>0</v>
      </c>
      <c r="U184" s="307">
        <f t="shared" si="47"/>
        <v>3.0809428449231921</v>
      </c>
      <c r="V184" s="436">
        <f t="shared" si="48"/>
        <v>4.4350681969876184</v>
      </c>
    </row>
    <row r="185" spans="3:23" ht="12.75" hidden="1" customHeight="1">
      <c r="C185" s="1551" t="s">
        <v>611</v>
      </c>
      <c r="D185" s="1541"/>
      <c r="E185" s="1541"/>
      <c r="F185" s="1541"/>
      <c r="G185" s="1541"/>
      <c r="H185" s="1541"/>
      <c r="I185" s="1536"/>
      <c r="J185" s="1536">
        <v>650.1871020000001</v>
      </c>
      <c r="K185" s="945">
        <v>99.217090099999993</v>
      </c>
      <c r="L185" s="945">
        <v>150.49613980000001</v>
      </c>
      <c r="M185" s="1537"/>
      <c r="N185" s="1539"/>
      <c r="O185" s="1539"/>
      <c r="P185" s="1540">
        <f t="shared" si="50"/>
        <v>249.71322989999999</v>
      </c>
      <c r="Q185" s="307">
        <f t="shared" si="43"/>
        <v>1.5259775193141247</v>
      </c>
      <c r="R185" s="307">
        <f t="shared" si="44"/>
        <v>0</v>
      </c>
      <c r="S185" s="307">
        <f t="shared" si="45"/>
        <v>0</v>
      </c>
      <c r="T185" s="307">
        <f t="shared" si="46"/>
        <v>0</v>
      </c>
      <c r="U185" s="307">
        <f t="shared" si="47"/>
        <v>2.3146589548926486</v>
      </c>
      <c r="V185" s="436">
        <f t="shared" si="48"/>
        <v>3.8406364742067729</v>
      </c>
    </row>
    <row r="186" spans="3:23" hidden="1">
      <c r="C186" s="1551" t="s">
        <v>1031</v>
      </c>
      <c r="D186" s="1541"/>
      <c r="E186" s="1541"/>
      <c r="F186" s="1541"/>
      <c r="G186" s="1541"/>
      <c r="H186" s="1541"/>
      <c r="I186" s="1536"/>
      <c r="J186" s="1536">
        <v>0</v>
      </c>
      <c r="K186" s="945">
        <v>0</v>
      </c>
      <c r="L186" s="945">
        <v>18.333555799999999</v>
      </c>
      <c r="M186" s="1537"/>
      <c r="N186" s="1539"/>
      <c r="O186" s="1539"/>
      <c r="P186" s="1540">
        <f t="shared" si="50"/>
        <v>18.333555799999999</v>
      </c>
      <c r="Q186" s="307">
        <f t="shared" si="43"/>
        <v>0</v>
      </c>
      <c r="R186" s="307">
        <f t="shared" si="44"/>
        <v>0</v>
      </c>
      <c r="S186" s="307">
        <f t="shared" si="45"/>
        <v>0</v>
      </c>
      <c r="T186" s="307">
        <f t="shared" si="46"/>
        <v>0</v>
      </c>
      <c r="U186" s="307">
        <f t="shared" si="47"/>
        <v>0</v>
      </c>
      <c r="V186" s="436">
        <f t="shared" si="48"/>
        <v>0</v>
      </c>
    </row>
    <row r="187" spans="3:23" ht="17.25" hidden="1" customHeight="1">
      <c r="C187" s="1551" t="s">
        <v>1032</v>
      </c>
      <c r="D187" s="1552"/>
      <c r="E187" s="1552"/>
      <c r="F187" s="1552"/>
      <c r="G187" s="1552"/>
      <c r="H187" s="1552"/>
      <c r="I187" s="1540"/>
      <c r="J187" s="1540">
        <v>0</v>
      </c>
      <c r="K187" s="945">
        <v>0</v>
      </c>
      <c r="L187" s="945">
        <v>0</v>
      </c>
      <c r="M187" s="1537"/>
      <c r="N187" s="1539"/>
      <c r="O187" s="1539"/>
      <c r="P187" s="1540">
        <v>0</v>
      </c>
      <c r="Q187" s="307">
        <f t="shared" si="43"/>
        <v>0</v>
      </c>
      <c r="R187" s="307">
        <f t="shared" si="44"/>
        <v>0</v>
      </c>
      <c r="S187" s="307">
        <f t="shared" si="45"/>
        <v>0</v>
      </c>
      <c r="T187" s="307">
        <f t="shared" si="46"/>
        <v>0</v>
      </c>
      <c r="U187" s="307">
        <f t="shared" si="47"/>
        <v>0</v>
      </c>
      <c r="V187" s="436">
        <f t="shared" si="48"/>
        <v>0</v>
      </c>
    </row>
    <row r="188" spans="3:23" hidden="1">
      <c r="C188" s="1551" t="s">
        <v>1033</v>
      </c>
      <c r="D188" s="1552"/>
      <c r="E188" s="1552"/>
      <c r="F188" s="1552"/>
      <c r="G188" s="1552"/>
      <c r="H188" s="1552"/>
      <c r="I188" s="1540"/>
      <c r="J188" s="1540">
        <v>171.96274299999999</v>
      </c>
      <c r="K188" s="945">
        <v>29.349622</v>
      </c>
      <c r="L188" s="945">
        <v>38.841638699999997</v>
      </c>
      <c r="M188" s="1537"/>
      <c r="N188" s="1539"/>
      <c r="O188" s="1539"/>
      <c r="P188" s="1540">
        <v>68.191260700000001</v>
      </c>
      <c r="Q188" s="307">
        <f t="shared" si="43"/>
        <v>1.706743070503359</v>
      </c>
      <c r="R188" s="307">
        <f t="shared" si="44"/>
        <v>0</v>
      </c>
      <c r="S188" s="307">
        <f t="shared" si="45"/>
        <v>0</v>
      </c>
      <c r="T188" s="307">
        <f t="shared" si="46"/>
        <v>0</v>
      </c>
      <c r="U188" s="307">
        <f t="shared" si="47"/>
        <v>2.2587240714112125</v>
      </c>
      <c r="V188" s="436">
        <f t="shared" si="48"/>
        <v>3.9654671419145719</v>
      </c>
    </row>
    <row r="189" spans="3:23" hidden="1">
      <c r="C189" s="1551" t="s">
        <v>1034</v>
      </c>
      <c r="D189" s="1541"/>
      <c r="E189" s="1541"/>
      <c r="F189" s="1541"/>
      <c r="G189" s="1541"/>
      <c r="H189" s="1541"/>
      <c r="I189" s="1536"/>
      <c r="J189" s="1536">
        <v>28.686239999999998</v>
      </c>
      <c r="K189" s="945">
        <v>0</v>
      </c>
      <c r="L189" s="945">
        <v>20.3959166</v>
      </c>
      <c r="M189" s="1537"/>
      <c r="N189" s="1539"/>
      <c r="O189" s="1539"/>
      <c r="P189" s="1540">
        <f t="shared" ref="P189:P191" si="51">SUM(K189:O189)</f>
        <v>20.3959166</v>
      </c>
      <c r="Q189" s="307">
        <f t="shared" si="43"/>
        <v>0</v>
      </c>
      <c r="R189" s="307">
        <f t="shared" si="44"/>
        <v>0</v>
      </c>
      <c r="S189" s="307">
        <f t="shared" si="45"/>
        <v>0</v>
      </c>
      <c r="T189" s="307">
        <f t="shared" si="46"/>
        <v>0</v>
      </c>
      <c r="U189" s="307">
        <f t="shared" si="47"/>
        <v>7.1099999860560326</v>
      </c>
      <c r="V189" s="436">
        <f t="shared" si="48"/>
        <v>7.1099999860560326</v>
      </c>
    </row>
    <row r="190" spans="3:23" s="890" customFormat="1" hidden="1">
      <c r="C190" s="1551" t="s">
        <v>1035</v>
      </c>
      <c r="D190" s="1541"/>
      <c r="E190" s="1541"/>
      <c r="F190" s="1541"/>
      <c r="G190" s="1541"/>
      <c r="H190" s="1541"/>
      <c r="I190" s="1536"/>
      <c r="J190" s="1536">
        <v>23.905200000000001</v>
      </c>
      <c r="K190" s="945">
        <v>5.3356405999999996</v>
      </c>
      <c r="L190" s="945">
        <v>12.789282</v>
      </c>
      <c r="M190" s="1537"/>
      <c r="N190" s="1539"/>
      <c r="O190" s="1539"/>
      <c r="P190" s="1540">
        <f t="shared" si="51"/>
        <v>18.124922599999998</v>
      </c>
      <c r="Q190" s="307">
        <f t="shared" si="43"/>
        <v>2.2319999832672388</v>
      </c>
      <c r="R190" s="307">
        <f t="shared" si="44"/>
        <v>0</v>
      </c>
      <c r="S190" s="307">
        <f t="shared" si="45"/>
        <v>0</v>
      </c>
      <c r="T190" s="307">
        <f t="shared" si="46"/>
        <v>0</v>
      </c>
      <c r="U190" s="307">
        <f t="shared" si="47"/>
        <v>5.3500000000000005</v>
      </c>
      <c r="V190" s="436">
        <f t="shared" si="48"/>
        <v>7.581999983267238</v>
      </c>
      <c r="W190" s="1789" t="s">
        <v>365</v>
      </c>
    </row>
    <row r="191" spans="3:23" s="890" customFormat="1" ht="21" hidden="1">
      <c r="C191" s="1551" t="s">
        <v>1036</v>
      </c>
      <c r="D191" s="1541"/>
      <c r="E191" s="1541"/>
      <c r="F191" s="1541"/>
      <c r="G191" s="1541"/>
      <c r="H191" s="1541"/>
      <c r="I191" s="1536"/>
      <c r="J191" s="1536">
        <v>0</v>
      </c>
      <c r="K191" s="945">
        <v>446.63462099999998</v>
      </c>
      <c r="L191" s="945">
        <v>0</v>
      </c>
      <c r="M191" s="1537"/>
      <c r="N191" s="1539"/>
      <c r="O191" s="1539"/>
      <c r="P191" s="1540">
        <f t="shared" si="51"/>
        <v>446.63462099999998</v>
      </c>
      <c r="Q191" s="307">
        <f t="shared" si="43"/>
        <v>0</v>
      </c>
      <c r="R191" s="307">
        <f t="shared" si="44"/>
        <v>0</v>
      </c>
      <c r="S191" s="307">
        <f t="shared" si="45"/>
        <v>0</v>
      </c>
      <c r="T191" s="307">
        <f t="shared" si="46"/>
        <v>0</v>
      </c>
      <c r="U191" s="307">
        <f t="shared" si="47"/>
        <v>0</v>
      </c>
      <c r="V191" s="436">
        <f t="shared" si="48"/>
        <v>0</v>
      </c>
      <c r="W191" s="1789"/>
    </row>
    <row r="192" spans="3:23" hidden="1">
      <c r="C192" s="1562"/>
      <c r="D192" s="1541"/>
      <c r="E192" s="1541"/>
      <c r="F192" s="1541"/>
      <c r="G192" s="1541"/>
      <c r="H192" s="1541"/>
      <c r="I192" s="1536"/>
      <c r="J192" s="1536"/>
      <c r="K192" s="1540"/>
      <c r="L192" s="1540"/>
      <c r="M192" s="1537"/>
      <c r="N192" s="1539"/>
      <c r="O192" s="1539"/>
      <c r="P192" s="1540"/>
      <c r="Q192" s="307">
        <f t="shared" si="43"/>
        <v>0</v>
      </c>
      <c r="R192" s="307">
        <f t="shared" si="44"/>
        <v>0</v>
      </c>
      <c r="S192" s="307">
        <f t="shared" si="45"/>
        <v>0</v>
      </c>
      <c r="T192" s="307">
        <f t="shared" si="46"/>
        <v>0</v>
      </c>
      <c r="U192" s="307">
        <f t="shared" si="47"/>
        <v>0</v>
      </c>
      <c r="V192" s="436">
        <f t="shared" si="48"/>
        <v>0</v>
      </c>
      <c r="W192" s="911"/>
    </row>
    <row r="193" spans="1:23" ht="13.5" hidden="1" customHeight="1">
      <c r="C193" s="1543"/>
      <c r="D193" s="101"/>
      <c r="E193" s="101"/>
      <c r="F193" s="101"/>
      <c r="G193" s="101"/>
      <c r="H193" s="101"/>
      <c r="I193" s="1536"/>
      <c r="J193" s="1536"/>
      <c r="K193" s="1540"/>
      <c r="L193" s="1540"/>
      <c r="M193" s="1537"/>
      <c r="N193" s="1539"/>
      <c r="O193" s="1539"/>
      <c r="P193" s="1540"/>
      <c r="Q193" s="307">
        <f t="shared" si="43"/>
        <v>0</v>
      </c>
      <c r="R193" s="307">
        <f t="shared" si="44"/>
        <v>0</v>
      </c>
      <c r="S193" s="307">
        <f t="shared" si="45"/>
        <v>0</v>
      </c>
      <c r="T193" s="307">
        <f t="shared" si="46"/>
        <v>0</v>
      </c>
      <c r="U193" s="307">
        <f t="shared" si="47"/>
        <v>0</v>
      </c>
      <c r="V193" s="436">
        <f t="shared" si="48"/>
        <v>0</v>
      </c>
      <c r="W193" s="912"/>
    </row>
    <row r="194" spans="1:23" ht="13.5" hidden="1" customHeight="1">
      <c r="C194" s="1530" t="s">
        <v>451</v>
      </c>
      <c r="D194" s="1531"/>
      <c r="E194" s="1531"/>
      <c r="F194" s="1531"/>
      <c r="G194" s="1531"/>
      <c r="H194" s="1531"/>
      <c r="I194" s="1542">
        <f>SUM(I183:I191)</f>
        <v>0</v>
      </c>
      <c r="J194" s="1542">
        <f>SUM(J183:J191)</f>
        <v>2516.7025462000001</v>
      </c>
      <c r="K194" s="1542">
        <f>SUM(K183:K191)</f>
        <v>802.87911078986008</v>
      </c>
      <c r="L194" s="1542">
        <f t="shared" ref="L194:P194" si="52">SUM(L183:L191)</f>
        <v>746.73541283351994</v>
      </c>
      <c r="M194" s="1542">
        <f t="shared" si="52"/>
        <v>0</v>
      </c>
      <c r="N194" s="1542">
        <f t="shared" si="52"/>
        <v>0</v>
      </c>
      <c r="O194" s="1542">
        <f t="shared" si="52"/>
        <v>0</v>
      </c>
      <c r="P194" s="1542">
        <f t="shared" si="52"/>
        <v>1549.6145236233799</v>
      </c>
      <c r="Q194" s="307">
        <f t="shared" si="43"/>
        <v>3.1902026403642219</v>
      </c>
      <c r="R194" s="307">
        <f t="shared" si="44"/>
        <v>0</v>
      </c>
      <c r="S194" s="307">
        <f t="shared" si="45"/>
        <v>0</v>
      </c>
      <c r="T194" s="307">
        <f t="shared" si="46"/>
        <v>0</v>
      </c>
      <c r="U194" s="307">
        <f t="shared" si="47"/>
        <v>2.9671182792778783</v>
      </c>
      <c r="V194" s="436">
        <f t="shared" si="48"/>
        <v>6.1573209196420997</v>
      </c>
      <c r="W194" s="912"/>
    </row>
    <row r="195" spans="1:23" ht="13.5" hidden="1" customHeight="1">
      <c r="A195" s="889">
        <v>10001</v>
      </c>
      <c r="C195" s="1543"/>
      <c r="D195" s="101"/>
      <c r="E195" s="101"/>
      <c r="F195" s="101"/>
      <c r="G195" s="101"/>
      <c r="H195" s="101"/>
      <c r="I195" s="1536"/>
      <c r="J195" s="1536"/>
      <c r="K195" s="945"/>
      <c r="L195" s="945"/>
      <c r="M195" s="1537"/>
      <c r="N195" s="1544"/>
      <c r="O195" s="1539"/>
      <c r="P195" s="1540">
        <f t="shared" ref="P195:P223" si="53">SUM(K195:O195)</f>
        <v>0</v>
      </c>
      <c r="Q195" s="307">
        <f t="shared" si="43"/>
        <v>0</v>
      </c>
      <c r="R195" s="307">
        <f t="shared" si="44"/>
        <v>0</v>
      </c>
      <c r="S195" s="307">
        <f t="shared" si="45"/>
        <v>0</v>
      </c>
      <c r="T195" s="307">
        <f t="shared" si="46"/>
        <v>0</v>
      </c>
      <c r="U195" s="307">
        <f t="shared" si="47"/>
        <v>0</v>
      </c>
      <c r="V195" s="436">
        <f t="shared" si="48"/>
        <v>0</v>
      </c>
      <c r="W195" s="912"/>
    </row>
    <row r="196" spans="1:23" ht="13.5" hidden="1" customHeight="1">
      <c r="A196" s="889">
        <v>10002</v>
      </c>
      <c r="C196" s="1560" t="s">
        <v>251</v>
      </c>
      <c r="D196" s="1561"/>
      <c r="E196" s="1561"/>
      <c r="F196" s="1561"/>
      <c r="G196" s="1561"/>
      <c r="H196" s="1561"/>
      <c r="I196" s="1536"/>
      <c r="J196" s="1536"/>
      <c r="K196" s="945"/>
      <c r="L196" s="945"/>
      <c r="M196" s="1537"/>
      <c r="N196" s="1544"/>
      <c r="O196" s="1539"/>
      <c r="P196" s="1540">
        <f t="shared" si="53"/>
        <v>0</v>
      </c>
      <c r="Q196" s="307">
        <f t="shared" si="43"/>
        <v>0</v>
      </c>
      <c r="R196" s="307">
        <f t="shared" si="44"/>
        <v>0</v>
      </c>
      <c r="S196" s="307">
        <f t="shared" si="45"/>
        <v>0</v>
      </c>
      <c r="T196" s="307">
        <f t="shared" si="46"/>
        <v>0</v>
      </c>
      <c r="U196" s="307">
        <f t="shared" si="47"/>
        <v>0</v>
      </c>
      <c r="V196" s="436">
        <f t="shared" si="48"/>
        <v>0</v>
      </c>
      <c r="W196" s="912"/>
    </row>
    <row r="197" spans="1:23" ht="13.5" hidden="1" customHeight="1">
      <c r="A197" s="889">
        <v>10003</v>
      </c>
      <c r="C197" s="1551" t="s">
        <v>663</v>
      </c>
      <c r="D197" s="1552"/>
      <c r="E197" s="1552"/>
      <c r="F197" s="1552"/>
      <c r="G197" s="1552"/>
      <c r="H197" s="1552"/>
      <c r="I197" s="1536">
        <v>0</v>
      </c>
      <c r="J197" s="1536">
        <v>2455.0594610000003</v>
      </c>
      <c r="K197" s="945">
        <v>0</v>
      </c>
      <c r="L197" s="945">
        <v>1808.0058721</v>
      </c>
      <c r="M197" s="1537"/>
      <c r="N197" s="1539"/>
      <c r="O197" s="1539"/>
      <c r="P197" s="1540">
        <f t="shared" si="53"/>
        <v>1808.0058721</v>
      </c>
      <c r="Q197" s="307">
        <f t="shared" si="43"/>
        <v>0</v>
      </c>
      <c r="R197" s="307">
        <f t="shared" si="44"/>
        <v>0</v>
      </c>
      <c r="S197" s="307">
        <f t="shared" si="45"/>
        <v>0</v>
      </c>
      <c r="T197" s="307">
        <f t="shared" si="46"/>
        <v>0</v>
      </c>
      <c r="U197" s="307">
        <f t="shared" si="47"/>
        <v>7.3644076684136976</v>
      </c>
      <c r="V197" s="436">
        <f t="shared" si="48"/>
        <v>7.3644076684136976</v>
      </c>
      <c r="W197" s="912"/>
    </row>
    <row r="198" spans="1:23" ht="13.5" hidden="1" customHeight="1">
      <c r="A198" s="889">
        <v>10012</v>
      </c>
      <c r="C198" s="1551" t="s">
        <v>664</v>
      </c>
      <c r="D198" s="1552"/>
      <c r="E198" s="1552"/>
      <c r="F198" s="1552"/>
      <c r="G198" s="1552"/>
      <c r="H198" s="1552"/>
      <c r="I198" s="1536">
        <v>0</v>
      </c>
      <c r="J198" s="1536">
        <v>0</v>
      </c>
      <c r="K198" s="945">
        <v>0</v>
      </c>
      <c r="L198" s="945">
        <v>65.141255900000004</v>
      </c>
      <c r="M198" s="1537"/>
      <c r="N198" s="1539"/>
      <c r="O198" s="1539"/>
      <c r="P198" s="1540">
        <f t="shared" si="53"/>
        <v>65.141255900000004</v>
      </c>
      <c r="Q198" s="307">
        <f t="shared" si="43"/>
        <v>0</v>
      </c>
      <c r="R198" s="307">
        <f t="shared" si="44"/>
        <v>0</v>
      </c>
      <c r="S198" s="307">
        <f t="shared" si="45"/>
        <v>0</v>
      </c>
      <c r="T198" s="307">
        <f t="shared" si="46"/>
        <v>0</v>
      </c>
      <c r="U198" s="307">
        <f t="shared" si="47"/>
        <v>0</v>
      </c>
      <c r="V198" s="436">
        <f t="shared" si="48"/>
        <v>0</v>
      </c>
      <c r="W198" s="912"/>
    </row>
    <row r="199" spans="1:23" ht="13.5" hidden="1" customHeight="1">
      <c r="A199" s="889">
        <v>10004</v>
      </c>
      <c r="C199" s="1563" t="s">
        <v>665</v>
      </c>
      <c r="D199" s="1552"/>
      <c r="E199" s="1552"/>
      <c r="F199" s="1552"/>
      <c r="G199" s="1552"/>
      <c r="H199" s="1552"/>
      <c r="I199" s="1536">
        <v>0</v>
      </c>
      <c r="J199" s="1536">
        <v>281.53679400000004</v>
      </c>
      <c r="K199" s="945">
        <v>0</v>
      </c>
      <c r="L199" s="945">
        <v>237.6469539</v>
      </c>
      <c r="M199" s="1537"/>
      <c r="N199" s="1539"/>
      <c r="O199" s="1539"/>
      <c r="P199" s="1540">
        <f t="shared" si="53"/>
        <v>237.6469539</v>
      </c>
      <c r="Q199" s="307">
        <f t="shared" si="43"/>
        <v>0</v>
      </c>
      <c r="R199" s="307">
        <f t="shared" si="44"/>
        <v>0</v>
      </c>
      <c r="S199" s="307">
        <f t="shared" si="45"/>
        <v>0</v>
      </c>
      <c r="T199" s="307">
        <f t="shared" si="46"/>
        <v>0</v>
      </c>
      <c r="U199" s="307">
        <f t="shared" si="47"/>
        <v>8.4410620197656989</v>
      </c>
      <c r="V199" s="436">
        <f t="shared" si="48"/>
        <v>8.4410620197656989</v>
      </c>
      <c r="W199" s="912"/>
    </row>
    <row r="200" spans="1:23" ht="13.5" hidden="1" customHeight="1">
      <c r="A200" s="889">
        <v>10011</v>
      </c>
      <c r="C200" s="1563" t="s">
        <v>934</v>
      </c>
      <c r="D200" s="1552"/>
      <c r="E200" s="1552"/>
      <c r="F200" s="1552"/>
      <c r="G200" s="1552"/>
      <c r="H200" s="1552"/>
      <c r="I200" s="1536">
        <v>0</v>
      </c>
      <c r="J200" s="1536">
        <v>0</v>
      </c>
      <c r="K200" s="945">
        <v>0</v>
      </c>
      <c r="L200" s="945">
        <v>7.5300533999999999</v>
      </c>
      <c r="M200" s="1537"/>
      <c r="N200" s="1539"/>
      <c r="O200" s="1539"/>
      <c r="P200" s="1540">
        <f t="shared" si="53"/>
        <v>7.5300533999999999</v>
      </c>
      <c r="Q200" s="307">
        <f t="shared" si="43"/>
        <v>0</v>
      </c>
      <c r="R200" s="307">
        <f t="shared" si="44"/>
        <v>0</v>
      </c>
      <c r="S200" s="307">
        <f t="shared" si="45"/>
        <v>0</v>
      </c>
      <c r="T200" s="307">
        <f t="shared" si="46"/>
        <v>0</v>
      </c>
      <c r="U200" s="307">
        <f t="shared" si="47"/>
        <v>0</v>
      </c>
      <c r="V200" s="436">
        <f t="shared" si="48"/>
        <v>0</v>
      </c>
      <c r="W200" s="912"/>
    </row>
    <row r="201" spans="1:23" ht="13.5" hidden="1" customHeight="1">
      <c r="A201" s="889">
        <v>10013</v>
      </c>
      <c r="C201" s="1563" t="s">
        <v>1037</v>
      </c>
      <c r="D201" s="1552"/>
      <c r="E201" s="1552"/>
      <c r="F201" s="1552"/>
      <c r="G201" s="1552"/>
      <c r="H201" s="1552"/>
      <c r="I201" s="1536">
        <v>0</v>
      </c>
      <c r="J201" s="1536">
        <v>106.96490399999999</v>
      </c>
      <c r="K201" s="945">
        <v>0</v>
      </c>
      <c r="L201" s="945">
        <v>71.874026400000005</v>
      </c>
      <c r="M201" s="1537"/>
      <c r="N201" s="1539"/>
      <c r="O201" s="1539"/>
      <c r="P201" s="1540">
        <f t="shared" si="53"/>
        <v>71.874026400000005</v>
      </c>
      <c r="Q201" s="307">
        <f t="shared" si="43"/>
        <v>0</v>
      </c>
      <c r="R201" s="307">
        <f t="shared" si="44"/>
        <v>0</v>
      </c>
      <c r="S201" s="307">
        <f t="shared" si="45"/>
        <v>0</v>
      </c>
      <c r="T201" s="307">
        <f t="shared" si="46"/>
        <v>0</v>
      </c>
      <c r="U201" s="307">
        <f t="shared" si="47"/>
        <v>6.7194026930552866</v>
      </c>
      <c r="V201" s="436">
        <f t="shared" si="48"/>
        <v>6.7194026930552866</v>
      </c>
      <c r="W201" s="912"/>
    </row>
    <row r="202" spans="1:23" ht="13.5" hidden="1" customHeight="1">
      <c r="A202" s="889">
        <v>10005</v>
      </c>
      <c r="C202" s="1563" t="s">
        <v>1038</v>
      </c>
      <c r="D202" s="1552"/>
      <c r="E202" s="1552"/>
      <c r="F202" s="1552"/>
      <c r="G202" s="1552"/>
      <c r="H202" s="1552"/>
      <c r="I202" s="1536">
        <v>0</v>
      </c>
      <c r="J202" s="1536">
        <v>0</v>
      </c>
      <c r="K202" s="945">
        <v>0</v>
      </c>
      <c r="L202" s="945">
        <v>2.8456024000000002</v>
      </c>
      <c r="M202" s="1537"/>
      <c r="N202" s="1539"/>
      <c r="O202" s="1539"/>
      <c r="P202" s="1540">
        <f t="shared" si="53"/>
        <v>2.8456024000000002</v>
      </c>
      <c r="Q202" s="307">
        <f t="shared" si="43"/>
        <v>0</v>
      </c>
      <c r="R202" s="307">
        <f t="shared" si="44"/>
        <v>0</v>
      </c>
      <c r="S202" s="307">
        <f t="shared" si="45"/>
        <v>0</v>
      </c>
      <c r="T202" s="307">
        <f t="shared" si="46"/>
        <v>0</v>
      </c>
      <c r="U202" s="307">
        <f t="shared" si="47"/>
        <v>0</v>
      </c>
      <c r="V202" s="436">
        <f t="shared" si="48"/>
        <v>0</v>
      </c>
      <c r="W202" s="912"/>
    </row>
    <row r="203" spans="1:23" ht="13.5" hidden="1" customHeight="1">
      <c r="C203" s="1563" t="s">
        <v>935</v>
      </c>
      <c r="D203" s="1552"/>
      <c r="E203" s="1552"/>
      <c r="F203" s="1552"/>
      <c r="G203" s="1552"/>
      <c r="H203" s="1552"/>
      <c r="I203" s="1536">
        <v>0</v>
      </c>
      <c r="J203" s="1536">
        <v>0</v>
      </c>
      <c r="K203" s="945">
        <v>0</v>
      </c>
      <c r="L203" s="945">
        <v>0</v>
      </c>
      <c r="M203" s="1537"/>
      <c r="N203" s="1539"/>
      <c r="O203" s="1539"/>
      <c r="P203" s="1540">
        <f t="shared" si="53"/>
        <v>0</v>
      </c>
      <c r="Q203" s="307">
        <f t="shared" si="43"/>
        <v>0</v>
      </c>
      <c r="R203" s="307">
        <f t="shared" si="44"/>
        <v>0</v>
      </c>
      <c r="S203" s="307">
        <f t="shared" si="45"/>
        <v>0</v>
      </c>
      <c r="T203" s="307">
        <f t="shared" si="46"/>
        <v>0</v>
      </c>
      <c r="U203" s="307">
        <f t="shared" si="47"/>
        <v>0</v>
      </c>
      <c r="V203" s="436">
        <f t="shared" si="48"/>
        <v>0</v>
      </c>
      <c r="W203" s="912"/>
    </row>
    <row r="204" spans="1:23" ht="13.5" hidden="1" customHeight="1">
      <c r="C204" s="1563" t="s">
        <v>936</v>
      </c>
      <c r="D204" s="1552"/>
      <c r="E204" s="1552"/>
      <c r="F204" s="1552"/>
      <c r="G204" s="1552"/>
      <c r="H204" s="1552"/>
      <c r="I204" s="1536">
        <v>0</v>
      </c>
      <c r="J204" s="1536">
        <v>0</v>
      </c>
      <c r="K204" s="945">
        <v>0</v>
      </c>
      <c r="L204" s="945">
        <v>0</v>
      </c>
      <c r="M204" s="1537"/>
      <c r="N204" s="1539"/>
      <c r="O204" s="1539"/>
      <c r="P204" s="1540">
        <f t="shared" si="53"/>
        <v>0</v>
      </c>
      <c r="Q204" s="307">
        <f t="shared" si="43"/>
        <v>0</v>
      </c>
      <c r="R204" s="307">
        <f t="shared" si="44"/>
        <v>0</v>
      </c>
      <c r="S204" s="307">
        <f t="shared" si="45"/>
        <v>0</v>
      </c>
      <c r="T204" s="307">
        <f t="shared" si="46"/>
        <v>0</v>
      </c>
      <c r="U204" s="307">
        <f t="shared" si="47"/>
        <v>0</v>
      </c>
      <c r="V204" s="436">
        <f t="shared" si="48"/>
        <v>0</v>
      </c>
      <c r="W204" s="912"/>
    </row>
    <row r="205" spans="1:23" ht="13.5" hidden="1" customHeight="1">
      <c r="C205" s="1563" t="s">
        <v>1039</v>
      </c>
      <c r="D205" s="1552"/>
      <c r="E205" s="1552"/>
      <c r="F205" s="1552"/>
      <c r="G205" s="1552"/>
      <c r="H205" s="1552"/>
      <c r="I205" s="1536">
        <v>0</v>
      </c>
      <c r="J205" s="1536">
        <v>0</v>
      </c>
      <c r="K205" s="945">
        <v>0</v>
      </c>
      <c r="L205" s="945">
        <v>1.6417498076399999</v>
      </c>
      <c r="M205" s="1537"/>
      <c r="N205" s="1539"/>
      <c r="O205" s="1539"/>
      <c r="P205" s="1540">
        <f t="shared" si="53"/>
        <v>1.6417498076399999</v>
      </c>
      <c r="Q205" s="307">
        <f t="shared" si="43"/>
        <v>0</v>
      </c>
      <c r="R205" s="307">
        <f t="shared" si="44"/>
        <v>0</v>
      </c>
      <c r="S205" s="307">
        <f t="shared" si="45"/>
        <v>0</v>
      </c>
      <c r="T205" s="307">
        <f t="shared" si="46"/>
        <v>0</v>
      </c>
      <c r="U205" s="307">
        <f t="shared" si="47"/>
        <v>0</v>
      </c>
      <c r="V205" s="436">
        <f t="shared" si="48"/>
        <v>0</v>
      </c>
      <c r="W205" s="912"/>
    </row>
    <row r="206" spans="1:23" ht="13.5" hidden="1" customHeight="1">
      <c r="C206" s="1563" t="s">
        <v>937</v>
      </c>
      <c r="D206" s="1552"/>
      <c r="E206" s="1552"/>
      <c r="F206" s="1552"/>
      <c r="G206" s="1552"/>
      <c r="H206" s="1552"/>
      <c r="I206" s="1536">
        <v>0</v>
      </c>
      <c r="J206" s="1536">
        <v>0</v>
      </c>
      <c r="K206" s="945">
        <v>0</v>
      </c>
      <c r="L206" s="945">
        <v>0</v>
      </c>
      <c r="M206" s="1537"/>
      <c r="N206" s="1539"/>
      <c r="O206" s="1539"/>
      <c r="P206" s="1540">
        <f t="shared" si="53"/>
        <v>0</v>
      </c>
      <c r="Q206" s="307">
        <f t="shared" ref="Q206:Q226" si="54">IF(J206=0,0,K206/J206*10)</f>
        <v>0</v>
      </c>
      <c r="R206" s="307">
        <f t="shared" ref="R206:R226" si="55">IF(J206=0,0,M206/J206*10)</f>
        <v>0</v>
      </c>
      <c r="S206" s="307">
        <f t="shared" ref="S206:S226" si="56">IF(J206=0,0,N206/J206*10)</f>
        <v>0</v>
      </c>
      <c r="T206" s="307">
        <f t="shared" ref="T206:T226" si="57">IF(J206=0,0,O206/J206*10)</f>
        <v>0</v>
      </c>
      <c r="U206" s="307">
        <f t="shared" ref="U206:U226" si="58">IF(J206=0,0,L206/J206*10)</f>
        <v>0</v>
      </c>
      <c r="V206" s="436">
        <f t="shared" ref="V206:V226" si="59">IF(J206=0,0,P206/J206*10)</f>
        <v>0</v>
      </c>
      <c r="W206" s="912"/>
    </row>
    <row r="207" spans="1:23" ht="13.5" hidden="1" customHeight="1">
      <c r="C207" s="1563" t="s">
        <v>938</v>
      </c>
      <c r="D207" s="1552"/>
      <c r="E207" s="1552"/>
      <c r="F207" s="1552"/>
      <c r="G207" s="1552"/>
      <c r="H207" s="1552"/>
      <c r="I207" s="1536">
        <v>0</v>
      </c>
      <c r="J207" s="1536">
        <v>0</v>
      </c>
      <c r="K207" s="945">
        <v>0</v>
      </c>
      <c r="L207" s="945">
        <v>2.0924017347600001</v>
      </c>
      <c r="M207" s="1537"/>
      <c r="N207" s="1539"/>
      <c r="O207" s="1539"/>
      <c r="P207" s="1540">
        <f t="shared" si="53"/>
        <v>2.0924017347600001</v>
      </c>
      <c r="Q207" s="307">
        <f t="shared" si="54"/>
        <v>0</v>
      </c>
      <c r="R207" s="307">
        <f t="shared" si="55"/>
        <v>0</v>
      </c>
      <c r="S207" s="307">
        <f t="shared" si="56"/>
        <v>0</v>
      </c>
      <c r="T207" s="307">
        <f t="shared" si="57"/>
        <v>0</v>
      </c>
      <c r="U207" s="307">
        <f t="shared" si="58"/>
        <v>0</v>
      </c>
      <c r="V207" s="436">
        <f t="shared" si="59"/>
        <v>0</v>
      </c>
      <c r="W207" s="912"/>
    </row>
    <row r="208" spans="1:23" ht="13.5" hidden="1" customHeight="1">
      <c r="C208" s="1563" t="s">
        <v>1040</v>
      </c>
      <c r="D208" s="1552"/>
      <c r="E208" s="1552"/>
      <c r="F208" s="1552"/>
      <c r="G208" s="1552"/>
      <c r="H208" s="1552"/>
      <c r="I208" s="1536">
        <v>0</v>
      </c>
      <c r="J208" s="1536">
        <v>95.407986344799994</v>
      </c>
      <c r="K208" s="945">
        <v>0</v>
      </c>
      <c r="L208" s="945">
        <v>78.35031617093999</v>
      </c>
      <c r="M208" s="1537"/>
      <c r="N208" s="1539"/>
      <c r="O208" s="1539"/>
      <c r="P208" s="1540">
        <f t="shared" si="53"/>
        <v>78.35031617093999</v>
      </c>
      <c r="Q208" s="307">
        <f t="shared" si="54"/>
        <v>0</v>
      </c>
      <c r="R208" s="307">
        <f t="shared" si="55"/>
        <v>0</v>
      </c>
      <c r="S208" s="307">
        <f t="shared" si="56"/>
        <v>0</v>
      </c>
      <c r="T208" s="307">
        <f t="shared" si="57"/>
        <v>0</v>
      </c>
      <c r="U208" s="307">
        <f t="shared" si="58"/>
        <v>8.2121339284727828</v>
      </c>
      <c r="V208" s="436">
        <f t="shared" si="59"/>
        <v>8.2121339284727828</v>
      </c>
      <c r="W208" s="912"/>
    </row>
    <row r="209" spans="1:23" hidden="1">
      <c r="C209" s="1563" t="s">
        <v>1041</v>
      </c>
      <c r="D209" s="1552"/>
      <c r="E209" s="1552"/>
      <c r="F209" s="1552"/>
      <c r="G209" s="1552"/>
      <c r="H209" s="1552"/>
      <c r="I209" s="1536">
        <v>0</v>
      </c>
      <c r="J209" s="1536">
        <v>0</v>
      </c>
      <c r="K209" s="945">
        <v>0</v>
      </c>
      <c r="L209" s="945">
        <v>0</v>
      </c>
      <c r="M209" s="1537"/>
      <c r="N209" s="1539"/>
      <c r="O209" s="1539"/>
      <c r="P209" s="1540">
        <f t="shared" si="53"/>
        <v>0</v>
      </c>
      <c r="Q209" s="307">
        <f t="shared" si="54"/>
        <v>0</v>
      </c>
      <c r="R209" s="307">
        <f t="shared" si="55"/>
        <v>0</v>
      </c>
      <c r="S209" s="307">
        <f t="shared" si="56"/>
        <v>0</v>
      </c>
      <c r="T209" s="307">
        <f t="shared" si="57"/>
        <v>0</v>
      </c>
      <c r="U209" s="307">
        <f t="shared" si="58"/>
        <v>0</v>
      </c>
      <c r="V209" s="436">
        <f t="shared" si="59"/>
        <v>0</v>
      </c>
      <c r="W209" s="912"/>
    </row>
    <row r="210" spans="1:23" hidden="1">
      <c r="C210" s="1563" t="s">
        <v>1042</v>
      </c>
      <c r="D210" s="1552"/>
      <c r="E210" s="1552"/>
      <c r="F210" s="1552"/>
      <c r="G210" s="1552"/>
      <c r="H210" s="1552"/>
      <c r="I210" s="1536">
        <v>0</v>
      </c>
      <c r="J210" s="1536">
        <v>0</v>
      </c>
      <c r="K210" s="945">
        <v>0</v>
      </c>
      <c r="L210" s="945">
        <v>0</v>
      </c>
      <c r="M210" s="1537"/>
      <c r="N210" s="1539"/>
      <c r="O210" s="1539"/>
      <c r="P210" s="1540">
        <f t="shared" si="53"/>
        <v>0</v>
      </c>
      <c r="Q210" s="307">
        <f t="shared" si="54"/>
        <v>0</v>
      </c>
      <c r="R210" s="307">
        <f t="shared" si="55"/>
        <v>0</v>
      </c>
      <c r="S210" s="307">
        <f t="shared" si="56"/>
        <v>0</v>
      </c>
      <c r="T210" s="307">
        <f t="shared" si="57"/>
        <v>0</v>
      </c>
      <c r="U210" s="307">
        <f t="shared" si="58"/>
        <v>0</v>
      </c>
      <c r="V210" s="436">
        <f t="shared" si="59"/>
        <v>0</v>
      </c>
      <c r="W210" s="912"/>
    </row>
    <row r="211" spans="1:23" hidden="1">
      <c r="C211" s="1563" t="s">
        <v>940</v>
      </c>
      <c r="D211" s="1552"/>
      <c r="E211" s="1552"/>
      <c r="F211" s="1552"/>
      <c r="G211" s="1552"/>
      <c r="H211" s="1552"/>
      <c r="I211" s="1536">
        <v>0</v>
      </c>
      <c r="J211" s="1536">
        <v>0</v>
      </c>
      <c r="K211" s="945">
        <v>0</v>
      </c>
      <c r="L211" s="945">
        <v>0</v>
      </c>
      <c r="M211" s="1537"/>
      <c r="N211" s="1539"/>
      <c r="O211" s="1539"/>
      <c r="P211" s="1540">
        <f t="shared" si="53"/>
        <v>0</v>
      </c>
      <c r="Q211" s="307">
        <f t="shared" si="54"/>
        <v>0</v>
      </c>
      <c r="R211" s="307">
        <f t="shared" si="55"/>
        <v>0</v>
      </c>
      <c r="S211" s="307">
        <f t="shared" si="56"/>
        <v>0</v>
      </c>
      <c r="T211" s="307">
        <f t="shared" si="57"/>
        <v>0</v>
      </c>
      <c r="U211" s="307">
        <f t="shared" si="58"/>
        <v>0</v>
      </c>
      <c r="V211" s="436">
        <f t="shared" si="59"/>
        <v>0</v>
      </c>
      <c r="W211" s="912"/>
    </row>
    <row r="212" spans="1:23" hidden="1">
      <c r="C212" s="1563" t="s">
        <v>1043</v>
      </c>
      <c r="D212" s="1541"/>
      <c r="E212" s="1541"/>
      <c r="F212" s="1541"/>
      <c r="G212" s="1541"/>
      <c r="H212" s="1541"/>
      <c r="I212" s="1536">
        <v>6209.8840229999996</v>
      </c>
      <c r="J212" s="1536">
        <v>0</v>
      </c>
      <c r="K212" s="945">
        <v>0</v>
      </c>
      <c r="L212" s="945">
        <v>0</v>
      </c>
      <c r="M212" s="1537"/>
      <c r="N212" s="1539"/>
      <c r="O212" s="1539"/>
      <c r="P212" s="1540">
        <f t="shared" si="53"/>
        <v>0</v>
      </c>
      <c r="Q212" s="307">
        <f t="shared" si="54"/>
        <v>0</v>
      </c>
      <c r="R212" s="307">
        <f t="shared" si="55"/>
        <v>0</v>
      </c>
      <c r="S212" s="307">
        <f t="shared" si="56"/>
        <v>0</v>
      </c>
      <c r="T212" s="307">
        <f t="shared" si="57"/>
        <v>0</v>
      </c>
      <c r="U212" s="307">
        <f t="shared" si="58"/>
        <v>0</v>
      </c>
      <c r="V212" s="436">
        <f t="shared" si="59"/>
        <v>0</v>
      </c>
      <c r="W212" s="912"/>
    </row>
    <row r="213" spans="1:23" hidden="1">
      <c r="C213" s="1563" t="s">
        <v>939</v>
      </c>
      <c r="D213" s="1541"/>
      <c r="E213" s="1541"/>
      <c r="F213" s="1541"/>
      <c r="G213" s="1541"/>
      <c r="H213" s="1541"/>
      <c r="I213" s="1536">
        <v>0</v>
      </c>
      <c r="J213" s="1536">
        <v>106.72996194140001</v>
      </c>
      <c r="K213" s="945">
        <v>0</v>
      </c>
      <c r="L213" s="945">
        <v>109.30353465596001</v>
      </c>
      <c r="M213" s="1537"/>
      <c r="N213" s="1539"/>
      <c r="O213" s="1539"/>
      <c r="P213" s="1540">
        <f t="shared" si="53"/>
        <v>109.30353465596001</v>
      </c>
      <c r="Q213" s="307">
        <f t="shared" si="54"/>
        <v>0</v>
      </c>
      <c r="R213" s="307">
        <f t="shared" si="55"/>
        <v>0</v>
      </c>
      <c r="S213" s="307">
        <f t="shared" si="56"/>
        <v>0</v>
      </c>
      <c r="T213" s="307">
        <f t="shared" si="57"/>
        <v>0</v>
      </c>
      <c r="U213" s="307">
        <f t="shared" si="58"/>
        <v>10.241129357468807</v>
      </c>
      <c r="V213" s="436">
        <f t="shared" si="59"/>
        <v>10.241129357468807</v>
      </c>
      <c r="W213" s="912"/>
    </row>
    <row r="214" spans="1:23" hidden="1">
      <c r="C214" s="1563" t="s">
        <v>941</v>
      </c>
      <c r="D214" s="1541"/>
      <c r="E214" s="1541"/>
      <c r="F214" s="1541"/>
      <c r="G214" s="1541"/>
      <c r="H214" s="1541"/>
      <c r="I214" s="1536"/>
      <c r="J214" s="1536">
        <v>0</v>
      </c>
      <c r="K214" s="945">
        <v>0</v>
      </c>
      <c r="L214" s="945">
        <v>0</v>
      </c>
      <c r="M214" s="1537"/>
      <c r="N214" s="1539"/>
      <c r="O214" s="1539"/>
      <c r="P214" s="1540">
        <f t="shared" si="53"/>
        <v>0</v>
      </c>
      <c r="Q214" s="307">
        <f t="shared" si="54"/>
        <v>0</v>
      </c>
      <c r="R214" s="307">
        <f t="shared" si="55"/>
        <v>0</v>
      </c>
      <c r="S214" s="307">
        <f t="shared" si="56"/>
        <v>0</v>
      </c>
      <c r="T214" s="307">
        <f t="shared" si="57"/>
        <v>0</v>
      </c>
      <c r="U214" s="307">
        <f t="shared" si="58"/>
        <v>0</v>
      </c>
      <c r="V214" s="436">
        <f t="shared" si="59"/>
        <v>0</v>
      </c>
      <c r="W214" s="912"/>
    </row>
    <row r="215" spans="1:23" hidden="1">
      <c r="C215" s="1563" t="s">
        <v>1044</v>
      </c>
      <c r="D215" s="1541"/>
      <c r="E215" s="1541"/>
      <c r="F215" s="1541"/>
      <c r="G215" s="1541"/>
      <c r="H215" s="1541"/>
      <c r="I215" s="1536"/>
      <c r="J215" s="1536">
        <v>0</v>
      </c>
      <c r="K215" s="945">
        <v>0.83322196226</v>
      </c>
      <c r="L215" s="945">
        <v>4.8893300000000001E-2</v>
      </c>
      <c r="M215" s="1537"/>
      <c r="N215" s="1539"/>
      <c r="O215" s="1539"/>
      <c r="P215" s="1540">
        <f t="shared" si="53"/>
        <v>0.88211526226000003</v>
      </c>
      <c r="Q215" s="307">
        <f t="shared" si="54"/>
        <v>0</v>
      </c>
      <c r="R215" s="307">
        <f t="shared" si="55"/>
        <v>0</v>
      </c>
      <c r="S215" s="307">
        <f t="shared" si="56"/>
        <v>0</v>
      </c>
      <c r="T215" s="307">
        <f t="shared" si="57"/>
        <v>0</v>
      </c>
      <c r="U215" s="307">
        <f t="shared" si="58"/>
        <v>0</v>
      </c>
      <c r="V215" s="436">
        <f t="shared" si="59"/>
        <v>0</v>
      </c>
      <c r="W215" s="912"/>
    </row>
    <row r="216" spans="1:23" hidden="1">
      <c r="C216" s="1563" t="s">
        <v>942</v>
      </c>
      <c r="D216" s="1541"/>
      <c r="E216" s="1541"/>
      <c r="F216" s="1541"/>
      <c r="G216" s="1541"/>
      <c r="H216" s="1541"/>
      <c r="I216" s="1536"/>
      <c r="J216" s="1536">
        <v>0</v>
      </c>
      <c r="K216" s="945">
        <v>0</v>
      </c>
      <c r="L216" s="945">
        <v>0</v>
      </c>
      <c r="M216" s="1537"/>
      <c r="N216" s="1539"/>
      <c r="O216" s="1539"/>
      <c r="P216" s="1540">
        <f t="shared" si="53"/>
        <v>0</v>
      </c>
      <c r="Q216" s="307">
        <f t="shared" si="54"/>
        <v>0</v>
      </c>
      <c r="R216" s="307">
        <f t="shared" si="55"/>
        <v>0</v>
      </c>
      <c r="S216" s="307">
        <f t="shared" si="56"/>
        <v>0</v>
      </c>
      <c r="T216" s="307">
        <f t="shared" si="57"/>
        <v>0</v>
      </c>
      <c r="U216" s="307">
        <f t="shared" si="58"/>
        <v>0</v>
      </c>
      <c r="V216" s="436">
        <f t="shared" si="59"/>
        <v>0</v>
      </c>
      <c r="W216" s="912"/>
    </row>
    <row r="217" spans="1:23" hidden="1">
      <c r="C217" s="1563" t="s">
        <v>1045</v>
      </c>
      <c r="D217" s="1541"/>
      <c r="E217" s="1541"/>
      <c r="F217" s="1541"/>
      <c r="G217" s="1541"/>
      <c r="H217" s="1541"/>
      <c r="I217" s="1536"/>
      <c r="J217" s="1536">
        <v>0</v>
      </c>
      <c r="K217" s="945">
        <v>0</v>
      </c>
      <c r="L217" s="945">
        <v>3.7029424638999999</v>
      </c>
      <c r="M217" s="1537"/>
      <c r="N217" s="1539"/>
      <c r="O217" s="1539"/>
      <c r="P217" s="1540">
        <f t="shared" si="53"/>
        <v>3.7029424638999999</v>
      </c>
      <c r="Q217" s="307">
        <f t="shared" si="54"/>
        <v>0</v>
      </c>
      <c r="R217" s="307">
        <f t="shared" si="55"/>
        <v>0</v>
      </c>
      <c r="S217" s="307">
        <f t="shared" si="56"/>
        <v>0</v>
      </c>
      <c r="T217" s="307">
        <f t="shared" si="57"/>
        <v>0</v>
      </c>
      <c r="U217" s="307">
        <f t="shared" si="58"/>
        <v>0</v>
      </c>
      <c r="V217" s="436">
        <f t="shared" si="59"/>
        <v>0</v>
      </c>
      <c r="W217" s="912"/>
    </row>
    <row r="218" spans="1:23" hidden="1">
      <c r="A218" s="889">
        <v>10008</v>
      </c>
      <c r="C218" s="1563" t="s">
        <v>1046</v>
      </c>
      <c r="D218" s="1541"/>
      <c r="E218" s="1541"/>
      <c r="F218" s="1541"/>
      <c r="G218" s="1541"/>
      <c r="H218" s="1541"/>
      <c r="I218" s="1536"/>
      <c r="J218" s="1536">
        <v>4.0706643839999996</v>
      </c>
      <c r="K218" s="945">
        <v>0</v>
      </c>
      <c r="L218" s="945">
        <v>3.5821846579200001</v>
      </c>
      <c r="M218" s="1537"/>
      <c r="N218" s="1539"/>
      <c r="O218" s="1539"/>
      <c r="P218" s="1540">
        <f t="shared" si="53"/>
        <v>3.5821846579200001</v>
      </c>
      <c r="Q218" s="307">
        <f t="shared" si="54"/>
        <v>0</v>
      </c>
      <c r="R218" s="307">
        <f t="shared" si="55"/>
        <v>0</v>
      </c>
      <c r="S218" s="307">
        <f t="shared" si="56"/>
        <v>0</v>
      </c>
      <c r="T218" s="307">
        <f t="shared" si="57"/>
        <v>0</v>
      </c>
      <c r="U218" s="307">
        <f t="shared" si="58"/>
        <v>8.8000000000000007</v>
      </c>
      <c r="V218" s="436">
        <f t="shared" si="59"/>
        <v>8.8000000000000007</v>
      </c>
      <c r="W218" s="912"/>
    </row>
    <row r="219" spans="1:23" hidden="1">
      <c r="C219" s="1563" t="s">
        <v>1047</v>
      </c>
      <c r="D219" s="1541"/>
      <c r="E219" s="1541"/>
      <c r="F219" s="1541"/>
      <c r="G219" s="1541"/>
      <c r="H219" s="1541"/>
      <c r="I219" s="1536"/>
      <c r="J219" s="1536">
        <v>0</v>
      </c>
      <c r="K219" s="945">
        <v>0</v>
      </c>
      <c r="L219" s="945">
        <v>3.3199381667599996</v>
      </c>
      <c r="M219" s="1537"/>
      <c r="N219" s="1539"/>
      <c r="O219" s="1539"/>
      <c r="P219" s="1540">
        <f t="shared" si="53"/>
        <v>3.3199381667599996</v>
      </c>
      <c r="Q219" s="307">
        <f t="shared" si="54"/>
        <v>0</v>
      </c>
      <c r="R219" s="307">
        <f t="shared" si="55"/>
        <v>0</v>
      </c>
      <c r="S219" s="307">
        <f t="shared" si="56"/>
        <v>0</v>
      </c>
      <c r="T219" s="307">
        <f t="shared" si="57"/>
        <v>0</v>
      </c>
      <c r="U219" s="307">
        <f t="shared" si="58"/>
        <v>0</v>
      </c>
      <c r="V219" s="436">
        <f t="shared" si="59"/>
        <v>0</v>
      </c>
      <c r="W219" s="912"/>
    </row>
    <row r="220" spans="1:23" hidden="1">
      <c r="C220" s="1563" t="s">
        <v>1048</v>
      </c>
      <c r="D220" s="1541"/>
      <c r="E220" s="1541"/>
      <c r="F220" s="1541"/>
      <c r="G220" s="1541"/>
      <c r="H220" s="1541"/>
      <c r="I220" s="1536"/>
      <c r="J220" s="1536">
        <v>0</v>
      </c>
      <c r="K220" s="945">
        <v>5.3037245177200001</v>
      </c>
      <c r="L220" s="945">
        <v>0</v>
      </c>
      <c r="M220" s="1537"/>
      <c r="N220" s="1539"/>
      <c r="O220" s="1539"/>
      <c r="P220" s="1540">
        <f t="shared" si="53"/>
        <v>5.3037245177200001</v>
      </c>
      <c r="Q220" s="307">
        <f t="shared" si="54"/>
        <v>0</v>
      </c>
      <c r="R220" s="307">
        <f t="shared" si="55"/>
        <v>0</v>
      </c>
      <c r="S220" s="307">
        <f t="shared" si="56"/>
        <v>0</v>
      </c>
      <c r="T220" s="307">
        <f t="shared" si="57"/>
        <v>0</v>
      </c>
      <c r="U220" s="307">
        <f t="shared" si="58"/>
        <v>0</v>
      </c>
      <c r="V220" s="436">
        <f t="shared" si="59"/>
        <v>0</v>
      </c>
      <c r="W220" s="912"/>
    </row>
    <row r="221" spans="1:23" hidden="1">
      <c r="C221" s="1563" t="s">
        <v>1049</v>
      </c>
      <c r="D221" s="1541"/>
      <c r="E221" s="1541"/>
      <c r="F221" s="1541"/>
      <c r="G221" s="1541"/>
      <c r="H221" s="1541"/>
      <c r="I221" s="1536"/>
      <c r="J221" s="1536">
        <v>176.74056079999997</v>
      </c>
      <c r="K221" s="945">
        <v>0</v>
      </c>
      <c r="L221" s="945">
        <v>86.86620868</v>
      </c>
      <c r="M221" s="1537"/>
      <c r="N221" s="1539"/>
      <c r="O221" s="1539"/>
      <c r="P221" s="1540">
        <f t="shared" si="53"/>
        <v>86.86620868</v>
      </c>
      <c r="Q221" s="307">
        <f t="shared" si="54"/>
        <v>0</v>
      </c>
      <c r="R221" s="307">
        <f t="shared" si="55"/>
        <v>0</v>
      </c>
      <c r="S221" s="307">
        <f t="shared" si="56"/>
        <v>0</v>
      </c>
      <c r="T221" s="307">
        <f t="shared" si="57"/>
        <v>0</v>
      </c>
      <c r="U221" s="307">
        <f t="shared" si="58"/>
        <v>4.9148994597962155</v>
      </c>
      <c r="V221" s="436">
        <f t="shared" si="59"/>
        <v>4.9148994597962155</v>
      </c>
      <c r="W221" s="908"/>
    </row>
    <row r="222" spans="1:23" hidden="1">
      <c r="C222" s="1563" t="s">
        <v>666</v>
      </c>
      <c r="D222" s="1541"/>
      <c r="E222" s="1541"/>
      <c r="F222" s="1541"/>
      <c r="G222" s="1541"/>
      <c r="H222" s="1541"/>
      <c r="I222" s="1536"/>
      <c r="J222" s="1536">
        <v>5214.2938154259427</v>
      </c>
      <c r="K222" s="945">
        <v>0</v>
      </c>
      <c r="L222" s="945">
        <v>2633.8976946236626</v>
      </c>
      <c r="M222" s="1537"/>
      <c r="N222" s="1539"/>
      <c r="O222" s="1539"/>
      <c r="P222" s="1540">
        <f t="shared" si="53"/>
        <v>2633.8976946236626</v>
      </c>
      <c r="Q222" s="307">
        <f t="shared" si="54"/>
        <v>0</v>
      </c>
      <c r="R222" s="307">
        <f t="shared" si="55"/>
        <v>0</v>
      </c>
      <c r="S222" s="307">
        <f t="shared" si="56"/>
        <v>0</v>
      </c>
      <c r="T222" s="307">
        <f t="shared" si="57"/>
        <v>0</v>
      </c>
      <c r="U222" s="307">
        <f t="shared" si="58"/>
        <v>5.0513027993005535</v>
      </c>
      <c r="V222" s="436">
        <f t="shared" si="59"/>
        <v>5.0513027993005535</v>
      </c>
      <c r="W222" s="912"/>
    </row>
    <row r="223" spans="1:23" hidden="1">
      <c r="A223" s="889">
        <v>10015</v>
      </c>
      <c r="C223" s="1563" t="s">
        <v>1050</v>
      </c>
      <c r="D223" s="1541"/>
      <c r="E223" s="1541"/>
      <c r="F223" s="1541"/>
      <c r="G223" s="1541"/>
      <c r="H223" s="1541"/>
      <c r="I223" s="1536">
        <v>0</v>
      </c>
      <c r="J223" s="1536">
        <v>-643.42082800000003</v>
      </c>
      <c r="K223" s="945">
        <v>0</v>
      </c>
      <c r="L223" s="945">
        <v>-307.89210159999999</v>
      </c>
      <c r="M223" s="1537"/>
      <c r="N223" s="1539"/>
      <c r="O223" s="1539"/>
      <c r="P223" s="1540">
        <f t="shared" si="53"/>
        <v>-307.89210159999999</v>
      </c>
      <c r="Q223" s="307">
        <f t="shared" si="54"/>
        <v>0</v>
      </c>
      <c r="R223" s="307">
        <f t="shared" si="55"/>
        <v>0</v>
      </c>
      <c r="S223" s="307">
        <f t="shared" si="56"/>
        <v>0</v>
      </c>
      <c r="T223" s="307">
        <f t="shared" si="57"/>
        <v>0</v>
      </c>
      <c r="U223" s="307">
        <f t="shared" si="58"/>
        <v>4.785236787516614</v>
      </c>
      <c r="V223" s="436">
        <f t="shared" si="59"/>
        <v>4.785236787516614</v>
      </c>
      <c r="W223" s="912"/>
    </row>
    <row r="224" spans="1:23" hidden="1">
      <c r="A224" s="889">
        <v>10016</v>
      </c>
      <c r="C224" s="1530" t="s">
        <v>252</v>
      </c>
      <c r="D224" s="1531"/>
      <c r="E224" s="1531"/>
      <c r="F224" s="1531"/>
      <c r="G224" s="1531"/>
      <c r="H224" s="1531"/>
      <c r="I224" s="1542">
        <f>SUM(I197:I223)</f>
        <v>6209.8840229999996</v>
      </c>
      <c r="J224" s="1542">
        <f t="shared" ref="J224:P224" si="60">SUM(J197:J223)</f>
        <v>7797.383319896142</v>
      </c>
      <c r="K224" s="1542">
        <f t="shared" si="60"/>
        <v>6.1369464799799998</v>
      </c>
      <c r="L224" s="1542">
        <f t="shared" si="60"/>
        <v>4807.9575267615419</v>
      </c>
      <c r="M224" s="1542">
        <f t="shared" si="60"/>
        <v>0</v>
      </c>
      <c r="N224" s="1542">
        <f t="shared" si="60"/>
        <v>0</v>
      </c>
      <c r="O224" s="1542">
        <f t="shared" si="60"/>
        <v>0</v>
      </c>
      <c r="P224" s="1542">
        <f t="shared" si="60"/>
        <v>4814.0944732415228</v>
      </c>
      <c r="Q224" s="307">
        <f t="shared" si="54"/>
        <v>7.8705204402619282E-3</v>
      </c>
      <c r="R224" s="307">
        <f t="shared" si="55"/>
        <v>0</v>
      </c>
      <c r="S224" s="307">
        <f t="shared" si="56"/>
        <v>0</v>
      </c>
      <c r="T224" s="307">
        <f t="shared" si="57"/>
        <v>0</v>
      </c>
      <c r="U224" s="307">
        <f t="shared" si="58"/>
        <v>6.1661166695413687</v>
      </c>
      <c r="V224" s="436">
        <f t="shared" si="59"/>
        <v>6.1739871899816308</v>
      </c>
      <c r="W224" s="912"/>
    </row>
    <row r="225" spans="1:28" hidden="1">
      <c r="C225" s="1543" t="s">
        <v>1051</v>
      </c>
      <c r="D225" s="101"/>
      <c r="E225" s="101"/>
      <c r="F225" s="101"/>
      <c r="G225" s="101"/>
      <c r="H225" s="101"/>
      <c r="I225" s="1536"/>
      <c r="J225" s="1536">
        <v>10.3346946152</v>
      </c>
      <c r="K225" s="945">
        <v>0</v>
      </c>
      <c r="L225" s="945">
        <v>7.8233638000000001</v>
      </c>
      <c r="M225" s="1537"/>
      <c r="N225" s="1544"/>
      <c r="O225" s="1539"/>
      <c r="P225" s="1540">
        <f t="shared" ref="P225" si="61">SUM(K225:O225)</f>
        <v>7.8233638000000001</v>
      </c>
      <c r="Q225" s="307">
        <f t="shared" si="54"/>
        <v>0</v>
      </c>
      <c r="R225" s="307">
        <f t="shared" si="55"/>
        <v>0</v>
      </c>
      <c r="S225" s="307">
        <f t="shared" si="56"/>
        <v>0</v>
      </c>
      <c r="T225" s="307">
        <f t="shared" si="57"/>
        <v>0</v>
      </c>
      <c r="U225" s="307">
        <f t="shared" si="58"/>
        <v>7.5699999770613449</v>
      </c>
      <c r="V225" s="436">
        <f t="shared" si="59"/>
        <v>7.5699999770613449</v>
      </c>
      <c r="W225" s="912"/>
    </row>
    <row r="226" spans="1:28" ht="13.5" hidden="1" thickBot="1">
      <c r="C226" s="1564" t="s">
        <v>382</v>
      </c>
      <c r="D226" s="1565"/>
      <c r="E226" s="1565"/>
      <c r="F226" s="1565"/>
      <c r="G226" s="1565"/>
      <c r="H226" s="1565"/>
      <c r="I226" s="1566">
        <f>I41+I102+I113+I180+I194+I224+I225</f>
        <v>22068.16563269807</v>
      </c>
      <c r="J226" s="1566">
        <f>J41+J102+J113+J180+J194+J224+J225</f>
        <v>27722.883851566738</v>
      </c>
      <c r="K226" s="1566">
        <f t="shared" ref="K226:L226" si="62">K41+K102+K113+K180+K194+K224+K225</f>
        <v>2974.7229775542733</v>
      </c>
      <c r="L226" s="1566">
        <f t="shared" si="62"/>
        <v>11928.567188393527</v>
      </c>
      <c r="M226" s="1566">
        <f t="shared" ref="M226" si="63">M41+M102+M113+M180+M194+M224+M225</f>
        <v>0</v>
      </c>
      <c r="N226" s="1566">
        <f t="shared" ref="N226" si="64">N41+N102+N113+N180+N194+N224+N225</f>
        <v>0</v>
      </c>
      <c r="O226" s="1566">
        <f t="shared" ref="O226" si="65">O41+O102+O113+O180+O194+O224+O225</f>
        <v>0</v>
      </c>
      <c r="P226" s="1566">
        <f t="shared" ref="P226" si="66">P41+P102+P113+P180+P194+P224+P225</f>
        <v>14903.290165947801</v>
      </c>
      <c r="Q226" s="755">
        <f t="shared" si="54"/>
        <v>1.0730207555178857</v>
      </c>
      <c r="R226" s="755">
        <f t="shared" si="55"/>
        <v>0</v>
      </c>
      <c r="S226" s="755">
        <f t="shared" si="56"/>
        <v>0</v>
      </c>
      <c r="T226" s="755">
        <f t="shared" si="57"/>
        <v>0</v>
      </c>
      <c r="U226" s="755">
        <f t="shared" si="58"/>
        <v>4.3027872757614976</v>
      </c>
      <c r="V226" s="1567">
        <f t="shared" si="59"/>
        <v>5.3758080312793846</v>
      </c>
      <c r="W226" s="912"/>
    </row>
    <row r="227" spans="1:28" ht="12.75" hidden="1" customHeight="1">
      <c r="C227" s="1792" t="s">
        <v>545</v>
      </c>
      <c r="D227" s="1792"/>
      <c r="E227" s="1792"/>
      <c r="F227" s="1792"/>
      <c r="G227" s="1792"/>
      <c r="H227" s="1792"/>
      <c r="I227" s="1792"/>
      <c r="J227" s="1083"/>
      <c r="Q227" s="452"/>
      <c r="R227" s="452"/>
      <c r="S227" s="452"/>
      <c r="T227" s="452"/>
      <c r="U227" s="452"/>
      <c r="V227" s="452"/>
    </row>
    <row r="228" spans="1:28" ht="49.5" hidden="1" customHeight="1">
      <c r="C228" s="1793"/>
      <c r="D228" s="1793"/>
      <c r="E228" s="1793"/>
      <c r="F228" s="1793"/>
      <c r="G228" s="1793"/>
      <c r="H228" s="1793"/>
      <c r="I228" s="1793"/>
      <c r="J228" s="1083"/>
      <c r="Q228" s="452"/>
      <c r="R228" s="452"/>
      <c r="S228" s="452"/>
      <c r="T228" s="452"/>
      <c r="U228" s="452"/>
      <c r="V228" s="452"/>
    </row>
    <row r="229" spans="1:28" hidden="1">
      <c r="C229" s="1431"/>
      <c r="D229" s="1041"/>
      <c r="E229" s="1041"/>
      <c r="F229" s="907"/>
      <c r="G229" s="907"/>
      <c r="H229" s="907"/>
      <c r="I229" s="907"/>
      <c r="J229" s="1081"/>
      <c r="K229" s="1081"/>
      <c r="L229" s="1081"/>
      <c r="M229" s="1081"/>
      <c r="N229" s="1081"/>
      <c r="O229" s="1081"/>
      <c r="P229" s="1082"/>
      <c r="Q229" s="1081"/>
      <c r="R229" s="1081"/>
      <c r="S229" s="1081"/>
      <c r="T229" s="1081"/>
      <c r="U229" s="1081"/>
      <c r="V229" s="1082"/>
    </row>
    <row r="230" spans="1:28" hidden="1">
      <c r="C230" s="1431"/>
      <c r="D230" s="1041"/>
      <c r="E230" s="1041"/>
      <c r="F230" s="907"/>
      <c r="G230" s="1079"/>
      <c r="H230" s="1079"/>
      <c r="I230" s="1079"/>
      <c r="J230" s="1079"/>
      <c r="K230" s="1079"/>
      <c r="L230" s="1079"/>
      <c r="M230" s="1079"/>
      <c r="N230" s="1079"/>
      <c r="O230" s="1079"/>
      <c r="P230" s="1080"/>
      <c r="Q230" s="1079"/>
      <c r="R230" s="1079"/>
      <c r="S230" s="1079"/>
      <c r="T230" s="1079"/>
      <c r="U230" s="1079"/>
      <c r="V230" s="1080"/>
    </row>
    <row r="231" spans="1:28" ht="26.25" customHeight="1">
      <c r="C231" s="1429"/>
      <c r="D231" s="894"/>
      <c r="E231" s="894"/>
      <c r="F231" s="895"/>
      <c r="G231" s="1525"/>
      <c r="H231" s="1525"/>
      <c r="I231" s="1525"/>
      <c r="J231" s="1525"/>
      <c r="K231" s="1525"/>
      <c r="L231" s="1525"/>
      <c r="M231" s="1525"/>
      <c r="N231" s="1525"/>
      <c r="O231" s="1525"/>
      <c r="P231" s="1526"/>
      <c r="Q231" s="1525"/>
      <c r="R231" s="1525"/>
      <c r="S231" s="1525"/>
      <c r="T231" s="1525"/>
      <c r="U231" s="1525"/>
      <c r="V231" s="1526"/>
      <c r="W231" s="1527"/>
      <c r="X231" s="1527"/>
      <c r="Y231" s="1527"/>
      <c r="Z231" s="1527"/>
      <c r="AA231" s="1527"/>
      <c r="AB231" s="1527"/>
    </row>
    <row r="232" spans="1:28" ht="17.25" customHeight="1" thickBot="1">
      <c r="C232" s="1433" t="s">
        <v>1106</v>
      </c>
      <c r="D232" s="1434" t="s">
        <v>1152</v>
      </c>
      <c r="E232" s="1434"/>
      <c r="F232" s="895"/>
      <c r="G232" s="895"/>
      <c r="H232" s="895"/>
      <c r="I232" s="895"/>
      <c r="J232" s="895"/>
      <c r="N232" s="902"/>
    </row>
    <row r="233" spans="1:28" ht="31.5" customHeight="1">
      <c r="A233" s="890"/>
      <c r="B233" s="890"/>
      <c r="C233" s="1442" t="s">
        <v>92</v>
      </c>
      <c r="D233" s="1446" t="s">
        <v>93</v>
      </c>
      <c r="E233" s="1446" t="s">
        <v>368</v>
      </c>
      <c r="F233" s="1443" t="s">
        <v>222</v>
      </c>
      <c r="G233" s="1510" t="s">
        <v>225</v>
      </c>
      <c r="H233" s="1510" t="s">
        <v>225</v>
      </c>
      <c r="I233" s="1788" t="s">
        <v>250</v>
      </c>
      <c r="J233" s="1788"/>
      <c r="K233" s="1788" t="s">
        <v>91</v>
      </c>
      <c r="L233" s="1788"/>
      <c r="M233" s="1788"/>
      <c r="N233" s="1788"/>
      <c r="O233" s="1788"/>
      <c r="P233" s="1788"/>
      <c r="Q233" s="1788" t="s">
        <v>370</v>
      </c>
      <c r="R233" s="1788"/>
      <c r="S233" s="1788"/>
      <c r="T233" s="1788"/>
      <c r="U233" s="1788"/>
      <c r="V233" s="1447"/>
      <c r="W233" s="1787" t="s">
        <v>365</v>
      </c>
    </row>
    <row r="234" spans="1:28" s="890" customFormat="1" ht="21">
      <c r="C234" s="1444"/>
      <c r="D234" s="1437"/>
      <c r="E234" s="1437"/>
      <c r="F234" s="1445" t="s">
        <v>223</v>
      </c>
      <c r="G234" s="1509" t="s">
        <v>224</v>
      </c>
      <c r="H234" s="1509" t="s">
        <v>223</v>
      </c>
      <c r="I234" s="1509" t="s">
        <v>521</v>
      </c>
      <c r="J234" s="1509" t="s">
        <v>209</v>
      </c>
      <c r="K234" s="1509" t="s">
        <v>94</v>
      </c>
      <c r="L234" s="1509" t="s">
        <v>95</v>
      </c>
      <c r="M234" s="1509" t="s">
        <v>96</v>
      </c>
      <c r="N234" s="1509" t="s">
        <v>97</v>
      </c>
      <c r="O234" s="1509" t="s">
        <v>392</v>
      </c>
      <c r="P234" s="1509" t="s">
        <v>98</v>
      </c>
      <c r="Q234" s="1509" t="s">
        <v>94</v>
      </c>
      <c r="R234" s="1509" t="s">
        <v>262</v>
      </c>
      <c r="S234" s="1509" t="s">
        <v>97</v>
      </c>
      <c r="T234" s="1509" t="s">
        <v>392</v>
      </c>
      <c r="U234" s="1509" t="s">
        <v>95</v>
      </c>
      <c r="V234" s="1448" t="s">
        <v>98</v>
      </c>
      <c r="W234" s="1787"/>
    </row>
    <row r="235" spans="1:28" s="890" customFormat="1" ht="13.5" customHeight="1">
      <c r="C235" s="1600" t="s">
        <v>785</v>
      </c>
      <c r="D235" s="903"/>
      <c r="E235" s="903"/>
      <c r="F235" s="379"/>
      <c r="G235" s="379"/>
      <c r="H235" s="379"/>
      <c r="I235" s="379"/>
      <c r="J235" s="379"/>
      <c r="K235" s="379"/>
      <c r="L235" s="379"/>
      <c r="M235" s="379"/>
      <c r="N235" s="379"/>
      <c r="O235" s="379"/>
      <c r="P235" s="379"/>
      <c r="Q235" s="379"/>
      <c r="R235" s="379"/>
      <c r="S235" s="379"/>
      <c r="T235" s="379"/>
      <c r="U235" s="379"/>
      <c r="V235" s="1637"/>
      <c r="W235" s="909"/>
    </row>
    <row r="236" spans="1:28" ht="14.25" customHeight="1">
      <c r="B236" s="910"/>
      <c r="C236" s="1451" t="s">
        <v>786</v>
      </c>
      <c r="D236" s="433"/>
      <c r="E236" s="433"/>
      <c r="F236" s="1570">
        <f>VLOOKUP($C236,'[1]Form 1.4'!$C$8:$V$64,2,0)</f>
        <v>1260</v>
      </c>
      <c r="G236" s="1571">
        <f>VLOOKUP($C236,'[1]Form 1.4'!$C$8:$V$64,3,0)</f>
        <v>1</v>
      </c>
      <c r="H236" s="1572">
        <f>VLOOKUP($C236,'[1]Form 1.4'!$C$8:$V$64,4,0)</f>
        <v>1260</v>
      </c>
      <c r="I236" s="1572">
        <f>VLOOKUP($C236,'[1]Form 1.4'!$C$8:$V$64,7,0)</f>
        <v>3031.5537947672401</v>
      </c>
      <c r="J236" s="1572">
        <f>VLOOKUP($C236,'[1]Form 1.4'!$C$8:$V$64,8,0)</f>
        <v>2930.3876729523445</v>
      </c>
      <c r="K236" s="1572">
        <f>VLOOKUP($C236,'[1]Form 1.4'!$C$8:$V$64,9,0)</f>
        <v>354.30434277956135</v>
      </c>
      <c r="L236" s="1572">
        <f>VLOOKUP($C236,'[1]Form 1.4'!$C$8:$V$64,10,0)</f>
        <v>1156.2570940965511</v>
      </c>
      <c r="M236" s="1572">
        <f>VLOOKUP($C236,'[1]Form 1.4'!$C$8:$V$64,11,0)</f>
        <v>0</v>
      </c>
      <c r="N236" s="1572">
        <f>VLOOKUP($C236,'[1]Form 1.4'!$C$8:$V$64,12,0)</f>
        <v>0</v>
      </c>
      <c r="O236" s="1572">
        <f>VLOOKUP($C236,'[1]Form 1.4'!$C$8:$V$64,13,0)</f>
        <v>0</v>
      </c>
      <c r="P236" s="1573">
        <f>SUM(K236:O236)</f>
        <v>1510.5614368761126</v>
      </c>
      <c r="Q236" s="1573">
        <f>IFERROR(K236/J236*10,0)</f>
        <v>1.209069864884472</v>
      </c>
      <c r="R236" s="1573">
        <f>IFERROR(M236/J236*10,0)</f>
        <v>0</v>
      </c>
      <c r="S236" s="1573">
        <f>IFERROR(N236/J236*10,0)</f>
        <v>0</v>
      </c>
      <c r="T236" s="1573">
        <f>IFERROR(O236/J236*10,0)</f>
        <v>0</v>
      </c>
      <c r="U236" s="1573">
        <f>IFERROR(L236/J236*10,0)</f>
        <v>3.9457478775551582</v>
      </c>
      <c r="V236" s="1626">
        <f t="shared" ref="V236" si="67">IF(J236=0,0,P236/J236*10)</f>
        <v>5.1548177424396302</v>
      </c>
      <c r="W236" s="911"/>
    </row>
    <row r="237" spans="1:28" ht="14.25" customHeight="1">
      <c r="B237" s="1524"/>
      <c r="C237" s="1451" t="s">
        <v>787</v>
      </c>
      <c r="D237" s="913"/>
      <c r="E237" s="913"/>
      <c r="F237" s="1570">
        <f>VLOOKUP($C237,'[1]Form 1.4'!$C$8:$V$64,2,0)</f>
        <v>500</v>
      </c>
      <c r="G237" s="1571">
        <f>VLOOKUP($C237,'[1]Form 1.4'!$C$8:$V$64,3,0)</f>
        <v>1</v>
      </c>
      <c r="H237" s="1572">
        <f>VLOOKUP($C237,'[1]Form 1.4'!$C$8:$V$64,4,0)</f>
        <v>500</v>
      </c>
      <c r="I237" s="1572">
        <f>VLOOKUP($C237,'[1]Form 1.4'!$C$8:$V$64,7,0)</f>
        <v>1168.7982024500498</v>
      </c>
      <c r="J237" s="1572">
        <f>VLOOKUP($C237,'[1]Form 1.4'!$C$8:$V$64,8,0)</f>
        <v>1117.7684601085109</v>
      </c>
      <c r="K237" s="1572">
        <f>VLOOKUP($C237,'[1]Form 1.4'!$C$8:$V$64,9,0)</f>
        <v>110.9016471155424</v>
      </c>
      <c r="L237" s="1572">
        <f>VLOOKUP($C237,'[1]Form 1.4'!$C$8:$V$64,10,0)</f>
        <v>417.27342635690502</v>
      </c>
      <c r="M237" s="1572">
        <f>VLOOKUP($C237,'[1]Form 1.4'!$C$8:$V$64,11,0)</f>
        <v>0</v>
      </c>
      <c r="N237" s="1572">
        <f>VLOOKUP($C237,'[1]Form 1.4'!$C$8:$V$64,12,0)</f>
        <v>0</v>
      </c>
      <c r="O237" s="1572">
        <f>VLOOKUP($C237,'[1]Form 1.4'!$C$8:$V$64,13,0)</f>
        <v>0</v>
      </c>
      <c r="P237" s="1573">
        <f t="shared" ref="P237:P242" si="68">SUM(K237:O237)</f>
        <v>528.17507347244737</v>
      </c>
      <c r="Q237" s="1573">
        <f t="shared" ref="Q237:Q294" si="69">IFERROR(K237/J237*10,0)</f>
        <v>0.99217012354040013</v>
      </c>
      <c r="R237" s="1573">
        <f t="shared" ref="R237:R293" si="70">IFERROR(M237/J237*10,0)</f>
        <v>0</v>
      </c>
      <c r="S237" s="1573">
        <f t="shared" ref="S237:S293" si="71">IFERROR(N237/J237*10,0)</f>
        <v>0</v>
      </c>
      <c r="T237" s="1573">
        <f t="shared" ref="T237:T293" si="72">IFERROR(O237/J237*10,0)</f>
        <v>0</v>
      </c>
      <c r="U237" s="1573">
        <f t="shared" ref="U237:U293" si="73">IFERROR(L237/J237*10,0)</f>
        <v>3.7330935810838399</v>
      </c>
      <c r="V237" s="1626">
        <f t="shared" ref="V237:V293" si="74">IF(J237=0,0,P237/J237*10)</f>
        <v>4.7252637046242398</v>
      </c>
      <c r="W237" s="912"/>
    </row>
    <row r="238" spans="1:28" ht="14.25" customHeight="1">
      <c r="B238" s="1524"/>
      <c r="C238" s="1451" t="s">
        <v>1117</v>
      </c>
      <c r="D238" s="913"/>
      <c r="E238" s="913"/>
      <c r="F238" s="1570">
        <f>VLOOKUP($C238,'[1]Form 1.4'!$C$8:$V$64,2,0)</f>
        <v>800</v>
      </c>
      <c r="G238" s="1571">
        <f>VLOOKUP($C238,'[1]Form 1.4'!$C$8:$V$64,3,0)</f>
        <v>1</v>
      </c>
      <c r="H238" s="1572">
        <f>VLOOKUP($C238,'[1]Form 1.4'!$C$8:$V$64,4,0)</f>
        <v>800</v>
      </c>
      <c r="I238" s="1572">
        <f>VLOOKUP($C238,'[1]Form 1.4'!$C$8:$V$64,7,0)</f>
        <v>478.25594073571892</v>
      </c>
      <c r="J238" s="1572">
        <f>VLOOKUP($C238,'[1]Form 1.4'!$C$8:$V$64,8,0)</f>
        <v>478.25594073571892</v>
      </c>
      <c r="K238" s="1572">
        <f>VLOOKUP($C238,'[1]Form 1.4'!$C$8:$V$64,9,0)</f>
        <v>170.64013059835898</v>
      </c>
      <c r="L238" s="1572">
        <f>VLOOKUP($C238,'[1]Form 1.4'!$C$8:$V$64,10,0)</f>
        <v>154.66797123393152</v>
      </c>
      <c r="M238" s="1572">
        <f>VLOOKUP($C238,'[1]Form 1.4'!$C$8:$V$64,11,0)</f>
        <v>0</v>
      </c>
      <c r="N238" s="1572">
        <f>VLOOKUP($C238,'[1]Form 1.4'!$C$8:$V$64,12,0)</f>
        <v>0</v>
      </c>
      <c r="O238" s="1572">
        <f>VLOOKUP($C238,'[1]Form 1.4'!$C$8:$V$64,13,0)</f>
        <v>0</v>
      </c>
      <c r="P238" s="1573">
        <f t="shared" si="68"/>
        <v>325.3081018322905</v>
      </c>
      <c r="Q238" s="1573">
        <f t="shared" si="69"/>
        <v>3.5679667739381742</v>
      </c>
      <c r="R238" s="1573">
        <f t="shared" si="70"/>
        <v>0</v>
      </c>
      <c r="S238" s="1573">
        <f t="shared" si="71"/>
        <v>0</v>
      </c>
      <c r="T238" s="1573">
        <f t="shared" si="72"/>
        <v>0</v>
      </c>
      <c r="U238" s="1573">
        <f t="shared" si="73"/>
        <v>3.2340000000000009</v>
      </c>
      <c r="V238" s="1626">
        <f t="shared" si="74"/>
        <v>6.8019667739381751</v>
      </c>
      <c r="W238" s="912"/>
    </row>
    <row r="239" spans="1:28" ht="14.25" customHeight="1">
      <c r="B239" s="1524"/>
      <c r="C239" s="1451" t="s">
        <v>677</v>
      </c>
      <c r="D239" s="913"/>
      <c r="E239" s="913"/>
      <c r="F239" s="1570">
        <f>VLOOKUP($C239,'[1]Form 1.4'!$C$8:$V$64,2,0)</f>
        <v>420</v>
      </c>
      <c r="G239" s="1571">
        <f>VLOOKUP($C239,'[1]Form 1.4'!$C$8:$V$64,3,0)</f>
        <v>1</v>
      </c>
      <c r="H239" s="1572">
        <f>VLOOKUP($C239,'[1]Form 1.4'!$C$8:$V$64,4,0)</f>
        <v>420</v>
      </c>
      <c r="I239" s="1572">
        <f>VLOOKUP($C239,'[1]Form 1.4'!$C$8:$V$64,7,0)</f>
        <v>824.71347530053333</v>
      </c>
      <c r="J239" s="1572">
        <f>VLOOKUP($C239,'[1]Form 1.4'!$C$8:$V$64,8,0)</f>
        <v>791.09376372559473</v>
      </c>
      <c r="K239" s="1572">
        <f>VLOOKUP($C239,'[1]Form 1.4'!$C$8:$V$64,9,0)</f>
        <v>85.374281159234883</v>
      </c>
      <c r="L239" s="1572">
        <f>VLOOKUP($C239,'[1]Form 1.4'!$C$8:$V$64,10,0)</f>
        <v>339.75422354828663</v>
      </c>
      <c r="M239" s="1572">
        <f>VLOOKUP($C239,'[1]Form 1.4'!$C$8:$V$64,11,0)</f>
        <v>0</v>
      </c>
      <c r="N239" s="1572">
        <f>VLOOKUP($C239,'[1]Form 1.4'!$C$8:$V$64,12,0)</f>
        <v>0</v>
      </c>
      <c r="O239" s="1572">
        <f>VLOOKUP($C239,'[1]Form 1.4'!$C$8:$V$64,13,0)</f>
        <v>0</v>
      </c>
      <c r="P239" s="1573">
        <f t="shared" si="68"/>
        <v>425.12850470752153</v>
      </c>
      <c r="Q239" s="1573">
        <f t="shared" si="69"/>
        <v>1.0791929487241982</v>
      </c>
      <c r="R239" s="1573">
        <f t="shared" si="70"/>
        <v>0</v>
      </c>
      <c r="S239" s="1573">
        <f t="shared" si="71"/>
        <v>0</v>
      </c>
      <c r="T239" s="1573">
        <f t="shared" si="72"/>
        <v>0</v>
      </c>
      <c r="U239" s="1573">
        <f t="shared" si="73"/>
        <v>4.2947402587051178</v>
      </c>
      <c r="V239" s="1626">
        <f t="shared" si="74"/>
        <v>5.3739332074293165</v>
      </c>
      <c r="W239" s="912"/>
    </row>
    <row r="240" spans="1:28" ht="14.25" customHeight="1">
      <c r="A240" s="889">
        <v>10001</v>
      </c>
      <c r="B240" s="1524"/>
      <c r="C240" s="1451" t="s">
        <v>105</v>
      </c>
      <c r="D240" s="913"/>
      <c r="E240" s="913"/>
      <c r="F240" s="1570">
        <f>VLOOKUP($C240,'[1]Form 1.4'!$C$8:$V$64,2,0)</f>
        <v>420</v>
      </c>
      <c r="G240" s="1571">
        <f>VLOOKUP($C240,'[1]Form 1.4'!$C$8:$V$64,3,0)</f>
        <v>1</v>
      </c>
      <c r="H240" s="1572">
        <f>VLOOKUP($C240,'[1]Form 1.4'!$C$8:$V$64,4,0)</f>
        <v>420</v>
      </c>
      <c r="I240" s="1572">
        <f>VLOOKUP($C240,'[1]Form 1.4'!$C$8:$V$64,7,0)</f>
        <v>945.70696661935142</v>
      </c>
      <c r="J240" s="1572">
        <f>VLOOKUP($C240,'[1]Form 1.4'!$C$8:$V$64,8,0)</f>
        <v>881.58126039445563</v>
      </c>
      <c r="K240" s="1572">
        <f>VLOOKUP($C240,'[1]Form 1.4'!$C$8:$V$64,9,0)</f>
        <v>87.253943216636856</v>
      </c>
      <c r="L240" s="1572">
        <f>VLOOKUP($C240,'[1]Form 1.4'!$C$8:$V$64,10,0)</f>
        <v>377.26842289994784</v>
      </c>
      <c r="M240" s="1572">
        <f>VLOOKUP($C240,'[1]Form 1.4'!$C$8:$V$64,11,0)</f>
        <v>0</v>
      </c>
      <c r="N240" s="1572">
        <f>VLOOKUP($C240,'[1]Form 1.4'!$C$8:$V$64,12,0)</f>
        <v>0</v>
      </c>
      <c r="O240" s="1572">
        <f>VLOOKUP($C240,'[1]Form 1.4'!$C$8:$V$64,13,0)</f>
        <v>0</v>
      </c>
      <c r="P240" s="1573">
        <f t="shared" si="68"/>
        <v>464.52236611658469</v>
      </c>
      <c r="Q240" s="1573">
        <f t="shared" si="69"/>
        <v>0.98974362474079658</v>
      </c>
      <c r="R240" s="1573">
        <f t="shared" si="70"/>
        <v>0</v>
      </c>
      <c r="S240" s="1573">
        <f t="shared" si="71"/>
        <v>0</v>
      </c>
      <c r="T240" s="1573">
        <f t="shared" si="72"/>
        <v>0</v>
      </c>
      <c r="U240" s="1573">
        <f t="shared" si="73"/>
        <v>4.2794514793921827</v>
      </c>
      <c r="V240" s="1626">
        <f t="shared" si="74"/>
        <v>5.2691951041329794</v>
      </c>
      <c r="W240" s="912"/>
    </row>
    <row r="241" spans="2:23" ht="14.25" customHeight="1">
      <c r="B241" s="1524"/>
      <c r="C241" s="1451" t="s">
        <v>399</v>
      </c>
      <c r="D241" s="913"/>
      <c r="E241" s="913"/>
      <c r="F241" s="1570">
        <f>VLOOKUP($C241,'[1]Form 1.4'!$C$8:$V$64,2,0)</f>
        <v>210</v>
      </c>
      <c r="G241" s="1571">
        <f>VLOOKUP($C241,'[1]Form 1.4'!$C$8:$V$64,3,0)</f>
        <v>1</v>
      </c>
      <c r="H241" s="1572">
        <f>VLOOKUP($C241,'[1]Form 1.4'!$C$8:$V$64,4,0)</f>
        <v>210</v>
      </c>
      <c r="I241" s="1572">
        <f>VLOOKUP($C241,'[1]Form 1.4'!$C$8:$V$64,7,0)</f>
        <v>413.14510671983572</v>
      </c>
      <c r="J241" s="1572">
        <f>VLOOKUP($C241,'[1]Form 1.4'!$C$8:$V$64,8,0)</f>
        <v>392.85583110864445</v>
      </c>
      <c r="K241" s="1572">
        <f>VLOOKUP($C241,'[1]Form 1.4'!$C$8:$V$64,9,0)</f>
        <v>51.983333211922059</v>
      </c>
      <c r="L241" s="1572">
        <f>VLOOKUP($C241,'[1]Form 1.4'!$C$8:$V$64,10,0)</f>
        <v>166.99939336174759</v>
      </c>
      <c r="M241" s="1572">
        <f>VLOOKUP($C241,'[1]Form 1.4'!$C$8:$V$64,11,0)</f>
        <v>0</v>
      </c>
      <c r="N241" s="1572">
        <f>VLOOKUP($C241,'[1]Form 1.4'!$C$8:$V$64,12,0)</f>
        <v>0</v>
      </c>
      <c r="O241" s="1572">
        <f>VLOOKUP($C241,'[1]Form 1.4'!$C$8:$V$64,13,0)</f>
        <v>0</v>
      </c>
      <c r="P241" s="1573">
        <f t="shared" si="68"/>
        <v>218.98272657366965</v>
      </c>
      <c r="Q241" s="1573">
        <f t="shared" si="69"/>
        <v>1.3232165363366097</v>
      </c>
      <c r="R241" s="1573">
        <f t="shared" si="70"/>
        <v>0</v>
      </c>
      <c r="S241" s="1573">
        <f t="shared" si="71"/>
        <v>0</v>
      </c>
      <c r="T241" s="1573">
        <f t="shared" si="72"/>
        <v>0</v>
      </c>
      <c r="U241" s="1573">
        <f t="shared" si="73"/>
        <v>4.2509078429731604</v>
      </c>
      <c r="V241" s="1626">
        <f t="shared" si="74"/>
        <v>5.5741243793097697</v>
      </c>
      <c r="W241" s="912"/>
    </row>
    <row r="242" spans="2:23" ht="14.25" customHeight="1">
      <c r="B242" s="1524"/>
      <c r="C242" s="1451" t="s">
        <v>678</v>
      </c>
      <c r="D242" s="913"/>
      <c r="E242" s="913"/>
      <c r="F242" s="1570">
        <f>VLOOKUP($C242,'[1]Form 1.4'!$C$8:$V$64,2,0)</f>
        <v>600</v>
      </c>
      <c r="G242" s="1571">
        <f>VLOOKUP($C242,'[1]Form 1.4'!$C$8:$V$64,3,0)</f>
        <v>1</v>
      </c>
      <c r="H242" s="1572">
        <f>VLOOKUP($C242,'[1]Form 1.4'!$C$8:$V$64,4,0)</f>
        <v>600</v>
      </c>
      <c r="I242" s="1572">
        <f>VLOOKUP($C242,'[1]Form 1.4'!$C$8:$V$64,7,0)</f>
        <v>1268.2637846408413</v>
      </c>
      <c r="J242" s="1572">
        <f>VLOOKUP($C242,'[1]Form 1.4'!$C$8:$V$64,8,0)</f>
        <v>1196.4714853229868</v>
      </c>
      <c r="K242" s="1572">
        <f>VLOOKUP($C242,'[1]Form 1.4'!$C$8:$V$64,9,0)</f>
        <v>230.05443551765836</v>
      </c>
      <c r="L242" s="1572">
        <f>VLOOKUP($C242,'[1]Form 1.4'!$C$8:$V$64,10,0)</f>
        <v>483.53703600497209</v>
      </c>
      <c r="M242" s="1572">
        <f>VLOOKUP($C242,'[1]Form 1.4'!$C$8:$V$64,11,0)</f>
        <v>0</v>
      </c>
      <c r="N242" s="1572">
        <f>VLOOKUP($C242,'[1]Form 1.4'!$C$8:$V$64,12,0)</f>
        <v>0</v>
      </c>
      <c r="O242" s="1572">
        <f>VLOOKUP($C242,'[1]Form 1.4'!$C$8:$V$64,13,0)</f>
        <v>0</v>
      </c>
      <c r="P242" s="1573">
        <f t="shared" si="68"/>
        <v>713.5914715226304</v>
      </c>
      <c r="Q242" s="1573">
        <f t="shared" si="69"/>
        <v>1.9227740764382304</v>
      </c>
      <c r="R242" s="1573">
        <f t="shared" si="70"/>
        <v>0</v>
      </c>
      <c r="S242" s="1573">
        <f t="shared" si="71"/>
        <v>0</v>
      </c>
      <c r="T242" s="1573">
        <f t="shared" si="72"/>
        <v>0</v>
      </c>
      <c r="U242" s="1573">
        <f t="shared" si="73"/>
        <v>4.041358627735633</v>
      </c>
      <c r="V242" s="1626">
        <f t="shared" si="74"/>
        <v>5.9641327041738634</v>
      </c>
      <c r="W242" s="912"/>
    </row>
    <row r="243" spans="2:23" ht="14.25" customHeight="1">
      <c r="B243" s="1524"/>
      <c r="C243" s="1603" t="s">
        <v>788</v>
      </c>
      <c r="D243" s="913"/>
      <c r="E243" s="913"/>
      <c r="F243" s="1575">
        <f>SUM(F236:F242)</f>
        <v>4210</v>
      </c>
      <c r="G243" s="1576"/>
      <c r="H243" s="1577">
        <f>SUM(H236:H242)</f>
        <v>4210</v>
      </c>
      <c r="I243" s="1577">
        <f t="shared" ref="I243:P243" si="75">SUM(I236:I242)</f>
        <v>8130.4372712335708</v>
      </c>
      <c r="J243" s="1577">
        <f t="shared" si="75"/>
        <v>7788.4144143482572</v>
      </c>
      <c r="K243" s="1577">
        <f t="shared" si="75"/>
        <v>1090.512113598915</v>
      </c>
      <c r="L243" s="1577">
        <f t="shared" si="75"/>
        <v>3095.7575675023413</v>
      </c>
      <c r="M243" s="1577">
        <f t="shared" si="75"/>
        <v>0</v>
      </c>
      <c r="N243" s="1577">
        <f t="shared" si="75"/>
        <v>0</v>
      </c>
      <c r="O243" s="1577">
        <f t="shared" si="75"/>
        <v>0</v>
      </c>
      <c r="P243" s="1577">
        <f t="shared" si="75"/>
        <v>4186.2696811012574</v>
      </c>
      <c r="Q243" s="1577">
        <f t="shared" si="69"/>
        <v>1.4001721731574941</v>
      </c>
      <c r="R243" s="1577">
        <f t="shared" si="70"/>
        <v>0</v>
      </c>
      <c r="S243" s="1577">
        <f t="shared" si="71"/>
        <v>0</v>
      </c>
      <c r="T243" s="1577">
        <f t="shared" si="72"/>
        <v>0</v>
      </c>
      <c r="U243" s="1577">
        <f t="shared" si="73"/>
        <v>3.9748238894416836</v>
      </c>
      <c r="V243" s="1620">
        <f t="shared" si="74"/>
        <v>5.3749960625991786</v>
      </c>
      <c r="W243" s="912"/>
    </row>
    <row r="244" spans="2:23" ht="14.25" customHeight="1">
      <c r="B244" s="1524"/>
      <c r="C244" s="1451" t="s">
        <v>789</v>
      </c>
      <c r="D244" s="913"/>
      <c r="E244" s="913"/>
      <c r="F244" s="1570">
        <f>VLOOKUP($C244,'[1]Form 1.4'!$C$8:$V$64,2,0)</f>
        <v>770</v>
      </c>
      <c r="G244" s="1571">
        <f>VLOOKUP($C244,'[1]Form 1.4'!$C$8:$V$64,3,0)</f>
        <v>1</v>
      </c>
      <c r="H244" s="1572">
        <f>VLOOKUP($C244,'[1]Form 1.4'!$C$8:$V$64,4,0)</f>
        <v>770</v>
      </c>
      <c r="I244" s="1572">
        <f>VLOOKUP($C244,'[1]Form 1.4'!$C$8:$V$64,7,0)</f>
        <v>208.95491671861328</v>
      </c>
      <c r="J244" s="1572">
        <f>VLOOKUP($C244,'[1]Form 1.4'!$C$8:$V$64,8,0)</f>
        <v>208.84166139869583</v>
      </c>
      <c r="K244" s="1572">
        <f>VLOOKUP($C244,'[1]Form 1.4'!$C$8:$V$64,9,0)</f>
        <v>89.365033768435325</v>
      </c>
      <c r="L244" s="1572">
        <f>VLOOKUP($C244,'[1]Form 1.4'!$C$8:$V$64,10,0)</f>
        <v>0</v>
      </c>
      <c r="M244" s="1572">
        <f>VLOOKUP($C244,'[1]Form 1.4'!$C$8:$V$64,11,0)</f>
        <v>0</v>
      </c>
      <c r="N244" s="1572">
        <f>VLOOKUP($C244,'[1]Form 1.4'!$C$8:$V$64,12,0)</f>
        <v>0</v>
      </c>
      <c r="O244" s="1572">
        <f>VLOOKUP($C244,'[1]Form 1.4'!$C$8:$V$64,13,0)</f>
        <v>0</v>
      </c>
      <c r="P244" s="1573">
        <f t="shared" ref="P244:P253" si="76">SUM(K244:O244)</f>
        <v>89.365033768435325</v>
      </c>
      <c r="Q244" s="1573">
        <f t="shared" si="69"/>
        <v>4.279080772003157</v>
      </c>
      <c r="R244" s="1573">
        <f t="shared" si="70"/>
        <v>0</v>
      </c>
      <c r="S244" s="1573">
        <f t="shared" si="71"/>
        <v>0</v>
      </c>
      <c r="T244" s="1573">
        <f t="shared" si="72"/>
        <v>0</v>
      </c>
      <c r="U244" s="1573">
        <f t="shared" si="73"/>
        <v>0</v>
      </c>
      <c r="V244" s="1626">
        <f t="shared" si="74"/>
        <v>4.279080772003157</v>
      </c>
      <c r="W244" s="912"/>
    </row>
    <row r="245" spans="2:23" ht="14.25" customHeight="1">
      <c r="B245" s="1524"/>
      <c r="C245" s="1451" t="s">
        <v>782</v>
      </c>
      <c r="D245" s="913"/>
      <c r="E245" s="913"/>
      <c r="F245" s="1570">
        <f>VLOOKUP($C245,'[1]Form 1.4'!$C$8:$V$64,2,0)</f>
        <v>90</v>
      </c>
      <c r="G245" s="1571">
        <f>VLOOKUP($C245,'[1]Form 1.4'!$C$8:$V$64,3,0)</f>
        <v>1</v>
      </c>
      <c r="H245" s="1572">
        <f>VLOOKUP($C245,'[1]Form 1.4'!$C$8:$V$64,4,0)</f>
        <v>90</v>
      </c>
      <c r="I245" s="1572">
        <f>VLOOKUP($C245,'[1]Form 1.4'!$C$8:$V$64,7,0)</f>
        <v>27.620234643319161</v>
      </c>
      <c r="J245" s="1572">
        <f>VLOOKUP($C245,'[1]Form 1.4'!$C$8:$V$64,8,0)</f>
        <v>27.620205992735226</v>
      </c>
      <c r="K245" s="1572">
        <f>VLOOKUP($C245,'[1]Form 1.4'!$C$8:$V$64,9,0)</f>
        <v>10.265945217712016</v>
      </c>
      <c r="L245" s="1572">
        <f>VLOOKUP($C245,'[1]Form 1.4'!$C$8:$V$64,10,0)</f>
        <v>0</v>
      </c>
      <c r="M245" s="1572">
        <f>VLOOKUP($C245,'[1]Form 1.4'!$C$8:$V$64,11,0)</f>
        <v>0</v>
      </c>
      <c r="N245" s="1572">
        <f>VLOOKUP($C245,'[1]Form 1.4'!$C$8:$V$64,12,0)</f>
        <v>0</v>
      </c>
      <c r="O245" s="1572">
        <f>VLOOKUP($C245,'[1]Form 1.4'!$C$8:$V$64,13,0)</f>
        <v>0</v>
      </c>
      <c r="P245" s="1573">
        <f t="shared" si="76"/>
        <v>10.265945217712016</v>
      </c>
      <c r="Q245" s="1573">
        <f t="shared" si="69"/>
        <v>3.7168242772744726</v>
      </c>
      <c r="R245" s="1573">
        <f t="shared" si="70"/>
        <v>0</v>
      </c>
      <c r="S245" s="1573">
        <f t="shared" si="71"/>
        <v>0</v>
      </c>
      <c r="T245" s="1573">
        <f t="shared" si="72"/>
        <v>0</v>
      </c>
      <c r="U245" s="1573">
        <f t="shared" si="73"/>
        <v>0</v>
      </c>
      <c r="V245" s="1626">
        <f t="shared" si="74"/>
        <v>3.7168242772744726</v>
      </c>
      <c r="W245" s="912"/>
    </row>
    <row r="246" spans="2:23" ht="14.25" customHeight="1">
      <c r="B246" s="1524"/>
      <c r="C246" s="1451" t="s">
        <v>790</v>
      </c>
      <c r="D246" s="913"/>
      <c r="E246" s="913"/>
      <c r="F246" s="1570">
        <f>VLOOKUP($C246,'[1]Form 1.4'!$C$8:$V$64,2,0)</f>
        <v>50</v>
      </c>
      <c r="G246" s="1571">
        <f>VLOOKUP($C246,'[1]Form 1.4'!$C$8:$V$64,3,0)</f>
        <v>1</v>
      </c>
      <c r="H246" s="1572">
        <f>VLOOKUP($C246,'[1]Form 1.4'!$C$8:$V$64,4,0)</f>
        <v>50</v>
      </c>
      <c r="I246" s="1572">
        <f>VLOOKUP($C246,'[1]Form 1.4'!$C$8:$V$64,7,0)</f>
        <v>26.294824521960329</v>
      </c>
      <c r="J246" s="1572">
        <f>VLOOKUP($C246,'[1]Form 1.4'!$C$8:$V$64,8,0)</f>
        <v>26.292301734512353</v>
      </c>
      <c r="K246" s="1572">
        <f>VLOOKUP($C246,'[1]Form 1.4'!$C$8:$V$64,9,0)</f>
        <v>19.081309737722037</v>
      </c>
      <c r="L246" s="1572">
        <f>VLOOKUP($C246,'[1]Form 1.4'!$C$8:$V$64,10,0)</f>
        <v>0</v>
      </c>
      <c r="M246" s="1572">
        <f>VLOOKUP($C246,'[1]Form 1.4'!$C$8:$V$64,11,0)</f>
        <v>0</v>
      </c>
      <c r="N246" s="1572">
        <f>VLOOKUP($C246,'[1]Form 1.4'!$C$8:$V$64,12,0)</f>
        <v>0</v>
      </c>
      <c r="O246" s="1572">
        <f>VLOOKUP($C246,'[1]Form 1.4'!$C$8:$V$64,13,0)</f>
        <v>0</v>
      </c>
      <c r="P246" s="1573">
        <f t="shared" si="76"/>
        <v>19.081309737722037</v>
      </c>
      <c r="Q246" s="1573">
        <f t="shared" si="69"/>
        <v>7.2573751550535146</v>
      </c>
      <c r="R246" s="1573">
        <f t="shared" si="70"/>
        <v>0</v>
      </c>
      <c r="S246" s="1573">
        <f t="shared" si="71"/>
        <v>0</v>
      </c>
      <c r="T246" s="1573">
        <f t="shared" si="72"/>
        <v>0</v>
      </c>
      <c r="U246" s="1573">
        <f t="shared" si="73"/>
        <v>0</v>
      </c>
      <c r="V246" s="1626">
        <f t="shared" si="74"/>
        <v>7.2573751550535146</v>
      </c>
      <c r="W246" s="912"/>
    </row>
    <row r="247" spans="2:23" ht="14.25" customHeight="1">
      <c r="B247" s="910"/>
      <c r="C247" s="1451" t="s">
        <v>791</v>
      </c>
      <c r="D247" s="913"/>
      <c r="E247" s="913"/>
      <c r="F247" s="1570">
        <f>VLOOKUP($C247,'[1]Form 1.4'!$C$8:$V$64,2,0)</f>
        <v>240</v>
      </c>
      <c r="G247" s="1571">
        <f>VLOOKUP($C247,'[1]Form 1.4'!$C$8:$V$64,3,0)</f>
        <v>1</v>
      </c>
      <c r="H247" s="1572">
        <f>VLOOKUP($C247,'[1]Form 1.4'!$C$8:$V$64,4,0)</f>
        <v>240</v>
      </c>
      <c r="I247" s="1572">
        <f>VLOOKUP($C247,'[1]Form 1.4'!$C$8:$V$64,7,0)</f>
        <v>174.65450656750022</v>
      </c>
      <c r="J247" s="1572">
        <f>VLOOKUP($C247,'[1]Form 1.4'!$C$8:$V$64,8,0)</f>
        <v>172.73328985267767</v>
      </c>
      <c r="K247" s="1572">
        <f>VLOOKUP($C247,'[1]Form 1.4'!$C$8:$V$64,9,0)</f>
        <v>65.360599121435754</v>
      </c>
      <c r="L247" s="1572">
        <f>VLOOKUP($C247,'[1]Form 1.4'!$C$8:$V$64,10,0)</f>
        <v>0</v>
      </c>
      <c r="M247" s="1572">
        <f>VLOOKUP($C247,'[1]Form 1.4'!$C$8:$V$64,11,0)</f>
        <v>0</v>
      </c>
      <c r="N247" s="1572">
        <f>VLOOKUP($C247,'[1]Form 1.4'!$C$8:$V$64,12,0)</f>
        <v>0</v>
      </c>
      <c r="O247" s="1572">
        <f>VLOOKUP($C247,'[1]Form 1.4'!$C$8:$V$64,13,0)</f>
        <v>0</v>
      </c>
      <c r="P247" s="1573">
        <f t="shared" si="76"/>
        <v>65.360599121435754</v>
      </c>
      <c r="Q247" s="1573">
        <f t="shared" si="69"/>
        <v>3.7839028699783981</v>
      </c>
      <c r="R247" s="1573">
        <f t="shared" si="70"/>
        <v>0</v>
      </c>
      <c r="S247" s="1573">
        <f t="shared" si="71"/>
        <v>0</v>
      </c>
      <c r="T247" s="1573">
        <f t="shared" si="72"/>
        <v>0</v>
      </c>
      <c r="U247" s="1573">
        <f t="shared" si="73"/>
        <v>0</v>
      </c>
      <c r="V247" s="1626">
        <f t="shared" si="74"/>
        <v>3.7839028699783981</v>
      </c>
      <c r="W247" s="912"/>
    </row>
    <row r="248" spans="2:23" ht="14.25" customHeight="1">
      <c r="B248" s="910"/>
      <c r="C248" s="1451" t="s">
        <v>792</v>
      </c>
      <c r="D248" s="913"/>
      <c r="E248" s="913"/>
      <c r="F248" s="1570">
        <f>VLOOKUP($C248,'[1]Form 1.4'!$C$8:$V$64,2,0)</f>
        <v>460</v>
      </c>
      <c r="G248" s="1571">
        <f>VLOOKUP($C248,'[1]Form 1.4'!$C$8:$V$64,3,0)</f>
        <v>1</v>
      </c>
      <c r="H248" s="1572">
        <f>VLOOKUP($C248,'[1]Form 1.4'!$C$8:$V$64,4,0)</f>
        <v>460</v>
      </c>
      <c r="I248" s="1572">
        <f>VLOOKUP($C248,'[1]Form 1.4'!$C$8:$V$64,7,0)</f>
        <v>417.7060591533683</v>
      </c>
      <c r="J248" s="1572">
        <f>VLOOKUP($C248,'[1]Form 1.4'!$C$8:$V$64,8,0)</f>
        <v>412.41188715417059</v>
      </c>
      <c r="K248" s="1572">
        <f>VLOOKUP($C248,'[1]Form 1.4'!$C$8:$V$64,9,0)</f>
        <v>0</v>
      </c>
      <c r="L248" s="1572">
        <f>VLOOKUP($C248,'[1]Form 1.4'!$C$8:$V$64,10,0)</f>
        <v>0</v>
      </c>
      <c r="M248" s="1572">
        <f>VLOOKUP($C248,'[1]Form 1.4'!$C$8:$V$64,11,0)</f>
        <v>0</v>
      </c>
      <c r="N248" s="1572">
        <f>VLOOKUP($C248,'[1]Form 1.4'!$C$8:$V$64,12,0)</f>
        <v>0</v>
      </c>
      <c r="O248" s="1572">
        <f>VLOOKUP($C248,'[1]Form 1.4'!$C$8:$V$64,13,0)</f>
        <v>0</v>
      </c>
      <c r="P248" s="1573">
        <f t="shared" si="76"/>
        <v>0</v>
      </c>
      <c r="Q248" s="1573">
        <f t="shared" si="69"/>
        <v>0</v>
      </c>
      <c r="R248" s="1573">
        <f t="shared" si="70"/>
        <v>0</v>
      </c>
      <c r="S248" s="1573">
        <f t="shared" si="71"/>
        <v>0</v>
      </c>
      <c r="T248" s="1573">
        <f t="shared" si="72"/>
        <v>0</v>
      </c>
      <c r="U248" s="1573">
        <f t="shared" si="73"/>
        <v>0</v>
      </c>
      <c r="V248" s="1626">
        <f t="shared" si="74"/>
        <v>0</v>
      </c>
      <c r="W248" s="912"/>
    </row>
    <row r="249" spans="2:23" ht="14.25" customHeight="1">
      <c r="B249" s="1524"/>
      <c r="C249" s="1451" t="s">
        <v>793</v>
      </c>
      <c r="D249" s="917"/>
      <c r="E249" s="917"/>
      <c r="F249" s="1570">
        <f>VLOOKUP($C249,'[1]Form 1.4'!$C$8:$V$64,2,0)</f>
        <v>25</v>
      </c>
      <c r="G249" s="1571">
        <f>VLOOKUP($C249,'[1]Form 1.4'!$C$8:$V$64,3,0)</f>
        <v>1</v>
      </c>
      <c r="H249" s="1572">
        <f>VLOOKUP($C249,'[1]Form 1.4'!$C$8:$V$64,4,0)</f>
        <v>25</v>
      </c>
      <c r="I249" s="1572">
        <f>VLOOKUP($C249,'[1]Form 1.4'!$C$8:$V$64,7,0)</f>
        <v>37.4900903907375</v>
      </c>
      <c r="J249" s="1572">
        <f>VLOOKUP($C249,'[1]Form 1.4'!$C$8:$V$64,8,0)</f>
        <v>37.425183872344377</v>
      </c>
      <c r="K249" s="1572">
        <f>VLOOKUP($C249,'[1]Form 1.4'!$C$8:$V$64,9,0)</f>
        <v>0</v>
      </c>
      <c r="L249" s="1572">
        <f>VLOOKUP($C249,'[1]Form 1.4'!$C$8:$V$64,10,0)</f>
        <v>0</v>
      </c>
      <c r="M249" s="1572">
        <f>VLOOKUP($C249,'[1]Form 1.4'!$C$8:$V$64,11,0)</f>
        <v>0</v>
      </c>
      <c r="N249" s="1572">
        <f>VLOOKUP($C249,'[1]Form 1.4'!$C$8:$V$64,12,0)</f>
        <v>0</v>
      </c>
      <c r="O249" s="1572">
        <f>VLOOKUP($C249,'[1]Form 1.4'!$C$8:$V$64,13,0)</f>
        <v>0</v>
      </c>
      <c r="P249" s="1573">
        <f t="shared" si="76"/>
        <v>0</v>
      </c>
      <c r="Q249" s="1573">
        <f t="shared" si="69"/>
        <v>0</v>
      </c>
      <c r="R249" s="1573">
        <f t="shared" si="70"/>
        <v>0</v>
      </c>
      <c r="S249" s="1573">
        <f t="shared" si="71"/>
        <v>0</v>
      </c>
      <c r="T249" s="1573">
        <f t="shared" si="72"/>
        <v>0</v>
      </c>
      <c r="U249" s="1573">
        <f t="shared" si="73"/>
        <v>0</v>
      </c>
      <c r="V249" s="1626">
        <f t="shared" si="74"/>
        <v>0</v>
      </c>
      <c r="W249" s="912"/>
    </row>
    <row r="250" spans="2:23" ht="14.25" customHeight="1">
      <c r="B250" s="1524"/>
      <c r="C250" s="1451" t="s">
        <v>783</v>
      </c>
      <c r="D250" s="917"/>
      <c r="E250" s="917"/>
      <c r="F250" s="1570">
        <f>VLOOKUP($C250,'[1]Form 1.4'!$C$8:$V$64,2,0)</f>
        <v>20</v>
      </c>
      <c r="G250" s="1571">
        <f>VLOOKUP($C250,'[1]Form 1.4'!$C$8:$V$64,3,0)</f>
        <v>1</v>
      </c>
      <c r="H250" s="1572">
        <f>VLOOKUP($C250,'[1]Form 1.4'!$C$8:$V$64,4,0)</f>
        <v>20</v>
      </c>
      <c r="I250" s="1572">
        <f>VLOOKUP($C250,'[1]Form 1.4'!$C$8:$V$64,7,0)</f>
        <v>1.0305548317809745</v>
      </c>
      <c r="J250" s="1572">
        <f>VLOOKUP($C250,'[1]Form 1.4'!$C$8:$V$64,8,0)</f>
        <v>1.0315938048110267</v>
      </c>
      <c r="K250" s="1572">
        <f>VLOOKUP($C250,'[1]Form 1.4'!$C$8:$V$64,9,0)</f>
        <v>5.3162241054988524</v>
      </c>
      <c r="L250" s="1572">
        <f>VLOOKUP($C250,'[1]Form 1.4'!$C$8:$V$64,10,0)</f>
        <v>0</v>
      </c>
      <c r="M250" s="1572">
        <f>VLOOKUP($C250,'[1]Form 1.4'!$C$8:$V$64,11,0)</f>
        <v>0</v>
      </c>
      <c r="N250" s="1572">
        <f>VLOOKUP($C250,'[1]Form 1.4'!$C$8:$V$64,12,0)</f>
        <v>0</v>
      </c>
      <c r="O250" s="1572">
        <f>VLOOKUP($C250,'[1]Form 1.4'!$C$8:$V$64,13,0)</f>
        <v>0</v>
      </c>
      <c r="P250" s="1573">
        <f t="shared" si="76"/>
        <v>5.3162241054988524</v>
      </c>
      <c r="Q250" s="1573">
        <f t="shared" si="69"/>
        <v>51.534083286519049</v>
      </c>
      <c r="R250" s="1573">
        <f t="shared" si="70"/>
        <v>0</v>
      </c>
      <c r="S250" s="1573">
        <f t="shared" si="71"/>
        <v>0</v>
      </c>
      <c r="T250" s="1573">
        <f t="shared" si="72"/>
        <v>0</v>
      </c>
      <c r="U250" s="1573">
        <f t="shared" si="73"/>
        <v>0</v>
      </c>
      <c r="V250" s="1626">
        <f t="shared" si="74"/>
        <v>51.534083286519049</v>
      </c>
      <c r="W250" s="912"/>
    </row>
    <row r="251" spans="2:23" ht="14.25" customHeight="1">
      <c r="B251" s="1524"/>
      <c r="C251" s="1451" t="s">
        <v>794</v>
      </c>
      <c r="D251" s="913"/>
      <c r="E251" s="913"/>
      <c r="F251" s="1570">
        <f>VLOOKUP($C251,'[1]Form 1.4'!$C$8:$V$64,2,0)</f>
        <v>1</v>
      </c>
      <c r="G251" s="1571">
        <f>VLOOKUP($C251,'[1]Form 1.4'!$C$8:$V$64,3,0)</f>
        <v>1</v>
      </c>
      <c r="H251" s="1572">
        <f>VLOOKUP($C251,'[1]Form 1.4'!$C$8:$V$64,4,0)</f>
        <v>1</v>
      </c>
      <c r="I251" s="1572">
        <f>VLOOKUP($C251,'[1]Form 1.4'!$C$8:$V$64,7,0)</f>
        <v>1.1976265480560058</v>
      </c>
      <c r="J251" s="1572">
        <f>VLOOKUP($C251,'[1]Form 1.4'!$C$8:$V$64,8,0)</f>
        <v>1.1901620529017563</v>
      </c>
      <c r="K251" s="1572">
        <f>VLOOKUP($C251,'[1]Form 1.4'!$C$8:$V$64,9,0)</f>
        <v>0.72529044201599735</v>
      </c>
      <c r="L251" s="1572">
        <f>VLOOKUP($C251,'[1]Form 1.4'!$C$8:$V$64,10,0)</f>
        <v>0</v>
      </c>
      <c r="M251" s="1572">
        <f>VLOOKUP($C251,'[1]Form 1.4'!$C$8:$V$64,11,0)</f>
        <v>0</v>
      </c>
      <c r="N251" s="1572">
        <f>VLOOKUP($C251,'[1]Form 1.4'!$C$8:$V$64,12,0)</f>
        <v>0</v>
      </c>
      <c r="O251" s="1572">
        <f>VLOOKUP($C251,'[1]Form 1.4'!$C$8:$V$64,13,0)</f>
        <v>0</v>
      </c>
      <c r="P251" s="1573">
        <f t="shared" si="76"/>
        <v>0.72529044201599735</v>
      </c>
      <c r="Q251" s="1573">
        <f t="shared" si="69"/>
        <v>6.0940477832212281</v>
      </c>
      <c r="R251" s="1573">
        <f t="shared" si="70"/>
        <v>0</v>
      </c>
      <c r="S251" s="1573">
        <f t="shared" si="71"/>
        <v>0</v>
      </c>
      <c r="T251" s="1573">
        <f t="shared" si="72"/>
        <v>0</v>
      </c>
      <c r="U251" s="1573">
        <f t="shared" si="73"/>
        <v>0</v>
      </c>
      <c r="V251" s="1626">
        <f t="shared" si="74"/>
        <v>6.0940477832212281</v>
      </c>
      <c r="W251" s="912"/>
    </row>
    <row r="252" spans="2:23" ht="14.25" customHeight="1">
      <c r="B252" s="1524"/>
      <c r="C252" s="1451" t="s">
        <v>795</v>
      </c>
      <c r="D252" s="433"/>
      <c r="E252" s="433"/>
      <c r="F252" s="1570">
        <f>VLOOKUP($C252,'[1]Form 1.4'!$C$8:$V$64,2,0)</f>
        <v>60</v>
      </c>
      <c r="G252" s="1571">
        <f>VLOOKUP($C252,'[1]Form 1.4'!$C$8:$V$64,3,0)</f>
        <v>1</v>
      </c>
      <c r="H252" s="1572">
        <f>VLOOKUP($C252,'[1]Form 1.4'!$C$8:$V$64,4,0)</f>
        <v>60</v>
      </c>
      <c r="I252" s="1572">
        <f>VLOOKUP($C252,'[1]Form 1.4'!$C$8:$V$64,7,0)</f>
        <v>132.36820645940492</v>
      </c>
      <c r="J252" s="1572">
        <f>VLOOKUP($C252,'[1]Form 1.4'!$C$8:$V$64,8,0)</f>
        <v>130.50160964451351</v>
      </c>
      <c r="K252" s="1572">
        <f>VLOOKUP($C252,'[1]Form 1.4'!$C$8:$V$64,9,0)</f>
        <v>20.973309099315198</v>
      </c>
      <c r="L252" s="1572">
        <f>VLOOKUP($C252,'[1]Form 1.4'!$C$8:$V$64,10,0)</f>
        <v>0</v>
      </c>
      <c r="M252" s="1572">
        <f>VLOOKUP($C252,'[1]Form 1.4'!$C$8:$V$64,11,0)</f>
        <v>0</v>
      </c>
      <c r="N252" s="1572">
        <f>VLOOKUP($C252,'[1]Form 1.4'!$C$8:$V$64,12,0)</f>
        <v>0</v>
      </c>
      <c r="O252" s="1572">
        <f>VLOOKUP($C252,'[1]Form 1.4'!$C$8:$V$64,13,0)</f>
        <v>0</v>
      </c>
      <c r="P252" s="1573">
        <f t="shared" si="76"/>
        <v>20.973309099315198</v>
      </c>
      <c r="Q252" s="1573">
        <f t="shared" si="69"/>
        <v>1.6071302994994858</v>
      </c>
      <c r="R252" s="1573">
        <f t="shared" si="70"/>
        <v>0</v>
      </c>
      <c r="S252" s="1573">
        <f t="shared" si="71"/>
        <v>0</v>
      </c>
      <c r="T252" s="1573">
        <f t="shared" si="72"/>
        <v>0</v>
      </c>
      <c r="U252" s="1573">
        <f t="shared" si="73"/>
        <v>0</v>
      </c>
      <c r="V252" s="1626">
        <f t="shared" si="74"/>
        <v>1.6071302994994858</v>
      </c>
      <c r="W252" s="912"/>
    </row>
    <row r="253" spans="2:23" ht="14.25" customHeight="1">
      <c r="B253" s="1524"/>
      <c r="C253" s="1451" t="s">
        <v>796</v>
      </c>
      <c r="D253" s="123"/>
      <c r="E253" s="123"/>
      <c r="F253" s="1570">
        <f>VLOOKUP($C253,'[1]Form 1.4'!$C$8:$V$64,2,0)</f>
        <v>57.6</v>
      </c>
      <c r="G253" s="1571">
        <f>VLOOKUP($C253,'[1]Form 1.4'!$C$8:$V$64,3,0)</f>
        <v>1</v>
      </c>
      <c r="H253" s="1572">
        <f>VLOOKUP($C253,'[1]Form 1.4'!$C$8:$V$64,4,0)</f>
        <v>57.6</v>
      </c>
      <c r="I253" s="1572">
        <f>VLOOKUP($C253,'[1]Form 1.4'!$C$8:$V$64,7,0)</f>
        <v>48.636919603844923</v>
      </c>
      <c r="J253" s="1572">
        <f>VLOOKUP($C253,'[1]Form 1.4'!$C$8:$V$64,8,0)</f>
        <v>48.564187843833409</v>
      </c>
      <c r="K253" s="1572">
        <f>VLOOKUP($C253,'[1]Form 1.4'!$C$8:$V$64,9,0)</f>
        <v>0</v>
      </c>
      <c r="L253" s="1572">
        <f>VLOOKUP($C253,'[1]Form 1.4'!$C$8:$V$64,10,0)</f>
        <v>0</v>
      </c>
      <c r="M253" s="1572">
        <f>VLOOKUP($C253,'[1]Form 1.4'!$C$8:$V$64,11,0)</f>
        <v>0</v>
      </c>
      <c r="N253" s="1572">
        <f>VLOOKUP($C253,'[1]Form 1.4'!$C$8:$V$64,12,0)</f>
        <v>0</v>
      </c>
      <c r="O253" s="1572">
        <f>VLOOKUP($C253,'[1]Form 1.4'!$C$8:$V$64,13,0)</f>
        <v>0</v>
      </c>
      <c r="P253" s="1573">
        <f t="shared" si="76"/>
        <v>0</v>
      </c>
      <c r="Q253" s="1573">
        <f t="shared" si="69"/>
        <v>0</v>
      </c>
      <c r="R253" s="1573">
        <f t="shared" si="70"/>
        <v>0</v>
      </c>
      <c r="S253" s="1573">
        <f t="shared" si="71"/>
        <v>0</v>
      </c>
      <c r="T253" s="1573">
        <f t="shared" si="72"/>
        <v>0</v>
      </c>
      <c r="U253" s="1573">
        <f t="shared" si="73"/>
        <v>0</v>
      </c>
      <c r="V253" s="1626">
        <f t="shared" si="74"/>
        <v>0</v>
      </c>
      <c r="W253" s="912"/>
    </row>
    <row r="254" spans="2:23" ht="15" customHeight="1">
      <c r="B254" s="1524"/>
      <c r="C254" s="1603" t="s">
        <v>797</v>
      </c>
      <c r="D254" s="913"/>
      <c r="E254" s="913"/>
      <c r="F254" s="1575">
        <f>SUM(F244:F253)</f>
        <v>1773.6</v>
      </c>
      <c r="G254" s="1576"/>
      <c r="H254" s="1577">
        <f>SUM(H244:H253)</f>
        <v>1773.6</v>
      </c>
      <c r="I254" s="1577">
        <f t="shared" ref="I254:P254" si="77">SUM(I244:I253)</f>
        <v>1075.9539394385856</v>
      </c>
      <c r="J254" s="1577">
        <f t="shared" si="77"/>
        <v>1066.6120833511957</v>
      </c>
      <c r="K254" s="1577">
        <f t="shared" si="77"/>
        <v>211.08771149213518</v>
      </c>
      <c r="L254" s="1577">
        <f t="shared" si="77"/>
        <v>0</v>
      </c>
      <c r="M254" s="1577">
        <f t="shared" si="77"/>
        <v>0</v>
      </c>
      <c r="N254" s="1577">
        <f t="shared" si="77"/>
        <v>0</v>
      </c>
      <c r="O254" s="1577">
        <f t="shared" si="77"/>
        <v>0</v>
      </c>
      <c r="P254" s="1577">
        <f t="shared" si="77"/>
        <v>211.08771149213518</v>
      </c>
      <c r="Q254" s="1577">
        <f t="shared" si="69"/>
        <v>1.9790485668315072</v>
      </c>
      <c r="R254" s="1577">
        <f t="shared" si="70"/>
        <v>0</v>
      </c>
      <c r="S254" s="1577">
        <f t="shared" si="71"/>
        <v>0</v>
      </c>
      <c r="T254" s="1577">
        <f t="shared" si="72"/>
        <v>0</v>
      </c>
      <c r="U254" s="1577">
        <f t="shared" si="73"/>
        <v>0</v>
      </c>
      <c r="V254" s="1620">
        <f t="shared" si="74"/>
        <v>1.9790485668315072</v>
      </c>
      <c r="W254" s="912"/>
    </row>
    <row r="255" spans="2:23" ht="15" customHeight="1">
      <c r="B255" s="1524"/>
      <c r="C255" s="1603" t="s">
        <v>798</v>
      </c>
      <c r="D255" s="913"/>
      <c r="E255" s="913"/>
      <c r="F255" s="1575">
        <f>F254+F243</f>
        <v>5983.6</v>
      </c>
      <c r="G255" s="1576"/>
      <c r="H255" s="1577">
        <f>H254+H243</f>
        <v>5983.6</v>
      </c>
      <c r="I255" s="1577">
        <f t="shared" ref="I255:P255" si="78">I254+I243</f>
        <v>9206.3912106721564</v>
      </c>
      <c r="J255" s="1577">
        <f t="shared" si="78"/>
        <v>8855.0264976994531</v>
      </c>
      <c r="K255" s="1577">
        <f t="shared" si="78"/>
        <v>1301.5998250910502</v>
      </c>
      <c r="L255" s="1577">
        <f t="shared" si="78"/>
        <v>3095.7575675023413</v>
      </c>
      <c r="M255" s="1577">
        <f t="shared" si="78"/>
        <v>0</v>
      </c>
      <c r="N255" s="1577">
        <f t="shared" si="78"/>
        <v>0</v>
      </c>
      <c r="O255" s="1577">
        <f t="shared" si="78"/>
        <v>0</v>
      </c>
      <c r="P255" s="1577">
        <f t="shared" si="78"/>
        <v>4397.3573925933924</v>
      </c>
      <c r="Q255" s="1577">
        <f t="shared" si="69"/>
        <v>1.4698994129822283</v>
      </c>
      <c r="R255" s="1577">
        <f t="shared" si="70"/>
        <v>0</v>
      </c>
      <c r="S255" s="1577">
        <f t="shared" si="71"/>
        <v>0</v>
      </c>
      <c r="T255" s="1577">
        <f t="shared" si="72"/>
        <v>0</v>
      </c>
      <c r="U255" s="1577">
        <f t="shared" si="73"/>
        <v>3.4960455152862875</v>
      </c>
      <c r="V255" s="1620">
        <f t="shared" si="74"/>
        <v>4.9659449282685166</v>
      </c>
      <c r="W255" s="912"/>
    </row>
    <row r="256" spans="2:23" ht="15" customHeight="1">
      <c r="B256" s="1524"/>
      <c r="C256" s="1451" t="s">
        <v>801</v>
      </c>
      <c r="D256" s="913"/>
      <c r="E256" s="913"/>
      <c r="F256" s="1570">
        <f>VLOOKUP($C256,'[1]Form 1.4'!$C$8:$V$64,2,0)</f>
        <v>1600</v>
      </c>
      <c r="G256" s="1571">
        <f>VLOOKUP($C256,'[1]Form 1.4'!$C$8:$V$64,3,0)</f>
        <v>0.9</v>
      </c>
      <c r="H256" s="1572">
        <f>VLOOKUP($C256,'[1]Form 1.4'!$C$8:$V$64,4,0)</f>
        <v>1440</v>
      </c>
      <c r="I256" s="1572">
        <f>VLOOKUP($C256,'[1]Form 1.4'!$C$8:$V$64,7,0)</f>
        <v>2745.9450517566556</v>
      </c>
      <c r="J256" s="1572">
        <f>VLOOKUP($C256,'[1]Form 1.4'!$C$8:$V$64,8,0)</f>
        <v>2683.7358374526634</v>
      </c>
      <c r="K256" s="1572">
        <f>VLOOKUP($C256,'[1]Form 1.4'!$C$8:$V$64,9,0)</f>
        <v>359.5547861755216</v>
      </c>
      <c r="L256" s="1572">
        <f>VLOOKUP($C256,'[1]Form 1.4'!$C$8:$V$64,10,0)</f>
        <v>970.26815110955306</v>
      </c>
      <c r="M256" s="1572">
        <f>VLOOKUP($C256,'[1]Form 1.4'!$C$8:$V$64,11,0)</f>
        <v>0</v>
      </c>
      <c r="N256" s="1572">
        <f>VLOOKUP($C256,'[1]Form 1.4'!$C$8:$V$64,12,0)</f>
        <v>0</v>
      </c>
      <c r="O256" s="1572">
        <f>VLOOKUP($C256,'[1]Form 1.4'!$C$8:$V$64,13,0)</f>
        <v>0</v>
      </c>
      <c r="P256" s="1573">
        <f t="shared" ref="P256:P258" si="79">SUM(K256:O256)</f>
        <v>1329.8229372850747</v>
      </c>
      <c r="Q256" s="1573">
        <f t="shared" si="69"/>
        <v>1.3397547596070492</v>
      </c>
      <c r="R256" s="1573">
        <f t="shared" si="70"/>
        <v>0</v>
      </c>
      <c r="S256" s="1573">
        <f t="shared" si="71"/>
        <v>0</v>
      </c>
      <c r="T256" s="1573">
        <f t="shared" si="72"/>
        <v>0</v>
      </c>
      <c r="U256" s="1573">
        <f t="shared" si="73"/>
        <v>3.6153638430767017</v>
      </c>
      <c r="V256" s="1626">
        <f t="shared" si="74"/>
        <v>4.9551186026837506</v>
      </c>
      <c r="W256" s="912"/>
    </row>
    <row r="257" spans="2:23" ht="15" customHeight="1">
      <c r="B257" s="1524"/>
      <c r="C257" s="1451" t="s">
        <v>964</v>
      </c>
      <c r="D257" s="913"/>
      <c r="E257" s="913"/>
      <c r="F257" s="1570">
        <f>VLOOKUP($C257,'[1]Form 1.4'!$C$8:$V$64,2,0)</f>
        <v>800</v>
      </c>
      <c r="G257" s="1571">
        <f>VLOOKUP($C257,'[1]Form 1.4'!$C$8:$V$64,3,0)</f>
        <v>1</v>
      </c>
      <c r="H257" s="1572">
        <f>VLOOKUP($C257,'[1]Form 1.4'!$C$8:$V$64,4,0)</f>
        <v>800</v>
      </c>
      <c r="I257" s="1572">
        <f>VLOOKUP($C257,'[1]Form 1.4'!$C$8:$V$64,7,0)</f>
        <v>1213.0338385711671</v>
      </c>
      <c r="J257" s="1572">
        <f>VLOOKUP($C257,'[1]Form 1.4'!$C$8:$V$64,8,0)</f>
        <v>1179.7352332849728</v>
      </c>
      <c r="K257" s="1572">
        <f>VLOOKUP($C257,'[1]Form 1.4'!$C$8:$V$64,9,0)</f>
        <v>279.69758688800607</v>
      </c>
      <c r="L257" s="1572">
        <f>VLOOKUP($C257,'[1]Form 1.4'!$C$8:$V$64,10,0)</f>
        <v>429.17999442623233</v>
      </c>
      <c r="M257" s="1572">
        <f>VLOOKUP($C257,'[1]Form 1.4'!$C$8:$V$64,11,0)</f>
        <v>0</v>
      </c>
      <c r="N257" s="1572">
        <f>VLOOKUP($C257,'[1]Form 1.4'!$C$8:$V$64,12,0)</f>
        <v>0</v>
      </c>
      <c r="O257" s="1572">
        <f>VLOOKUP($C257,'[1]Form 1.4'!$C$8:$V$64,13,0)</f>
        <v>0</v>
      </c>
      <c r="P257" s="1573">
        <f t="shared" si="79"/>
        <v>708.87758131423834</v>
      </c>
      <c r="Q257" s="1573">
        <f t="shared" si="69"/>
        <v>2.3708505009991789</v>
      </c>
      <c r="R257" s="1573">
        <f t="shared" si="70"/>
        <v>0</v>
      </c>
      <c r="S257" s="1573">
        <f t="shared" si="71"/>
        <v>0</v>
      </c>
      <c r="T257" s="1573">
        <f t="shared" si="72"/>
        <v>0</v>
      </c>
      <c r="U257" s="1573">
        <f t="shared" si="73"/>
        <v>3.6379348714641728</v>
      </c>
      <c r="V257" s="1626">
        <f t="shared" si="74"/>
        <v>6.0087853724633513</v>
      </c>
      <c r="W257" s="912"/>
    </row>
    <row r="258" spans="2:23" ht="15" customHeight="1">
      <c r="B258" s="1524"/>
      <c r="C258" s="1451" t="s">
        <v>648</v>
      </c>
      <c r="D258" s="913"/>
      <c r="E258" s="913"/>
      <c r="F258" s="1570">
        <f>VLOOKUP($C258,'[1]Form 1.4'!$C$8:$V$64,2,0)</f>
        <v>216.82400000000001</v>
      </c>
      <c r="G258" s="1571">
        <f>VLOOKUP($C258,'[1]Form 1.4'!$C$8:$V$64,3,0)</f>
        <v>1</v>
      </c>
      <c r="H258" s="1572">
        <f>VLOOKUP($C258,'[1]Form 1.4'!$C$8:$V$64,4,0)</f>
        <v>216.82400000000001</v>
      </c>
      <c r="I258" s="1572">
        <f>VLOOKUP($C258,'[1]Form 1.4'!$C$8:$V$64,7,0)</f>
        <v>-0.94623368995508772</v>
      </c>
      <c r="J258" s="1572">
        <f>VLOOKUP($C258,'[1]Form 1.4'!$C$8:$V$64,8,0)</f>
        <v>-0.91904886539999997</v>
      </c>
      <c r="K258" s="1572">
        <f>VLOOKUP($C258,'[1]Form 1.4'!$C$8:$V$64,9,0)</f>
        <v>6.0461880729544557</v>
      </c>
      <c r="L258" s="1572">
        <f>VLOOKUP($C258,'[1]Form 1.4'!$C$8:$V$64,10,0)</f>
        <v>2.1434699999999998E-2</v>
      </c>
      <c r="M258" s="1572">
        <f>VLOOKUP($C258,'[1]Form 1.4'!$C$8:$V$64,11,0)</f>
        <v>0</v>
      </c>
      <c r="N258" s="1572">
        <f>VLOOKUP($C258,'[1]Form 1.4'!$C$8:$V$64,12,0)</f>
        <v>0</v>
      </c>
      <c r="O258" s="1572">
        <f>VLOOKUP($C258,'[1]Form 1.4'!$C$8:$V$64,13,0)</f>
        <v>0</v>
      </c>
      <c r="P258" s="1573">
        <f t="shared" si="79"/>
        <v>6.0676227729544561</v>
      </c>
      <c r="Q258" s="1573">
        <f t="shared" si="69"/>
        <v>-65.787449400995214</v>
      </c>
      <c r="R258" s="1573">
        <f t="shared" si="70"/>
        <v>0</v>
      </c>
      <c r="S258" s="1573">
        <f t="shared" si="71"/>
        <v>0</v>
      </c>
      <c r="T258" s="1573">
        <f t="shared" si="72"/>
        <v>0</v>
      </c>
      <c r="U258" s="1573">
        <f t="shared" si="73"/>
        <v>-0.23322698941226502</v>
      </c>
      <c r="V258" s="1626">
        <f t="shared" si="74"/>
        <v>-66.020676390407488</v>
      </c>
      <c r="W258" s="912"/>
    </row>
    <row r="259" spans="2:23" ht="15" customHeight="1">
      <c r="B259" s="1524"/>
      <c r="C259" s="1603" t="s">
        <v>802</v>
      </c>
      <c r="D259" s="913"/>
      <c r="E259" s="913"/>
      <c r="F259" s="1575">
        <f>SUM(F256:F258)</f>
        <v>2616.8240000000001</v>
      </c>
      <c r="G259" s="1576"/>
      <c r="H259" s="1577">
        <f>SUM(H256:H258)</f>
        <v>2456.8240000000001</v>
      </c>
      <c r="I259" s="1577">
        <f t="shared" ref="I259:P259" si="80">SUM(I256:I258)</f>
        <v>3958.0326566378676</v>
      </c>
      <c r="J259" s="1577">
        <f t="shared" si="80"/>
        <v>3862.5520218722363</v>
      </c>
      <c r="K259" s="1577">
        <f t="shared" si="80"/>
        <v>645.29856113648214</v>
      </c>
      <c r="L259" s="1577">
        <f t="shared" si="80"/>
        <v>1399.4695802357855</v>
      </c>
      <c r="M259" s="1577">
        <f t="shared" si="80"/>
        <v>0</v>
      </c>
      <c r="N259" s="1577">
        <f t="shared" si="80"/>
        <v>0</v>
      </c>
      <c r="O259" s="1577">
        <f t="shared" si="80"/>
        <v>0</v>
      </c>
      <c r="P259" s="1577">
        <f t="shared" si="80"/>
        <v>2044.7681413722676</v>
      </c>
      <c r="Q259" s="1577">
        <f t="shared" si="69"/>
        <v>1.6706533853327787</v>
      </c>
      <c r="R259" s="1577">
        <f t="shared" si="70"/>
        <v>0</v>
      </c>
      <c r="S259" s="1577">
        <f t="shared" si="71"/>
        <v>0</v>
      </c>
      <c r="T259" s="1577">
        <f t="shared" si="72"/>
        <v>0</v>
      </c>
      <c r="U259" s="1577">
        <f t="shared" si="73"/>
        <v>3.6231734156875945</v>
      </c>
      <c r="V259" s="1620">
        <f t="shared" si="74"/>
        <v>5.2938268010203737</v>
      </c>
      <c r="W259" s="912"/>
    </row>
    <row r="260" spans="2:23">
      <c r="B260" s="1524"/>
      <c r="C260" s="1451" t="s">
        <v>803</v>
      </c>
      <c r="D260" s="913"/>
      <c r="E260" s="913"/>
      <c r="F260" s="1570">
        <f>VLOOKUP($C260,'[1]Form 1.4'!$C$8:$V$64,2,0)</f>
        <v>2100</v>
      </c>
      <c r="G260" s="1571">
        <f>VLOOKUP($C260,'[1]Form 1.4'!$C$8:$V$64,3,0)</f>
        <v>0.14929999999999999</v>
      </c>
      <c r="H260" s="1572">
        <f>VLOOKUP($C260,'[1]Form 1.4'!$C$8:$V$64,4,0)</f>
        <v>300.13</v>
      </c>
      <c r="I260" s="1572">
        <f>VLOOKUP($C260,'[1]Form 1.4'!$C$8:$V$64,7,0)</f>
        <v>786.06662012430559</v>
      </c>
      <c r="J260" s="1572">
        <f>VLOOKUP($C260,'[1]Form 1.4'!$C$8:$V$64,8,0)</f>
        <v>743.1479958172049</v>
      </c>
      <c r="K260" s="1572">
        <f>VLOOKUP($C260,'[1]Form 1.4'!$C$8:$V$64,9,0)</f>
        <v>56.88707631164317</v>
      </c>
      <c r="L260" s="1572">
        <f>VLOOKUP($C260,'[1]Form 1.4'!$C$8:$V$64,10,0)</f>
        <v>266.73082214998169</v>
      </c>
      <c r="M260" s="1572">
        <f>VLOOKUP($C260,'[1]Form 1.4'!$C$8:$V$64,11,0)</f>
        <v>0</v>
      </c>
      <c r="N260" s="1572">
        <f>VLOOKUP($C260,'[1]Form 1.4'!$C$8:$V$64,12,0)</f>
        <v>0</v>
      </c>
      <c r="O260" s="1572">
        <f>VLOOKUP($C260,'[1]Form 1.4'!$C$8:$V$64,13,0)</f>
        <v>0</v>
      </c>
      <c r="P260" s="1573">
        <f t="shared" ref="P260:P278" si="81">SUM(K260:O260)</f>
        <v>323.61789846162486</v>
      </c>
      <c r="Q260" s="1573">
        <f t="shared" si="69"/>
        <v>0.7654878521079389</v>
      </c>
      <c r="R260" s="1573">
        <f t="shared" si="70"/>
        <v>0</v>
      </c>
      <c r="S260" s="1573">
        <f t="shared" si="71"/>
        <v>0</v>
      </c>
      <c r="T260" s="1573">
        <f t="shared" si="72"/>
        <v>0</v>
      </c>
      <c r="U260" s="1573">
        <f t="shared" si="73"/>
        <v>3.5892019308572625</v>
      </c>
      <c r="V260" s="1626">
        <f t="shared" si="74"/>
        <v>4.3546897829652016</v>
      </c>
      <c r="W260" s="912"/>
    </row>
    <row r="261" spans="2:23">
      <c r="B261" s="910"/>
      <c r="C261" s="1451" t="s">
        <v>804</v>
      </c>
      <c r="D261" s="913"/>
      <c r="E261" s="913"/>
      <c r="F261" s="1570">
        <f>VLOOKUP($C261,'[1]Form 1.4'!$C$8:$V$64,2,0)</f>
        <v>1000</v>
      </c>
      <c r="G261" s="1571">
        <f>VLOOKUP($C261,'[1]Form 1.4'!$C$8:$V$64,3,0)</f>
        <v>0.46110000000000001</v>
      </c>
      <c r="H261" s="1572">
        <f>VLOOKUP($C261,'[1]Form 1.4'!$C$8:$V$64,4,0)</f>
        <v>461.1</v>
      </c>
      <c r="I261" s="1572">
        <f>VLOOKUP($C261,'[1]Form 1.4'!$C$8:$V$64,7,0)</f>
        <v>1354.1271098006612</v>
      </c>
      <c r="J261" s="1572">
        <f>VLOOKUP($C261,'[1]Form 1.4'!$C$8:$V$64,8,0)</f>
        <v>1194.1051077521511</v>
      </c>
      <c r="K261" s="1572">
        <f>VLOOKUP($C261,'[1]Form 1.4'!$C$8:$V$64,9,0)</f>
        <v>126.71168345705375</v>
      </c>
      <c r="L261" s="1572">
        <f>VLOOKUP($C261,'[1]Form 1.4'!$C$8:$V$64,10,0)</f>
        <v>461.54205789737642</v>
      </c>
      <c r="M261" s="1572">
        <f>VLOOKUP($C261,'[1]Form 1.4'!$C$8:$V$64,11,0)</f>
        <v>0</v>
      </c>
      <c r="N261" s="1572">
        <f>VLOOKUP($C261,'[1]Form 1.4'!$C$8:$V$64,12,0)</f>
        <v>0</v>
      </c>
      <c r="O261" s="1572">
        <f>VLOOKUP($C261,'[1]Form 1.4'!$C$8:$V$64,13,0)</f>
        <v>0</v>
      </c>
      <c r="P261" s="1573">
        <f t="shared" si="81"/>
        <v>588.25374135443019</v>
      </c>
      <c r="Q261" s="1573">
        <f t="shared" si="69"/>
        <v>1.0611434674756794</v>
      </c>
      <c r="R261" s="1573">
        <f t="shared" si="70"/>
        <v>0</v>
      </c>
      <c r="S261" s="1573">
        <f t="shared" si="71"/>
        <v>0</v>
      </c>
      <c r="T261" s="1573">
        <f t="shared" si="72"/>
        <v>0</v>
      </c>
      <c r="U261" s="1573">
        <f t="shared" si="73"/>
        <v>3.8651711218806235</v>
      </c>
      <c r="V261" s="1626">
        <f t="shared" si="74"/>
        <v>4.926314589356303</v>
      </c>
      <c r="W261" s="912"/>
    </row>
    <row r="262" spans="2:23">
      <c r="B262" s="910"/>
      <c r="C262" s="1451" t="s">
        <v>805</v>
      </c>
      <c r="D262" s="913"/>
      <c r="E262" s="913"/>
      <c r="F262" s="1570">
        <f>VLOOKUP($C262,'[1]Form 1.4'!$C$8:$V$64,2,0)</f>
        <v>1000</v>
      </c>
      <c r="G262" s="1571">
        <f>VLOOKUP($C262,'[1]Form 1.4'!$C$8:$V$64,3,0)</f>
        <v>0.21387</v>
      </c>
      <c r="H262" s="1572">
        <f>VLOOKUP($C262,'[1]Form 1.4'!$C$8:$V$64,4,0)</f>
        <v>222.37</v>
      </c>
      <c r="I262" s="1572">
        <f>VLOOKUP($C262,'[1]Form 1.4'!$C$8:$V$64,7,0)</f>
        <v>628.31348216564311</v>
      </c>
      <c r="J262" s="1572">
        <f>VLOOKUP($C262,'[1]Form 1.4'!$C$8:$V$64,8,0)</f>
        <v>535.18801696087189</v>
      </c>
      <c r="K262" s="1572">
        <f>VLOOKUP($C262,'[1]Form 1.4'!$C$8:$V$64,9,0)</f>
        <v>82.717409968446191</v>
      </c>
      <c r="L262" s="1572">
        <f>VLOOKUP($C262,'[1]Form 1.4'!$C$8:$V$64,10,0)</f>
        <v>197.08275712204198</v>
      </c>
      <c r="M262" s="1572">
        <f>VLOOKUP($C262,'[1]Form 1.4'!$C$8:$V$64,11,0)</f>
        <v>0</v>
      </c>
      <c r="N262" s="1572">
        <f>VLOOKUP($C262,'[1]Form 1.4'!$C$8:$V$64,12,0)</f>
        <v>0</v>
      </c>
      <c r="O262" s="1572">
        <f>VLOOKUP($C262,'[1]Form 1.4'!$C$8:$V$64,13,0)</f>
        <v>0</v>
      </c>
      <c r="P262" s="1573">
        <f t="shared" si="81"/>
        <v>279.80016709048817</v>
      </c>
      <c r="Q262" s="1573">
        <f t="shared" si="69"/>
        <v>1.5455766449736064</v>
      </c>
      <c r="R262" s="1573">
        <f t="shared" si="70"/>
        <v>0</v>
      </c>
      <c r="S262" s="1573">
        <f t="shared" si="71"/>
        <v>0</v>
      </c>
      <c r="T262" s="1573">
        <f t="shared" si="72"/>
        <v>0</v>
      </c>
      <c r="U262" s="1573">
        <f t="shared" si="73"/>
        <v>3.682495700131696</v>
      </c>
      <c r="V262" s="1626">
        <f t="shared" si="74"/>
        <v>5.2280723451053026</v>
      </c>
      <c r="W262" s="912"/>
    </row>
    <row r="263" spans="2:23">
      <c r="B263" s="910"/>
      <c r="C263" s="1451" t="s">
        <v>806</v>
      </c>
      <c r="D263" s="913"/>
      <c r="E263" s="913"/>
      <c r="F263" s="1570">
        <f>VLOOKUP($C263,'[1]Form 1.4'!$C$8:$V$64,2,0)</f>
        <v>2000</v>
      </c>
      <c r="G263" s="1571">
        <f>VLOOKUP($C263,'[1]Form 1.4'!$C$8:$V$64,3,0)</f>
        <v>8.8399999999999992E-2</v>
      </c>
      <c r="H263" s="1572">
        <f>VLOOKUP($C263,'[1]Form 1.4'!$C$8:$V$64,4,0)</f>
        <v>184.96</v>
      </c>
      <c r="I263" s="1572">
        <f>VLOOKUP($C263,'[1]Form 1.4'!$C$8:$V$64,7,0)</f>
        <v>447.49829455251876</v>
      </c>
      <c r="J263" s="1572">
        <f>VLOOKUP($C263,'[1]Form 1.4'!$C$8:$V$64,8,0)</f>
        <v>418.42884803065829</v>
      </c>
      <c r="K263" s="1572">
        <f>VLOOKUP($C263,'[1]Form 1.4'!$C$8:$V$64,9,0)</f>
        <v>39.082376446919426</v>
      </c>
      <c r="L263" s="1572">
        <f>VLOOKUP($C263,'[1]Form 1.4'!$C$8:$V$64,10,0)</f>
        <v>78.463755725055535</v>
      </c>
      <c r="M263" s="1572">
        <f>VLOOKUP($C263,'[1]Form 1.4'!$C$8:$V$64,11,0)</f>
        <v>0</v>
      </c>
      <c r="N263" s="1572">
        <f>VLOOKUP($C263,'[1]Form 1.4'!$C$8:$V$64,12,0)</f>
        <v>0</v>
      </c>
      <c r="O263" s="1572">
        <f>VLOOKUP($C263,'[1]Form 1.4'!$C$8:$V$64,13,0)</f>
        <v>0</v>
      </c>
      <c r="P263" s="1573">
        <f t="shared" si="81"/>
        <v>117.54613217197496</v>
      </c>
      <c r="Q263" s="1573">
        <f t="shared" si="69"/>
        <v>0.93402681557118306</v>
      </c>
      <c r="R263" s="1573">
        <f t="shared" si="70"/>
        <v>0</v>
      </c>
      <c r="S263" s="1573">
        <f t="shared" si="71"/>
        <v>0</v>
      </c>
      <c r="T263" s="1573">
        <f t="shared" si="72"/>
        <v>0</v>
      </c>
      <c r="U263" s="1573">
        <f t="shared" si="73"/>
        <v>1.8751994776255601</v>
      </c>
      <c r="V263" s="1626">
        <f t="shared" si="74"/>
        <v>2.8092262931967431</v>
      </c>
      <c r="W263" s="912"/>
    </row>
    <row r="264" spans="2:23">
      <c r="B264" s="1524"/>
      <c r="C264" s="1451" t="s">
        <v>807</v>
      </c>
      <c r="D264" s="433"/>
      <c r="E264" s="433"/>
      <c r="F264" s="1570">
        <f>VLOOKUP($C264,'[1]Form 1.4'!$C$8:$V$64,2,0)</f>
        <v>500</v>
      </c>
      <c r="G264" s="1571">
        <f>VLOOKUP($C264,'[1]Form 1.4'!$C$8:$V$64,3,0)</f>
        <v>0.14568</v>
      </c>
      <c r="H264" s="1572">
        <f>VLOOKUP($C264,'[1]Form 1.4'!$C$8:$V$64,4,0)</f>
        <v>75.25</v>
      </c>
      <c r="I264" s="1572">
        <f>VLOOKUP($C264,'[1]Form 1.4'!$C$8:$V$64,7,0)</f>
        <v>228.63183910750152</v>
      </c>
      <c r="J264" s="1572">
        <f>VLOOKUP($C264,'[1]Form 1.4'!$C$8:$V$64,8,0)</f>
        <v>212.0380270506252</v>
      </c>
      <c r="K264" s="1572">
        <f>VLOOKUP($C264,'[1]Form 1.4'!$C$8:$V$64,9,0)</f>
        <v>16.575724673545508</v>
      </c>
      <c r="L264" s="1572">
        <f>VLOOKUP($C264,'[1]Form 1.4'!$C$8:$V$64,10,0)</f>
        <v>75.199069780339926</v>
      </c>
      <c r="M264" s="1572">
        <f>VLOOKUP($C264,'[1]Form 1.4'!$C$8:$V$64,11,0)</f>
        <v>0</v>
      </c>
      <c r="N264" s="1572">
        <f>VLOOKUP($C264,'[1]Form 1.4'!$C$8:$V$64,12,0)</f>
        <v>0</v>
      </c>
      <c r="O264" s="1572">
        <f>VLOOKUP($C264,'[1]Form 1.4'!$C$8:$V$64,13,0)</f>
        <v>0</v>
      </c>
      <c r="P264" s="1573">
        <f t="shared" si="81"/>
        <v>91.774794453885434</v>
      </c>
      <c r="Q264" s="1573">
        <f t="shared" si="69"/>
        <v>0.78173358355140543</v>
      </c>
      <c r="R264" s="1573">
        <f t="shared" si="70"/>
        <v>0</v>
      </c>
      <c r="S264" s="1573">
        <f t="shared" si="71"/>
        <v>0</v>
      </c>
      <c r="T264" s="1573">
        <f t="shared" si="72"/>
        <v>0</v>
      </c>
      <c r="U264" s="1573">
        <f t="shared" si="73"/>
        <v>3.5464897889464773</v>
      </c>
      <c r="V264" s="1626">
        <f t="shared" si="74"/>
        <v>4.3282233724978827</v>
      </c>
      <c r="W264" s="912"/>
    </row>
    <row r="265" spans="2:23">
      <c r="B265" s="1524"/>
      <c r="C265" s="1451" t="s">
        <v>808</v>
      </c>
      <c r="D265" s="433"/>
      <c r="E265" s="433"/>
      <c r="F265" s="1570">
        <f>VLOOKUP($C265,'[1]Form 1.4'!$C$8:$V$64,2,0)</f>
        <v>2400</v>
      </c>
      <c r="G265" s="1571">
        <f>VLOOKUP($C265,'[1]Form 1.4'!$C$8:$V$64,3,0)</f>
        <v>8.7851768958943588E-2</v>
      </c>
      <c r="H265" s="1572">
        <f>VLOOKUP($C265,'[1]Form 1.4'!$C$8:$V$64,4,0)</f>
        <v>239.54</v>
      </c>
      <c r="I265" s="1572">
        <f>VLOOKUP($C265,'[1]Form 1.4'!$C$8:$V$64,7,0)</f>
        <v>624.26874612558004</v>
      </c>
      <c r="J265" s="1572">
        <f>VLOOKUP($C265,'[1]Form 1.4'!$C$8:$V$64,8,0)</f>
        <v>507.7380852222675</v>
      </c>
      <c r="K265" s="1572">
        <f>VLOOKUP($C265,'[1]Form 1.4'!$C$8:$V$64,9,0)</f>
        <v>97.600198192605092</v>
      </c>
      <c r="L265" s="1572">
        <f>VLOOKUP($C265,'[1]Form 1.4'!$C$8:$V$64,10,0)</f>
        <v>249.65398230712537</v>
      </c>
      <c r="M265" s="1572">
        <f>VLOOKUP($C265,'[1]Form 1.4'!$C$8:$V$64,11,0)</f>
        <v>0</v>
      </c>
      <c r="N265" s="1572">
        <f>VLOOKUP($C265,'[1]Form 1.4'!$C$8:$V$64,12,0)</f>
        <v>0</v>
      </c>
      <c r="O265" s="1572">
        <f>VLOOKUP($C265,'[1]Form 1.4'!$C$8:$V$64,13,0)</f>
        <v>0</v>
      </c>
      <c r="P265" s="1573">
        <f t="shared" si="81"/>
        <v>347.25418049973047</v>
      </c>
      <c r="Q265" s="1573">
        <f t="shared" si="69"/>
        <v>1.9222548206105048</v>
      </c>
      <c r="R265" s="1573">
        <f t="shared" si="70"/>
        <v>0</v>
      </c>
      <c r="S265" s="1573">
        <f t="shared" si="71"/>
        <v>0</v>
      </c>
      <c r="T265" s="1573">
        <f t="shared" si="72"/>
        <v>0</v>
      </c>
      <c r="U265" s="1573">
        <f t="shared" si="73"/>
        <v>4.9169835703350246</v>
      </c>
      <c r="V265" s="1626">
        <f t="shared" si="74"/>
        <v>6.8392383909455292</v>
      </c>
      <c r="W265" s="912"/>
    </row>
    <row r="266" spans="2:23">
      <c r="B266" s="1524"/>
      <c r="C266" s="1451" t="s">
        <v>809</v>
      </c>
      <c r="D266" s="123"/>
      <c r="E266" s="123"/>
      <c r="F266" s="1570">
        <f>VLOOKUP($C266,'[1]Form 1.4'!$C$8:$V$64,2,0)</f>
        <v>1500</v>
      </c>
      <c r="G266" s="1571">
        <f>VLOOKUP($C266,'[1]Form 1.4'!$C$8:$V$64,3,0)</f>
        <v>5.9749999999999998E-2</v>
      </c>
      <c r="H266" s="1572">
        <f>VLOOKUP($C266,'[1]Form 1.4'!$C$8:$V$64,4,0)</f>
        <v>86.44</v>
      </c>
      <c r="I266" s="1572">
        <f>VLOOKUP($C266,'[1]Form 1.4'!$C$8:$V$64,7,0)</f>
        <v>225.01152476831365</v>
      </c>
      <c r="J266" s="1572">
        <f>VLOOKUP($C266,'[1]Form 1.4'!$C$8:$V$64,8,0)</f>
        <v>209.13182030574018</v>
      </c>
      <c r="K266" s="1572">
        <f>VLOOKUP($C266,'[1]Form 1.4'!$C$8:$V$64,9,0)</f>
        <v>38.779471826207342</v>
      </c>
      <c r="L266" s="1572">
        <f>VLOOKUP($C266,'[1]Form 1.4'!$C$8:$V$64,10,0)</f>
        <v>83.070169862824486</v>
      </c>
      <c r="M266" s="1572">
        <f>VLOOKUP($C266,'[1]Form 1.4'!$C$8:$V$64,11,0)</f>
        <v>0</v>
      </c>
      <c r="N266" s="1572">
        <f>VLOOKUP($C266,'[1]Form 1.4'!$C$8:$V$64,12,0)</f>
        <v>0</v>
      </c>
      <c r="O266" s="1572">
        <f>VLOOKUP($C266,'[1]Form 1.4'!$C$8:$V$64,13,0)</f>
        <v>0</v>
      </c>
      <c r="P266" s="1573">
        <f t="shared" si="81"/>
        <v>121.84964168903183</v>
      </c>
      <c r="Q266" s="1573">
        <f t="shared" si="69"/>
        <v>1.8543075735444614</v>
      </c>
      <c r="R266" s="1573">
        <f t="shared" si="70"/>
        <v>0</v>
      </c>
      <c r="S266" s="1573">
        <f t="shared" si="71"/>
        <v>0</v>
      </c>
      <c r="T266" s="1573">
        <f t="shared" si="72"/>
        <v>0</v>
      </c>
      <c r="U266" s="1573">
        <f t="shared" si="73"/>
        <v>3.9721439684013693</v>
      </c>
      <c r="V266" s="1626">
        <f t="shared" si="74"/>
        <v>5.8264515419458309</v>
      </c>
      <c r="W266" s="912"/>
    </row>
    <row r="267" spans="2:23">
      <c r="B267" s="910"/>
      <c r="C267" s="1451" t="s">
        <v>681</v>
      </c>
      <c r="D267" s="433"/>
      <c r="E267" s="433"/>
      <c r="F267" s="1570">
        <f>VLOOKUP($C267,'[1]Form 1.4'!$C$8:$V$64,2,0)</f>
        <v>630</v>
      </c>
      <c r="G267" s="1571">
        <f>VLOOKUP($C267,'[1]Form 1.4'!$C$8:$V$64,3,0)</f>
        <v>7.8769999999999993E-2</v>
      </c>
      <c r="H267" s="1572">
        <f>VLOOKUP($C267,'[1]Form 1.4'!$C$8:$V$64,4,0)</f>
        <v>46.88</v>
      </c>
      <c r="I267" s="1572">
        <f>VLOOKUP($C267,'[1]Form 1.4'!$C$8:$V$64,7,0)</f>
        <v>94.91499300312212</v>
      </c>
      <c r="J267" s="1572">
        <f>VLOOKUP($C267,'[1]Form 1.4'!$C$8:$V$64,8,0)</f>
        <v>96.645006460533679</v>
      </c>
      <c r="K267" s="1572">
        <f>VLOOKUP($C267,'[1]Form 1.4'!$C$8:$V$64,9,0)</f>
        <v>8.0249185472052424</v>
      </c>
      <c r="L267" s="1572">
        <f>VLOOKUP($C267,'[1]Form 1.4'!$C$8:$V$64,10,0)</f>
        <v>30.952770386337569</v>
      </c>
      <c r="M267" s="1572">
        <f>VLOOKUP($C267,'[1]Form 1.4'!$C$8:$V$64,11,0)</f>
        <v>0</v>
      </c>
      <c r="N267" s="1572">
        <f>VLOOKUP($C267,'[1]Form 1.4'!$C$8:$V$64,12,0)</f>
        <v>0</v>
      </c>
      <c r="O267" s="1572">
        <f>VLOOKUP($C267,'[1]Form 1.4'!$C$8:$V$64,13,0)</f>
        <v>0</v>
      </c>
      <c r="P267" s="1573">
        <f t="shared" si="81"/>
        <v>38.977688933542808</v>
      </c>
      <c r="Q267" s="1573">
        <f t="shared" si="69"/>
        <v>0.83035004508818866</v>
      </c>
      <c r="R267" s="1573">
        <f t="shared" si="70"/>
        <v>0</v>
      </c>
      <c r="S267" s="1573">
        <f t="shared" si="71"/>
        <v>0</v>
      </c>
      <c r="T267" s="1573">
        <f t="shared" si="72"/>
        <v>0</v>
      </c>
      <c r="U267" s="1573">
        <f t="shared" si="73"/>
        <v>3.202728368483017</v>
      </c>
      <c r="V267" s="1626">
        <f t="shared" si="74"/>
        <v>4.0330784135712054</v>
      </c>
      <c r="W267" s="912"/>
    </row>
    <row r="268" spans="2:23">
      <c r="B268" s="1524"/>
      <c r="C268" s="1451" t="s">
        <v>680</v>
      </c>
      <c r="D268" s="433"/>
      <c r="E268" s="433"/>
      <c r="F268" s="1570">
        <f>VLOOKUP($C268,'[1]Form 1.4'!$C$8:$V$64,2,0)</f>
        <v>840</v>
      </c>
      <c r="G268" s="1571">
        <f>VLOOKUP($C268,'[1]Form 1.4'!$C$8:$V$64,3,0)</f>
        <v>0.10535</v>
      </c>
      <c r="H268" s="1572">
        <f>VLOOKUP($C268,'[1]Form 1.4'!$C$8:$V$64,4,0)</f>
        <v>85.83</v>
      </c>
      <c r="I268" s="1572">
        <f>VLOOKUP($C268,'[1]Form 1.4'!$C$8:$V$64,7,0)</f>
        <v>153.65042679495909</v>
      </c>
      <c r="J268" s="1572">
        <f>VLOOKUP($C268,'[1]Form 1.4'!$C$8:$V$64,8,0)</f>
        <v>154.87595183784154</v>
      </c>
      <c r="K268" s="1572">
        <f>VLOOKUP($C268,'[1]Form 1.4'!$C$8:$V$64,9,0)</f>
        <v>13.447224268165156</v>
      </c>
      <c r="L268" s="1572">
        <f>VLOOKUP($C268,'[1]Form 1.4'!$C$8:$V$64,10,0)</f>
        <v>49.638923190789754</v>
      </c>
      <c r="M268" s="1572">
        <f>VLOOKUP($C268,'[1]Form 1.4'!$C$8:$V$64,11,0)</f>
        <v>0</v>
      </c>
      <c r="N268" s="1572">
        <f>VLOOKUP($C268,'[1]Form 1.4'!$C$8:$V$64,12,0)</f>
        <v>0</v>
      </c>
      <c r="O268" s="1572">
        <f>VLOOKUP($C268,'[1]Form 1.4'!$C$8:$V$64,13,0)</f>
        <v>0</v>
      </c>
      <c r="P268" s="1573">
        <f t="shared" si="81"/>
        <v>63.086147458954912</v>
      </c>
      <c r="Q268" s="1573">
        <f t="shared" si="69"/>
        <v>0.86825773198441358</v>
      </c>
      <c r="R268" s="1573">
        <f t="shared" si="70"/>
        <v>0</v>
      </c>
      <c r="S268" s="1573">
        <f t="shared" si="71"/>
        <v>0</v>
      </c>
      <c r="T268" s="1573">
        <f t="shared" si="72"/>
        <v>0</v>
      </c>
      <c r="U268" s="1573">
        <f t="shared" si="73"/>
        <v>3.2050762304765543</v>
      </c>
      <c r="V268" s="1626">
        <f t="shared" si="74"/>
        <v>4.0733339624609686</v>
      </c>
      <c r="W268" s="912"/>
    </row>
    <row r="269" spans="2:23">
      <c r="B269" s="1524"/>
      <c r="C269" s="1451" t="s">
        <v>810</v>
      </c>
      <c r="D269" s="123"/>
      <c r="E269" s="123"/>
      <c r="F269" s="1570">
        <f>VLOOKUP($C269,'[1]Form 1.4'!$C$8:$V$64,2,0)</f>
        <v>440</v>
      </c>
      <c r="G269" s="1571">
        <f>VLOOKUP($C269,'[1]Form 1.4'!$C$8:$V$64,3,0)</f>
        <v>4.1200000000000001E-2</v>
      </c>
      <c r="H269" s="1572">
        <f>VLOOKUP($C269,'[1]Form 1.4'!$C$8:$V$64,4,0)</f>
        <v>18.16</v>
      </c>
      <c r="I269" s="1572">
        <f>VLOOKUP($C269,'[1]Form 1.4'!$C$8:$V$64,7,0)</f>
        <v>20.658546205856769</v>
      </c>
      <c r="J269" s="1572">
        <f>VLOOKUP($C269,'[1]Form 1.4'!$C$8:$V$64,8,0)</f>
        <v>20.335427317294037</v>
      </c>
      <c r="K269" s="1572">
        <f>VLOOKUP($C269,'[1]Form 1.4'!$C$8:$V$64,9,0)</f>
        <v>3.9058962300000388E-3</v>
      </c>
      <c r="L269" s="1572">
        <f>VLOOKUP($C269,'[1]Form 1.4'!$C$8:$V$64,10,0)</f>
        <v>4.7215960157332626</v>
      </c>
      <c r="M269" s="1572">
        <f>VLOOKUP($C269,'[1]Form 1.4'!$C$8:$V$64,11,0)</f>
        <v>0</v>
      </c>
      <c r="N269" s="1572">
        <f>VLOOKUP($C269,'[1]Form 1.4'!$C$8:$V$64,12,0)</f>
        <v>0</v>
      </c>
      <c r="O269" s="1572">
        <f>VLOOKUP($C269,'[1]Form 1.4'!$C$8:$V$64,13,0)</f>
        <v>0</v>
      </c>
      <c r="P269" s="1573">
        <f t="shared" si="81"/>
        <v>4.7255019119632626</v>
      </c>
      <c r="Q269" s="1573">
        <f t="shared" si="69"/>
        <v>1.920734769452478E-3</v>
      </c>
      <c r="R269" s="1573">
        <f t="shared" si="70"/>
        <v>0</v>
      </c>
      <c r="S269" s="1573">
        <f t="shared" si="71"/>
        <v>0</v>
      </c>
      <c r="T269" s="1573">
        <f t="shared" si="72"/>
        <v>0</v>
      </c>
      <c r="U269" s="1573">
        <f t="shared" si="73"/>
        <v>2.3218572897742029</v>
      </c>
      <c r="V269" s="1626">
        <f t="shared" si="74"/>
        <v>2.3237780245436555</v>
      </c>
      <c r="W269" s="912"/>
    </row>
    <row r="270" spans="2:23">
      <c r="B270" s="1524"/>
      <c r="C270" s="1451" t="s">
        <v>811</v>
      </c>
      <c r="D270" s="913"/>
      <c r="E270" s="913"/>
      <c r="F270" s="1570">
        <f>VLOOKUP($C270,'[1]Form 1.4'!$C$8:$V$64,2,0)</f>
        <v>880</v>
      </c>
      <c r="G270" s="1571">
        <f>VLOOKUP($C270,'[1]Form 1.4'!$C$8:$V$64,3,0)</f>
        <v>0.12984999999999999</v>
      </c>
      <c r="H270" s="1572">
        <f>VLOOKUP($C270,'[1]Form 1.4'!$C$8:$V$64,4,0)</f>
        <v>114.45</v>
      </c>
      <c r="I270" s="1572">
        <f>VLOOKUP($C270,'[1]Form 1.4'!$C$8:$V$64,7,0)</f>
        <v>320.90420568981006</v>
      </c>
      <c r="J270" s="1572">
        <f>VLOOKUP($C270,'[1]Form 1.4'!$C$8:$V$64,8,0)</f>
        <v>316.39986727938981</v>
      </c>
      <c r="K270" s="1572">
        <f>VLOOKUP($C270,'[1]Form 1.4'!$C$8:$V$64,9,0)</f>
        <v>0</v>
      </c>
      <c r="L270" s="1572">
        <f>VLOOKUP($C270,'[1]Form 1.4'!$C$8:$V$64,10,0)</f>
        <v>111.00876290073009</v>
      </c>
      <c r="M270" s="1572">
        <f>VLOOKUP($C270,'[1]Form 1.4'!$C$8:$V$64,11,0)</f>
        <v>0</v>
      </c>
      <c r="N270" s="1572">
        <f>VLOOKUP($C270,'[1]Form 1.4'!$C$8:$V$64,12,0)</f>
        <v>0</v>
      </c>
      <c r="O270" s="1572">
        <f>VLOOKUP($C270,'[1]Form 1.4'!$C$8:$V$64,13,0)</f>
        <v>0</v>
      </c>
      <c r="P270" s="1573">
        <f t="shared" si="81"/>
        <v>111.00876290073009</v>
      </c>
      <c r="Q270" s="1573">
        <f t="shared" si="69"/>
        <v>0</v>
      </c>
      <c r="R270" s="1573">
        <f t="shared" si="70"/>
        <v>0</v>
      </c>
      <c r="S270" s="1573">
        <f t="shared" si="71"/>
        <v>0</v>
      </c>
      <c r="T270" s="1573">
        <f t="shared" si="72"/>
        <v>0</v>
      </c>
      <c r="U270" s="1573">
        <f t="shared" si="73"/>
        <v>3.5084958743900572</v>
      </c>
      <c r="V270" s="1626">
        <f t="shared" si="74"/>
        <v>3.5084958743900572</v>
      </c>
      <c r="W270" s="912"/>
    </row>
    <row r="271" spans="2:23">
      <c r="B271" s="910"/>
      <c r="C271" s="1451" t="s">
        <v>812</v>
      </c>
      <c r="D271" s="913"/>
      <c r="E271" s="913"/>
      <c r="F271" s="1570">
        <f>VLOOKUP($C271,'[1]Form 1.4'!$C$8:$V$64,2,0)</f>
        <v>1000</v>
      </c>
      <c r="G271" s="1571">
        <f>VLOOKUP($C271,'[1]Form 1.4'!$C$8:$V$64,3,0)</f>
        <v>0.12819</v>
      </c>
      <c r="H271" s="1572">
        <f>VLOOKUP($C271,'[1]Form 1.4'!$C$8:$V$64,4,0)</f>
        <v>121.61</v>
      </c>
      <c r="I271" s="1572">
        <f>VLOOKUP($C271,'[1]Form 1.4'!$C$8:$V$64,7,0)</f>
        <v>322.75130679868948</v>
      </c>
      <c r="J271" s="1572">
        <f>VLOOKUP($C271,'[1]Form 1.4'!$C$8:$V$64,8,0)</f>
        <v>304.2885788069334</v>
      </c>
      <c r="K271" s="1572">
        <f>VLOOKUP($C271,'[1]Form 1.4'!$C$8:$V$64,9,0)</f>
        <v>46.177925540109861</v>
      </c>
      <c r="L271" s="1572">
        <f>VLOOKUP($C271,'[1]Form 1.4'!$C$8:$V$64,10,0)</f>
        <v>106.19381598352072</v>
      </c>
      <c r="M271" s="1572">
        <f>VLOOKUP($C271,'[1]Form 1.4'!$C$8:$V$64,11,0)</f>
        <v>0</v>
      </c>
      <c r="N271" s="1572">
        <f>VLOOKUP($C271,'[1]Form 1.4'!$C$8:$V$64,12,0)</f>
        <v>0</v>
      </c>
      <c r="O271" s="1572">
        <f>VLOOKUP($C271,'[1]Form 1.4'!$C$8:$V$64,13,0)</f>
        <v>0</v>
      </c>
      <c r="P271" s="1573">
        <f t="shared" si="81"/>
        <v>152.37174152363059</v>
      </c>
      <c r="Q271" s="1573">
        <f t="shared" si="69"/>
        <v>1.5175701211384958</v>
      </c>
      <c r="R271" s="1573">
        <f t="shared" si="70"/>
        <v>0</v>
      </c>
      <c r="S271" s="1573">
        <f t="shared" si="71"/>
        <v>0</v>
      </c>
      <c r="T271" s="1573">
        <f t="shared" si="72"/>
        <v>0</v>
      </c>
      <c r="U271" s="1573">
        <f t="shared" si="73"/>
        <v>3.4899047607994227</v>
      </c>
      <c r="V271" s="1626">
        <f t="shared" si="74"/>
        <v>5.0074748819379185</v>
      </c>
      <c r="W271" s="912"/>
    </row>
    <row r="272" spans="2:23">
      <c r="B272" s="449"/>
      <c r="C272" s="1451" t="s">
        <v>780</v>
      </c>
      <c r="D272" s="913"/>
      <c r="E272" s="913"/>
      <c r="F272" s="1570">
        <f>VLOOKUP($C272,'[1]Form 1.4'!$C$8:$V$64,2,0)</f>
        <v>1000</v>
      </c>
      <c r="G272" s="1571">
        <f>VLOOKUP($C272,'[1]Form 1.4'!$C$8:$V$64,3,0)</f>
        <v>5.2740000000000002E-2</v>
      </c>
      <c r="H272" s="1572">
        <f>VLOOKUP($C272,'[1]Form 1.4'!$C$8:$V$64,4,0)</f>
        <v>52.71</v>
      </c>
      <c r="I272" s="1572">
        <f>VLOOKUP($C272,'[1]Form 1.4'!$C$8:$V$64,7,0)</f>
        <v>138.83748900926483</v>
      </c>
      <c r="J272" s="1572">
        <f>VLOOKUP($C272,'[1]Form 1.4'!$C$8:$V$64,8,0)</f>
        <v>139.68288278873297</v>
      </c>
      <c r="K272" s="1572">
        <f>VLOOKUP($C272,'[1]Form 1.4'!$C$8:$V$64,9,0)</f>
        <v>24.684096694155166</v>
      </c>
      <c r="L272" s="1572">
        <f>VLOOKUP($C272,'[1]Form 1.4'!$C$8:$V$64,10,0)</f>
        <v>36.101595233670487</v>
      </c>
      <c r="M272" s="1572">
        <f>VLOOKUP($C272,'[1]Form 1.4'!$C$8:$V$64,11,0)</f>
        <v>0</v>
      </c>
      <c r="N272" s="1572">
        <f>VLOOKUP($C272,'[1]Form 1.4'!$C$8:$V$64,12,0)</f>
        <v>0</v>
      </c>
      <c r="O272" s="1572">
        <f>VLOOKUP($C272,'[1]Form 1.4'!$C$8:$V$64,13,0)</f>
        <v>0</v>
      </c>
      <c r="P272" s="1573">
        <f t="shared" si="81"/>
        <v>60.785691927825653</v>
      </c>
      <c r="Q272" s="1573">
        <f t="shared" si="69"/>
        <v>1.7671525817153468</v>
      </c>
      <c r="R272" s="1573">
        <f t="shared" si="70"/>
        <v>0</v>
      </c>
      <c r="S272" s="1573">
        <f t="shared" si="71"/>
        <v>0</v>
      </c>
      <c r="T272" s="1573">
        <f t="shared" si="72"/>
        <v>0</v>
      </c>
      <c r="U272" s="1573">
        <f t="shared" si="73"/>
        <v>2.5845396739322233</v>
      </c>
      <c r="V272" s="1626">
        <f t="shared" si="74"/>
        <v>4.3516922556475706</v>
      </c>
      <c r="W272" s="912"/>
    </row>
    <row r="273" spans="2:23">
      <c r="B273" s="915"/>
      <c r="C273" s="1451" t="s">
        <v>965</v>
      </c>
      <c r="D273" s="433"/>
      <c r="E273" s="433"/>
      <c r="F273" s="1570">
        <f>VLOOKUP($C273,'[1]Form 1.4'!$C$8:$V$64,2,0)</f>
        <v>1000</v>
      </c>
      <c r="G273" s="1571">
        <f>VLOOKUP($C273,'[1]Form 1.4'!$C$8:$V$64,3,0)</f>
        <v>1.7000000000000001E-3</v>
      </c>
      <c r="H273" s="1572">
        <f>VLOOKUP($C273,'[1]Form 1.4'!$C$8:$V$64,4,0)</f>
        <v>1.78</v>
      </c>
      <c r="I273" s="1572">
        <f>VLOOKUP($C273,'[1]Form 1.4'!$C$8:$V$64,7,0)</f>
        <v>4.3457201942101271</v>
      </c>
      <c r="J273" s="1572">
        <f>VLOOKUP($C273,'[1]Form 1.4'!$C$8:$V$64,8,0)</f>
        <v>4.2778185857495714</v>
      </c>
      <c r="K273" s="1572">
        <f>VLOOKUP($C273,'[1]Form 1.4'!$C$8:$V$64,9,0)</f>
        <v>0</v>
      </c>
      <c r="L273" s="1572">
        <f>VLOOKUP($C273,'[1]Form 1.4'!$C$8:$V$64,10,0)</f>
        <v>1.8385018955965993</v>
      </c>
      <c r="M273" s="1572">
        <f>VLOOKUP($C273,'[1]Form 1.4'!$C$8:$V$64,11,0)</f>
        <v>0</v>
      </c>
      <c r="N273" s="1572">
        <f>VLOOKUP($C273,'[1]Form 1.4'!$C$8:$V$64,12,0)</f>
        <v>0</v>
      </c>
      <c r="O273" s="1572">
        <f>VLOOKUP($C273,'[1]Form 1.4'!$C$8:$V$64,13,0)</f>
        <v>0</v>
      </c>
      <c r="P273" s="1573">
        <f t="shared" si="81"/>
        <v>1.8385018955965993</v>
      </c>
      <c r="Q273" s="1573">
        <f t="shared" si="69"/>
        <v>0</v>
      </c>
      <c r="R273" s="1573">
        <f t="shared" si="70"/>
        <v>0</v>
      </c>
      <c r="S273" s="1573">
        <f t="shared" si="71"/>
        <v>0</v>
      </c>
      <c r="T273" s="1573">
        <f t="shared" si="72"/>
        <v>0</v>
      </c>
      <c r="U273" s="1573">
        <f t="shared" si="73"/>
        <v>4.2977556405058532</v>
      </c>
      <c r="V273" s="1626">
        <f t="shared" si="74"/>
        <v>4.2977556405058532</v>
      </c>
      <c r="W273" s="912"/>
    </row>
    <row r="274" spans="2:23">
      <c r="B274" s="449"/>
      <c r="C274" s="1451" t="s">
        <v>966</v>
      </c>
      <c r="D274" s="123"/>
      <c r="E274" s="123"/>
      <c r="F274" s="1570">
        <f>VLOOKUP($C274,'[1]Form 1.4'!$C$8:$V$64,2,0)</f>
        <v>420</v>
      </c>
      <c r="G274" s="1571">
        <f>VLOOKUP($C274,'[1]Form 1.4'!$C$8:$V$64,3,0)</f>
        <v>5.1000000000000004E-3</v>
      </c>
      <c r="H274" s="1572">
        <f>VLOOKUP($C274,'[1]Form 1.4'!$C$8:$V$64,4,0)</f>
        <v>2.2400000000000002</v>
      </c>
      <c r="I274" s="1572">
        <f>VLOOKUP($C274,'[1]Form 1.4'!$C$8:$V$64,7,0)</f>
        <v>6.2691055834747473</v>
      </c>
      <c r="J274" s="1572">
        <f>VLOOKUP($C274,'[1]Form 1.4'!$C$8:$V$64,8,0)</f>
        <v>6.2504547534075243</v>
      </c>
      <c r="K274" s="1572">
        <f>VLOOKUP($C274,'[1]Form 1.4'!$C$8:$V$64,9,0)</f>
        <v>0.56218713072245208</v>
      </c>
      <c r="L274" s="1572">
        <f>VLOOKUP($C274,'[1]Form 1.4'!$C$8:$V$64,10,0)</f>
        <v>1.7819773107382262</v>
      </c>
      <c r="M274" s="1572">
        <f>VLOOKUP($C274,'[1]Form 1.4'!$C$8:$V$64,11,0)</f>
        <v>0</v>
      </c>
      <c r="N274" s="1572">
        <f>VLOOKUP($C274,'[1]Form 1.4'!$C$8:$V$64,12,0)</f>
        <v>0</v>
      </c>
      <c r="O274" s="1572">
        <f>VLOOKUP($C274,'[1]Form 1.4'!$C$8:$V$64,13,0)</f>
        <v>0</v>
      </c>
      <c r="P274" s="1573">
        <f t="shared" si="81"/>
        <v>2.3441644414606784</v>
      </c>
      <c r="Q274" s="1573">
        <f t="shared" si="69"/>
        <v>0.8994339658501932</v>
      </c>
      <c r="R274" s="1573">
        <f t="shared" si="70"/>
        <v>0</v>
      </c>
      <c r="S274" s="1573">
        <f t="shared" si="71"/>
        <v>0</v>
      </c>
      <c r="T274" s="1573">
        <f t="shared" si="72"/>
        <v>0</v>
      </c>
      <c r="U274" s="1573">
        <f t="shared" si="73"/>
        <v>2.8509562600493283</v>
      </c>
      <c r="V274" s="1626">
        <f t="shared" si="74"/>
        <v>3.7503902258995216</v>
      </c>
      <c r="W274" s="912"/>
    </row>
    <row r="275" spans="2:23">
      <c r="B275" s="910"/>
      <c r="C275" s="1451" t="s">
        <v>967</v>
      </c>
      <c r="D275" s="433"/>
      <c r="E275" s="433"/>
      <c r="F275" s="1570">
        <f>VLOOKUP($C275,'[1]Form 1.4'!$C$8:$V$64,2,0)</f>
        <v>500</v>
      </c>
      <c r="G275" s="1571">
        <f>VLOOKUP($C275,'[1]Form 1.4'!$C$8:$V$64,3,0)</f>
        <v>5.1000000000000004E-3</v>
      </c>
      <c r="H275" s="1572">
        <f>VLOOKUP($C275,'[1]Form 1.4'!$C$8:$V$64,4,0)</f>
        <v>2.67</v>
      </c>
      <c r="I275" s="1572">
        <f>VLOOKUP($C275,'[1]Form 1.4'!$C$8:$V$64,7,0)</f>
        <v>4.3273143261649709</v>
      </c>
      <c r="J275" s="1572">
        <f>VLOOKUP($C275,'[1]Form 1.4'!$C$8:$V$64,8,0)</f>
        <v>4.2029641544150742</v>
      </c>
      <c r="K275" s="1572">
        <f>VLOOKUP($C275,'[1]Form 1.4'!$C$8:$V$64,9,0)</f>
        <v>1.136255830830267</v>
      </c>
      <c r="L275" s="1572">
        <f>VLOOKUP($C275,'[1]Form 1.4'!$C$8:$V$64,10,0)</f>
        <v>1.2782498706887258</v>
      </c>
      <c r="M275" s="1572">
        <f>VLOOKUP($C275,'[1]Form 1.4'!$C$8:$V$64,11,0)</f>
        <v>0</v>
      </c>
      <c r="N275" s="1572">
        <f>VLOOKUP($C275,'[1]Form 1.4'!$C$8:$V$64,12,0)</f>
        <v>0</v>
      </c>
      <c r="O275" s="1572">
        <f>VLOOKUP($C275,'[1]Form 1.4'!$C$8:$V$64,13,0)</f>
        <v>0</v>
      </c>
      <c r="P275" s="1573">
        <f t="shared" si="81"/>
        <v>2.4145057015189928</v>
      </c>
      <c r="Q275" s="1573">
        <f t="shared" si="69"/>
        <v>2.7034630538941617</v>
      </c>
      <c r="R275" s="1573">
        <f t="shared" si="70"/>
        <v>0</v>
      </c>
      <c r="S275" s="1573">
        <f t="shared" si="71"/>
        <v>0</v>
      </c>
      <c r="T275" s="1573">
        <f t="shared" si="72"/>
        <v>0</v>
      </c>
      <c r="U275" s="1573">
        <f t="shared" si="73"/>
        <v>3.041305668395879</v>
      </c>
      <c r="V275" s="1626">
        <f t="shared" si="74"/>
        <v>5.7447687222900417</v>
      </c>
      <c r="W275" s="912"/>
    </row>
    <row r="276" spans="2:23">
      <c r="B276" s="1524"/>
      <c r="C276" s="1451" t="s">
        <v>1118</v>
      </c>
      <c r="D276" s="913"/>
      <c r="E276" s="913"/>
      <c r="F276" s="1570">
        <f>VLOOKUP($C276,'[1]Form 1.4'!$C$8:$V$64,2,0)</f>
        <v>800</v>
      </c>
      <c r="G276" s="1571">
        <f>VLOOKUP($C276,'[1]Form 1.4'!$C$8:$V$64,3,0)</f>
        <v>1.0058000000000001E-2</v>
      </c>
      <c r="H276" s="1572">
        <f>VLOOKUP($C276,'[1]Form 1.4'!$C$8:$V$64,4,0)</f>
        <v>8.0500000000000007</v>
      </c>
      <c r="I276" s="1572">
        <f>VLOOKUP($C276,'[1]Form 1.4'!$C$8:$V$64,7,0)</f>
        <v>9.8663680991376221</v>
      </c>
      <c r="J276" s="1572">
        <f>VLOOKUP($C276,'[1]Form 1.4'!$C$8:$V$64,8,0)</f>
        <v>9.4831723284874503</v>
      </c>
      <c r="K276" s="1572">
        <f>VLOOKUP($C276,'[1]Form 1.4'!$C$8:$V$64,9,0)</f>
        <v>0.22103434719547799</v>
      </c>
      <c r="L276" s="1572">
        <f>VLOOKUP($C276,'[1]Form 1.4'!$C$8:$V$64,10,0)</f>
        <v>3.5704143816755249</v>
      </c>
      <c r="M276" s="1572">
        <f>VLOOKUP($C276,'[1]Form 1.4'!$C$8:$V$64,11,0)</f>
        <v>0</v>
      </c>
      <c r="N276" s="1572">
        <f>VLOOKUP($C276,'[1]Form 1.4'!$C$8:$V$64,12,0)</f>
        <v>0</v>
      </c>
      <c r="O276" s="1572">
        <f>VLOOKUP($C276,'[1]Form 1.4'!$C$8:$V$64,13,0)</f>
        <v>0</v>
      </c>
      <c r="P276" s="1573">
        <f t="shared" si="81"/>
        <v>3.791448728871003</v>
      </c>
      <c r="Q276" s="1573">
        <f t="shared" si="69"/>
        <v>0.23308059744046913</v>
      </c>
      <c r="R276" s="1573">
        <f t="shared" si="70"/>
        <v>0</v>
      </c>
      <c r="S276" s="1573">
        <f t="shared" si="71"/>
        <v>0</v>
      </c>
      <c r="T276" s="1573">
        <f t="shared" si="72"/>
        <v>0</v>
      </c>
      <c r="U276" s="1573">
        <f t="shared" si="73"/>
        <v>3.7650000000000001</v>
      </c>
      <c r="V276" s="1626">
        <f t="shared" si="74"/>
        <v>3.9980805974404694</v>
      </c>
      <c r="W276" s="912"/>
    </row>
    <row r="277" spans="2:23" ht="18.75" customHeight="1">
      <c r="B277" s="1524"/>
      <c r="C277" s="1638" t="s">
        <v>813</v>
      </c>
      <c r="D277" s="913"/>
      <c r="E277" s="913"/>
      <c r="F277" s="1655" t="str">
        <f>VLOOKUP($C277,'[1]Form 1.4'!$C$8:$V$64,2,0)</f>
        <v>*39 MW clubbed into above capacities</v>
      </c>
      <c r="G277" s="1571">
        <f>VLOOKUP($C277,'[1]Form 1.4'!$C$8:$V$64,3,0)</f>
        <v>0</v>
      </c>
      <c r="H277" s="1572">
        <f>VLOOKUP($C277,'[1]Form 1.4'!$C$8:$V$64,4,0)</f>
        <v>0</v>
      </c>
      <c r="I277" s="1572">
        <f>VLOOKUP($C277,'[1]Form 1.4'!$C$8:$V$64,7,0)</f>
        <v>99.541099423047939</v>
      </c>
      <c r="J277" s="1572">
        <f>VLOOKUP($C277,'[1]Form 1.4'!$C$8:$V$64,8,0)</f>
        <v>98.423359675214783</v>
      </c>
      <c r="K277" s="1572">
        <f>VLOOKUP($C277,'[1]Form 1.4'!$C$8:$V$64,9,0)</f>
        <v>20.629864470518179</v>
      </c>
      <c r="L277" s="1572">
        <f>VLOOKUP($C277,'[1]Form 1.4'!$C$8:$V$64,10,0)</f>
        <v>48.437890645149267</v>
      </c>
      <c r="M277" s="1572">
        <f>VLOOKUP($C277,'[1]Form 1.4'!$C$8:$V$64,11,0)</f>
        <v>0</v>
      </c>
      <c r="N277" s="1572">
        <f>VLOOKUP($C277,'[1]Form 1.4'!$C$8:$V$64,12,0)</f>
        <v>0</v>
      </c>
      <c r="O277" s="1572">
        <f>VLOOKUP($C277,'[1]Form 1.4'!$C$8:$V$64,13,0)</f>
        <v>0</v>
      </c>
      <c r="P277" s="1573">
        <f t="shared" si="81"/>
        <v>69.067755115667438</v>
      </c>
      <c r="Q277" s="1573">
        <f t="shared" si="69"/>
        <v>2.0960333541340432</v>
      </c>
      <c r="R277" s="1573">
        <f t="shared" si="70"/>
        <v>0</v>
      </c>
      <c r="S277" s="1573">
        <f t="shared" si="71"/>
        <v>0</v>
      </c>
      <c r="T277" s="1573">
        <f t="shared" si="72"/>
        <v>0</v>
      </c>
      <c r="U277" s="1573">
        <f t="shared" si="73"/>
        <v>4.9213815505778777</v>
      </c>
      <c r="V277" s="1626">
        <f t="shared" si="74"/>
        <v>7.0174149047119201</v>
      </c>
      <c r="W277" s="912"/>
    </row>
    <row r="278" spans="2:23">
      <c r="B278" s="1524"/>
      <c r="C278" s="1451" t="s">
        <v>1126</v>
      </c>
      <c r="D278" s="913"/>
      <c r="E278" s="913"/>
      <c r="F278" s="1570">
        <f>VLOOKUP($C278,'[1]Form 1.4'!$C$8:$V$64,2,0)</f>
        <v>0</v>
      </c>
      <c r="G278" s="1571">
        <f>VLOOKUP($C278,'[1]Form 1.4'!$C$8:$V$64,3,0)</f>
        <v>0</v>
      </c>
      <c r="H278" s="1572">
        <f>VLOOKUP($C278,'[1]Form 1.4'!$C$8:$V$64,4,0)</f>
        <v>0</v>
      </c>
      <c r="I278" s="1572">
        <f>VLOOKUP($C278,'[1]Form 1.4'!$C$8:$V$64,7,0)</f>
        <v>0</v>
      </c>
      <c r="J278" s="1572">
        <f>VLOOKUP($C278,'[1]Form 1.4'!$C$8:$V$64,8,0)</f>
        <v>-11.1758520781</v>
      </c>
      <c r="K278" s="1572">
        <f>VLOOKUP($C278,'[1]Form 1.4'!$C$8:$V$64,9,0)</f>
        <v>5.9502464481600015</v>
      </c>
      <c r="L278" s="1572">
        <f>VLOOKUP($C278,'[1]Form 1.4'!$C$8:$V$64,10,0)</f>
        <v>57.080339698789984</v>
      </c>
      <c r="M278" s="1572">
        <f>VLOOKUP($C278,'[1]Form 1.4'!$C$8:$V$64,11,0)</f>
        <v>0</v>
      </c>
      <c r="N278" s="1572">
        <f>VLOOKUP($C278,'[1]Form 1.4'!$C$8:$V$64,12,0)</f>
        <v>0</v>
      </c>
      <c r="O278" s="1572">
        <f>VLOOKUP($C278,'[1]Form 1.4'!$C$8:$V$64,13,0)</f>
        <v>0</v>
      </c>
      <c r="P278" s="1573">
        <f t="shared" si="81"/>
        <v>63.030586146949986</v>
      </c>
      <c r="Q278" s="1573">
        <f t="shared" si="69"/>
        <v>-5.3241993599933179</v>
      </c>
      <c r="R278" s="1573">
        <f t="shared" si="70"/>
        <v>0</v>
      </c>
      <c r="S278" s="1573">
        <f t="shared" si="71"/>
        <v>0</v>
      </c>
      <c r="T278" s="1573">
        <f t="shared" si="72"/>
        <v>0</v>
      </c>
      <c r="U278" s="1573">
        <f t="shared" si="73"/>
        <v>-51.074709382243526</v>
      </c>
      <c r="V278" s="1626">
        <f t="shared" si="74"/>
        <v>-56.398908742236841</v>
      </c>
      <c r="W278" s="912"/>
    </row>
    <row r="279" spans="2:23" ht="15" customHeight="1">
      <c r="B279" s="910"/>
      <c r="C279" s="1603" t="s">
        <v>815</v>
      </c>
      <c r="D279" s="913"/>
      <c r="E279" s="913"/>
      <c r="F279" s="1575">
        <f>SUM(F260:F278)</f>
        <v>18010</v>
      </c>
      <c r="G279" s="1576"/>
      <c r="H279" s="1577">
        <f>SUM(H260:H278)</f>
        <v>2024.17</v>
      </c>
      <c r="I279" s="1577">
        <f t="shared" ref="I279:P279" si="82">SUM(I260:I278)</f>
        <v>5469.9841917722606</v>
      </c>
      <c r="J279" s="1577">
        <f t="shared" si="82"/>
        <v>4963.4675330494183</v>
      </c>
      <c r="K279" s="1577">
        <f t="shared" si="82"/>
        <v>579.19160004971218</v>
      </c>
      <c r="L279" s="1577">
        <f t="shared" si="82"/>
        <v>1864.3474523581656</v>
      </c>
      <c r="M279" s="1577">
        <f t="shared" si="82"/>
        <v>0</v>
      </c>
      <c r="N279" s="1577">
        <f t="shared" si="82"/>
        <v>0</v>
      </c>
      <c r="O279" s="1577">
        <f t="shared" si="82"/>
        <v>0</v>
      </c>
      <c r="P279" s="1577">
        <f t="shared" si="82"/>
        <v>2443.5390524078775</v>
      </c>
      <c r="Q279" s="1577">
        <f t="shared" si="69"/>
        <v>1.1669092145624911</v>
      </c>
      <c r="R279" s="1577">
        <f t="shared" si="70"/>
        <v>0</v>
      </c>
      <c r="S279" s="1577">
        <f t="shared" si="71"/>
        <v>0</v>
      </c>
      <c r="T279" s="1577">
        <f t="shared" si="72"/>
        <v>0</v>
      </c>
      <c r="U279" s="1577">
        <f t="shared" si="73"/>
        <v>3.7561391102980819</v>
      </c>
      <c r="V279" s="1620">
        <f t="shared" si="74"/>
        <v>4.9230483248605719</v>
      </c>
      <c r="W279" s="912"/>
    </row>
    <row r="280" spans="2:23" ht="15" customHeight="1">
      <c r="B280" s="1524"/>
      <c r="C280" s="1451" t="s">
        <v>1119</v>
      </c>
      <c r="D280" s="913"/>
      <c r="E280" s="913"/>
      <c r="F280" s="1570">
        <f>VLOOKUP($C280,'[1]Form 1.4'!$C$8:$V$64,2,0)</f>
        <v>1320</v>
      </c>
      <c r="G280" s="1571">
        <f>VLOOKUP($C280,'[1]Form 1.4'!$C$8:$V$64,3,0)</f>
        <v>17.465909090909093</v>
      </c>
      <c r="H280" s="1572">
        <f>VLOOKUP($C280,'[1]Form 1.4'!$C$8:$V$64,4,0)</f>
        <v>230.55</v>
      </c>
      <c r="I280" s="1572">
        <f>VLOOKUP($C280,'[1]Form 1.4'!$C$8:$V$64,7,0)</f>
        <v>726.18397179530496</v>
      </c>
      <c r="J280" s="1572">
        <f>VLOOKUP($C280,'[1]Form 1.4'!$C$8:$V$64,8,0)</f>
        <v>703.02123296399282</v>
      </c>
      <c r="K280" s="1572">
        <f>VLOOKUP($C280,'[1]Form 1.4'!$C$8:$V$64,9,0)</f>
        <v>114.35556139531565</v>
      </c>
      <c r="L280" s="1572">
        <f>VLOOKUP($C280,'[1]Form 1.4'!$C$8:$V$64,10,0)</f>
        <v>172.88171175953732</v>
      </c>
      <c r="M280" s="1572">
        <f>VLOOKUP($C280,'[1]Form 1.4'!$C$8:$V$64,11,0)</f>
        <v>0.312620171725285</v>
      </c>
      <c r="N280" s="1572">
        <f>VLOOKUP($C280,'[1]Form 1.4'!$C$8:$V$64,12,0)</f>
        <v>0</v>
      </c>
      <c r="O280" s="1572">
        <f>VLOOKUP($C280,'[1]Form 1.4'!$C$8:$V$64,13,0)</f>
        <v>9.7420261013891931</v>
      </c>
      <c r="P280" s="1573">
        <f t="shared" ref="P280:P283" si="83">SUM(K280:O280)</f>
        <v>297.2919194279674</v>
      </c>
      <c r="Q280" s="1573">
        <f t="shared" si="69"/>
        <v>1.6266302642550867</v>
      </c>
      <c r="R280" s="1573">
        <f t="shared" si="70"/>
        <v>4.4468098126603343E-3</v>
      </c>
      <c r="S280" s="1573">
        <f t="shared" si="71"/>
        <v>0</v>
      </c>
      <c r="T280" s="1573">
        <f t="shared" si="72"/>
        <v>0.13857371078702765</v>
      </c>
      <c r="U280" s="1573">
        <f t="shared" si="73"/>
        <v>2.4591250399458695</v>
      </c>
      <c r="V280" s="1626">
        <f t="shared" si="74"/>
        <v>4.2287758248006435</v>
      </c>
      <c r="W280" s="912"/>
    </row>
    <row r="281" spans="2:23" ht="15" customHeight="1">
      <c r="B281" s="1524"/>
      <c r="C281" s="1639" t="s">
        <v>1120</v>
      </c>
      <c r="D281" s="913"/>
      <c r="E281" s="913"/>
      <c r="F281" s="1570">
        <f>VLOOKUP($C281,'[1]Form 1.4'!$C$8:$V$64,2,0)</f>
        <v>500</v>
      </c>
      <c r="G281" s="1428">
        <f>VLOOKUP($C281,'[1]Form 1.4'!$C$8:$V$64,3,0)</f>
        <v>100</v>
      </c>
      <c r="H281" s="1572">
        <f>VLOOKUP($C281,'[1]Form 1.4'!$C$8:$V$64,4,0)</f>
        <v>500</v>
      </c>
      <c r="I281" s="1572">
        <f>VLOOKUP($C281,'[1]Form 1.4'!$C$8:$V$64,7,0)</f>
        <v>1526.7801906768123</v>
      </c>
      <c r="J281" s="1572">
        <f>VLOOKUP($C281,'[1]Form 1.4'!$C$8:$V$64,8,0)</f>
        <v>1597.3368172505193</v>
      </c>
      <c r="K281" s="1572">
        <f>VLOOKUP($C281,'[1]Form 1.4'!$C$8:$V$64,9,0)</f>
        <v>261.87821316504801</v>
      </c>
      <c r="L281" s="1572">
        <f>VLOOKUP($C281,'[1]Form 1.4'!$C$8:$V$64,10,0)</f>
        <v>419.68568809882481</v>
      </c>
      <c r="M281" s="1572">
        <f>VLOOKUP($C281,'[1]Form 1.4'!$C$8:$V$64,11,0)</f>
        <v>7.5497771471656332</v>
      </c>
      <c r="N281" s="1572">
        <f>VLOOKUP($C281,'[1]Form 1.4'!$C$8:$V$64,12,0)</f>
        <v>0</v>
      </c>
      <c r="O281" s="1572">
        <f>VLOOKUP($C281,'[1]Form 1.4'!$C$8:$V$64,13,0)</f>
        <v>0</v>
      </c>
      <c r="P281" s="1573">
        <f t="shared" si="83"/>
        <v>689.11367841103845</v>
      </c>
      <c r="Q281" s="1573">
        <f t="shared" si="69"/>
        <v>1.6394677086064822</v>
      </c>
      <c r="R281" s="1573">
        <f t="shared" si="70"/>
        <v>4.7264778884649965E-2</v>
      </c>
      <c r="S281" s="1573">
        <f t="shared" si="71"/>
        <v>0</v>
      </c>
      <c r="T281" s="1573">
        <f t="shared" si="72"/>
        <v>0</v>
      </c>
      <c r="U281" s="1573">
        <f t="shared" si="73"/>
        <v>2.627408844311407</v>
      </c>
      <c r="V281" s="1626">
        <f t="shared" si="74"/>
        <v>4.3141413318025386</v>
      </c>
      <c r="W281" s="912"/>
    </row>
    <row r="282" spans="2:23" ht="15" customHeight="1">
      <c r="B282" s="1524"/>
      <c r="C282" s="1639" t="s">
        <v>1121</v>
      </c>
      <c r="D282" s="913"/>
      <c r="E282" s="913"/>
      <c r="F282" s="1570">
        <f>VLOOKUP($C282,'[1]Form 1.4'!$C$8:$V$64,2,0)</f>
        <v>125</v>
      </c>
      <c r="G282" s="1428">
        <f>VLOOKUP($C282,'[1]Form 1.4'!$C$8:$V$64,3,0)</f>
        <v>100</v>
      </c>
      <c r="H282" s="1572">
        <f>VLOOKUP($C282,'[1]Form 1.4'!$C$8:$V$64,4,0)</f>
        <v>125</v>
      </c>
      <c r="I282" s="1572">
        <f>VLOOKUP($C282,'[1]Form 1.4'!$C$8:$V$64,7,0)</f>
        <v>308.23063928108155</v>
      </c>
      <c r="J282" s="1572">
        <f>VLOOKUP($C282,'[1]Form 1.4'!$C$8:$V$64,8,0)</f>
        <v>217.21378091797988</v>
      </c>
      <c r="K282" s="1572">
        <f>VLOOKUP($C282,'[1]Form 1.4'!$C$8:$V$64,9,0)</f>
        <v>40.782607804103513</v>
      </c>
      <c r="L282" s="1572">
        <f>VLOOKUP($C282,'[1]Form 1.4'!$C$8:$V$64,10,0)</f>
        <v>103.6109734978764</v>
      </c>
      <c r="M282" s="1572">
        <f>VLOOKUP($C282,'[1]Form 1.4'!$C$8:$V$64,11,0)</f>
        <v>1.567008610772991</v>
      </c>
      <c r="N282" s="1572">
        <f>VLOOKUP($C282,'[1]Form 1.4'!$C$8:$V$64,12,0)</f>
        <v>0</v>
      </c>
      <c r="O282" s="1572">
        <f>VLOOKUP($C282,'[1]Form 1.4'!$C$8:$V$64,13,0)</f>
        <v>0</v>
      </c>
      <c r="P282" s="1573">
        <f t="shared" si="83"/>
        <v>145.96058991275291</v>
      </c>
      <c r="Q282" s="1573">
        <f t="shared" si="69"/>
        <v>1.8775331671752016</v>
      </c>
      <c r="R282" s="1573">
        <f t="shared" si="70"/>
        <v>7.2141307248120456E-2</v>
      </c>
      <c r="S282" s="1573">
        <f t="shared" si="71"/>
        <v>0</v>
      </c>
      <c r="T282" s="1573">
        <f t="shared" si="72"/>
        <v>0</v>
      </c>
      <c r="U282" s="1573">
        <f t="shared" si="73"/>
        <v>4.7699999999999996</v>
      </c>
      <c r="V282" s="1626">
        <f t="shared" si="74"/>
        <v>6.7196744744233232</v>
      </c>
      <c r="W282" s="912"/>
    </row>
    <row r="283" spans="2:23" ht="15" customHeight="1">
      <c r="B283" s="1524"/>
      <c r="C283" s="1451" t="s">
        <v>968</v>
      </c>
      <c r="D283" s="433"/>
      <c r="E283" s="433"/>
      <c r="F283" s="1570">
        <f>VLOOKUP($C283,'[1]Form 1.4'!$C$8:$V$64,2,0)</f>
        <v>1040</v>
      </c>
      <c r="G283" s="1428">
        <f>VLOOKUP($C283,'[1]Form 1.4'!$C$8:$V$64,3,0)</f>
        <v>100</v>
      </c>
      <c r="H283" s="1572">
        <f>VLOOKUP($C283,'[1]Form 1.4'!$C$8:$V$64,4,0)</f>
        <v>1040</v>
      </c>
      <c r="I283" s="1572">
        <f>VLOOKUP($C283,'[1]Form 1.4'!$C$8:$V$64,7,0)</f>
        <v>2138.8142358160289</v>
      </c>
      <c r="J283" s="1572">
        <f>VLOOKUP($C283,'[1]Form 1.4'!$C$8:$V$64,8,0)</f>
        <v>2046.1246998479482</v>
      </c>
      <c r="K283" s="1572">
        <f>VLOOKUP($C283,'[1]Form 1.4'!$C$8:$V$64,9,0)</f>
        <v>301.61310363057839</v>
      </c>
      <c r="L283" s="1572">
        <f>VLOOKUP($C283,'[1]Form 1.4'!$C$8:$V$64,10,0)</f>
        <v>655.97280797505289</v>
      </c>
      <c r="M283" s="1572">
        <f>VLOOKUP($C283,'[1]Form 1.4'!$C$8:$V$64,11,0)</f>
        <v>0</v>
      </c>
      <c r="N283" s="1572">
        <f>VLOOKUP($C283,'[1]Form 1.4'!$C$8:$V$64,12,0)</f>
        <v>0</v>
      </c>
      <c r="O283" s="1572">
        <f>VLOOKUP($C283,'[1]Form 1.4'!$C$8:$V$64,13,0)</f>
        <v>0</v>
      </c>
      <c r="P283" s="1573">
        <f t="shared" si="83"/>
        <v>957.58591160563128</v>
      </c>
      <c r="Q283" s="1573">
        <f t="shared" si="69"/>
        <v>1.4740700000004492</v>
      </c>
      <c r="R283" s="1573">
        <f t="shared" si="70"/>
        <v>0</v>
      </c>
      <c r="S283" s="1573">
        <f t="shared" si="71"/>
        <v>0</v>
      </c>
      <c r="T283" s="1573">
        <f t="shared" si="72"/>
        <v>0</v>
      </c>
      <c r="U283" s="1573">
        <f t="shared" si="73"/>
        <v>3.2059278108699809</v>
      </c>
      <c r="V283" s="1626">
        <f t="shared" si="74"/>
        <v>4.6799978108704297</v>
      </c>
      <c r="W283" s="912"/>
    </row>
    <row r="284" spans="2:23" ht="15" customHeight="1">
      <c r="B284" s="910"/>
      <c r="C284" s="1603" t="s">
        <v>819</v>
      </c>
      <c r="D284" s="433"/>
      <c r="E284" s="433"/>
      <c r="F284" s="1575">
        <f>SUM(F280:F283)</f>
        <v>2985</v>
      </c>
      <c r="G284" s="1576"/>
      <c r="H284" s="1577">
        <f>SUM(H280:H283)</f>
        <v>1895.55</v>
      </c>
      <c r="I284" s="1577">
        <f t="shared" ref="I284:P284" si="84">SUM(I280:I283)</f>
        <v>4700.0090375692271</v>
      </c>
      <c r="J284" s="1577">
        <f t="shared" si="84"/>
        <v>4563.69653098044</v>
      </c>
      <c r="K284" s="1577">
        <f t="shared" si="84"/>
        <v>718.62948599504557</v>
      </c>
      <c r="L284" s="1577">
        <f t="shared" si="84"/>
        <v>1352.1511813312914</v>
      </c>
      <c r="M284" s="1577">
        <f t="shared" si="84"/>
        <v>9.4294059296639094</v>
      </c>
      <c r="N284" s="1577">
        <f t="shared" si="84"/>
        <v>0</v>
      </c>
      <c r="O284" s="1577">
        <f t="shared" si="84"/>
        <v>9.7420261013891931</v>
      </c>
      <c r="P284" s="1577">
        <f t="shared" si="84"/>
        <v>2089.9520993573901</v>
      </c>
      <c r="Q284" s="1577">
        <f t="shared" si="69"/>
        <v>1.5746653641771817</v>
      </c>
      <c r="R284" s="1577">
        <f t="shared" si="70"/>
        <v>2.0661772459349189E-2</v>
      </c>
      <c r="S284" s="1577">
        <f t="shared" si="71"/>
        <v>0</v>
      </c>
      <c r="T284" s="1577">
        <f t="shared" si="72"/>
        <v>2.1346787708726701E-2</v>
      </c>
      <c r="U284" s="1577">
        <f t="shared" si="73"/>
        <v>2.9628420122860417</v>
      </c>
      <c r="V284" s="1620">
        <f t="shared" si="74"/>
        <v>4.5795159366312994</v>
      </c>
      <c r="W284" s="912"/>
    </row>
    <row r="285" spans="2:23" ht="15" customHeight="1">
      <c r="B285" s="1511"/>
      <c r="C285" s="1451" t="s">
        <v>820</v>
      </c>
      <c r="D285" s="914"/>
      <c r="E285" s="914"/>
      <c r="F285" s="1581">
        <f>VLOOKUP($C285,'[1]Form 1.4'!$C$8:$V$64,2,0)</f>
        <v>155.06</v>
      </c>
      <c r="G285" s="1428">
        <f>VLOOKUP($C285,'[1]Form 1.4'!$C$8:$V$64,3,0)</f>
        <v>100</v>
      </c>
      <c r="H285" s="1572">
        <f>VLOOKUP($C285,'[1]Form 1.4'!$C$8:$V$64,4,0)</f>
        <v>155.06</v>
      </c>
      <c r="I285" s="1572">
        <f>VLOOKUP($C285,'[1]Form 1.4'!$C$8:$V$64,7,0)</f>
        <v>109.86380701912428</v>
      </c>
      <c r="J285" s="1572">
        <f>VLOOKUP($C285,'[1]Form 1.4'!$C$8:$V$64,8,0)</f>
        <v>108.64305733548517</v>
      </c>
      <c r="K285" s="1572">
        <f>VLOOKUP($C285,'[1]Form 1.4'!$C$8:$V$64,9,0)</f>
        <v>5.9469448688256961</v>
      </c>
      <c r="L285" s="1572">
        <f>VLOOKUP($C285,'[1]Form 1.4'!$C$8:$V$64,10,0)</f>
        <v>55.055566255960969</v>
      </c>
      <c r="M285" s="1572">
        <f>VLOOKUP($C285,'[1]Form 1.4'!$C$8:$V$64,11,0)</f>
        <v>0</v>
      </c>
      <c r="N285" s="1572">
        <f>VLOOKUP($C285,'[1]Form 1.4'!$C$8:$V$64,12,0)</f>
        <v>0</v>
      </c>
      <c r="O285" s="1572">
        <f>VLOOKUP($C285,'[1]Form 1.4'!$C$8:$V$64,13,0)</f>
        <v>0</v>
      </c>
      <c r="P285" s="1573">
        <f t="shared" ref="P285:P289" si="85">SUM(K285:O285)</f>
        <v>61.002511124786665</v>
      </c>
      <c r="Q285" s="1573">
        <f t="shared" si="69"/>
        <v>0.5473837919032214</v>
      </c>
      <c r="R285" s="1573">
        <f t="shared" si="70"/>
        <v>0</v>
      </c>
      <c r="S285" s="1573">
        <f t="shared" si="71"/>
        <v>0</v>
      </c>
      <c r="T285" s="1573">
        <f t="shared" si="72"/>
        <v>0</v>
      </c>
      <c r="U285" s="1573">
        <f t="shared" si="73"/>
        <v>5.0675641505514433</v>
      </c>
      <c r="V285" s="1626">
        <f t="shared" si="74"/>
        <v>5.6149479424546653</v>
      </c>
      <c r="W285" s="912"/>
    </row>
    <row r="286" spans="2:23" ht="15" customHeight="1">
      <c r="B286" s="1511"/>
      <c r="C286" s="1451" t="s">
        <v>822</v>
      </c>
      <c r="D286" s="433"/>
      <c r="E286" s="433"/>
      <c r="F286" s="1581">
        <f>VLOOKUP($C286,'[1]Form 1.4'!$C$8:$V$64,2,0)</f>
        <v>2466.4259999999999</v>
      </c>
      <c r="G286" s="1428">
        <f>VLOOKUP($C286,'[1]Form 1.4'!$C$8:$V$64,3,0)</f>
        <v>100</v>
      </c>
      <c r="H286" s="1572">
        <f>VLOOKUP($C286,'[1]Form 1.4'!$C$8:$V$64,4,0)</f>
        <v>2466.4259999999999</v>
      </c>
      <c r="I286" s="1572">
        <f>VLOOKUP($C286,'[1]Form 1.4'!$C$8:$V$64,7,0)</f>
        <v>1876.7074676557795</v>
      </c>
      <c r="J286" s="1572">
        <f>VLOOKUP($C286,'[1]Form 1.4'!$C$8:$V$64,8,0)</f>
        <v>1841.8892059755503</v>
      </c>
      <c r="K286" s="1572">
        <f>VLOOKUP($C286,'[1]Form 1.4'!$C$8:$V$64,9,0)</f>
        <v>2.621702956340016</v>
      </c>
      <c r="L286" s="1572">
        <f>VLOOKUP($C286,'[1]Form 1.4'!$C$8:$V$64,10,0)</f>
        <v>776.50911006799777</v>
      </c>
      <c r="M286" s="1572">
        <f>VLOOKUP($C286,'[1]Form 1.4'!$C$8:$V$64,11,0)</f>
        <v>0</v>
      </c>
      <c r="N286" s="1572">
        <f>VLOOKUP($C286,'[1]Form 1.4'!$C$8:$V$64,12,0)</f>
        <v>0</v>
      </c>
      <c r="O286" s="1572">
        <f>VLOOKUP($C286,'[1]Form 1.4'!$C$8:$V$64,13,0)</f>
        <v>0</v>
      </c>
      <c r="P286" s="1573">
        <f t="shared" si="85"/>
        <v>779.13081302433784</v>
      </c>
      <c r="Q286" s="1573">
        <f t="shared" si="69"/>
        <v>1.4233771216176057E-2</v>
      </c>
      <c r="R286" s="1573">
        <f t="shared" si="70"/>
        <v>0</v>
      </c>
      <c r="S286" s="1573">
        <f t="shared" si="71"/>
        <v>0</v>
      </c>
      <c r="T286" s="1573">
        <f t="shared" si="72"/>
        <v>0</v>
      </c>
      <c r="U286" s="1573">
        <f t="shared" si="73"/>
        <v>4.2158296359455685</v>
      </c>
      <c r="V286" s="1626">
        <f t="shared" si="74"/>
        <v>4.2300634071617456</v>
      </c>
      <c r="W286" s="912"/>
    </row>
    <row r="287" spans="2:23" ht="15" customHeight="1">
      <c r="B287" s="916"/>
      <c r="C287" s="1451" t="s">
        <v>1114</v>
      </c>
      <c r="D287" s="913"/>
      <c r="E287" s="913"/>
      <c r="F287" s="1581">
        <f>VLOOKUP($C287,'[1]Form 1.4'!$C$8:$V$64,2,0)</f>
        <v>3636.45</v>
      </c>
      <c r="G287" s="1428">
        <f>VLOOKUP($C287,'[1]Form 1.4'!$C$8:$V$64,3,0)</f>
        <v>100</v>
      </c>
      <c r="H287" s="1572">
        <f>VLOOKUP($C287,'[1]Form 1.4'!$C$8:$V$64,4,0)</f>
        <v>3636.45</v>
      </c>
      <c r="I287" s="1572">
        <f>VLOOKUP($C287,'[1]Form 1.4'!$C$8:$V$64,7,0)</f>
        <v>2721.2599014695093</v>
      </c>
      <c r="J287" s="1572">
        <f>VLOOKUP($C287,'[1]Form 1.4'!$C$8:$V$64,8,0)</f>
        <v>2690.8721842068308</v>
      </c>
      <c r="K287" s="1572">
        <f>VLOOKUP($C287,'[1]Form 1.4'!$C$8:$V$64,9,0)</f>
        <v>0</v>
      </c>
      <c r="L287" s="1572">
        <f>VLOOKUP($C287,'[1]Form 1.4'!$C$8:$V$64,10,0)</f>
        <v>1271.7433966997128</v>
      </c>
      <c r="M287" s="1572">
        <f>VLOOKUP($C287,'[1]Form 1.4'!$C$8:$V$64,11,0)</f>
        <v>0</v>
      </c>
      <c r="N287" s="1572">
        <f>VLOOKUP($C287,'[1]Form 1.4'!$C$8:$V$64,12,0)</f>
        <v>0</v>
      </c>
      <c r="O287" s="1572">
        <f>VLOOKUP($C287,'[1]Form 1.4'!$C$8:$V$64,13,0)</f>
        <v>0</v>
      </c>
      <c r="P287" s="1573">
        <f t="shared" si="85"/>
        <v>1271.7433966997128</v>
      </c>
      <c r="Q287" s="1573">
        <f t="shared" si="69"/>
        <v>0</v>
      </c>
      <c r="R287" s="1573">
        <f t="shared" si="70"/>
        <v>0</v>
      </c>
      <c r="S287" s="1573">
        <f t="shared" si="71"/>
        <v>0</v>
      </c>
      <c r="T287" s="1573">
        <f t="shared" si="72"/>
        <v>0</v>
      </c>
      <c r="U287" s="1573">
        <f t="shared" si="73"/>
        <v>4.7261382542202597</v>
      </c>
      <c r="V287" s="1626">
        <f t="shared" si="74"/>
        <v>4.7261382542202597</v>
      </c>
      <c r="W287" s="912"/>
    </row>
    <row r="288" spans="2:23" ht="15" customHeight="1">
      <c r="B288" s="916"/>
      <c r="C288" s="1451" t="s">
        <v>1115</v>
      </c>
      <c r="D288" s="913"/>
      <c r="E288" s="913"/>
      <c r="F288" s="1581">
        <f>VLOOKUP($C288,'[1]Form 1.4'!$C$8:$V$64,2,0)</f>
        <v>39.200000000000003</v>
      </c>
      <c r="G288" s="1428">
        <f>VLOOKUP($C288,'[1]Form 1.4'!$C$8:$V$64,3,0)</f>
        <v>100</v>
      </c>
      <c r="H288" s="1572">
        <f>VLOOKUP($C288,'[1]Form 1.4'!$C$8:$V$64,4,0)</f>
        <v>39.200000000000003</v>
      </c>
      <c r="I288" s="1572">
        <f>VLOOKUP($C288,'[1]Form 1.4'!$C$8:$V$64,7,0)</f>
        <v>17.170618583689603</v>
      </c>
      <c r="J288" s="1572">
        <f>VLOOKUP($C288,'[1]Form 1.4'!$C$8:$V$64,8,0)</f>
        <v>16.840105322515548</v>
      </c>
      <c r="K288" s="1572">
        <f>VLOOKUP($C288,'[1]Form 1.4'!$C$8:$V$64,9,0)</f>
        <v>2.7091411160000689E-2</v>
      </c>
      <c r="L288" s="1572">
        <f>VLOOKUP($C288,'[1]Form 1.4'!$C$8:$V$64,10,0)</f>
        <v>18.125023942114026</v>
      </c>
      <c r="M288" s="1572">
        <f>VLOOKUP($C288,'[1]Form 1.4'!$C$8:$V$64,11,0)</f>
        <v>0</v>
      </c>
      <c r="N288" s="1572">
        <f>VLOOKUP($C288,'[1]Form 1.4'!$C$8:$V$64,12,0)</f>
        <v>0</v>
      </c>
      <c r="O288" s="1572">
        <f>VLOOKUP($C288,'[1]Form 1.4'!$C$8:$V$64,13,0)</f>
        <v>0</v>
      </c>
      <c r="P288" s="1573">
        <f t="shared" si="85"/>
        <v>18.152115353274027</v>
      </c>
      <c r="Q288" s="1573">
        <f t="shared" si="69"/>
        <v>1.608743570254216E-2</v>
      </c>
      <c r="R288" s="1573">
        <f t="shared" si="70"/>
        <v>0</v>
      </c>
      <c r="S288" s="1573">
        <f t="shared" si="71"/>
        <v>0</v>
      </c>
      <c r="T288" s="1573">
        <f t="shared" si="72"/>
        <v>0</v>
      </c>
      <c r="U288" s="1573">
        <f t="shared" si="73"/>
        <v>10.763011035257907</v>
      </c>
      <c r="V288" s="1626">
        <f t="shared" si="74"/>
        <v>10.779098470960449</v>
      </c>
      <c r="W288" s="912"/>
    </row>
    <row r="289" spans="3:24" ht="15.75" customHeight="1">
      <c r="C289" s="1451" t="s">
        <v>1116</v>
      </c>
      <c r="D289" s="123"/>
      <c r="E289" s="123"/>
      <c r="F289" s="1581">
        <f>VLOOKUP($C289,'[1]Form 1.4'!$C$8:$V$64,2,0)</f>
        <v>1250</v>
      </c>
      <c r="G289" s="1428">
        <f>VLOOKUP($C289,'[1]Form 1.4'!$C$8:$V$64,3,0)</f>
        <v>100</v>
      </c>
      <c r="H289" s="1572">
        <f>VLOOKUP($C289,'[1]Form 1.4'!$C$8:$V$64,4,0)</f>
        <v>1250</v>
      </c>
      <c r="I289" s="1572">
        <f>VLOOKUP($C289,'[1]Form 1.4'!$C$8:$V$64,7,0)</f>
        <v>1079.6874476427326</v>
      </c>
      <c r="J289" s="1572">
        <f>VLOOKUP($C289,'[1]Form 1.4'!$C$8:$V$64,8,0)</f>
        <v>1065.1736887817592</v>
      </c>
      <c r="K289" s="1572">
        <f>VLOOKUP($C289,'[1]Form 1.4'!$C$8:$V$64,9,0)</f>
        <v>0.31193540805000453</v>
      </c>
      <c r="L289" s="1572">
        <f>VLOOKUP($C289,'[1]Form 1.4'!$C$8:$V$64,10,0)</f>
        <v>478.72210027882772</v>
      </c>
      <c r="M289" s="1572">
        <f>VLOOKUP($C289,'[1]Form 1.4'!$C$8:$V$64,11,0)</f>
        <v>0</v>
      </c>
      <c r="N289" s="1572">
        <f>VLOOKUP($C289,'[1]Form 1.4'!$C$8:$V$64,12,0)</f>
        <v>0</v>
      </c>
      <c r="O289" s="1572">
        <f>VLOOKUP($C289,'[1]Form 1.4'!$C$8:$V$64,13,0)</f>
        <v>0</v>
      </c>
      <c r="P289" s="1573">
        <f t="shared" si="85"/>
        <v>479.0340356868777</v>
      </c>
      <c r="Q289" s="1573">
        <f t="shared" si="69"/>
        <v>2.928493365309892E-3</v>
      </c>
      <c r="R289" s="1573">
        <f t="shared" si="70"/>
        <v>0</v>
      </c>
      <c r="S289" s="1573">
        <f t="shared" si="71"/>
        <v>0</v>
      </c>
      <c r="T289" s="1573">
        <f t="shared" si="72"/>
        <v>0</v>
      </c>
      <c r="U289" s="1573">
        <f t="shared" si="73"/>
        <v>4.4943102267794739</v>
      </c>
      <c r="V289" s="1626">
        <f t="shared" si="74"/>
        <v>4.4972387201447841</v>
      </c>
    </row>
    <row r="290" spans="3:24" ht="15.75" customHeight="1">
      <c r="C290" s="1603" t="s">
        <v>825</v>
      </c>
      <c r="D290" s="433"/>
      <c r="E290" s="433"/>
      <c r="F290" s="1577">
        <f>SUM(F285:F289)</f>
        <v>7547.1359999999995</v>
      </c>
      <c r="G290" s="1575">
        <f t="shared" ref="G290:P290" si="86">SUM(G285:G289)</f>
        <v>500</v>
      </c>
      <c r="H290" s="1577">
        <f t="shared" si="86"/>
        <v>7547.1359999999995</v>
      </c>
      <c r="I290" s="1577">
        <f t="shared" si="86"/>
        <v>5804.689242370835</v>
      </c>
      <c r="J290" s="1577">
        <f t="shared" si="86"/>
        <v>5723.4182416221411</v>
      </c>
      <c r="K290" s="1577">
        <f t="shared" si="86"/>
        <v>8.9076746443757173</v>
      </c>
      <c r="L290" s="1577">
        <f t="shared" si="86"/>
        <v>2600.1551972446136</v>
      </c>
      <c r="M290" s="1577">
        <f t="shared" si="86"/>
        <v>0</v>
      </c>
      <c r="N290" s="1577">
        <f t="shared" si="86"/>
        <v>0</v>
      </c>
      <c r="O290" s="1577">
        <f t="shared" si="86"/>
        <v>0</v>
      </c>
      <c r="P290" s="1577">
        <f t="shared" si="86"/>
        <v>2609.0628718889889</v>
      </c>
      <c r="Q290" s="1577">
        <f t="shared" si="69"/>
        <v>1.5563557070837251E-2</v>
      </c>
      <c r="R290" s="1577">
        <f t="shared" si="70"/>
        <v>0</v>
      </c>
      <c r="S290" s="1577">
        <f t="shared" si="71"/>
        <v>0</v>
      </c>
      <c r="T290" s="1577">
        <f t="shared" si="72"/>
        <v>0</v>
      </c>
      <c r="U290" s="1577">
        <f t="shared" si="73"/>
        <v>4.543010990068189</v>
      </c>
      <c r="V290" s="1620">
        <f t="shared" si="74"/>
        <v>4.5585745471390258</v>
      </c>
    </row>
    <row r="291" spans="3:24" ht="18.75" customHeight="1">
      <c r="C291" s="1451" t="s">
        <v>1127</v>
      </c>
      <c r="D291" s="123"/>
      <c r="E291" s="123"/>
      <c r="F291" s="1570">
        <f>VLOOKUP($C291,'[1]Form 1.4'!$C$8:$V$64,2,0)</f>
        <v>0</v>
      </c>
      <c r="G291" s="1571">
        <f>VLOOKUP($C291,'[1]Form 1.4'!$C$8:$V$64,3,0)</f>
        <v>0</v>
      </c>
      <c r="H291" s="1572">
        <f>VLOOKUP($C291,'[1]Form 1.4'!$C$8:$V$64,4,0)</f>
        <v>0</v>
      </c>
      <c r="I291" s="1572">
        <f>VLOOKUP($C291,'[1]Form 1.4'!$C$8:$V$64,7,0)</f>
        <v>2596.3041345422134</v>
      </c>
      <c r="J291" s="1572">
        <f>VLOOKUP($C291,'[1]Form 1.4'!$C$8:$V$64,8,0)</f>
        <v>2596.3041345422134</v>
      </c>
      <c r="K291" s="1572">
        <f>VLOOKUP($C291,'[1]Form 1.4'!$C$8:$V$64,9,0)</f>
        <v>38.63456683481968</v>
      </c>
      <c r="L291" s="1572">
        <f>VLOOKUP($C291,'[1]Form 1.4'!$C$8:$V$64,10,0)</f>
        <v>2039.8602819714436</v>
      </c>
      <c r="M291" s="1572">
        <f>VLOOKUP($C291,'[1]Form 1.4'!$C$8:$V$64,11,0)</f>
        <v>0</v>
      </c>
      <c r="N291" s="1572">
        <f>VLOOKUP($C291,'[1]Form 1.4'!$C$8:$V$64,12,0)</f>
        <v>0</v>
      </c>
      <c r="O291" s="1572">
        <f>VLOOKUP($C291,'[1]Form 1.4'!$C$8:$V$64,13,0)</f>
        <v>0</v>
      </c>
      <c r="P291" s="1573">
        <f t="shared" ref="P291:P292" si="87">SUM(K291:O291)</f>
        <v>2078.4948488062632</v>
      </c>
      <c r="Q291" s="1573">
        <f t="shared" si="69"/>
        <v>0.14880601359760121</v>
      </c>
      <c r="R291" s="1573">
        <f t="shared" si="70"/>
        <v>0</v>
      </c>
      <c r="S291" s="1573">
        <f t="shared" si="71"/>
        <v>0</v>
      </c>
      <c r="T291" s="1573">
        <f t="shared" si="72"/>
        <v>0</v>
      </c>
      <c r="U291" s="1573">
        <f t="shared" si="73"/>
        <v>7.8567847843107819</v>
      </c>
      <c r="V291" s="1626">
        <f t="shared" si="74"/>
        <v>8.0055907979083827</v>
      </c>
    </row>
    <row r="292" spans="3:24" ht="15" customHeight="1">
      <c r="C292" s="1640" t="s">
        <v>1128</v>
      </c>
      <c r="D292" s="123"/>
      <c r="E292" s="123"/>
      <c r="F292" s="1570">
        <f>VLOOKUP($C292,'[1]Form 1.4'!$C$8:$V$64,2,0)</f>
        <v>0</v>
      </c>
      <c r="G292" s="1571">
        <f>VLOOKUP($C292,'[1]Form 1.4'!$C$8:$V$64,3,0)</f>
        <v>0</v>
      </c>
      <c r="H292" s="1572">
        <f>VLOOKUP($C292,'[1]Form 1.4'!$C$8:$V$64,4,0)</f>
        <v>0</v>
      </c>
      <c r="I292" s="1572">
        <f>VLOOKUP($C292,'[1]Form 1.4'!$C$8:$V$64,7,0)</f>
        <v>-329.49734279999996</v>
      </c>
      <c r="J292" s="1572">
        <f>VLOOKUP($C292,'[1]Form 1.4'!$C$8:$V$64,8,0)</f>
        <v>-329.49734279999996</v>
      </c>
      <c r="K292" s="1572">
        <f>VLOOKUP($C292,'[1]Form 1.4'!$C$8:$V$64,9,0)</f>
        <v>0</v>
      </c>
      <c r="L292" s="1572">
        <f>VLOOKUP($C292,'[1]Form 1.4'!$C$8:$V$64,10,0)</f>
        <v>-178.74131045639996</v>
      </c>
      <c r="M292" s="1572">
        <f>VLOOKUP($C292,'[1]Form 1.4'!$C$8:$V$64,11,0)</f>
        <v>0</v>
      </c>
      <c r="N292" s="1572">
        <f>VLOOKUP($C292,'[1]Form 1.4'!$C$8:$V$64,12,0)</f>
        <v>0</v>
      </c>
      <c r="O292" s="1572">
        <f>VLOOKUP($C292,'[1]Form 1.4'!$C$8:$V$64,13,0)</f>
        <v>0</v>
      </c>
      <c r="P292" s="1573">
        <f t="shared" si="87"/>
        <v>-178.74131045639996</v>
      </c>
      <c r="Q292" s="1573">
        <f t="shared" si="69"/>
        <v>0</v>
      </c>
      <c r="R292" s="1573">
        <f t="shared" si="70"/>
        <v>0</v>
      </c>
      <c r="S292" s="1573">
        <f t="shared" si="71"/>
        <v>0</v>
      </c>
      <c r="T292" s="1573">
        <f t="shared" si="72"/>
        <v>0</v>
      </c>
      <c r="U292" s="1573">
        <f t="shared" si="73"/>
        <v>5.424666218473674</v>
      </c>
      <c r="V292" s="1626">
        <f t="shared" si="74"/>
        <v>5.424666218473674</v>
      </c>
    </row>
    <row r="293" spans="3:24" ht="14.25">
      <c r="C293" s="1603" t="s">
        <v>831</v>
      </c>
      <c r="D293" s="913"/>
      <c r="E293" s="913"/>
      <c r="F293" s="1575">
        <f>F292+F290+F284+F279+F259+F255+F291</f>
        <v>37142.559999999998</v>
      </c>
      <c r="G293" s="1575">
        <f t="shared" ref="G293:P293" si="88">G292+G290+G284+G279+G259+G255+G291</f>
        <v>500</v>
      </c>
      <c r="H293" s="1577">
        <f t="shared" si="88"/>
        <v>19907.28</v>
      </c>
      <c r="I293" s="1577">
        <f t="shared" si="88"/>
        <v>31405.913130764562</v>
      </c>
      <c r="J293" s="1577">
        <f t="shared" si="88"/>
        <v>30234.967616965903</v>
      </c>
      <c r="K293" s="1577">
        <f t="shared" si="88"/>
        <v>3292.2617137514853</v>
      </c>
      <c r="L293" s="1577">
        <f t="shared" si="88"/>
        <v>12172.999950187241</v>
      </c>
      <c r="M293" s="1577">
        <f t="shared" si="88"/>
        <v>9.4294059296639094</v>
      </c>
      <c r="N293" s="1577">
        <f t="shared" si="88"/>
        <v>0</v>
      </c>
      <c r="O293" s="1577">
        <f t="shared" si="88"/>
        <v>9.7420261013891931</v>
      </c>
      <c r="P293" s="1577">
        <f t="shared" si="88"/>
        <v>15484.43309596978</v>
      </c>
      <c r="Q293" s="1577">
        <f t="shared" si="69"/>
        <v>1.0888920919181277</v>
      </c>
      <c r="R293" s="1577">
        <f t="shared" si="70"/>
        <v>3.1187087908017925E-3</v>
      </c>
      <c r="S293" s="1577">
        <f t="shared" si="71"/>
        <v>0</v>
      </c>
      <c r="T293" s="1577">
        <f t="shared" si="72"/>
        <v>3.2221056839904141E-3</v>
      </c>
      <c r="U293" s="1577">
        <f t="shared" si="73"/>
        <v>4.0261329545319384</v>
      </c>
      <c r="V293" s="1620">
        <f t="shared" si="74"/>
        <v>5.1213658609248576</v>
      </c>
    </row>
    <row r="294" spans="3:24" ht="12.75" customHeight="1">
      <c r="C294" s="1641" t="s">
        <v>1151</v>
      </c>
      <c r="D294" s="1041"/>
      <c r="E294" s="1041"/>
      <c r="F294" s="1570"/>
      <c r="G294" s="1571"/>
      <c r="H294" s="1572"/>
      <c r="I294" s="1572">
        <v>400.07274091496572</v>
      </c>
      <c r="J294" s="1572">
        <v>400.07274091496572</v>
      </c>
      <c r="K294" s="1572">
        <v>0</v>
      </c>
      <c r="L294" s="1572">
        <v>222.60669329557214</v>
      </c>
      <c r="M294" s="1572">
        <v>0</v>
      </c>
      <c r="N294" s="1572">
        <v>0</v>
      </c>
      <c r="O294" s="1572"/>
      <c r="P294" s="1573">
        <v>222.60669329557214</v>
      </c>
      <c r="Q294" s="1573">
        <f t="shared" si="69"/>
        <v>0</v>
      </c>
      <c r="R294" s="1578">
        <f t="shared" ref="R294" si="89">SUM(AF294:AG294)</f>
        <v>0</v>
      </c>
      <c r="S294" s="1573">
        <f t="shared" ref="S294" si="90">IFERROR(N294/K294*10,0)</f>
        <v>0</v>
      </c>
      <c r="T294" s="1573">
        <f t="shared" ref="T294" si="91">IFERROR(O294/K294*10,0)</f>
        <v>0</v>
      </c>
      <c r="U294" s="1573">
        <f t="shared" ref="U294" si="92">IFERROR(P294/K294*10,0)</f>
        <v>0</v>
      </c>
      <c r="V294" s="1626">
        <f t="shared" ref="V294" si="93">IFERROR(Q294/N294*10,0)</f>
        <v>0</v>
      </c>
      <c r="W294" s="1579">
        <f t="shared" ref="W294" si="94">IFERROR(R294/N294*10,0)</f>
        <v>0</v>
      </c>
      <c r="X294" s="1573">
        <f t="shared" ref="X294" si="95">IFERROR(S294/N294*10,0)</f>
        <v>0</v>
      </c>
    </row>
    <row r="295" spans="3:24" ht="12" customHeight="1" thickBot="1">
      <c r="C295" s="1642" t="s">
        <v>829</v>
      </c>
      <c r="D295" s="1643"/>
      <c r="E295" s="1643"/>
      <c r="F295" s="1644"/>
      <c r="G295" s="1644"/>
      <c r="H295" s="1645"/>
      <c r="I295" s="1645">
        <f t="shared" ref="I295" si="96">I293+I294</f>
        <v>31805.985871679528</v>
      </c>
      <c r="J295" s="1645">
        <f>J293+J294</f>
        <v>30635.040357880869</v>
      </c>
      <c r="K295" s="1645">
        <f t="shared" ref="K295:M295" si="97">K293+K294</f>
        <v>3292.2617137514853</v>
      </c>
      <c r="L295" s="1645">
        <f t="shared" si="97"/>
        <v>12395.606643482814</v>
      </c>
      <c r="M295" s="1645">
        <f t="shared" si="97"/>
        <v>9.4294059296639094</v>
      </c>
      <c r="N295" s="1645">
        <f>N293+N294</f>
        <v>0</v>
      </c>
      <c r="O295" s="1645">
        <f t="shared" ref="O295" si="98">O293+O294</f>
        <v>9.7420261013891931</v>
      </c>
      <c r="P295" s="1645">
        <f>P293+P294</f>
        <v>15707.039789265353</v>
      </c>
      <c r="Q295" s="1613">
        <f t="shared" ref="Q295:S295" si="99">K295*10/$J295</f>
        <v>1.0746719035754593</v>
      </c>
      <c r="R295" s="1613">
        <f t="shared" si="99"/>
        <v>4.0462184801052627</v>
      </c>
      <c r="S295" s="1613">
        <f t="shared" si="99"/>
        <v>3.0779805802469565E-3</v>
      </c>
      <c r="T295" s="1613">
        <f>N295*10/$J295</f>
        <v>0</v>
      </c>
      <c r="U295" s="1613">
        <f t="shared" ref="U295" si="100">O295*10/$J295</f>
        <v>3.180027180503797E-3</v>
      </c>
      <c r="V295" s="1614">
        <f>P295*10/$J295</f>
        <v>5.1271483914414739</v>
      </c>
    </row>
    <row r="297" spans="3:24" ht="18.75" thickBot="1">
      <c r="C297" s="1686" t="s">
        <v>989</v>
      </c>
      <c r="D297" s="1687" t="s">
        <v>1152</v>
      </c>
      <c r="E297" s="1687"/>
      <c r="F297" s="1688"/>
      <c r="G297" s="1689"/>
      <c r="H297" s="1689"/>
      <c r="I297" s="1689"/>
      <c r="J297" s="1689"/>
      <c r="K297" s="1690"/>
      <c r="L297" s="1690"/>
      <c r="M297" s="1690"/>
      <c r="N297" s="1691"/>
      <c r="O297" s="1690"/>
      <c r="P297" s="1689"/>
      <c r="Q297" s="1690"/>
      <c r="R297" s="1690"/>
      <c r="S297" s="1690"/>
      <c r="T297" s="1690"/>
      <c r="U297" s="1690"/>
      <c r="V297" s="1689"/>
    </row>
    <row r="298" spans="3:24" ht="31.5">
      <c r="C298" s="1528" t="s">
        <v>92</v>
      </c>
      <c r="D298" s="1446" t="s">
        <v>93</v>
      </c>
      <c r="E298" s="1446" t="s">
        <v>368</v>
      </c>
      <c r="F298" s="1510" t="s">
        <v>222</v>
      </c>
      <c r="G298" s="1510" t="s">
        <v>225</v>
      </c>
      <c r="H298" s="1510" t="s">
        <v>225</v>
      </c>
      <c r="I298" s="1788" t="s">
        <v>250</v>
      </c>
      <c r="J298" s="1788"/>
      <c r="K298" s="1788" t="s">
        <v>91</v>
      </c>
      <c r="L298" s="1788"/>
      <c r="M298" s="1788"/>
      <c r="N298" s="1788"/>
      <c r="O298" s="1788"/>
      <c r="P298" s="1788"/>
      <c r="Q298" s="1788" t="s">
        <v>370</v>
      </c>
      <c r="R298" s="1788"/>
      <c r="S298" s="1788"/>
      <c r="T298" s="1788"/>
      <c r="U298" s="1788"/>
      <c r="V298" s="1647"/>
      <c r="W298" s="1787" t="s">
        <v>365</v>
      </c>
    </row>
    <row r="299" spans="3:24" ht="21">
      <c r="C299" s="1529"/>
      <c r="D299" s="1437"/>
      <c r="E299" s="1437"/>
      <c r="F299" s="1509" t="s">
        <v>223</v>
      </c>
      <c r="G299" s="1509" t="s">
        <v>224</v>
      </c>
      <c r="H299" s="1509" t="s">
        <v>223</v>
      </c>
      <c r="I299" s="1509" t="s">
        <v>521</v>
      </c>
      <c r="J299" s="1509" t="s">
        <v>209</v>
      </c>
      <c r="K299" s="1509" t="s">
        <v>94</v>
      </c>
      <c r="L299" s="1509" t="s">
        <v>95</v>
      </c>
      <c r="M299" s="1509" t="s">
        <v>96</v>
      </c>
      <c r="N299" s="1509" t="s">
        <v>97</v>
      </c>
      <c r="O299" s="1509" t="s">
        <v>392</v>
      </c>
      <c r="P299" s="1509" t="s">
        <v>98</v>
      </c>
      <c r="Q299" s="1509" t="s">
        <v>94</v>
      </c>
      <c r="R299" s="1509" t="s">
        <v>262</v>
      </c>
      <c r="S299" s="1509" t="s">
        <v>97</v>
      </c>
      <c r="T299" s="1509" t="s">
        <v>392</v>
      </c>
      <c r="U299" s="1509" t="s">
        <v>95</v>
      </c>
      <c r="V299" s="1648" t="s">
        <v>98</v>
      </c>
      <c r="W299" s="1787"/>
    </row>
    <row r="300" spans="3:24" ht="6.75" customHeight="1">
      <c r="C300" s="1649"/>
      <c r="D300" s="903"/>
      <c r="E300" s="903"/>
      <c r="F300" s="1426"/>
      <c r="G300" s="1426"/>
      <c r="H300" s="1426"/>
      <c r="I300" s="1426"/>
      <c r="J300" s="1426"/>
      <c r="K300" s="1426"/>
      <c r="L300" s="1426"/>
      <c r="M300" s="1426"/>
      <c r="N300" s="1426"/>
      <c r="O300" s="1426"/>
      <c r="P300" s="1426"/>
      <c r="Q300" s="1426"/>
      <c r="R300" s="1426"/>
      <c r="S300" s="1426"/>
      <c r="T300" s="1426"/>
      <c r="U300" s="904"/>
      <c r="V300" s="1650"/>
      <c r="W300" s="909"/>
    </row>
    <row r="301" spans="3:24">
      <c r="C301" s="1651" t="s">
        <v>785</v>
      </c>
      <c r="D301" s="905"/>
      <c r="E301" s="905"/>
      <c r="F301" s="905"/>
      <c r="G301" s="905"/>
      <c r="H301" s="905"/>
      <c r="I301" s="905"/>
      <c r="J301" s="905"/>
      <c r="K301" s="905"/>
      <c r="L301" s="905"/>
      <c r="M301" s="905"/>
      <c r="N301" s="905"/>
      <c r="O301" s="905"/>
      <c r="P301" s="1573"/>
      <c r="Q301" s="905"/>
      <c r="R301" s="905"/>
      <c r="S301" s="905"/>
      <c r="T301" s="905"/>
      <c r="U301" s="905"/>
      <c r="V301" s="1652"/>
      <c r="W301" s="911"/>
    </row>
    <row r="302" spans="3:24">
      <c r="C302" s="1451" t="s">
        <v>786</v>
      </c>
      <c r="D302" s="1570"/>
      <c r="E302" s="1570"/>
      <c r="F302" s="1570">
        <f>VLOOKUP($C302,'[1]Form 1.4'!$C$73:$V$129,2,0)</f>
        <v>1260</v>
      </c>
      <c r="G302" s="1571">
        <f>VLOOKUP($C302,'[1]Form 1.4'!$C$73:$V$129,3,0)</f>
        <v>1</v>
      </c>
      <c r="H302" s="1572">
        <f>VLOOKUP($C302,'[1]Form 1.4'!$C$73:$V$129,4,0)</f>
        <v>1260</v>
      </c>
      <c r="I302" s="1572">
        <f>VLOOKUP($C302,'[1]Form 1.4'!$C$73:$V$129,7,0)</f>
        <v>3188.9317863964143</v>
      </c>
      <c r="J302" s="1572">
        <f>VLOOKUP($C302,'[1]Form 1.4'!$C$73:$V$129,8,0)</f>
        <v>3048.8126275438117</v>
      </c>
      <c r="K302" s="1572">
        <f>VLOOKUP($C302,'[1]Form 1.4'!$C$73:$V$129,9,0)</f>
        <v>359.10610502261653</v>
      </c>
      <c r="L302" s="1572">
        <f>VLOOKUP($C302,'[1]Form 1.4'!$C$73:$V$129,10,0)</f>
        <v>1069.2185884796149</v>
      </c>
      <c r="M302" s="1572">
        <v>0</v>
      </c>
      <c r="N302" s="1572">
        <v>0</v>
      </c>
      <c r="O302" s="1572">
        <v>0</v>
      </c>
      <c r="P302" s="1573">
        <f t="shared" ref="P302" si="101">SUM(K302:O302)</f>
        <v>1428.3246935022314</v>
      </c>
      <c r="Q302" s="1572">
        <f>IFERROR(K302/J302*10,0)</f>
        <v>1.1778556077154536</v>
      </c>
      <c r="R302" s="1572">
        <f>IFERROR(M302/J302*10,0)</f>
        <v>0</v>
      </c>
      <c r="S302" s="1572">
        <f>IFERROR(N302/J302*10,0)</f>
        <v>0</v>
      </c>
      <c r="T302" s="1572">
        <f>IFERROR(O302/J302*10,0)</f>
        <v>0</v>
      </c>
      <c r="U302" s="1572">
        <f>IFERROR(L302/J302*10,0)</f>
        <v>3.5070000000000006</v>
      </c>
      <c r="V302" s="1653">
        <f t="shared" ref="V302:V360" si="102">IF(J302=0,0,P302/J302*10)</f>
        <v>4.6848556077154537</v>
      </c>
      <c r="W302" s="912"/>
    </row>
    <row r="303" spans="3:24">
      <c r="C303" s="1451" t="s">
        <v>787</v>
      </c>
      <c r="D303" s="1570"/>
      <c r="E303" s="1570"/>
      <c r="F303" s="1570">
        <f>VLOOKUP($C303,'[1]Form 1.4'!$C$73:$V$129,2,0)</f>
        <v>500</v>
      </c>
      <c r="G303" s="1571">
        <f>VLOOKUP($C303,'[1]Form 1.4'!$C$73:$V$129,3,0)</f>
        <v>1</v>
      </c>
      <c r="H303" s="1572">
        <f>VLOOKUP($C303,'[1]Form 1.4'!$C$73:$V$129,4,0)</f>
        <v>500</v>
      </c>
      <c r="I303" s="1572">
        <f>VLOOKUP($C303,'[1]Form 1.4'!$C$73:$V$129,7,0)</f>
        <v>1248.0520419386507</v>
      </c>
      <c r="J303" s="1572">
        <f>VLOOKUP($C303,'[1]Form 1.4'!$C$73:$V$129,8,0)</f>
        <v>1248.0520419386507</v>
      </c>
      <c r="K303" s="1572">
        <f>VLOOKUP($C303,'[1]Form 1.4'!$C$73:$V$129,9,0)</f>
        <v>132.84409532038373</v>
      </c>
      <c r="L303" s="1572">
        <f>VLOOKUP($C303,'[1]Form 1.4'!$C$73:$V$129,10,0)</f>
        <v>412.79321287120877</v>
      </c>
      <c r="M303" s="1572">
        <v>0</v>
      </c>
      <c r="N303" s="1572">
        <v>0</v>
      </c>
      <c r="O303" s="1572">
        <v>0</v>
      </c>
      <c r="P303" s="1573">
        <f t="shared" ref="P303:P308" si="103">SUM(K303:O303)</f>
        <v>545.63730819159252</v>
      </c>
      <c r="Q303" s="1572">
        <f t="shared" ref="Q303:Q360" si="104">IFERROR(K303/J303*10,0)</f>
        <v>1.0644115057416317</v>
      </c>
      <c r="R303" s="1572">
        <f t="shared" ref="R303:R360" si="105">IFERROR(M303/J303*10,0)</f>
        <v>0</v>
      </c>
      <c r="S303" s="1572">
        <f t="shared" ref="S303:S360" si="106">IFERROR(N303/J303*10,0)</f>
        <v>0</v>
      </c>
      <c r="T303" s="1572">
        <f t="shared" ref="T303:T360" si="107">IFERROR(O303/J303*10,0)</f>
        <v>0</v>
      </c>
      <c r="U303" s="1572">
        <f t="shared" ref="U303:U360" si="108">IFERROR(L303/J303*10,0)</f>
        <v>3.3075000000000006</v>
      </c>
      <c r="V303" s="1653">
        <f t="shared" si="102"/>
        <v>4.3719115057416316</v>
      </c>
      <c r="W303" s="912"/>
    </row>
    <row r="304" spans="3:24">
      <c r="C304" s="1451" t="s">
        <v>969</v>
      </c>
      <c r="D304" s="1570"/>
      <c r="E304" s="1570"/>
      <c r="F304" s="1570">
        <f>VLOOKUP($C304,'[1]Form 1.4'!$C$73:$V$129,2,0)</f>
        <v>800</v>
      </c>
      <c r="G304" s="1571">
        <f>VLOOKUP($C304,'[1]Form 1.4'!$C$73:$V$129,3,0)</f>
        <v>1</v>
      </c>
      <c r="H304" s="1572">
        <f>VLOOKUP($C304,'[1]Form 1.4'!$C$73:$V$129,4,0)</f>
        <v>800</v>
      </c>
      <c r="I304" s="1572">
        <f>VLOOKUP($C304,'[1]Form 1.4'!$C$73:$V$129,7,0)</f>
        <v>2025.7830142426567</v>
      </c>
      <c r="J304" s="1572">
        <f>VLOOKUP($C304,'[1]Form 1.4'!$C$73:$V$129,8,0)</f>
        <v>2025.7830142426567</v>
      </c>
      <c r="K304" s="1572">
        <f>VLOOKUP($C304,'[1]Form 1.4'!$C$73:$V$129,9,0)</f>
        <v>667.01383868153766</v>
      </c>
      <c r="L304" s="1572">
        <f>VLOOKUP($C304,'[1]Form 1.4'!$C$73:$V$129,10,0)</f>
        <v>655.13822680607529</v>
      </c>
      <c r="M304" s="1572">
        <v>0</v>
      </c>
      <c r="N304" s="1572">
        <v>0</v>
      </c>
      <c r="O304" s="1572">
        <v>0</v>
      </c>
      <c r="P304" s="1573">
        <f t="shared" si="103"/>
        <v>1322.1520654876131</v>
      </c>
      <c r="Q304" s="1572">
        <f t="shared" si="104"/>
        <v>3.2926223292029237</v>
      </c>
      <c r="R304" s="1572">
        <f t="shared" si="105"/>
        <v>0</v>
      </c>
      <c r="S304" s="1572">
        <f t="shared" si="106"/>
        <v>0</v>
      </c>
      <c r="T304" s="1572">
        <f t="shared" si="107"/>
        <v>0</v>
      </c>
      <c r="U304" s="1572">
        <f t="shared" si="108"/>
        <v>3.2340000000000009</v>
      </c>
      <c r="V304" s="1653">
        <f t="shared" si="102"/>
        <v>6.526622329202926</v>
      </c>
      <c r="W304" s="912"/>
    </row>
    <row r="305" spans="3:23">
      <c r="C305" s="1451" t="s">
        <v>677</v>
      </c>
      <c r="D305" s="1570"/>
      <c r="E305" s="1570"/>
      <c r="F305" s="1570">
        <f>VLOOKUP($C305,'[1]Form 1.4'!$C$73:$V$129,2,0)</f>
        <v>420</v>
      </c>
      <c r="G305" s="1571">
        <f>VLOOKUP($C305,'[1]Form 1.4'!$C$73:$V$129,3,0)</f>
        <v>1</v>
      </c>
      <c r="H305" s="1572">
        <f>VLOOKUP($C305,'[1]Form 1.4'!$C$73:$V$129,4,0)</f>
        <v>420</v>
      </c>
      <c r="I305" s="1572">
        <f>VLOOKUP($C305,'[1]Form 1.4'!$C$73:$V$129,7,0)</f>
        <v>730.796867715845</v>
      </c>
      <c r="J305" s="1572">
        <f>VLOOKUP($C305,'[1]Form 1.4'!$C$73:$V$129,8,0)</f>
        <v>484.92668665859668</v>
      </c>
      <c r="K305" s="1572">
        <f>VLOOKUP($C305,'[1]Form 1.4'!$C$73:$V$129,9,0)</f>
        <v>86.532690670691096</v>
      </c>
      <c r="L305" s="1572">
        <f>VLOOKUP($C305,'[1]Form 1.4'!$C$73:$V$129,10,0)</f>
        <v>196.54078610272921</v>
      </c>
      <c r="M305" s="1572">
        <v>0</v>
      </c>
      <c r="N305" s="1572">
        <v>0</v>
      </c>
      <c r="O305" s="1572">
        <v>0</v>
      </c>
      <c r="P305" s="1573">
        <f t="shared" si="103"/>
        <v>283.07347677342034</v>
      </c>
      <c r="Q305" s="1572">
        <f t="shared" si="104"/>
        <v>1.7844489291143666</v>
      </c>
      <c r="R305" s="1572">
        <f t="shared" si="105"/>
        <v>0</v>
      </c>
      <c r="S305" s="1572">
        <f t="shared" si="106"/>
        <v>0</v>
      </c>
      <c r="T305" s="1572">
        <f t="shared" si="107"/>
        <v>0</v>
      </c>
      <c r="U305" s="1572">
        <f t="shared" si="108"/>
        <v>4.052999999999999</v>
      </c>
      <c r="V305" s="1653">
        <f t="shared" si="102"/>
        <v>5.837448929114367</v>
      </c>
      <c r="W305" s="912"/>
    </row>
    <row r="306" spans="3:23">
      <c r="C306" s="1451" t="s">
        <v>105</v>
      </c>
      <c r="D306" s="1570"/>
      <c r="E306" s="1570"/>
      <c r="F306" s="1570">
        <f>VLOOKUP($C306,'[1]Form 1.4'!$C$73:$V$129,2,0)</f>
        <v>420</v>
      </c>
      <c r="G306" s="1571">
        <f>VLOOKUP($C306,'[1]Form 1.4'!$C$73:$V$129,3,0)</f>
        <v>1</v>
      </c>
      <c r="H306" s="1572">
        <f>VLOOKUP($C306,'[1]Form 1.4'!$C$73:$V$129,4,0)</f>
        <v>420</v>
      </c>
      <c r="I306" s="1572">
        <f>VLOOKUP($C306,'[1]Form 1.4'!$C$73:$V$129,7,0)</f>
        <v>797.23294659910357</v>
      </c>
      <c r="J306" s="1572">
        <f>VLOOKUP($C306,'[1]Form 1.4'!$C$73:$V$129,8,0)</f>
        <v>431.01745525869131</v>
      </c>
      <c r="K306" s="1572">
        <f>VLOOKUP($C306,'[1]Form 1.4'!$C$73:$V$129,9,0)</f>
        <v>97.108006910922441</v>
      </c>
      <c r="L306" s="1572">
        <f>VLOOKUP($C306,'[1]Form 1.4'!$C$73:$V$129,10,0)</f>
        <v>174.69137461634759</v>
      </c>
      <c r="M306" s="1572">
        <v>0</v>
      </c>
      <c r="N306" s="1572">
        <v>0</v>
      </c>
      <c r="O306" s="1572">
        <v>0</v>
      </c>
      <c r="P306" s="1573">
        <f t="shared" si="103"/>
        <v>271.79938152727004</v>
      </c>
      <c r="Q306" s="1572">
        <f t="shared" si="104"/>
        <v>2.2529947621875177</v>
      </c>
      <c r="R306" s="1572">
        <f t="shared" si="105"/>
        <v>0</v>
      </c>
      <c r="S306" s="1572">
        <f t="shared" si="106"/>
        <v>0</v>
      </c>
      <c r="T306" s="1572">
        <f t="shared" si="107"/>
        <v>0</v>
      </c>
      <c r="U306" s="1572">
        <f t="shared" si="108"/>
        <v>4.0529999999999999</v>
      </c>
      <c r="V306" s="1653">
        <f t="shared" si="102"/>
        <v>6.3059947621875176</v>
      </c>
      <c r="W306" s="912"/>
    </row>
    <row r="307" spans="3:23">
      <c r="C307" s="1451" t="s">
        <v>399</v>
      </c>
      <c r="D307" s="1570"/>
      <c r="E307" s="1570"/>
      <c r="F307" s="1570">
        <f>VLOOKUP($C307,'[1]Form 1.4'!$C$73:$V$129,2,0)</f>
        <v>210</v>
      </c>
      <c r="G307" s="1571">
        <f>VLOOKUP($C307,'[1]Form 1.4'!$C$73:$V$129,3,0)</f>
        <v>1</v>
      </c>
      <c r="H307" s="1572">
        <f>VLOOKUP($C307,'[1]Form 1.4'!$C$73:$V$129,4,0)</f>
        <v>210</v>
      </c>
      <c r="I307" s="1572">
        <f>VLOOKUP($C307,'[1]Form 1.4'!$C$73:$V$129,7,0)</f>
        <v>394.02049717789328</v>
      </c>
      <c r="J307" s="1572">
        <f>VLOOKUP($C307,'[1]Form 1.4'!$C$73:$V$129,8,0)</f>
        <v>151.17185597083309</v>
      </c>
      <c r="K307" s="1572">
        <f>VLOOKUP($C307,'[1]Form 1.4'!$C$73:$V$129,9,0)</f>
        <v>58.700050191043317</v>
      </c>
      <c r="L307" s="1572">
        <f>VLOOKUP($C307,'[1]Form 1.4'!$C$73:$V$129,10,0)</f>
        <v>61.269953224978657</v>
      </c>
      <c r="M307" s="1572">
        <v>0</v>
      </c>
      <c r="N307" s="1572">
        <v>0</v>
      </c>
      <c r="O307" s="1572">
        <v>0</v>
      </c>
      <c r="P307" s="1573">
        <f t="shared" si="103"/>
        <v>119.97000341602197</v>
      </c>
      <c r="Q307" s="1572">
        <f t="shared" si="104"/>
        <v>3.8830012249349402</v>
      </c>
      <c r="R307" s="1572">
        <f t="shared" si="105"/>
        <v>0</v>
      </c>
      <c r="S307" s="1572">
        <f t="shared" si="106"/>
        <v>0</v>
      </c>
      <c r="T307" s="1572">
        <f t="shared" si="107"/>
        <v>0</v>
      </c>
      <c r="U307" s="1572">
        <f t="shared" si="108"/>
        <v>4.0530000000000008</v>
      </c>
      <c r="V307" s="1653">
        <f t="shared" si="102"/>
        <v>7.9360012249349401</v>
      </c>
      <c r="W307" s="912"/>
    </row>
    <row r="308" spans="3:23">
      <c r="C308" s="1451" t="s">
        <v>678</v>
      </c>
      <c r="D308" s="1570"/>
      <c r="E308" s="1570"/>
      <c r="F308" s="1570">
        <f>VLOOKUP($C308,'[1]Form 1.4'!$C$73:$V$129,2,0)</f>
        <v>600</v>
      </c>
      <c r="G308" s="1571">
        <f>VLOOKUP($C308,'[1]Form 1.4'!$C$73:$V$129,3,0)</f>
        <v>1</v>
      </c>
      <c r="H308" s="1572">
        <f>VLOOKUP($C308,'[1]Form 1.4'!$C$73:$V$129,4,0)</f>
        <v>600</v>
      </c>
      <c r="I308" s="1572">
        <f>VLOOKUP($C308,'[1]Form 1.4'!$C$73:$V$129,7,0)</f>
        <v>1162.8199849700643</v>
      </c>
      <c r="J308" s="1572">
        <f>VLOOKUP($C308,'[1]Form 1.4'!$C$73:$V$129,8,0)</f>
        <v>950.86457770023912</v>
      </c>
      <c r="K308" s="1572">
        <f>VLOOKUP($C308,'[1]Form 1.4'!$C$73:$V$129,9,0)</f>
        <v>239.13974245167077</v>
      </c>
      <c r="L308" s="1572">
        <f>VLOOKUP($C308,'[1]Form 1.4'!$C$73:$V$129,10,0)</f>
        <v>365.41725721020191</v>
      </c>
      <c r="M308" s="1572">
        <v>0</v>
      </c>
      <c r="N308" s="1572">
        <v>0</v>
      </c>
      <c r="O308" s="1572">
        <v>0</v>
      </c>
      <c r="P308" s="1573">
        <f t="shared" si="103"/>
        <v>604.55699966187262</v>
      </c>
      <c r="Q308" s="1572">
        <f t="shared" si="104"/>
        <v>2.5149716169893943</v>
      </c>
      <c r="R308" s="1572">
        <f t="shared" si="105"/>
        <v>0</v>
      </c>
      <c r="S308" s="1572">
        <f t="shared" si="106"/>
        <v>0</v>
      </c>
      <c r="T308" s="1572">
        <f t="shared" si="107"/>
        <v>0</v>
      </c>
      <c r="U308" s="1572">
        <f t="shared" si="108"/>
        <v>3.8430000000000004</v>
      </c>
      <c r="V308" s="1653">
        <f t="shared" si="102"/>
        <v>6.3579716169893938</v>
      </c>
      <c r="W308" s="912"/>
    </row>
    <row r="309" spans="3:23" ht="14.25">
      <c r="C309" s="1603" t="s">
        <v>788</v>
      </c>
      <c r="D309" s="1575"/>
      <c r="E309" s="1575"/>
      <c r="F309" s="1575">
        <f>SUM(F302:F308)</f>
        <v>4210</v>
      </c>
      <c r="G309" s="1575"/>
      <c r="H309" s="1577">
        <f t="shared" ref="H309:P309" si="109">SUM(H302:H308)</f>
        <v>4210</v>
      </c>
      <c r="I309" s="1577">
        <f t="shared" si="109"/>
        <v>9547.6371390406293</v>
      </c>
      <c r="J309" s="1577">
        <f t="shared" si="109"/>
        <v>8340.6282593134783</v>
      </c>
      <c r="K309" s="1577">
        <f t="shared" si="109"/>
        <v>1640.4445292488658</v>
      </c>
      <c r="L309" s="1577">
        <f t="shared" si="109"/>
        <v>2935.0693993111563</v>
      </c>
      <c r="M309" s="1577">
        <f t="shared" si="109"/>
        <v>0</v>
      </c>
      <c r="N309" s="1577">
        <f t="shared" si="109"/>
        <v>0</v>
      </c>
      <c r="O309" s="1577">
        <f t="shared" si="109"/>
        <v>0</v>
      </c>
      <c r="P309" s="1577">
        <f t="shared" si="109"/>
        <v>4575.5139285600217</v>
      </c>
      <c r="Q309" s="1577">
        <f t="shared" si="104"/>
        <v>1.9668117056015295</v>
      </c>
      <c r="R309" s="1577">
        <f t="shared" si="105"/>
        <v>0</v>
      </c>
      <c r="S309" s="1577">
        <f t="shared" si="106"/>
        <v>0</v>
      </c>
      <c r="T309" s="1577">
        <f t="shared" si="107"/>
        <v>0</v>
      </c>
      <c r="U309" s="1577">
        <f t="shared" si="108"/>
        <v>3.5190027754009305</v>
      </c>
      <c r="V309" s="1620">
        <f t="shared" si="102"/>
        <v>5.4858144810024605</v>
      </c>
      <c r="W309" s="912"/>
    </row>
    <row r="310" spans="3:23">
      <c r="C310" s="1451" t="s">
        <v>789</v>
      </c>
      <c r="D310" s="1570"/>
      <c r="E310" s="1570"/>
      <c r="F310" s="1570">
        <f>VLOOKUP($C310,'[1]Form 1.4'!$C$73:$V$129,2,0)</f>
        <v>770</v>
      </c>
      <c r="G310" s="1571">
        <f>VLOOKUP($C310,'[1]Form 1.4'!$C$73:$V$129,3,0)</f>
        <v>1</v>
      </c>
      <c r="H310" s="1572">
        <f>VLOOKUP($C310,'[1]Form 1.4'!$C$73:$V$129,4,0)</f>
        <v>770</v>
      </c>
      <c r="I310" s="1572">
        <f>VLOOKUP($C310,'[1]Form 1.4'!$C$73:$V$129,7,0)</f>
        <v>396.01501591880873</v>
      </c>
      <c r="J310" s="1572">
        <f>VLOOKUP($C310,'[1]Form 1.4'!$C$73:$V$129,8,0)</f>
        <v>396.01501591880873</v>
      </c>
      <c r="K310" s="1572">
        <f>VLOOKUP($C310,'[1]Form 1.4'!$C$73:$V$129,9,0)</f>
        <v>97.805864699466227</v>
      </c>
      <c r="L310" s="1572">
        <f>VLOOKUP($C310,'[1]Form 1.4'!$C$73:$V$129,10,0)</f>
        <v>0</v>
      </c>
      <c r="M310" s="1572">
        <f>VLOOKUP($C310,'[1]Form 1.4'!$C$73:$V$129,11,0)</f>
        <v>0</v>
      </c>
      <c r="N310" s="1572">
        <f>VLOOKUP($C310,'[1]Form 1.4'!$C$73:$V$129,12,0)</f>
        <v>0</v>
      </c>
      <c r="O310" s="1572">
        <f>VLOOKUP($C310,'[1]Form 1.4'!$C$73:$V$129,13,0)</f>
        <v>0</v>
      </c>
      <c r="P310" s="1573">
        <f t="shared" ref="P310:P319" si="110">SUM(K310:O310)</f>
        <v>97.805864699466227</v>
      </c>
      <c r="Q310" s="1572">
        <f t="shared" si="104"/>
        <v>2.4697514176967079</v>
      </c>
      <c r="R310" s="1572">
        <f t="shared" si="105"/>
        <v>0</v>
      </c>
      <c r="S310" s="1572">
        <f t="shared" si="106"/>
        <v>0</v>
      </c>
      <c r="T310" s="1572">
        <f t="shared" si="107"/>
        <v>0</v>
      </c>
      <c r="U310" s="1572">
        <f t="shared" si="108"/>
        <v>0</v>
      </c>
      <c r="V310" s="1653">
        <f t="shared" si="102"/>
        <v>2.4697514176967079</v>
      </c>
      <c r="W310" s="912"/>
    </row>
    <row r="311" spans="3:23">
      <c r="C311" s="1451" t="s">
        <v>782</v>
      </c>
      <c r="D311" s="1570"/>
      <c r="E311" s="1570"/>
      <c r="F311" s="1570">
        <f>VLOOKUP($C311,'[1]Form 1.4'!$C$73:$V$129,2,0)</f>
        <v>90</v>
      </c>
      <c r="G311" s="1571">
        <f>VLOOKUP($C311,'[1]Form 1.4'!$C$73:$V$129,3,0)</f>
        <v>1</v>
      </c>
      <c r="H311" s="1572">
        <f>VLOOKUP($C311,'[1]Form 1.4'!$C$73:$V$129,4,0)</f>
        <v>90</v>
      </c>
      <c r="I311" s="1572">
        <f>VLOOKUP($C311,'[1]Form 1.4'!$C$73:$V$129,7,0)</f>
        <v>51.223262104240071</v>
      </c>
      <c r="J311" s="1572">
        <f>VLOOKUP($C311,'[1]Form 1.4'!$C$73:$V$129,8,0)</f>
        <v>51.223262104240071</v>
      </c>
      <c r="K311" s="1572">
        <f>VLOOKUP($C311,'[1]Form 1.4'!$C$73:$V$129,9,0)</f>
        <v>11.494546016668075</v>
      </c>
      <c r="L311" s="1572">
        <f>VLOOKUP($C311,'[1]Form 1.4'!$C$73:$V$129,10,0)</f>
        <v>0</v>
      </c>
      <c r="M311" s="1572">
        <f>VLOOKUP($C311,'[1]Form 1.4'!$C$73:$V$129,11,0)</f>
        <v>0</v>
      </c>
      <c r="N311" s="1572">
        <f>VLOOKUP($C311,'[1]Form 1.4'!$C$73:$V$129,12,0)</f>
        <v>0</v>
      </c>
      <c r="O311" s="1572">
        <f>VLOOKUP($C311,'[1]Form 1.4'!$C$73:$V$129,13,0)</f>
        <v>0</v>
      </c>
      <c r="P311" s="1573">
        <f t="shared" si="110"/>
        <v>11.494546016668075</v>
      </c>
      <c r="Q311" s="1572">
        <f t="shared" si="104"/>
        <v>2.2440089803879553</v>
      </c>
      <c r="R311" s="1572">
        <f t="shared" si="105"/>
        <v>0</v>
      </c>
      <c r="S311" s="1572">
        <f t="shared" si="106"/>
        <v>0</v>
      </c>
      <c r="T311" s="1572">
        <f t="shared" si="107"/>
        <v>0</v>
      </c>
      <c r="U311" s="1572">
        <f t="shared" si="108"/>
        <v>0</v>
      </c>
      <c r="V311" s="1653">
        <f t="shared" si="102"/>
        <v>2.2440089803879553</v>
      </c>
      <c r="W311" s="912"/>
    </row>
    <row r="312" spans="3:23">
      <c r="C312" s="1451" t="s">
        <v>790</v>
      </c>
      <c r="D312" s="1570"/>
      <c r="E312" s="1570"/>
      <c r="F312" s="1570">
        <f>VLOOKUP($C312,'[1]Form 1.4'!$C$73:$V$129,2,0)</f>
        <v>50</v>
      </c>
      <c r="G312" s="1571">
        <f>VLOOKUP($C312,'[1]Form 1.4'!$C$73:$V$129,3,0)</f>
        <v>1</v>
      </c>
      <c r="H312" s="1572">
        <f>VLOOKUP($C312,'[1]Form 1.4'!$C$73:$V$129,4,0)</f>
        <v>50</v>
      </c>
      <c r="I312" s="1572">
        <f>VLOOKUP($C312,'[1]Form 1.4'!$C$73:$V$129,7,0)</f>
        <v>31.34840096979724</v>
      </c>
      <c r="J312" s="1572">
        <f>VLOOKUP($C312,'[1]Form 1.4'!$C$73:$V$129,8,0)</f>
        <v>31.34840096979724</v>
      </c>
      <c r="K312" s="1572">
        <f>VLOOKUP($C312,'[1]Form 1.4'!$C$73:$V$129,9,0)</f>
        <v>21.419911957660027</v>
      </c>
      <c r="L312" s="1572">
        <f>VLOOKUP($C312,'[1]Form 1.4'!$C$73:$V$129,10,0)</f>
        <v>0</v>
      </c>
      <c r="M312" s="1572">
        <f>VLOOKUP($C312,'[1]Form 1.4'!$C$73:$V$129,11,0)</f>
        <v>0</v>
      </c>
      <c r="N312" s="1572">
        <f>VLOOKUP($C312,'[1]Form 1.4'!$C$73:$V$129,12,0)</f>
        <v>0</v>
      </c>
      <c r="O312" s="1572">
        <f>VLOOKUP($C312,'[1]Form 1.4'!$C$73:$V$129,13,0)</f>
        <v>0</v>
      </c>
      <c r="P312" s="1573">
        <f t="shared" si="110"/>
        <v>21.419911957660027</v>
      </c>
      <c r="Q312" s="1572">
        <f t="shared" si="104"/>
        <v>6.8328563164344933</v>
      </c>
      <c r="R312" s="1572">
        <f t="shared" si="105"/>
        <v>0</v>
      </c>
      <c r="S312" s="1572">
        <f t="shared" si="106"/>
        <v>0</v>
      </c>
      <c r="T312" s="1572">
        <f t="shared" si="107"/>
        <v>0</v>
      </c>
      <c r="U312" s="1572">
        <f t="shared" si="108"/>
        <v>0</v>
      </c>
      <c r="V312" s="1653">
        <f t="shared" si="102"/>
        <v>6.8328563164344933</v>
      </c>
      <c r="W312" s="912"/>
    </row>
    <row r="313" spans="3:23">
      <c r="C313" s="1451" t="s">
        <v>791</v>
      </c>
      <c r="D313" s="1570"/>
      <c r="E313" s="1570"/>
      <c r="F313" s="1570">
        <f>VLOOKUP($C313,'[1]Form 1.4'!$C$73:$V$129,2,0)</f>
        <v>240</v>
      </c>
      <c r="G313" s="1571">
        <f>VLOOKUP($C313,'[1]Form 1.4'!$C$73:$V$129,3,0)</f>
        <v>1</v>
      </c>
      <c r="H313" s="1572">
        <f>VLOOKUP($C313,'[1]Form 1.4'!$C$73:$V$129,4,0)</f>
        <v>240</v>
      </c>
      <c r="I313" s="1572">
        <f>VLOOKUP($C313,'[1]Form 1.4'!$C$73:$V$129,7,0)</f>
        <v>187.90307231502857</v>
      </c>
      <c r="J313" s="1572">
        <f>VLOOKUP($C313,'[1]Form 1.4'!$C$73:$V$129,8,0)</f>
        <v>187.90307231502857</v>
      </c>
      <c r="K313" s="1572">
        <f>VLOOKUP($C313,'[1]Form 1.4'!$C$73:$V$129,9,0)</f>
        <v>117.09604719711187</v>
      </c>
      <c r="L313" s="1572">
        <f>VLOOKUP($C313,'[1]Form 1.4'!$C$73:$V$129,10,0)</f>
        <v>0</v>
      </c>
      <c r="M313" s="1572">
        <f>VLOOKUP($C313,'[1]Form 1.4'!$C$73:$V$129,11,0)</f>
        <v>0</v>
      </c>
      <c r="N313" s="1572">
        <f>VLOOKUP($C313,'[1]Form 1.4'!$C$73:$V$129,12,0)</f>
        <v>0</v>
      </c>
      <c r="O313" s="1572">
        <f>VLOOKUP($C313,'[1]Form 1.4'!$C$73:$V$129,13,0)</f>
        <v>0</v>
      </c>
      <c r="P313" s="1573">
        <f t="shared" si="110"/>
        <v>117.09604719711187</v>
      </c>
      <c r="Q313" s="1572">
        <f t="shared" si="104"/>
        <v>6.2317260571873305</v>
      </c>
      <c r="R313" s="1572">
        <f t="shared" si="105"/>
        <v>0</v>
      </c>
      <c r="S313" s="1572">
        <f t="shared" si="106"/>
        <v>0</v>
      </c>
      <c r="T313" s="1572">
        <f t="shared" si="107"/>
        <v>0</v>
      </c>
      <c r="U313" s="1572">
        <f t="shared" si="108"/>
        <v>0</v>
      </c>
      <c r="V313" s="1653">
        <f t="shared" si="102"/>
        <v>6.2317260571873305</v>
      </c>
      <c r="W313" s="912"/>
    </row>
    <row r="314" spans="3:23">
      <c r="C314" s="1451" t="s">
        <v>792</v>
      </c>
      <c r="D314" s="1570"/>
      <c r="E314" s="1570"/>
      <c r="F314" s="1570">
        <f>VLOOKUP($C314,'[1]Form 1.4'!$C$73:$V$129,2,0)</f>
        <v>460</v>
      </c>
      <c r="G314" s="1571">
        <f>VLOOKUP($C314,'[1]Form 1.4'!$C$73:$V$129,3,0)</f>
        <v>1</v>
      </c>
      <c r="H314" s="1572">
        <f>VLOOKUP($C314,'[1]Form 1.4'!$C$73:$V$129,4,0)</f>
        <v>460</v>
      </c>
      <c r="I314" s="1572">
        <f>VLOOKUP($C314,'[1]Form 1.4'!$C$73:$V$129,7,0)</f>
        <v>427.206633810374</v>
      </c>
      <c r="J314" s="1572">
        <f>VLOOKUP($C314,'[1]Form 1.4'!$C$73:$V$129,8,0)</f>
        <v>427.206633810374</v>
      </c>
      <c r="K314" s="1572">
        <f>VLOOKUP($C314,'[1]Form 1.4'!$C$73:$V$129,9,0)</f>
        <v>0</v>
      </c>
      <c r="L314" s="1572">
        <f>VLOOKUP($C314,'[1]Form 1.4'!$C$73:$V$129,10,0)</f>
        <v>0</v>
      </c>
      <c r="M314" s="1572">
        <f>VLOOKUP($C314,'[1]Form 1.4'!$C$73:$V$129,11,0)</f>
        <v>0</v>
      </c>
      <c r="N314" s="1572">
        <f>VLOOKUP($C314,'[1]Form 1.4'!$C$73:$V$129,12,0)</f>
        <v>0</v>
      </c>
      <c r="O314" s="1572">
        <f>VLOOKUP($C314,'[1]Form 1.4'!$C$73:$V$129,13,0)</f>
        <v>0</v>
      </c>
      <c r="P314" s="1573">
        <f t="shared" si="110"/>
        <v>0</v>
      </c>
      <c r="Q314" s="1572">
        <f t="shared" si="104"/>
        <v>0</v>
      </c>
      <c r="R314" s="1572">
        <f t="shared" si="105"/>
        <v>0</v>
      </c>
      <c r="S314" s="1572">
        <f t="shared" si="106"/>
        <v>0</v>
      </c>
      <c r="T314" s="1572">
        <f t="shared" si="107"/>
        <v>0</v>
      </c>
      <c r="U314" s="1572">
        <f t="shared" si="108"/>
        <v>0</v>
      </c>
      <c r="V314" s="1653">
        <f t="shared" si="102"/>
        <v>0</v>
      </c>
      <c r="W314" s="912"/>
    </row>
    <row r="315" spans="3:23">
      <c r="C315" s="1451" t="s">
        <v>793</v>
      </c>
      <c r="D315" s="1570"/>
      <c r="E315" s="1570"/>
      <c r="F315" s="1570">
        <f>VLOOKUP($C315,'[1]Form 1.4'!$C$73:$V$129,2,0)</f>
        <v>25</v>
      </c>
      <c r="G315" s="1571">
        <f>VLOOKUP($C315,'[1]Form 1.4'!$C$73:$V$129,3,0)</f>
        <v>1</v>
      </c>
      <c r="H315" s="1572">
        <f>VLOOKUP($C315,'[1]Form 1.4'!$C$73:$V$129,4,0)</f>
        <v>25</v>
      </c>
      <c r="I315" s="1572">
        <f>VLOOKUP($C315,'[1]Form 1.4'!$C$73:$V$129,7,0)</f>
        <v>38.521861092083654</v>
      </c>
      <c r="J315" s="1572">
        <f>VLOOKUP($C315,'[1]Form 1.4'!$C$73:$V$129,8,0)</f>
        <v>38.521861092083654</v>
      </c>
      <c r="K315" s="1572">
        <f>VLOOKUP($C315,'[1]Form 1.4'!$C$73:$V$129,9,0)</f>
        <v>0</v>
      </c>
      <c r="L315" s="1572">
        <f>VLOOKUP($C315,'[1]Form 1.4'!$C$73:$V$129,10,0)</f>
        <v>0</v>
      </c>
      <c r="M315" s="1572">
        <f>VLOOKUP($C315,'[1]Form 1.4'!$C$73:$V$129,11,0)</f>
        <v>0</v>
      </c>
      <c r="N315" s="1572">
        <f>VLOOKUP($C315,'[1]Form 1.4'!$C$73:$V$129,12,0)</f>
        <v>0</v>
      </c>
      <c r="O315" s="1572">
        <f>VLOOKUP($C315,'[1]Form 1.4'!$C$73:$V$129,13,0)</f>
        <v>0</v>
      </c>
      <c r="P315" s="1573">
        <f t="shared" si="110"/>
        <v>0</v>
      </c>
      <c r="Q315" s="1572">
        <f t="shared" si="104"/>
        <v>0</v>
      </c>
      <c r="R315" s="1572">
        <f t="shared" si="105"/>
        <v>0</v>
      </c>
      <c r="S315" s="1572">
        <f t="shared" si="106"/>
        <v>0</v>
      </c>
      <c r="T315" s="1572">
        <f t="shared" si="107"/>
        <v>0</v>
      </c>
      <c r="U315" s="1572">
        <f t="shared" si="108"/>
        <v>0</v>
      </c>
      <c r="V315" s="1653">
        <f t="shared" si="102"/>
        <v>0</v>
      </c>
      <c r="W315" s="912"/>
    </row>
    <row r="316" spans="3:23">
      <c r="C316" s="1451" t="s">
        <v>783</v>
      </c>
      <c r="D316" s="1570"/>
      <c r="E316" s="1570"/>
      <c r="F316" s="1570">
        <f>VLOOKUP($C316,'[1]Form 1.4'!$C$73:$V$129,2,0)</f>
        <v>20</v>
      </c>
      <c r="G316" s="1571">
        <f>VLOOKUP($C316,'[1]Form 1.4'!$C$73:$V$129,3,0)</f>
        <v>1</v>
      </c>
      <c r="H316" s="1572">
        <f>VLOOKUP($C316,'[1]Form 1.4'!$C$73:$V$129,4,0)</f>
        <v>20</v>
      </c>
      <c r="I316" s="1572">
        <f>VLOOKUP($C316,'[1]Form 1.4'!$C$73:$V$129,7,0)</f>
        <v>2.6353061215305185</v>
      </c>
      <c r="J316" s="1572">
        <f>VLOOKUP($C316,'[1]Form 1.4'!$C$73:$V$129,8,0)</f>
        <v>2.6353061215305185</v>
      </c>
      <c r="K316" s="1572">
        <f>VLOOKUP($C316,'[1]Form 1.4'!$C$73:$V$129,9,0)</f>
        <v>6.252316630987818</v>
      </c>
      <c r="L316" s="1572">
        <f>VLOOKUP($C316,'[1]Form 1.4'!$C$73:$V$129,10,0)</f>
        <v>0</v>
      </c>
      <c r="M316" s="1572">
        <f>VLOOKUP($C316,'[1]Form 1.4'!$C$73:$V$129,11,0)</f>
        <v>0</v>
      </c>
      <c r="N316" s="1572">
        <f>VLOOKUP($C316,'[1]Form 1.4'!$C$73:$V$129,12,0)</f>
        <v>0</v>
      </c>
      <c r="O316" s="1572">
        <f>VLOOKUP($C316,'[1]Form 1.4'!$C$73:$V$129,13,0)</f>
        <v>0</v>
      </c>
      <c r="P316" s="1573">
        <f t="shared" si="110"/>
        <v>6.252316630987818</v>
      </c>
      <c r="Q316" s="1572">
        <f t="shared" si="104"/>
        <v>23.725200575015673</v>
      </c>
      <c r="R316" s="1572">
        <f t="shared" si="105"/>
        <v>0</v>
      </c>
      <c r="S316" s="1572">
        <f t="shared" si="106"/>
        <v>0</v>
      </c>
      <c r="T316" s="1572">
        <f t="shared" si="107"/>
        <v>0</v>
      </c>
      <c r="U316" s="1572">
        <f t="shared" si="108"/>
        <v>0</v>
      </c>
      <c r="V316" s="1653">
        <f t="shared" si="102"/>
        <v>23.725200575015673</v>
      </c>
      <c r="W316" s="912"/>
    </row>
    <row r="317" spans="3:23">
      <c r="C317" s="1451" t="s">
        <v>794</v>
      </c>
      <c r="D317" s="1570"/>
      <c r="E317" s="1570"/>
      <c r="F317" s="1570">
        <f>VLOOKUP($C317,'[1]Form 1.4'!$C$73:$V$129,2,0)</f>
        <v>1</v>
      </c>
      <c r="G317" s="1571">
        <f>VLOOKUP($C317,'[1]Form 1.4'!$C$73:$V$129,3,0)</f>
        <v>1</v>
      </c>
      <c r="H317" s="1572">
        <f>VLOOKUP($C317,'[1]Form 1.4'!$C$73:$V$129,4,0)</f>
        <v>1</v>
      </c>
      <c r="I317" s="1572">
        <f>VLOOKUP($C317,'[1]Form 1.4'!$C$73:$V$129,7,0)</f>
        <v>1.0353146179324155</v>
      </c>
      <c r="J317" s="1572">
        <f>VLOOKUP($C317,'[1]Form 1.4'!$C$73:$V$129,8,0)</f>
        <v>1.0353146179324155</v>
      </c>
      <c r="K317" s="1572">
        <f>VLOOKUP($C317,'[1]Form 1.4'!$C$73:$V$129,9,0)</f>
        <v>0.92219466385514626</v>
      </c>
      <c r="L317" s="1572">
        <f>VLOOKUP($C317,'[1]Form 1.4'!$C$73:$V$129,10,0)</f>
        <v>0</v>
      </c>
      <c r="M317" s="1572">
        <f>VLOOKUP($C317,'[1]Form 1.4'!$C$73:$V$129,11,0)</f>
        <v>0</v>
      </c>
      <c r="N317" s="1572">
        <f>VLOOKUP($C317,'[1]Form 1.4'!$C$73:$V$129,12,0)</f>
        <v>0</v>
      </c>
      <c r="O317" s="1572">
        <f>VLOOKUP($C317,'[1]Form 1.4'!$C$73:$V$129,13,0)</f>
        <v>0</v>
      </c>
      <c r="P317" s="1573">
        <f t="shared" si="110"/>
        <v>0.92219466385514626</v>
      </c>
      <c r="Q317" s="1572">
        <f t="shared" si="104"/>
        <v>8.9073857152410678</v>
      </c>
      <c r="R317" s="1572">
        <f t="shared" si="105"/>
        <v>0</v>
      </c>
      <c r="S317" s="1572">
        <f t="shared" si="106"/>
        <v>0</v>
      </c>
      <c r="T317" s="1572">
        <f t="shared" si="107"/>
        <v>0</v>
      </c>
      <c r="U317" s="1572">
        <f t="shared" si="108"/>
        <v>0</v>
      </c>
      <c r="V317" s="1653">
        <f t="shared" si="102"/>
        <v>8.9073857152410678</v>
      </c>
      <c r="W317" s="912"/>
    </row>
    <row r="318" spans="3:23">
      <c r="C318" s="1451" t="s">
        <v>795</v>
      </c>
      <c r="D318" s="1570"/>
      <c r="E318" s="1570"/>
      <c r="F318" s="1570">
        <f>VLOOKUP($C318,'[1]Form 1.4'!$C$73:$V$129,2,0)</f>
        <v>60</v>
      </c>
      <c r="G318" s="1571">
        <f>VLOOKUP($C318,'[1]Form 1.4'!$C$73:$V$129,3,0)</f>
        <v>1</v>
      </c>
      <c r="H318" s="1572">
        <f>VLOOKUP($C318,'[1]Form 1.4'!$C$73:$V$129,4,0)</f>
        <v>60</v>
      </c>
      <c r="I318" s="1572">
        <f>VLOOKUP($C318,'[1]Form 1.4'!$C$73:$V$129,7,0)</f>
        <v>124.85249969442749</v>
      </c>
      <c r="J318" s="1572">
        <f>VLOOKUP($C318,'[1]Form 1.4'!$C$73:$V$129,8,0)</f>
        <v>124.85249969442749</v>
      </c>
      <c r="K318" s="1572">
        <f>VLOOKUP($C318,'[1]Form 1.4'!$C$73:$V$129,9,0)</f>
        <v>31.753315080091504</v>
      </c>
      <c r="L318" s="1572">
        <f>VLOOKUP($C318,'[1]Form 1.4'!$C$73:$V$129,10,0)</f>
        <v>0</v>
      </c>
      <c r="M318" s="1572">
        <f>VLOOKUP($C318,'[1]Form 1.4'!$C$73:$V$129,11,0)</f>
        <v>0</v>
      </c>
      <c r="N318" s="1572">
        <f>VLOOKUP($C318,'[1]Form 1.4'!$C$73:$V$129,12,0)</f>
        <v>0</v>
      </c>
      <c r="O318" s="1572">
        <f>VLOOKUP($C318,'[1]Form 1.4'!$C$73:$V$129,13,0)</f>
        <v>0</v>
      </c>
      <c r="P318" s="1573">
        <f t="shared" si="110"/>
        <v>31.753315080091504</v>
      </c>
      <c r="Q318" s="1572">
        <f t="shared" si="104"/>
        <v>2.5432662668193853</v>
      </c>
      <c r="R318" s="1572">
        <f t="shared" si="105"/>
        <v>0</v>
      </c>
      <c r="S318" s="1572">
        <f t="shared" si="106"/>
        <v>0</v>
      </c>
      <c r="T318" s="1572">
        <f t="shared" si="107"/>
        <v>0</v>
      </c>
      <c r="U318" s="1572">
        <f t="shared" si="108"/>
        <v>0</v>
      </c>
      <c r="V318" s="1653">
        <f t="shared" si="102"/>
        <v>2.5432662668193853</v>
      </c>
      <c r="W318" s="912"/>
    </row>
    <row r="319" spans="3:23">
      <c r="C319" s="1451" t="s">
        <v>796</v>
      </c>
      <c r="D319" s="1570"/>
      <c r="E319" s="1570"/>
      <c r="F319" s="1570">
        <f>VLOOKUP($C319,'[1]Form 1.4'!$C$73:$V$129,2,0)</f>
        <v>57.6</v>
      </c>
      <c r="G319" s="1571">
        <f>VLOOKUP($C319,'[1]Form 1.4'!$C$73:$V$129,3,0)</f>
        <v>1</v>
      </c>
      <c r="H319" s="1572">
        <f>VLOOKUP($C319,'[1]Form 1.4'!$C$73:$V$129,4,0)</f>
        <v>57.6</v>
      </c>
      <c r="I319" s="1572">
        <f>VLOOKUP($C319,'[1]Form 1.4'!$C$73:$V$129,7,0)</f>
        <v>50.688717849389576</v>
      </c>
      <c r="J319" s="1572">
        <f>VLOOKUP($C319,'[1]Form 1.4'!$C$73:$V$129,8,0)</f>
        <v>50.688717849389576</v>
      </c>
      <c r="K319" s="1572">
        <f>VLOOKUP($C319,'[1]Form 1.4'!$C$73:$V$129,9,0)</f>
        <v>0</v>
      </c>
      <c r="L319" s="1572">
        <f>VLOOKUP($C319,'[1]Form 1.4'!$C$73:$V$129,10,0)</f>
        <v>0</v>
      </c>
      <c r="M319" s="1572">
        <f>VLOOKUP($C319,'[1]Form 1.4'!$C$73:$V$129,11,0)</f>
        <v>0</v>
      </c>
      <c r="N319" s="1572">
        <f>VLOOKUP($C319,'[1]Form 1.4'!$C$73:$V$129,12,0)</f>
        <v>0</v>
      </c>
      <c r="O319" s="1572">
        <f>VLOOKUP($C319,'[1]Form 1.4'!$C$73:$V$129,13,0)</f>
        <v>0</v>
      </c>
      <c r="P319" s="1573">
        <f t="shared" si="110"/>
        <v>0</v>
      </c>
      <c r="Q319" s="1572">
        <f t="shared" si="104"/>
        <v>0</v>
      </c>
      <c r="R319" s="1572">
        <f t="shared" si="105"/>
        <v>0</v>
      </c>
      <c r="S319" s="1572">
        <f t="shared" si="106"/>
        <v>0</v>
      </c>
      <c r="T319" s="1572">
        <f t="shared" si="107"/>
        <v>0</v>
      </c>
      <c r="U319" s="1572">
        <f t="shared" si="108"/>
        <v>0</v>
      </c>
      <c r="V319" s="1653">
        <f t="shared" si="102"/>
        <v>0</v>
      </c>
      <c r="W319" s="912"/>
    </row>
    <row r="320" spans="3:23" ht="14.25">
      <c r="C320" s="1603" t="s">
        <v>797</v>
      </c>
      <c r="D320" s="1577"/>
      <c r="E320" s="1577"/>
      <c r="F320" s="1577">
        <f t="shared" ref="F320:P320" si="111">SUM(F310:F319)</f>
        <v>1773.6</v>
      </c>
      <c r="G320" s="1577"/>
      <c r="H320" s="1577">
        <f t="shared" si="111"/>
        <v>1773.6</v>
      </c>
      <c r="I320" s="1577">
        <f t="shared" si="111"/>
        <v>1311.4300844936122</v>
      </c>
      <c r="J320" s="1577">
        <f t="shared" si="111"/>
        <v>1311.4300844936122</v>
      </c>
      <c r="K320" s="1577">
        <f t="shared" si="111"/>
        <v>286.74419624584067</v>
      </c>
      <c r="L320" s="1577">
        <f t="shared" si="111"/>
        <v>0</v>
      </c>
      <c r="M320" s="1577">
        <f t="shared" si="111"/>
        <v>0</v>
      </c>
      <c r="N320" s="1577">
        <f t="shared" si="111"/>
        <v>0</v>
      </c>
      <c r="O320" s="1577">
        <f t="shared" si="111"/>
        <v>0</v>
      </c>
      <c r="P320" s="1577">
        <f t="shared" si="111"/>
        <v>286.74419624584067</v>
      </c>
      <c r="Q320" s="1577">
        <f t="shared" si="104"/>
        <v>2.1865000630709366</v>
      </c>
      <c r="R320" s="1577">
        <f t="shared" si="105"/>
        <v>0</v>
      </c>
      <c r="S320" s="1577">
        <f t="shared" si="106"/>
        <v>0</v>
      </c>
      <c r="T320" s="1577">
        <f t="shared" si="107"/>
        <v>0</v>
      </c>
      <c r="U320" s="1577">
        <f t="shared" si="108"/>
        <v>0</v>
      </c>
      <c r="V320" s="1620">
        <f t="shared" si="102"/>
        <v>2.1865000630709366</v>
      </c>
      <c r="W320" s="912"/>
    </row>
    <row r="321" spans="3:23" ht="14.25">
      <c r="C321" s="1603" t="s">
        <v>798</v>
      </c>
      <c r="D321" s="1577"/>
      <c r="E321" s="1577"/>
      <c r="F321" s="1577">
        <f t="shared" ref="F321:P321" si="112">F320+F309</f>
        <v>5983.6</v>
      </c>
      <c r="G321" s="1577"/>
      <c r="H321" s="1577">
        <f t="shared" si="112"/>
        <v>5983.6</v>
      </c>
      <c r="I321" s="1577">
        <f t="shared" si="112"/>
        <v>10859.067223534241</v>
      </c>
      <c r="J321" s="1577">
        <f t="shared" si="112"/>
        <v>9652.0583438070898</v>
      </c>
      <c r="K321" s="1577">
        <f t="shared" si="112"/>
        <v>1927.1887254947064</v>
      </c>
      <c r="L321" s="1577">
        <f t="shared" si="112"/>
        <v>2935.0693993111563</v>
      </c>
      <c r="M321" s="1577">
        <f t="shared" si="112"/>
        <v>0</v>
      </c>
      <c r="N321" s="1577">
        <f t="shared" si="112"/>
        <v>0</v>
      </c>
      <c r="O321" s="1577">
        <f t="shared" si="112"/>
        <v>0</v>
      </c>
      <c r="P321" s="1577">
        <f t="shared" si="112"/>
        <v>4862.2581248058623</v>
      </c>
      <c r="Q321" s="1577">
        <f t="shared" si="104"/>
        <v>1.9966608746529393</v>
      </c>
      <c r="R321" s="1577">
        <f t="shared" si="105"/>
        <v>0</v>
      </c>
      <c r="S321" s="1577">
        <f t="shared" si="106"/>
        <v>0</v>
      </c>
      <c r="T321" s="1577">
        <f t="shared" si="107"/>
        <v>0</v>
      </c>
      <c r="U321" s="1577">
        <f t="shared" si="108"/>
        <v>3.0408740755222876</v>
      </c>
      <c r="V321" s="1620">
        <f t="shared" si="102"/>
        <v>5.0375349501752265</v>
      </c>
      <c r="W321" s="912"/>
    </row>
    <row r="322" spans="3:23">
      <c r="C322" s="1451" t="s">
        <v>801</v>
      </c>
      <c r="D322" s="1570"/>
      <c r="E322" s="1570"/>
      <c r="F322" s="1570">
        <f>VLOOKUP($C322,'[1]Form 1.4'!$C$73:$V$129,2,0)</f>
        <v>1600</v>
      </c>
      <c r="G322" s="1571">
        <f>VLOOKUP($C322,'[1]Form 1.4'!$C$73:$V$129,3,0)</f>
        <v>0.9</v>
      </c>
      <c r="H322" s="1572">
        <f>VLOOKUP($C322,'[1]Form 1.4'!$C$73:$V$129,4,0)</f>
        <v>1440</v>
      </c>
      <c r="I322" s="1572">
        <f>VLOOKUP($C322,'[1]Form 1.4'!$C$73:$V$129,7,0)</f>
        <v>2839.5072584879777</v>
      </c>
      <c r="J322" s="1572">
        <f>VLOOKUP($C322,'[1]Form 1.4'!$C$73:$V$129,8,0)</f>
        <v>2839.5072584879777</v>
      </c>
      <c r="K322" s="1572">
        <f>VLOOKUP($C322,'[1]Form 1.4'!$C$73:$V$129,9,0)</f>
        <v>509.6606771606393</v>
      </c>
      <c r="L322" s="1572">
        <f>VLOOKUP($C322,'[1]Form 1.4'!$C$73:$V$129,10,0)</f>
        <v>936.18554312348624</v>
      </c>
      <c r="M322" s="1572">
        <f>VLOOKUP($C322,'[1]Form 1.4'!$C$73:$V$129,11,0)</f>
        <v>0</v>
      </c>
      <c r="N322" s="1572">
        <f>VLOOKUP($C322,'[1]Form 1.4'!$C$73:$V$129,12,0)</f>
        <v>0</v>
      </c>
      <c r="O322" s="1572">
        <f>VLOOKUP($C322,'[1]Form 1.4'!$C$73:$V$129,13,0)</f>
        <v>0</v>
      </c>
      <c r="P322" s="1573">
        <f t="shared" ref="P322:P324" si="113">SUM(K322:O322)</f>
        <v>1445.8462202841256</v>
      </c>
      <c r="Q322" s="1572">
        <f t="shared" si="104"/>
        <v>1.7948912637470449</v>
      </c>
      <c r="R322" s="1572">
        <f t="shared" si="105"/>
        <v>0</v>
      </c>
      <c r="S322" s="1572">
        <f t="shared" si="106"/>
        <v>0</v>
      </c>
      <c r="T322" s="1572">
        <f t="shared" si="107"/>
        <v>0</v>
      </c>
      <c r="U322" s="1572">
        <f t="shared" si="108"/>
        <v>3.2969999999999997</v>
      </c>
      <c r="V322" s="1653">
        <f t="shared" si="102"/>
        <v>5.091891263747045</v>
      </c>
      <c r="W322" s="912"/>
    </row>
    <row r="323" spans="3:23">
      <c r="C323" s="1451" t="s">
        <v>964</v>
      </c>
      <c r="D323" s="1570"/>
      <c r="E323" s="1570"/>
      <c r="F323" s="1570">
        <f>VLOOKUP($C323,'[1]Form 1.4'!$C$73:$V$129,2,0)</f>
        <v>800</v>
      </c>
      <c r="G323" s="1571">
        <f>VLOOKUP($C323,'[1]Form 1.4'!$C$73:$V$129,3,0)</f>
        <v>1</v>
      </c>
      <c r="H323" s="1572">
        <f>VLOOKUP($C323,'[1]Form 1.4'!$C$73:$V$129,4,0)</f>
        <v>800</v>
      </c>
      <c r="I323" s="1572">
        <f>VLOOKUP($C323,'[1]Form 1.4'!$C$73:$V$129,7,0)</f>
        <v>1429.6535919225303</v>
      </c>
      <c r="J323" s="1572">
        <f>VLOOKUP($C323,'[1]Form 1.4'!$C$73:$V$129,8,0)</f>
        <v>1429.6535919225303</v>
      </c>
      <c r="K323" s="1572">
        <f>VLOOKUP($C323,'[1]Form 1.4'!$C$73:$V$129,9,0)</f>
        <v>396.55235968673747</v>
      </c>
      <c r="L323" s="1572">
        <f>VLOOKUP($C323,'[1]Form 1.4'!$C$73:$V$129,10,0)</f>
        <v>471.35678925685824</v>
      </c>
      <c r="M323" s="1572">
        <f>VLOOKUP($C323,'[1]Form 1.4'!$C$73:$V$129,11,0)</f>
        <v>0</v>
      </c>
      <c r="N323" s="1572">
        <f>VLOOKUP($C323,'[1]Form 1.4'!$C$73:$V$129,12,0)</f>
        <v>0</v>
      </c>
      <c r="O323" s="1572">
        <f>VLOOKUP($C323,'[1]Form 1.4'!$C$73:$V$129,13,0)</f>
        <v>0</v>
      </c>
      <c r="P323" s="1573">
        <f t="shared" si="113"/>
        <v>867.90914894359571</v>
      </c>
      <c r="Q323" s="1572">
        <f t="shared" si="104"/>
        <v>2.7737653507621567</v>
      </c>
      <c r="R323" s="1572">
        <f t="shared" si="105"/>
        <v>0</v>
      </c>
      <c r="S323" s="1572">
        <f t="shared" si="106"/>
        <v>0</v>
      </c>
      <c r="T323" s="1572">
        <f t="shared" si="107"/>
        <v>0</v>
      </c>
      <c r="U323" s="1572">
        <f t="shared" si="108"/>
        <v>3.2969999999999997</v>
      </c>
      <c r="V323" s="1653">
        <f t="shared" si="102"/>
        <v>6.0707653507621568</v>
      </c>
      <c r="W323" s="912"/>
    </row>
    <row r="324" spans="3:23">
      <c r="C324" s="1451" t="s">
        <v>648</v>
      </c>
      <c r="D324" s="1570"/>
      <c r="E324" s="1570"/>
      <c r="F324" s="1570">
        <f>VLOOKUP($C324,'[1]Form 1.4'!$C$73:$V$129,2,0)</f>
        <v>216.82400000000001</v>
      </c>
      <c r="G324" s="1571">
        <f>VLOOKUP($C324,'[1]Form 1.4'!$C$73:$V$129,3,0)</f>
        <v>1</v>
      </c>
      <c r="H324" s="1572">
        <f>VLOOKUP($C324,'[1]Form 1.4'!$C$73:$V$129,4,0)</f>
        <v>216.82400000000001</v>
      </c>
      <c r="I324" s="1572">
        <f>VLOOKUP($C324,'[1]Form 1.4'!$C$73:$V$129,7,0)</f>
        <v>0</v>
      </c>
      <c r="J324" s="1572">
        <f>VLOOKUP($C324,'[1]Form 1.4'!$C$73:$V$129,8,0)</f>
        <v>0</v>
      </c>
      <c r="K324" s="1572">
        <f>VLOOKUP($C324,'[1]Form 1.4'!$C$73:$V$129,9,0)</f>
        <v>6.8381998721974604</v>
      </c>
      <c r="L324" s="1572">
        <f>VLOOKUP($C324,'[1]Form 1.4'!$C$73:$V$129,10,0)</f>
        <v>0</v>
      </c>
      <c r="M324" s="1572">
        <f>VLOOKUP($C324,'[1]Form 1.4'!$C$73:$V$129,11,0)</f>
        <v>0</v>
      </c>
      <c r="N324" s="1572">
        <f>VLOOKUP($C324,'[1]Form 1.4'!$C$73:$V$129,12,0)</f>
        <v>0</v>
      </c>
      <c r="O324" s="1572">
        <f>VLOOKUP($C324,'[1]Form 1.4'!$C$73:$V$129,13,0)</f>
        <v>0</v>
      </c>
      <c r="P324" s="1573">
        <f t="shared" si="113"/>
        <v>6.8381998721974604</v>
      </c>
      <c r="Q324" s="1572">
        <f t="shared" si="104"/>
        <v>0</v>
      </c>
      <c r="R324" s="1572">
        <f t="shared" si="105"/>
        <v>0</v>
      </c>
      <c r="S324" s="1572">
        <f t="shared" si="106"/>
        <v>0</v>
      </c>
      <c r="T324" s="1572">
        <f t="shared" si="107"/>
        <v>0</v>
      </c>
      <c r="U324" s="1572">
        <f t="shared" si="108"/>
        <v>0</v>
      </c>
      <c r="V324" s="1653">
        <f t="shared" si="102"/>
        <v>0</v>
      </c>
      <c r="W324" s="912"/>
    </row>
    <row r="325" spans="3:23" ht="14.25">
      <c r="C325" s="1603" t="s">
        <v>802</v>
      </c>
      <c r="D325" s="1577"/>
      <c r="E325" s="1577"/>
      <c r="F325" s="1577">
        <f>SUM(F322:F324)</f>
        <v>2616.8240000000001</v>
      </c>
      <c r="G325" s="1577">
        <f t="shared" ref="G325:P325" si="114">SUM(G322:G324)</f>
        <v>2.9</v>
      </c>
      <c r="H325" s="1577">
        <f t="shared" si="114"/>
        <v>2456.8240000000001</v>
      </c>
      <c r="I325" s="1577">
        <f t="shared" si="114"/>
        <v>4269.1608504105079</v>
      </c>
      <c r="J325" s="1577">
        <f t="shared" si="114"/>
        <v>4269.1608504105079</v>
      </c>
      <c r="K325" s="1577">
        <f t="shared" si="114"/>
        <v>913.05123671957426</v>
      </c>
      <c r="L325" s="1577">
        <f t="shared" si="114"/>
        <v>1407.5423323803445</v>
      </c>
      <c r="M325" s="1577">
        <f t="shared" si="114"/>
        <v>0</v>
      </c>
      <c r="N325" s="1577">
        <f t="shared" si="114"/>
        <v>0</v>
      </c>
      <c r="O325" s="1577">
        <f t="shared" si="114"/>
        <v>0</v>
      </c>
      <c r="P325" s="1577">
        <f t="shared" si="114"/>
        <v>2320.593569099919</v>
      </c>
      <c r="Q325" s="1577">
        <f t="shared" si="104"/>
        <v>2.1387135990244506</v>
      </c>
      <c r="R325" s="1577">
        <f t="shared" si="105"/>
        <v>0</v>
      </c>
      <c r="S325" s="1577">
        <f t="shared" si="106"/>
        <v>0</v>
      </c>
      <c r="T325" s="1577">
        <f t="shared" si="107"/>
        <v>0</v>
      </c>
      <c r="U325" s="1577">
        <f t="shared" si="108"/>
        <v>3.2969999999999997</v>
      </c>
      <c r="V325" s="1620">
        <f t="shared" si="102"/>
        <v>5.4357135990244521</v>
      </c>
      <c r="W325" s="912"/>
    </row>
    <row r="326" spans="3:23">
      <c r="C326" s="1451" t="s">
        <v>803</v>
      </c>
      <c r="D326" s="1570"/>
      <c r="E326" s="1570"/>
      <c r="F326" s="1570">
        <f>VLOOKUP($C326,'[1]Form 1.4'!$C$73:$V$129,2,0)</f>
        <v>2100</v>
      </c>
      <c r="G326" s="1571">
        <f>VLOOKUP($C326,'[1]Form 1.4'!$C$73:$V$129,3,0)</f>
        <v>14.93</v>
      </c>
      <c r="H326" s="1572">
        <f>VLOOKUP($C326,'[1]Form 1.4'!$C$73:$V$129,4,0)</f>
        <v>300.13</v>
      </c>
      <c r="I326" s="1572">
        <f>VLOOKUP($C326,'[1]Form 1.4'!$C$73:$V$129,7,0)</f>
        <v>875.13484855733782</v>
      </c>
      <c r="J326" s="1572">
        <f>VLOOKUP($C326,'[1]Form 1.4'!$C$73:$V$129,8,0)</f>
        <v>875.13484855733782</v>
      </c>
      <c r="K326" s="1572">
        <f>VLOOKUP($C326,'[1]Form 1.4'!$C$73:$V$129,9,0)</f>
        <v>62.148202178576931</v>
      </c>
      <c r="L326" s="1572">
        <f>VLOOKUP($C326,'[1]Form 1.4'!$C$73:$V$129,10,0)</f>
        <v>304.10935987367486</v>
      </c>
      <c r="M326" s="1572">
        <f>VLOOKUP($C326,'[1]Form 1.4'!$C$73:$V$129,11,0)</f>
        <v>0</v>
      </c>
      <c r="N326" s="1572">
        <f>VLOOKUP($C326,'[1]Form 1.4'!$C$73:$V$129,12,0)</f>
        <v>0</v>
      </c>
      <c r="O326" s="1572">
        <f>VLOOKUP($C326,'[1]Form 1.4'!$C$73:$V$129,13,0)</f>
        <v>0</v>
      </c>
      <c r="P326" s="1573">
        <f t="shared" ref="P326:P343" si="115">SUM(K326:O326)</f>
        <v>366.25756205225179</v>
      </c>
      <c r="Q326" s="1572">
        <f t="shared" si="104"/>
        <v>0.710155723783922</v>
      </c>
      <c r="R326" s="1572">
        <f t="shared" si="105"/>
        <v>0</v>
      </c>
      <c r="S326" s="1572">
        <f t="shared" si="106"/>
        <v>0</v>
      </c>
      <c r="T326" s="1572">
        <f t="shared" si="107"/>
        <v>0</v>
      </c>
      <c r="U326" s="1572">
        <f t="shared" si="108"/>
        <v>3.4749999999999996</v>
      </c>
      <c r="V326" s="1653">
        <f t="shared" si="102"/>
        <v>4.1851557237839216</v>
      </c>
      <c r="W326" s="912"/>
    </row>
    <row r="327" spans="3:23">
      <c r="C327" s="1451" t="s">
        <v>804</v>
      </c>
      <c r="D327" s="1570"/>
      <c r="E327" s="1570"/>
      <c r="F327" s="1570">
        <f>VLOOKUP($C327,'[1]Form 1.4'!$C$73:$V$129,2,0)</f>
        <v>1000</v>
      </c>
      <c r="G327" s="1571">
        <f>VLOOKUP($C327,'[1]Form 1.4'!$C$73:$V$129,3,0)</f>
        <v>46.11</v>
      </c>
      <c r="H327" s="1572">
        <f>VLOOKUP($C327,'[1]Form 1.4'!$C$73:$V$129,4,0)</f>
        <v>461.1</v>
      </c>
      <c r="I327" s="1572">
        <f>VLOOKUP($C327,'[1]Form 1.4'!$C$73:$V$129,7,0)</f>
        <v>1374.1554964365864</v>
      </c>
      <c r="J327" s="1572">
        <f>VLOOKUP($C327,'[1]Form 1.4'!$C$73:$V$129,8,0)</f>
        <v>1374.1554964365864</v>
      </c>
      <c r="K327" s="1572">
        <f>VLOOKUP($C327,'[1]Form 1.4'!$C$73:$V$129,9,0)</f>
        <v>130.0250085672028</v>
      </c>
      <c r="L327" s="1572">
        <f>VLOOKUP($C327,'[1]Form 1.4'!$C$73:$V$129,10,0)</f>
        <v>451.82232722834959</v>
      </c>
      <c r="M327" s="1572">
        <f>VLOOKUP($C327,'[1]Form 1.4'!$C$73:$V$129,11,0)</f>
        <v>0</v>
      </c>
      <c r="N327" s="1572">
        <f>VLOOKUP($C327,'[1]Form 1.4'!$C$73:$V$129,12,0)</f>
        <v>0</v>
      </c>
      <c r="O327" s="1572">
        <f>VLOOKUP($C327,'[1]Form 1.4'!$C$73:$V$129,13,0)</f>
        <v>0</v>
      </c>
      <c r="P327" s="1573">
        <f t="shared" si="115"/>
        <v>581.84733579555245</v>
      </c>
      <c r="Q327" s="1572">
        <f t="shared" si="104"/>
        <v>0.94621757802795425</v>
      </c>
      <c r="R327" s="1572">
        <f t="shared" si="105"/>
        <v>0</v>
      </c>
      <c r="S327" s="1572">
        <f t="shared" si="106"/>
        <v>0</v>
      </c>
      <c r="T327" s="1572">
        <f t="shared" si="107"/>
        <v>0</v>
      </c>
      <c r="U327" s="1572">
        <f t="shared" si="108"/>
        <v>3.2879999999999998</v>
      </c>
      <c r="V327" s="1653">
        <f t="shared" si="102"/>
        <v>4.2342175780279545</v>
      </c>
      <c r="W327" s="912"/>
    </row>
    <row r="328" spans="3:23">
      <c r="C328" s="1451" t="s">
        <v>805</v>
      </c>
      <c r="D328" s="1570"/>
      <c r="E328" s="1570"/>
      <c r="F328" s="1570">
        <f>VLOOKUP($C328,'[1]Form 1.4'!$C$73:$V$129,2,0)</f>
        <v>1000</v>
      </c>
      <c r="G328" s="1571">
        <f>VLOOKUP($C328,'[1]Form 1.4'!$C$73:$V$129,3,0)</f>
        <v>21.387</v>
      </c>
      <c r="H328" s="1572">
        <f>VLOOKUP($C328,'[1]Form 1.4'!$C$73:$V$129,4,0)</f>
        <v>222.37</v>
      </c>
      <c r="I328" s="1572">
        <f>VLOOKUP($C328,'[1]Form 1.4'!$C$73:$V$129,7,0)</f>
        <v>630.91577978031455</v>
      </c>
      <c r="J328" s="1572">
        <f>VLOOKUP($C328,'[1]Form 1.4'!$C$73:$V$129,8,0)</f>
        <v>630.91577978031455</v>
      </c>
      <c r="K328" s="1572">
        <f>VLOOKUP($C328,'[1]Form 1.4'!$C$73:$V$129,9,0)</f>
        <v>86.361893405502784</v>
      </c>
      <c r="L328" s="1572">
        <f>VLOOKUP($C328,'[1]Form 1.4'!$C$73:$V$129,10,0)</f>
        <v>205.86781894231663</v>
      </c>
      <c r="M328" s="1572">
        <f>VLOOKUP($C328,'[1]Form 1.4'!$C$73:$V$129,11,0)</f>
        <v>0</v>
      </c>
      <c r="N328" s="1572">
        <f>VLOOKUP($C328,'[1]Form 1.4'!$C$73:$V$129,12,0)</f>
        <v>0</v>
      </c>
      <c r="O328" s="1572">
        <f>VLOOKUP($C328,'[1]Form 1.4'!$C$73:$V$129,13,0)</f>
        <v>0</v>
      </c>
      <c r="P328" s="1573">
        <f t="shared" si="115"/>
        <v>292.22971234781943</v>
      </c>
      <c r="Q328" s="1572">
        <f t="shared" si="104"/>
        <v>1.3688339422351123</v>
      </c>
      <c r="R328" s="1572">
        <f t="shared" si="105"/>
        <v>0</v>
      </c>
      <c r="S328" s="1572">
        <f t="shared" si="106"/>
        <v>0</v>
      </c>
      <c r="T328" s="1572">
        <f t="shared" si="107"/>
        <v>0</v>
      </c>
      <c r="U328" s="1572">
        <f t="shared" si="108"/>
        <v>3.2629999999999999</v>
      </c>
      <c r="V328" s="1653">
        <f t="shared" si="102"/>
        <v>4.6318339422351125</v>
      </c>
      <c r="W328" s="912"/>
    </row>
    <row r="329" spans="3:23">
      <c r="C329" s="1451" t="s">
        <v>806</v>
      </c>
      <c r="D329" s="1570"/>
      <c r="E329" s="1570"/>
      <c r="F329" s="1570">
        <f>VLOOKUP($C329,'[1]Form 1.4'!$C$73:$V$129,2,0)</f>
        <v>2000</v>
      </c>
      <c r="G329" s="1571">
        <f>VLOOKUP($C329,'[1]Form 1.4'!$C$73:$V$129,3,0)</f>
        <v>8.84</v>
      </c>
      <c r="H329" s="1572">
        <f>VLOOKUP($C329,'[1]Form 1.4'!$C$73:$V$129,4,0)</f>
        <v>184.96</v>
      </c>
      <c r="I329" s="1572">
        <f>VLOOKUP($C329,'[1]Form 1.4'!$C$73:$V$129,7,0)</f>
        <v>528.93672211158503</v>
      </c>
      <c r="J329" s="1572">
        <f>VLOOKUP($C329,'[1]Form 1.4'!$C$73:$V$129,8,0)</f>
        <v>528.93672211158503</v>
      </c>
      <c r="K329" s="1572">
        <f>VLOOKUP($C329,'[1]Form 1.4'!$C$73:$V$129,9,0)</f>
        <v>41.001548354080683</v>
      </c>
      <c r="L329" s="1572">
        <f>VLOOKUP($C329,'[1]Form 1.4'!$C$73:$V$129,10,0)</f>
        <v>92.934182075005481</v>
      </c>
      <c r="M329" s="1572">
        <f>VLOOKUP($C329,'[1]Form 1.4'!$C$73:$V$129,11,0)</f>
        <v>0</v>
      </c>
      <c r="N329" s="1572">
        <f>VLOOKUP($C329,'[1]Form 1.4'!$C$73:$V$129,12,0)</f>
        <v>0</v>
      </c>
      <c r="O329" s="1572">
        <f>VLOOKUP($C329,'[1]Form 1.4'!$C$73:$V$129,13,0)</f>
        <v>0</v>
      </c>
      <c r="P329" s="1573">
        <f t="shared" si="115"/>
        <v>133.93573042908616</v>
      </c>
      <c r="Q329" s="1572">
        <f t="shared" si="104"/>
        <v>0.77516925257896829</v>
      </c>
      <c r="R329" s="1572">
        <f t="shared" si="105"/>
        <v>0</v>
      </c>
      <c r="S329" s="1572">
        <f t="shared" si="106"/>
        <v>0</v>
      </c>
      <c r="T329" s="1572">
        <f t="shared" si="107"/>
        <v>0</v>
      </c>
      <c r="U329" s="1572">
        <f t="shared" si="108"/>
        <v>1.7569999999999999</v>
      </c>
      <c r="V329" s="1653">
        <f t="shared" si="102"/>
        <v>2.5321692525789681</v>
      </c>
      <c r="W329" s="912"/>
    </row>
    <row r="330" spans="3:23">
      <c r="C330" s="1451" t="s">
        <v>807</v>
      </c>
      <c r="D330" s="1570"/>
      <c r="E330" s="1570"/>
      <c r="F330" s="1570">
        <f>VLOOKUP($C330,'[1]Form 1.4'!$C$73:$V$129,2,0)</f>
        <v>500</v>
      </c>
      <c r="G330" s="1571">
        <f>VLOOKUP($C330,'[1]Form 1.4'!$C$73:$V$129,3,0)</f>
        <v>14.568</v>
      </c>
      <c r="H330" s="1572">
        <f>VLOOKUP($C330,'[1]Form 1.4'!$C$73:$V$129,4,0)</f>
        <v>75.25</v>
      </c>
      <c r="I330" s="1572">
        <f>VLOOKUP($C330,'[1]Form 1.4'!$C$73:$V$129,7,0)</f>
        <v>210.78675694242764</v>
      </c>
      <c r="J330" s="1572">
        <f>VLOOKUP($C330,'[1]Form 1.4'!$C$73:$V$129,8,0)</f>
        <v>210.78675694242764</v>
      </c>
      <c r="K330" s="1572">
        <f>VLOOKUP($C330,'[1]Form 1.4'!$C$73:$V$129,9,0)</f>
        <v>17.196647201637209</v>
      </c>
      <c r="L330" s="1572">
        <f>VLOOKUP($C330,'[1]Form 1.4'!$C$73:$V$129,10,0)</f>
        <v>72.278778955558437</v>
      </c>
      <c r="M330" s="1572">
        <f>VLOOKUP($C330,'[1]Form 1.4'!$C$73:$V$129,11,0)</f>
        <v>0</v>
      </c>
      <c r="N330" s="1572">
        <f>VLOOKUP($C330,'[1]Form 1.4'!$C$73:$V$129,12,0)</f>
        <v>0</v>
      </c>
      <c r="O330" s="1572">
        <f>VLOOKUP($C330,'[1]Form 1.4'!$C$73:$V$129,13,0)</f>
        <v>0</v>
      </c>
      <c r="P330" s="1573">
        <f t="shared" si="115"/>
        <v>89.475426157195642</v>
      </c>
      <c r="Q330" s="1572">
        <f t="shared" si="104"/>
        <v>0.81583148064345168</v>
      </c>
      <c r="R330" s="1572">
        <f t="shared" si="105"/>
        <v>0</v>
      </c>
      <c r="S330" s="1572">
        <f t="shared" si="106"/>
        <v>0</v>
      </c>
      <c r="T330" s="1572">
        <f t="shared" si="107"/>
        <v>0</v>
      </c>
      <c r="U330" s="1572">
        <f t="shared" si="108"/>
        <v>3.4289999999999998</v>
      </c>
      <c r="V330" s="1653">
        <f t="shared" si="102"/>
        <v>4.2448314806434508</v>
      </c>
      <c r="W330" s="912"/>
    </row>
    <row r="331" spans="3:23">
      <c r="C331" s="1451" t="s">
        <v>808</v>
      </c>
      <c r="D331" s="1570"/>
      <c r="E331" s="1570"/>
      <c r="F331" s="1570">
        <f>VLOOKUP($C331,'[1]Form 1.4'!$C$73:$V$129,2,0)</f>
        <v>2400</v>
      </c>
      <c r="G331" s="1571">
        <f>VLOOKUP($C331,'[1]Form 1.4'!$C$73:$V$129,3,0)</f>
        <v>8.7851768958943595</v>
      </c>
      <c r="H331" s="1572">
        <f>VLOOKUP($C331,'[1]Form 1.4'!$C$73:$V$129,4,0)</f>
        <v>239.54</v>
      </c>
      <c r="I331" s="1572">
        <f>VLOOKUP($C331,'[1]Form 1.4'!$C$73:$V$129,7,0)</f>
        <v>650.9337137351996</v>
      </c>
      <c r="J331" s="1572">
        <f>VLOOKUP($C331,'[1]Form 1.4'!$C$73:$V$129,8,0)</f>
        <v>152.27233764235419</v>
      </c>
      <c r="K331" s="1572">
        <f>VLOOKUP($C331,'[1]Form 1.4'!$C$73:$V$129,9,0)</f>
        <v>103.93546623257258</v>
      </c>
      <c r="L331" s="1572">
        <f>VLOOKUP($C331,'[1]Form 1.4'!$C$73:$V$129,10,0)</f>
        <v>74.23276460064767</v>
      </c>
      <c r="M331" s="1572">
        <f>VLOOKUP($C331,'[1]Form 1.4'!$C$73:$V$129,11,0)</f>
        <v>0</v>
      </c>
      <c r="N331" s="1572">
        <f>VLOOKUP($C331,'[1]Form 1.4'!$C$73:$V$129,12,0)</f>
        <v>0</v>
      </c>
      <c r="O331" s="1572">
        <f>VLOOKUP($C331,'[1]Form 1.4'!$C$73:$V$129,13,0)</f>
        <v>0</v>
      </c>
      <c r="P331" s="1573">
        <f t="shared" si="115"/>
        <v>178.16823083322026</v>
      </c>
      <c r="Q331" s="1572">
        <f t="shared" si="104"/>
        <v>6.8256301730054467</v>
      </c>
      <c r="R331" s="1572">
        <f t="shared" si="105"/>
        <v>0</v>
      </c>
      <c r="S331" s="1572">
        <f t="shared" si="106"/>
        <v>0</v>
      </c>
      <c r="T331" s="1572">
        <f t="shared" si="107"/>
        <v>0</v>
      </c>
      <c r="U331" s="1572">
        <f t="shared" si="108"/>
        <v>4.875</v>
      </c>
      <c r="V331" s="1653">
        <f t="shared" si="102"/>
        <v>11.700630173005448</v>
      </c>
      <c r="W331" s="912"/>
    </row>
    <row r="332" spans="3:23">
      <c r="C332" s="1451" t="s">
        <v>809</v>
      </c>
      <c r="D332" s="1570"/>
      <c r="E332" s="1570"/>
      <c r="F332" s="1570">
        <f>VLOOKUP($C332,'[1]Form 1.4'!$C$73:$V$129,2,0)</f>
        <v>1500</v>
      </c>
      <c r="G332" s="1571">
        <f>VLOOKUP($C332,'[1]Form 1.4'!$C$73:$V$129,3,0)</f>
        <v>5.9749999999999996</v>
      </c>
      <c r="H332" s="1572">
        <f>VLOOKUP($C332,'[1]Form 1.4'!$C$73:$V$129,4,0)</f>
        <v>86.44</v>
      </c>
      <c r="I332" s="1572">
        <f>VLOOKUP($C332,'[1]Form 1.4'!$C$73:$V$129,7,0)</f>
        <v>250.15546660353186</v>
      </c>
      <c r="J332" s="1572">
        <f>VLOOKUP($C332,'[1]Form 1.4'!$C$73:$V$129,8,0)</f>
        <v>85.524381314740381</v>
      </c>
      <c r="K332" s="1572">
        <f>VLOOKUP($C332,'[1]Form 1.4'!$C$73:$V$129,9,0)</f>
        <v>40.630143406055119</v>
      </c>
      <c r="L332" s="1572">
        <f>VLOOKUP($C332,'[1]Form 1.4'!$C$73:$V$129,10,0)</f>
        <v>35.903135275928015</v>
      </c>
      <c r="M332" s="1572">
        <f>VLOOKUP($C332,'[1]Form 1.4'!$C$73:$V$129,11,0)</f>
        <v>0</v>
      </c>
      <c r="N332" s="1572">
        <f>VLOOKUP($C332,'[1]Form 1.4'!$C$73:$V$129,12,0)</f>
        <v>0</v>
      </c>
      <c r="O332" s="1572">
        <f>VLOOKUP($C332,'[1]Form 1.4'!$C$73:$V$129,13,0)</f>
        <v>0</v>
      </c>
      <c r="P332" s="1573">
        <f t="shared" si="115"/>
        <v>76.533278681983134</v>
      </c>
      <c r="Q332" s="1572">
        <f t="shared" si="104"/>
        <v>4.750708836645205</v>
      </c>
      <c r="R332" s="1572">
        <f t="shared" si="105"/>
        <v>0</v>
      </c>
      <c r="S332" s="1572">
        <f t="shared" si="106"/>
        <v>0</v>
      </c>
      <c r="T332" s="1572">
        <f t="shared" si="107"/>
        <v>0</v>
      </c>
      <c r="U332" s="1572">
        <f t="shared" si="108"/>
        <v>4.1980000000000004</v>
      </c>
      <c r="V332" s="1653">
        <f t="shared" si="102"/>
        <v>8.9487088366452046</v>
      </c>
      <c r="W332" s="912"/>
    </row>
    <row r="333" spans="3:23">
      <c r="C333" s="1451" t="s">
        <v>681</v>
      </c>
      <c r="D333" s="1570"/>
      <c r="E333" s="1570"/>
      <c r="F333" s="1570">
        <f>VLOOKUP($C333,'[1]Form 1.4'!$C$73:$V$129,2,0)</f>
        <v>630</v>
      </c>
      <c r="G333" s="1571">
        <f>VLOOKUP($C333,'[1]Form 1.4'!$C$73:$V$129,3,0)</f>
        <v>7.8769999999999998</v>
      </c>
      <c r="H333" s="1572">
        <f>VLOOKUP($C333,'[1]Form 1.4'!$C$73:$V$129,4,0)</f>
        <v>46.88</v>
      </c>
      <c r="I333" s="1572">
        <f>VLOOKUP($C333,'[1]Form 1.4'!$C$73:$V$129,7,0)</f>
        <v>127.05778676966082</v>
      </c>
      <c r="J333" s="1572">
        <f>VLOOKUP($C333,'[1]Form 1.4'!$C$73:$V$129,8,0)</f>
        <v>127.05778676966082</v>
      </c>
      <c r="K333" s="1572">
        <f>VLOOKUP($C333,'[1]Form 1.4'!$C$73:$V$129,9,0)</f>
        <v>10.517134184718858</v>
      </c>
      <c r="L333" s="1572">
        <f>VLOOKUP($C333,'[1]Form 1.4'!$C$73:$V$129,10,0)</f>
        <v>40.663574077762249</v>
      </c>
      <c r="M333" s="1572">
        <f>VLOOKUP($C333,'[1]Form 1.4'!$C$73:$V$129,11,0)</f>
        <v>0</v>
      </c>
      <c r="N333" s="1572">
        <f>VLOOKUP($C333,'[1]Form 1.4'!$C$73:$V$129,12,0)</f>
        <v>0</v>
      </c>
      <c r="O333" s="1572">
        <f>VLOOKUP($C333,'[1]Form 1.4'!$C$73:$V$129,13,0)</f>
        <v>0</v>
      </c>
      <c r="P333" s="1573">
        <f t="shared" si="115"/>
        <v>51.180708262481104</v>
      </c>
      <c r="Q333" s="1572">
        <f t="shared" si="104"/>
        <v>0.82774416681639895</v>
      </c>
      <c r="R333" s="1572">
        <f t="shared" si="105"/>
        <v>0</v>
      </c>
      <c r="S333" s="1572">
        <f t="shared" si="106"/>
        <v>0</v>
      </c>
      <c r="T333" s="1572">
        <f t="shared" si="107"/>
        <v>0</v>
      </c>
      <c r="U333" s="1572">
        <f t="shared" si="108"/>
        <v>3.2004000000000001</v>
      </c>
      <c r="V333" s="1653">
        <f t="shared" si="102"/>
        <v>4.0281441668163982</v>
      </c>
      <c r="W333" s="912"/>
    </row>
    <row r="334" spans="3:23">
      <c r="C334" s="1451" t="s">
        <v>680</v>
      </c>
      <c r="D334" s="1570"/>
      <c r="E334" s="1570"/>
      <c r="F334" s="1570">
        <f>VLOOKUP($C334,'[1]Form 1.4'!$C$73:$V$129,2,0)</f>
        <v>840</v>
      </c>
      <c r="G334" s="1571">
        <f>VLOOKUP($C334,'[1]Form 1.4'!$C$73:$V$129,3,0)</f>
        <v>10.535</v>
      </c>
      <c r="H334" s="1572">
        <f>VLOOKUP($C334,'[1]Form 1.4'!$C$73:$V$129,4,0)</f>
        <v>85.83</v>
      </c>
      <c r="I334" s="1572">
        <f>VLOOKUP($C334,'[1]Form 1.4'!$C$73:$V$129,7,0)</f>
        <v>237.26778319828014</v>
      </c>
      <c r="J334" s="1572">
        <f>VLOOKUP($C334,'[1]Form 1.4'!$C$73:$V$129,8,0)</f>
        <v>237.26778319828014</v>
      </c>
      <c r="K334" s="1572">
        <f>VLOOKUP($C334,'[1]Form 1.4'!$C$73:$V$129,9,0)</f>
        <v>19.804113510275688</v>
      </c>
      <c r="L334" s="1572">
        <f>VLOOKUP($C334,'[1]Form 1.4'!$C$73:$V$129,10,0)</f>
        <v>76.020597736728959</v>
      </c>
      <c r="M334" s="1572">
        <f>VLOOKUP($C334,'[1]Form 1.4'!$C$73:$V$129,11,0)</f>
        <v>0</v>
      </c>
      <c r="N334" s="1572">
        <f>VLOOKUP($C334,'[1]Form 1.4'!$C$73:$V$129,12,0)</f>
        <v>0</v>
      </c>
      <c r="O334" s="1572">
        <f>VLOOKUP($C334,'[1]Form 1.4'!$C$73:$V$129,13,0)</f>
        <v>0</v>
      </c>
      <c r="P334" s="1573">
        <f t="shared" si="115"/>
        <v>95.824711247004643</v>
      </c>
      <c r="Q334" s="1572">
        <f t="shared" si="104"/>
        <v>0.83467351712582782</v>
      </c>
      <c r="R334" s="1572">
        <f t="shared" si="105"/>
        <v>0</v>
      </c>
      <c r="S334" s="1572">
        <f t="shared" si="106"/>
        <v>0</v>
      </c>
      <c r="T334" s="1572">
        <f t="shared" si="107"/>
        <v>0</v>
      </c>
      <c r="U334" s="1572">
        <f t="shared" si="108"/>
        <v>3.2040000000000002</v>
      </c>
      <c r="V334" s="1653">
        <f t="shared" si="102"/>
        <v>4.0386735171258277</v>
      </c>
      <c r="W334" s="912"/>
    </row>
    <row r="335" spans="3:23">
      <c r="C335" s="1451" t="s">
        <v>810</v>
      </c>
      <c r="D335" s="1570"/>
      <c r="E335" s="1570"/>
      <c r="F335" s="1570">
        <f>VLOOKUP($C335,'[1]Form 1.4'!$C$73:$V$129,2,0)</f>
        <v>440</v>
      </c>
      <c r="G335" s="1571">
        <f>VLOOKUP($C335,'[1]Form 1.4'!$C$73:$V$129,3,0)</f>
        <v>4.12</v>
      </c>
      <c r="H335" s="1572">
        <f>VLOOKUP($C335,'[1]Form 1.4'!$C$73:$V$129,4,0)</f>
        <v>18.16</v>
      </c>
      <c r="I335" s="1572">
        <f>VLOOKUP($C335,'[1]Form 1.4'!$C$73:$V$129,7,0)</f>
        <v>36.920074258092129</v>
      </c>
      <c r="J335" s="1572">
        <f>VLOOKUP($C335,'[1]Form 1.4'!$C$73:$V$129,8,0)</f>
        <v>36.920074258092129</v>
      </c>
      <c r="K335" s="1572">
        <f>VLOOKUP($C335,'[1]Form 1.4'!$C$73:$V$129,9,0)</f>
        <v>0</v>
      </c>
      <c r="L335" s="1572">
        <f>VLOOKUP($C335,'[1]Form 1.4'!$C$73:$V$129,10,0)</f>
        <v>9.4161182578908438</v>
      </c>
      <c r="M335" s="1572">
        <f>VLOOKUP($C335,'[1]Form 1.4'!$C$73:$V$129,11,0)</f>
        <v>0</v>
      </c>
      <c r="N335" s="1572">
        <f>VLOOKUP($C335,'[1]Form 1.4'!$C$73:$V$129,12,0)</f>
        <v>0</v>
      </c>
      <c r="O335" s="1572">
        <f>VLOOKUP($C335,'[1]Form 1.4'!$C$73:$V$129,13,0)</f>
        <v>0</v>
      </c>
      <c r="P335" s="1573">
        <f t="shared" si="115"/>
        <v>9.4161182578908438</v>
      </c>
      <c r="Q335" s="1572">
        <f t="shared" si="104"/>
        <v>0</v>
      </c>
      <c r="R335" s="1572">
        <f t="shared" si="105"/>
        <v>0</v>
      </c>
      <c r="S335" s="1572">
        <f t="shared" si="106"/>
        <v>0</v>
      </c>
      <c r="T335" s="1572">
        <f t="shared" si="107"/>
        <v>0</v>
      </c>
      <c r="U335" s="1572">
        <f t="shared" si="108"/>
        <v>2.5504060994208384</v>
      </c>
      <c r="V335" s="1653">
        <f t="shared" si="102"/>
        <v>2.5504060994208384</v>
      </c>
      <c r="W335" s="912"/>
    </row>
    <row r="336" spans="3:23">
      <c r="C336" s="1451" t="s">
        <v>811</v>
      </c>
      <c r="D336" s="1570"/>
      <c r="E336" s="1570"/>
      <c r="F336" s="1570">
        <f>VLOOKUP($C336,'[1]Form 1.4'!$C$73:$V$129,2,0)</f>
        <v>880</v>
      </c>
      <c r="G336" s="1571">
        <f>VLOOKUP($C336,'[1]Form 1.4'!$C$73:$V$129,3,0)</f>
        <v>12.984999999999999</v>
      </c>
      <c r="H336" s="1572">
        <f>VLOOKUP($C336,'[1]Form 1.4'!$C$73:$V$129,4,0)</f>
        <v>114.45</v>
      </c>
      <c r="I336" s="1572">
        <f>VLOOKUP($C336,'[1]Form 1.4'!$C$73:$V$129,7,0)</f>
        <v>257.2404235302381</v>
      </c>
      <c r="J336" s="1572">
        <f>VLOOKUP($C336,'[1]Form 1.4'!$C$73:$V$129,8,0)</f>
        <v>257.2404235302381</v>
      </c>
      <c r="K336" s="1572">
        <f>VLOOKUP($C336,'[1]Form 1.4'!$C$73:$V$129,9,0)</f>
        <v>0</v>
      </c>
      <c r="L336" s="1572">
        <f>VLOOKUP($C336,'[1]Form 1.4'!$C$73:$V$129,10,0)</f>
        <v>89.998187914389774</v>
      </c>
      <c r="M336" s="1572">
        <f>VLOOKUP($C336,'[1]Form 1.4'!$C$73:$V$129,11,0)</f>
        <v>0</v>
      </c>
      <c r="N336" s="1572">
        <f>VLOOKUP($C336,'[1]Form 1.4'!$C$73:$V$129,12,0)</f>
        <v>0</v>
      </c>
      <c r="O336" s="1572">
        <f>VLOOKUP($C336,'[1]Form 1.4'!$C$73:$V$129,13,0)</f>
        <v>0</v>
      </c>
      <c r="P336" s="1573">
        <f t="shared" si="115"/>
        <v>89.998187914389774</v>
      </c>
      <c r="Q336" s="1572">
        <f t="shared" si="104"/>
        <v>0</v>
      </c>
      <c r="R336" s="1572">
        <f t="shared" si="105"/>
        <v>0</v>
      </c>
      <c r="S336" s="1572">
        <f t="shared" si="106"/>
        <v>0</v>
      </c>
      <c r="T336" s="1572">
        <f t="shared" si="107"/>
        <v>0</v>
      </c>
      <c r="U336" s="1572">
        <f t="shared" si="108"/>
        <v>3.4986020734727434</v>
      </c>
      <c r="V336" s="1653">
        <f t="shared" si="102"/>
        <v>3.4986020734727434</v>
      </c>
      <c r="W336" s="912"/>
    </row>
    <row r="337" spans="3:23">
      <c r="C337" s="1451" t="s">
        <v>812</v>
      </c>
      <c r="D337" s="1570"/>
      <c r="E337" s="1570"/>
      <c r="F337" s="1570">
        <f>VLOOKUP($C337,'[1]Form 1.4'!$C$73:$V$129,2,0)</f>
        <v>1000</v>
      </c>
      <c r="G337" s="1571">
        <f>VLOOKUP($C337,'[1]Form 1.4'!$C$73:$V$129,3,0)</f>
        <v>12.819000000000001</v>
      </c>
      <c r="H337" s="1572">
        <f>VLOOKUP($C337,'[1]Form 1.4'!$C$73:$V$129,4,0)</f>
        <v>121.61</v>
      </c>
      <c r="I337" s="1572">
        <f>VLOOKUP($C337,'[1]Form 1.4'!$C$73:$V$129,7,0)</f>
        <v>341.73677518906845</v>
      </c>
      <c r="J337" s="1572">
        <f>VLOOKUP($C337,'[1]Form 1.4'!$C$73:$V$129,8,0)</f>
        <v>341.73677518906845</v>
      </c>
      <c r="K337" s="1572">
        <f>VLOOKUP($C337,'[1]Form 1.4'!$C$73:$V$129,9,0)</f>
        <v>52.547690263407794</v>
      </c>
      <c r="L337" s="1572">
        <f>VLOOKUP($C337,'[1]Form 1.4'!$C$73:$V$129,10,0)</f>
        <v>118.17257686037988</v>
      </c>
      <c r="M337" s="1572">
        <f>VLOOKUP($C337,'[1]Form 1.4'!$C$73:$V$129,11,0)</f>
        <v>0</v>
      </c>
      <c r="N337" s="1572">
        <f>VLOOKUP($C337,'[1]Form 1.4'!$C$73:$V$129,12,0)</f>
        <v>0</v>
      </c>
      <c r="O337" s="1572">
        <f>VLOOKUP($C337,'[1]Form 1.4'!$C$73:$V$129,13,0)</f>
        <v>0</v>
      </c>
      <c r="P337" s="1573">
        <f t="shared" si="115"/>
        <v>170.72026712378766</v>
      </c>
      <c r="Q337" s="1572">
        <f t="shared" si="104"/>
        <v>1.5376656560984809</v>
      </c>
      <c r="R337" s="1572">
        <f t="shared" si="105"/>
        <v>0</v>
      </c>
      <c r="S337" s="1572">
        <f t="shared" si="106"/>
        <v>0</v>
      </c>
      <c r="T337" s="1572">
        <f t="shared" si="107"/>
        <v>0</v>
      </c>
      <c r="U337" s="1572">
        <f t="shared" si="108"/>
        <v>3.4580000000000002</v>
      </c>
      <c r="V337" s="1653">
        <f t="shared" si="102"/>
        <v>4.9956656560984811</v>
      </c>
      <c r="W337" s="912"/>
    </row>
    <row r="338" spans="3:23">
      <c r="C338" s="1451" t="s">
        <v>780</v>
      </c>
      <c r="D338" s="1570"/>
      <c r="E338" s="1570"/>
      <c r="F338" s="1570">
        <f>VLOOKUP($C338,'[1]Form 1.4'!$C$73:$V$129,2,0)</f>
        <v>1000</v>
      </c>
      <c r="G338" s="1571">
        <f>VLOOKUP($C338,'[1]Form 1.4'!$C$73:$V$129,3,0)</f>
        <v>5.274</v>
      </c>
      <c r="H338" s="1572">
        <f>VLOOKUP($C338,'[1]Form 1.4'!$C$73:$V$129,4,0)</f>
        <v>52.71</v>
      </c>
      <c r="I338" s="1572">
        <f>VLOOKUP($C338,'[1]Form 1.4'!$C$73:$V$129,7,0)</f>
        <v>148.11398346374821</v>
      </c>
      <c r="J338" s="1572">
        <f>VLOOKUP($C338,'[1]Form 1.4'!$C$73:$V$129,8,0)</f>
        <v>148.11398346374821</v>
      </c>
      <c r="K338" s="1572">
        <f>VLOOKUP($C338,'[1]Form 1.4'!$C$73:$V$129,9,0)</f>
        <v>26.31548944444771</v>
      </c>
      <c r="L338" s="1572">
        <f>VLOOKUP($C338,'[1]Form 1.4'!$C$73:$V$129,10,0)</f>
        <v>38.228219131993413</v>
      </c>
      <c r="M338" s="1572">
        <f>VLOOKUP($C338,'[1]Form 1.4'!$C$73:$V$129,11,0)</f>
        <v>0</v>
      </c>
      <c r="N338" s="1572">
        <f>VLOOKUP($C338,'[1]Form 1.4'!$C$73:$V$129,12,0)</f>
        <v>0</v>
      </c>
      <c r="O338" s="1572">
        <f>VLOOKUP($C338,'[1]Form 1.4'!$C$73:$V$129,13,0)</f>
        <v>0</v>
      </c>
      <c r="P338" s="1573">
        <f t="shared" si="115"/>
        <v>64.543708576441119</v>
      </c>
      <c r="Q338" s="1572">
        <f t="shared" si="104"/>
        <v>1.7767052663794289</v>
      </c>
      <c r="R338" s="1572">
        <f t="shared" si="105"/>
        <v>0</v>
      </c>
      <c r="S338" s="1572">
        <f t="shared" si="106"/>
        <v>0</v>
      </c>
      <c r="T338" s="1572">
        <f t="shared" si="107"/>
        <v>0</v>
      </c>
      <c r="U338" s="1572">
        <f t="shared" si="108"/>
        <v>2.581</v>
      </c>
      <c r="V338" s="1653">
        <f t="shared" si="102"/>
        <v>4.3577052663794289</v>
      </c>
      <c r="W338" s="912"/>
    </row>
    <row r="339" spans="3:23">
      <c r="C339" s="1451" t="s">
        <v>965</v>
      </c>
      <c r="D339" s="1570"/>
      <c r="E339" s="1570"/>
      <c r="F339" s="1570">
        <f>VLOOKUP($C339,'[1]Form 1.4'!$C$73:$V$129,2,0)</f>
        <v>1000</v>
      </c>
      <c r="G339" s="1571">
        <f>VLOOKUP($C339,'[1]Form 1.4'!$C$73:$V$129,3,0)</f>
        <v>0.17</v>
      </c>
      <c r="H339" s="1572">
        <f>VLOOKUP($C339,'[1]Form 1.4'!$C$73:$V$129,4,0)</f>
        <v>1.78</v>
      </c>
      <c r="I339" s="1572">
        <f>VLOOKUP($C339,'[1]Form 1.4'!$C$73:$V$129,7,0)</f>
        <v>5.5834273129136545</v>
      </c>
      <c r="J339" s="1572">
        <f>VLOOKUP($C339,'[1]Form 1.4'!$C$73:$V$129,8,0)</f>
        <v>5.5834273129136545</v>
      </c>
      <c r="K339" s="1572">
        <f>VLOOKUP($C339,'[1]Form 1.4'!$C$73:$V$129,9,0)</f>
        <v>0</v>
      </c>
      <c r="L339" s="1572">
        <f>VLOOKUP($C339,'[1]Form 1.4'!$C$73:$V$129,10,0)</f>
        <v>2.4000661068507889</v>
      </c>
      <c r="M339" s="1572">
        <f>VLOOKUP($C339,'[1]Form 1.4'!$C$73:$V$129,11,0)</f>
        <v>0</v>
      </c>
      <c r="N339" s="1572">
        <f>VLOOKUP($C339,'[1]Form 1.4'!$C$73:$V$129,12,0)</f>
        <v>0</v>
      </c>
      <c r="O339" s="1572">
        <f>VLOOKUP($C339,'[1]Form 1.4'!$C$73:$V$129,13,0)</f>
        <v>0</v>
      </c>
      <c r="P339" s="1573">
        <f t="shared" si="115"/>
        <v>2.4000661068507889</v>
      </c>
      <c r="Q339" s="1572">
        <f t="shared" si="104"/>
        <v>0</v>
      </c>
      <c r="R339" s="1572">
        <f t="shared" si="105"/>
        <v>0</v>
      </c>
      <c r="S339" s="1572">
        <f t="shared" si="106"/>
        <v>0</v>
      </c>
      <c r="T339" s="1572">
        <f t="shared" si="107"/>
        <v>0</v>
      </c>
      <c r="U339" s="1572">
        <f t="shared" si="108"/>
        <v>4.2985535090602598</v>
      </c>
      <c r="V339" s="1653">
        <f t="shared" si="102"/>
        <v>4.2985535090602598</v>
      </c>
      <c r="W339" s="912"/>
    </row>
    <row r="340" spans="3:23">
      <c r="C340" s="1451" t="s">
        <v>966</v>
      </c>
      <c r="D340" s="1570"/>
      <c r="E340" s="1570"/>
      <c r="F340" s="1570">
        <f>VLOOKUP($C340,'[1]Form 1.4'!$C$73:$V$129,2,0)</f>
        <v>420</v>
      </c>
      <c r="G340" s="1571">
        <f>VLOOKUP($C340,'[1]Form 1.4'!$C$73:$V$129,3,0)</f>
        <v>0.51</v>
      </c>
      <c r="H340" s="1572">
        <f>VLOOKUP($C340,'[1]Form 1.4'!$C$73:$V$129,4,0)</f>
        <v>2.2400000000000002</v>
      </c>
      <c r="I340" s="1572">
        <f>VLOOKUP($C340,'[1]Form 1.4'!$C$73:$V$129,7,0)</f>
        <v>6.5825396495165336</v>
      </c>
      <c r="J340" s="1572">
        <f>VLOOKUP($C340,'[1]Form 1.4'!$C$73:$V$129,8,0)</f>
        <v>6.5825396495165336</v>
      </c>
      <c r="K340" s="1572">
        <f>VLOOKUP($C340,'[1]Form 1.4'!$C$73:$V$129,9,0)</f>
        <v>0.59741554877525171</v>
      </c>
      <c r="L340" s="1572">
        <f>VLOOKUP($C340,'[1]Form 1.4'!$C$73:$V$129,10,0)</f>
        <v>1.8773403080421154</v>
      </c>
      <c r="M340" s="1572">
        <f>VLOOKUP($C340,'[1]Form 1.4'!$C$73:$V$129,11,0)</f>
        <v>0</v>
      </c>
      <c r="N340" s="1572">
        <f>VLOOKUP($C340,'[1]Form 1.4'!$C$73:$V$129,12,0)</f>
        <v>0</v>
      </c>
      <c r="O340" s="1572">
        <f>VLOOKUP($C340,'[1]Form 1.4'!$C$73:$V$129,13,0)</f>
        <v>0</v>
      </c>
      <c r="P340" s="1573">
        <f t="shared" si="115"/>
        <v>2.4747558568173673</v>
      </c>
      <c r="Q340" s="1572">
        <f t="shared" si="104"/>
        <v>0.90757607334599188</v>
      </c>
      <c r="R340" s="1572">
        <f t="shared" si="105"/>
        <v>0</v>
      </c>
      <c r="S340" s="1572">
        <f t="shared" si="106"/>
        <v>0</v>
      </c>
      <c r="T340" s="1572">
        <f t="shared" si="107"/>
        <v>0</v>
      </c>
      <c r="U340" s="1572">
        <f t="shared" si="108"/>
        <v>2.8520000000000003</v>
      </c>
      <c r="V340" s="1653">
        <f t="shared" si="102"/>
        <v>3.759576073345992</v>
      </c>
      <c r="W340" s="912"/>
    </row>
    <row r="341" spans="3:23">
      <c r="C341" s="1451" t="s">
        <v>967</v>
      </c>
      <c r="D341" s="1570"/>
      <c r="E341" s="1570"/>
      <c r="F341" s="1570">
        <f>VLOOKUP($C341,'[1]Form 1.4'!$C$73:$V$129,2,0)</f>
        <v>500</v>
      </c>
      <c r="G341" s="1571">
        <f>VLOOKUP($C341,'[1]Form 1.4'!$C$73:$V$129,3,0)</f>
        <v>0.51</v>
      </c>
      <c r="H341" s="1572">
        <f>VLOOKUP($C341,'[1]Form 1.4'!$C$73:$V$129,4,0)</f>
        <v>2.67</v>
      </c>
      <c r="I341" s="1572">
        <f>VLOOKUP($C341,'[1]Form 1.4'!$C$73:$V$129,7,0)</f>
        <v>5.5450615064645579</v>
      </c>
      <c r="J341" s="1572">
        <f>VLOOKUP($C341,'[1]Form 1.4'!$C$73:$V$129,8,0)</f>
        <v>5.5450615064645579</v>
      </c>
      <c r="K341" s="1572">
        <f>VLOOKUP($C341,'[1]Form 1.4'!$C$73:$V$129,9,0)</f>
        <v>1.4070254006607461</v>
      </c>
      <c r="L341" s="1572">
        <f>VLOOKUP($C341,'[1]Form 1.4'!$C$73:$V$129,10,0)</f>
        <v>1.6868077102665182</v>
      </c>
      <c r="M341" s="1572">
        <f>VLOOKUP($C341,'[1]Form 1.4'!$C$73:$V$129,11,0)</f>
        <v>0</v>
      </c>
      <c r="N341" s="1572">
        <f>VLOOKUP($C341,'[1]Form 1.4'!$C$73:$V$129,12,0)</f>
        <v>0</v>
      </c>
      <c r="O341" s="1572">
        <f>VLOOKUP($C341,'[1]Form 1.4'!$C$73:$V$129,13,0)</f>
        <v>0</v>
      </c>
      <c r="P341" s="1573">
        <f t="shared" si="115"/>
        <v>3.0938331109272643</v>
      </c>
      <c r="Q341" s="1572">
        <f t="shared" si="104"/>
        <v>2.5374387624382599</v>
      </c>
      <c r="R341" s="1572">
        <f t="shared" si="105"/>
        <v>0</v>
      </c>
      <c r="S341" s="1572">
        <f t="shared" si="106"/>
        <v>0</v>
      </c>
      <c r="T341" s="1572">
        <f t="shared" si="107"/>
        <v>0</v>
      </c>
      <c r="U341" s="1572">
        <f t="shared" si="108"/>
        <v>3.0419999999999998</v>
      </c>
      <c r="V341" s="1653">
        <f t="shared" si="102"/>
        <v>5.5794387624382589</v>
      </c>
      <c r="W341" s="912"/>
    </row>
    <row r="342" spans="3:23">
      <c r="C342" s="1451" t="s">
        <v>1118</v>
      </c>
      <c r="D342" s="1570"/>
      <c r="E342" s="1570"/>
      <c r="F342" s="1570">
        <f>VLOOKUP($C342,'[1]Form 1.4'!$C$73:$V$129,2,0)</f>
        <v>800</v>
      </c>
      <c r="G342" s="1571">
        <f>VLOOKUP($C342,'[1]Form 1.4'!$C$73:$V$129,3,0)</f>
        <v>1.0058</v>
      </c>
      <c r="H342" s="1572">
        <f>VLOOKUP($C342,'[1]Form 1.4'!$C$73:$V$129,4,0)</f>
        <v>8.0500000000000007</v>
      </c>
      <c r="I342" s="1572">
        <f>VLOOKUP($C342,'[1]Form 1.4'!$C$73:$V$129,7,0)</f>
        <v>22.291973120228757</v>
      </c>
      <c r="J342" s="1572">
        <f>VLOOKUP($C342,'[1]Form 1.4'!$C$73:$V$129,8,0)</f>
        <v>20.318738630277082</v>
      </c>
      <c r="K342" s="1572">
        <f>VLOOKUP($C342,'[1]Form 1.4'!$C$73:$V$129,9,0)</f>
        <v>0.44433227380159879</v>
      </c>
      <c r="L342" s="1572">
        <f>VLOOKUP($C342,'[1]Form 1.4'!$C$73:$V$129,10,0)</f>
        <v>7.6500050942993214</v>
      </c>
      <c r="M342" s="1572">
        <f>VLOOKUP($C342,'[1]Form 1.4'!$C$73:$V$129,11,0)</f>
        <v>0</v>
      </c>
      <c r="N342" s="1572">
        <f>VLOOKUP($C342,'[1]Form 1.4'!$C$73:$V$129,12,0)</f>
        <v>0</v>
      </c>
      <c r="O342" s="1572">
        <f>VLOOKUP($C342,'[1]Form 1.4'!$C$73:$V$129,13,0)</f>
        <v>0</v>
      </c>
      <c r="P342" s="1573">
        <f t="shared" si="115"/>
        <v>8.0943373681009199</v>
      </c>
      <c r="Q342" s="1572">
        <f t="shared" si="104"/>
        <v>0.21868103226619415</v>
      </c>
      <c r="R342" s="1572">
        <f t="shared" si="105"/>
        <v>0</v>
      </c>
      <c r="S342" s="1572">
        <f t="shared" si="106"/>
        <v>0</v>
      </c>
      <c r="T342" s="1572">
        <f t="shared" si="107"/>
        <v>0</v>
      </c>
      <c r="U342" s="1572">
        <f t="shared" si="108"/>
        <v>3.7650000000000001</v>
      </c>
      <c r="V342" s="1653">
        <f t="shared" si="102"/>
        <v>3.983681032266194</v>
      </c>
      <c r="W342" s="912"/>
    </row>
    <row r="343" spans="3:23" ht="25.5">
      <c r="C343" s="1451" t="s">
        <v>813</v>
      </c>
      <c r="D343" s="1570"/>
      <c r="E343" s="1570"/>
      <c r="F343" s="1655" t="str">
        <f>VLOOKUP($C343,'[1]Form 1.4'!$C$73:$V$129,2,0)</f>
        <v>*39 MW clubbed into above capacities</v>
      </c>
      <c r="G343" s="1571">
        <f>VLOOKUP($C343,'[1]Form 1.4'!$C$73:$V$129,3,0)</f>
        <v>100</v>
      </c>
      <c r="H343" s="1572">
        <f>VLOOKUP($C343,'[1]Form 1.4'!$C$73:$V$129,4,0)</f>
        <v>0</v>
      </c>
      <c r="I343" s="1572">
        <f>VLOOKUP($C343,'[1]Form 1.4'!$C$73:$V$129,7,0)</f>
        <v>115.62217435470684</v>
      </c>
      <c r="J343" s="1572">
        <f>VLOOKUP($C343,'[1]Form 1.4'!$C$73:$V$129,8,0)</f>
        <v>115.62217435470684</v>
      </c>
      <c r="K343" s="1572">
        <f>VLOOKUP($C343,'[1]Form 1.4'!$C$73:$V$129,9,0)</f>
        <v>13.184176509550738</v>
      </c>
      <c r="L343" s="1572">
        <f>VLOOKUP($C343,'[1]Form 1.4'!$C$73:$V$129,10,0)</f>
        <v>62.077545411042102</v>
      </c>
      <c r="M343" s="1572">
        <f>VLOOKUP($C343,'[1]Form 1.4'!$C$73:$V$129,11,0)</f>
        <v>0</v>
      </c>
      <c r="N343" s="1572">
        <f>VLOOKUP($C343,'[1]Form 1.4'!$C$73:$V$129,12,0)</f>
        <v>0</v>
      </c>
      <c r="O343" s="1572">
        <f>VLOOKUP($C343,'[1]Form 1.4'!$C$73:$V$129,13,0)</f>
        <v>0</v>
      </c>
      <c r="P343" s="1573">
        <f t="shared" si="115"/>
        <v>75.261721920592834</v>
      </c>
      <c r="Q343" s="1572">
        <f t="shared" si="104"/>
        <v>1.1402809697302692</v>
      </c>
      <c r="R343" s="1572">
        <f t="shared" si="105"/>
        <v>0</v>
      </c>
      <c r="S343" s="1572">
        <f t="shared" si="106"/>
        <v>0</v>
      </c>
      <c r="T343" s="1572">
        <f t="shared" si="107"/>
        <v>0</v>
      </c>
      <c r="U343" s="1572">
        <f t="shared" si="108"/>
        <v>5.3689999999999998</v>
      </c>
      <c r="V343" s="1653">
        <f t="shared" si="102"/>
        <v>6.5092809697302689</v>
      </c>
      <c r="W343" s="912"/>
    </row>
    <row r="344" spans="3:23" ht="14.25">
      <c r="C344" s="1603" t="s">
        <v>815</v>
      </c>
      <c r="D344" s="1575"/>
      <c r="E344" s="1575"/>
      <c r="F344" s="1577">
        <f>SUM(F326:F343)</f>
        <v>18010</v>
      </c>
      <c r="G344" s="1577">
        <f t="shared" ref="G344:P344" si="116">SUM(G326:G343)</f>
        <v>276.40097689589436</v>
      </c>
      <c r="H344" s="1577">
        <f t="shared" si="116"/>
        <v>2024.17</v>
      </c>
      <c r="I344" s="1577">
        <f t="shared" si="116"/>
        <v>5824.9807865199018</v>
      </c>
      <c r="J344" s="1577">
        <f t="shared" si="116"/>
        <v>5159.715090648313</v>
      </c>
      <c r="K344" s="1577">
        <f t="shared" si="116"/>
        <v>606.11628648126657</v>
      </c>
      <c r="L344" s="1577">
        <f t="shared" si="116"/>
        <v>1685.3394055611266</v>
      </c>
      <c r="M344" s="1577">
        <f t="shared" si="116"/>
        <v>0</v>
      </c>
      <c r="N344" s="1577">
        <f t="shared" si="116"/>
        <v>0</v>
      </c>
      <c r="O344" s="1577">
        <f t="shared" si="116"/>
        <v>0</v>
      </c>
      <c r="P344" s="1577">
        <f t="shared" si="116"/>
        <v>2291.4556920423934</v>
      </c>
      <c r="Q344" s="1577">
        <f t="shared" si="104"/>
        <v>1.1747088275858826</v>
      </c>
      <c r="R344" s="1577">
        <f t="shared" si="105"/>
        <v>0</v>
      </c>
      <c r="S344" s="1577">
        <f t="shared" si="106"/>
        <v>0</v>
      </c>
      <c r="T344" s="1577">
        <f t="shared" si="107"/>
        <v>0</v>
      </c>
      <c r="U344" s="1577">
        <f t="shared" si="108"/>
        <v>3.2663419897267336</v>
      </c>
      <c r="V344" s="1620">
        <f t="shared" si="102"/>
        <v>4.4410508173126164</v>
      </c>
      <c r="W344" s="912"/>
    </row>
    <row r="345" spans="3:23">
      <c r="C345" s="1451" t="s">
        <v>1119</v>
      </c>
      <c r="D345" s="1570"/>
      <c r="E345" s="1570"/>
      <c r="F345" s="1570">
        <f>VLOOKUP($C345,'[1]Form 1.4'!$C$73:$V$129,2,0)</f>
        <v>1320</v>
      </c>
      <c r="G345" s="1581">
        <f>VLOOKUP($C345,'[1]Form 1.4'!$C$73:$V$129,3,0)</f>
        <v>17.465909090909093</v>
      </c>
      <c r="H345" s="1572">
        <f>VLOOKUP($C345,'[1]Form 1.4'!$C$73:$V$129,4,0)</f>
        <v>230.55</v>
      </c>
      <c r="I345" s="1572">
        <f>VLOOKUP($C345,'[1]Form 1.4'!$C$73:$V$129,7,0)</f>
        <v>801.50905214731949</v>
      </c>
      <c r="J345" s="1572">
        <f>VLOOKUP($C345,'[1]Form 1.4'!$C$73:$V$129,8,0)</f>
        <v>801.50905214731949</v>
      </c>
      <c r="K345" s="1572">
        <f>VLOOKUP($C345,'[1]Form 1.4'!$C$73:$V$129,9,0)</f>
        <v>101.15772056282979</v>
      </c>
      <c r="L345" s="1572">
        <f>VLOOKUP($C345,'[1]Form 1.4'!$C$73:$V$129,10,0)</f>
        <v>205.18631734971376</v>
      </c>
      <c r="M345" s="1572">
        <f>VLOOKUP($C345,'[1]Form 1.4'!$C$73:$V$129,11,0)</f>
        <v>3.0019457634233051</v>
      </c>
      <c r="N345" s="1572">
        <f>VLOOKUP($C345,'[1]Form 1.4'!$C$73:$V$129,12,0)</f>
        <v>0</v>
      </c>
      <c r="O345" s="1572">
        <f>VLOOKUP($C345,'[1]Form 1.4'!$C$73:$V$129,13,0)</f>
        <v>22.414804241407744</v>
      </c>
      <c r="P345" s="1573">
        <f t="shared" ref="P345:P349" si="117">SUM(K345:O345)</f>
        <v>331.76078791737461</v>
      </c>
      <c r="Q345" s="1572">
        <f t="shared" si="104"/>
        <v>1.2620908059842688</v>
      </c>
      <c r="R345" s="1572">
        <f t="shared" si="105"/>
        <v>3.7453672611442189E-2</v>
      </c>
      <c r="S345" s="1572">
        <f t="shared" si="106"/>
        <v>0</v>
      </c>
      <c r="T345" s="1572">
        <f t="shared" si="107"/>
        <v>0.27965753077094185</v>
      </c>
      <c r="U345" s="1572">
        <f t="shared" si="108"/>
        <v>2.5599999999999996</v>
      </c>
      <c r="V345" s="1653">
        <f t="shared" si="102"/>
        <v>4.1392020093666524</v>
      </c>
      <c r="W345" s="912"/>
    </row>
    <row r="346" spans="3:23">
      <c r="C346" s="1451" t="s">
        <v>1129</v>
      </c>
      <c r="D346" s="1570"/>
      <c r="E346" s="1570"/>
      <c r="F346" s="1570">
        <f>VLOOKUP($C346,'[1]Form 1.4'!$C$73:$V$129,2,0)</f>
        <v>625</v>
      </c>
      <c r="G346" s="1570">
        <f>VLOOKUP($C346,'[1]Form 1.4'!$C$73:$V$129,3,0)</f>
        <v>100</v>
      </c>
      <c r="H346" s="1572">
        <f>VLOOKUP($C346,'[1]Form 1.4'!$C$73:$V$129,4,0)</f>
        <v>625</v>
      </c>
      <c r="I346" s="1572">
        <f>VLOOKUP($C346,'[1]Form 1.4'!$C$73:$V$129,7,0)</f>
        <v>1955.5360738792763</v>
      </c>
      <c r="J346" s="1572">
        <f>VLOOKUP($C346,'[1]Form 1.4'!$C$73:$V$129,8,0)</f>
        <v>1955.5360738792763</v>
      </c>
      <c r="K346" s="1572">
        <f>VLOOKUP($C346,'[1]Form 1.4'!$C$73:$V$129,9,0)</f>
        <v>329.62247934844709</v>
      </c>
      <c r="L346" s="1572">
        <f>VLOOKUP($C346,'[1]Form 1.4'!$C$73:$V$129,10,0)</f>
        <v>483.01741024818131</v>
      </c>
      <c r="M346" s="1572">
        <f>VLOOKUP($C346,'[1]Form 1.4'!$C$73:$V$129,11,0)</f>
        <v>0</v>
      </c>
      <c r="N346" s="1572">
        <f>VLOOKUP($C346,'[1]Form 1.4'!$C$73:$V$129,12,0)</f>
        <v>0</v>
      </c>
      <c r="O346" s="1572">
        <f>VLOOKUP($C346,'[1]Form 1.4'!$C$73:$V$129,13,0)</f>
        <v>0</v>
      </c>
      <c r="P346" s="1573">
        <f t="shared" si="117"/>
        <v>812.63988959662834</v>
      </c>
      <c r="Q346" s="1572">
        <f t="shared" si="104"/>
        <v>1.685586288851024</v>
      </c>
      <c r="R346" s="1572">
        <f t="shared" si="105"/>
        <v>0</v>
      </c>
      <c r="S346" s="1572">
        <f t="shared" si="106"/>
        <v>0</v>
      </c>
      <c r="T346" s="1572">
        <f t="shared" si="107"/>
        <v>0</v>
      </c>
      <c r="U346" s="1572">
        <f t="shared" si="108"/>
        <v>2.4700000000000002</v>
      </c>
      <c r="V346" s="1653">
        <f t="shared" si="102"/>
        <v>4.1555862888510235</v>
      </c>
      <c r="W346" s="912"/>
    </row>
    <row r="347" spans="3:23">
      <c r="C347" s="1639" t="s">
        <v>1120</v>
      </c>
      <c r="D347" s="1570"/>
      <c r="E347" s="1570"/>
      <c r="F347" s="1570">
        <f>VLOOKUP($C347,'[1]Form 1.4'!$C$73:$V$129,2,0)</f>
        <v>500</v>
      </c>
      <c r="G347" s="1570">
        <f>VLOOKUP($C347,'[1]Form 1.4'!$C$73:$V$129,3,0)</f>
        <v>100</v>
      </c>
      <c r="H347" s="1572">
        <f>VLOOKUP($C347,'[1]Form 1.4'!$C$73:$V$129,4,0)</f>
        <v>500</v>
      </c>
      <c r="I347" s="1572">
        <f>VLOOKUP($C347,'[1]Form 1.4'!$C$73:$V$129,7,0)</f>
        <v>1664.2018408582196</v>
      </c>
      <c r="J347" s="1572">
        <f>VLOOKUP($C347,'[1]Form 1.4'!$C$73:$V$129,8,0)</f>
        <v>1664.2018408582196</v>
      </c>
      <c r="K347" s="1572">
        <f>VLOOKUP($C347,'[1]Form 1.4'!$C$73:$V$129,9,0)</f>
        <v>263.69798347875769</v>
      </c>
      <c r="L347" s="1572">
        <f>VLOOKUP($C347,'[1]Form 1.4'!$C$73:$V$129,10,0)</f>
        <v>411.0578546919802</v>
      </c>
      <c r="M347" s="1572">
        <f>VLOOKUP($C347,'[1]Form 1.4'!$C$73:$V$129,11,0)</f>
        <v>14.649887971042087</v>
      </c>
      <c r="N347" s="1572">
        <f>VLOOKUP($C347,'[1]Form 1.4'!$C$73:$V$129,12,0)</f>
        <v>0</v>
      </c>
      <c r="O347" s="1572">
        <f>VLOOKUP($C347,'[1]Form 1.4'!$C$73:$V$129,13,0)</f>
        <v>0</v>
      </c>
      <c r="P347" s="1573">
        <f t="shared" si="117"/>
        <v>689.40572614177995</v>
      </c>
      <c r="Q347" s="1572">
        <f t="shared" si="104"/>
        <v>1.5845312569944647</v>
      </c>
      <c r="R347" s="1572">
        <f t="shared" si="105"/>
        <v>8.8029514277470217E-2</v>
      </c>
      <c r="S347" s="1572">
        <f t="shared" si="106"/>
        <v>0</v>
      </c>
      <c r="T347" s="1572">
        <f t="shared" si="107"/>
        <v>0</v>
      </c>
      <c r="U347" s="1572">
        <f t="shared" si="108"/>
        <v>2.4699999999999998</v>
      </c>
      <c r="V347" s="1653">
        <f t="shared" si="102"/>
        <v>4.1425607712719348</v>
      </c>
      <c r="W347" s="912"/>
    </row>
    <row r="348" spans="3:23">
      <c r="C348" s="1639" t="s">
        <v>1121</v>
      </c>
      <c r="D348" s="1570"/>
      <c r="E348" s="1570"/>
      <c r="F348" s="1570">
        <f>VLOOKUP($C348,'[1]Form 1.4'!$C$73:$V$129,2,0)</f>
        <v>125</v>
      </c>
      <c r="G348" s="1570">
        <f>VLOOKUP($C348,'[1]Form 1.4'!$C$73:$V$129,3,0)</f>
        <v>100</v>
      </c>
      <c r="H348" s="1572">
        <f>VLOOKUP($C348,'[1]Form 1.4'!$C$73:$V$129,4,0)</f>
        <v>125</v>
      </c>
      <c r="I348" s="1572">
        <f>VLOOKUP($C348,'[1]Form 1.4'!$C$73:$V$129,7,0)</f>
        <v>416.0504602145549</v>
      </c>
      <c r="J348" s="1572">
        <f>VLOOKUP($C348,'[1]Form 1.4'!$C$73:$V$129,8,0)</f>
        <v>125.65997856647184</v>
      </c>
      <c r="K348" s="1572">
        <f>VLOOKUP($C348,'[1]Form 1.4'!$C$73:$V$129,9,0)</f>
        <v>73.249439855210468</v>
      </c>
      <c r="L348" s="1572">
        <f>VLOOKUP($C348,'[1]Form 1.4'!$C$73:$V$129,10,0)</f>
        <v>55.290390569247606</v>
      </c>
      <c r="M348" s="1572">
        <f>VLOOKUP($C348,'[1]Form 1.4'!$C$73:$V$129,11,0)</f>
        <v>0</v>
      </c>
      <c r="N348" s="1572">
        <f>VLOOKUP($C348,'[1]Form 1.4'!$C$73:$V$129,12,0)</f>
        <v>0</v>
      </c>
      <c r="O348" s="1572">
        <f>VLOOKUP($C348,'[1]Form 1.4'!$C$73:$V$129,13,0)</f>
        <v>0</v>
      </c>
      <c r="P348" s="1573">
        <f t="shared" si="117"/>
        <v>128.53983042445807</v>
      </c>
      <c r="Q348" s="1572">
        <f t="shared" si="104"/>
        <v>5.8291781274228738</v>
      </c>
      <c r="R348" s="1572">
        <f t="shared" si="105"/>
        <v>0</v>
      </c>
      <c r="S348" s="1572">
        <f t="shared" si="106"/>
        <v>0</v>
      </c>
      <c r="T348" s="1572">
        <f t="shared" si="107"/>
        <v>0</v>
      </c>
      <c r="U348" s="1572">
        <f t="shared" si="108"/>
        <v>4.4000000000000004</v>
      </c>
      <c r="V348" s="1653">
        <f t="shared" si="102"/>
        <v>10.229178127422873</v>
      </c>
      <c r="W348" s="912"/>
    </row>
    <row r="349" spans="3:23">
      <c r="C349" s="1451" t="s">
        <v>968</v>
      </c>
      <c r="D349" s="1570"/>
      <c r="E349" s="1570"/>
      <c r="F349" s="1570">
        <f>VLOOKUP($C349,'[1]Form 1.4'!$C$73:$V$129,2,0)</f>
        <v>1040</v>
      </c>
      <c r="G349" s="1570">
        <f>VLOOKUP($C349,'[1]Form 1.4'!$C$73:$V$129,3,0)</f>
        <v>100</v>
      </c>
      <c r="H349" s="1572">
        <f>VLOOKUP($C349,'[1]Form 1.4'!$C$73:$V$129,4,0)</f>
        <v>1040</v>
      </c>
      <c r="I349" s="1572">
        <f>VLOOKUP($C349,'[1]Form 1.4'!$C$73:$V$129,7,0)</f>
        <v>2044.6042235908983</v>
      </c>
      <c r="J349" s="1572">
        <f>VLOOKUP($C349,'[1]Form 1.4'!$C$73:$V$129,8,0)</f>
        <v>2044.6042235908983</v>
      </c>
      <c r="K349" s="1572">
        <f>VLOOKUP($C349,'[1]Form 1.4'!$C$73:$V$129,9,0)</f>
        <v>291.81983680132146</v>
      </c>
      <c r="L349" s="1572">
        <f>VLOOKUP($C349,'[1]Form 1.4'!$C$73:$V$129,10,0)</f>
        <v>674.71939378499633</v>
      </c>
      <c r="M349" s="1572">
        <f>VLOOKUP($C349,'[1]Form 1.4'!$C$73:$V$129,11,0)</f>
        <v>0</v>
      </c>
      <c r="N349" s="1572">
        <f>VLOOKUP($C349,'[1]Form 1.4'!$C$73:$V$129,12,0)</f>
        <v>0</v>
      </c>
      <c r="O349" s="1572">
        <f>VLOOKUP($C349,'[1]Form 1.4'!$C$73:$V$129,13,0)</f>
        <v>0</v>
      </c>
      <c r="P349" s="1573">
        <f t="shared" si="117"/>
        <v>966.53923058631779</v>
      </c>
      <c r="Q349" s="1572">
        <f t="shared" si="104"/>
        <v>1.4272680914685973</v>
      </c>
      <c r="R349" s="1572">
        <f t="shared" si="105"/>
        <v>0</v>
      </c>
      <c r="S349" s="1572">
        <f t="shared" si="106"/>
        <v>0</v>
      </c>
      <c r="T349" s="1572">
        <f t="shared" si="107"/>
        <v>0</v>
      </c>
      <c r="U349" s="1572">
        <f t="shared" si="108"/>
        <v>3.3</v>
      </c>
      <c r="V349" s="1653">
        <f t="shared" si="102"/>
        <v>4.7272680914685967</v>
      </c>
      <c r="W349" s="912"/>
    </row>
    <row r="350" spans="3:23" ht="14.25">
      <c r="C350" s="1603" t="s">
        <v>819</v>
      </c>
      <c r="D350" s="1575"/>
      <c r="E350" s="1575"/>
      <c r="F350" s="1577">
        <f>SUM(F345:F349)</f>
        <v>3610</v>
      </c>
      <c r="G350" s="1577">
        <f t="shared" ref="G350:P350" si="118">SUM(G345:G349)</f>
        <v>417.46590909090912</v>
      </c>
      <c r="H350" s="1577">
        <f t="shared" si="118"/>
        <v>2520.5500000000002</v>
      </c>
      <c r="I350" s="1577">
        <f t="shared" si="118"/>
        <v>6881.9016506902681</v>
      </c>
      <c r="J350" s="1577">
        <f t="shared" si="118"/>
        <v>6591.5111690421854</v>
      </c>
      <c r="K350" s="1577">
        <f t="shared" si="118"/>
        <v>1059.5474600465664</v>
      </c>
      <c r="L350" s="1577">
        <f t="shared" si="118"/>
        <v>1829.2713666441191</v>
      </c>
      <c r="M350" s="1577">
        <f t="shared" si="118"/>
        <v>17.651833734465392</v>
      </c>
      <c r="N350" s="1577">
        <f t="shared" si="118"/>
        <v>0</v>
      </c>
      <c r="O350" s="1577">
        <f t="shared" si="118"/>
        <v>22.414804241407744</v>
      </c>
      <c r="P350" s="1577">
        <f t="shared" si="118"/>
        <v>2928.8854646665586</v>
      </c>
      <c r="Q350" s="1577">
        <f t="shared" si="104"/>
        <v>1.60744241020611</v>
      </c>
      <c r="R350" s="1577">
        <f t="shared" si="105"/>
        <v>2.6779646247691007E-2</v>
      </c>
      <c r="S350" s="1577">
        <f t="shared" si="106"/>
        <v>0</v>
      </c>
      <c r="T350" s="1577">
        <f t="shared" si="107"/>
        <v>3.4005562103393727E-2</v>
      </c>
      <c r="U350" s="1577">
        <f t="shared" si="108"/>
        <v>2.7751926982017556</v>
      </c>
      <c r="V350" s="1620">
        <f t="shared" si="102"/>
        <v>4.4434203167589503</v>
      </c>
      <c r="W350" s="912"/>
    </row>
    <row r="351" spans="3:23">
      <c r="C351" s="1451" t="s">
        <v>820</v>
      </c>
      <c r="D351" s="1570"/>
      <c r="E351" s="1570"/>
      <c r="F351" s="1581">
        <f>VLOOKUP($C351,'[1]Form 1.4'!$C$73:$V$129,2,0)</f>
        <v>150.36000000000001</v>
      </c>
      <c r="G351" s="1571">
        <f>VLOOKUP($C351,'[1]Form 1.4'!$C$73:$V$129,3,0)</f>
        <v>1</v>
      </c>
      <c r="H351" s="1572">
        <f>VLOOKUP($C351,'[1]Form 1.4'!$C$73:$V$129,4,0)</f>
        <v>150.36000000000001</v>
      </c>
      <c r="I351" s="1572">
        <f>VLOOKUP($C351,'[1]Form 1.4'!$C$73:$V$129,7,0)</f>
        <v>92.056337568402711</v>
      </c>
      <c r="J351" s="1572">
        <f>VLOOKUP($C351,'[1]Form 1.4'!$C$73:$V$129,8,0)</f>
        <v>92.056337568402711</v>
      </c>
      <c r="K351" s="1572">
        <f>VLOOKUP($C351,'[1]Form 1.4'!$C$73:$V$129,9,0)</f>
        <v>4.9644309007831557</v>
      </c>
      <c r="L351" s="1572">
        <f>VLOOKUP($C351,'[1]Form 1.4'!$C$73:$V$129,10,0)</f>
        <v>48.600528550102354</v>
      </c>
      <c r="M351" s="1572">
        <f>VLOOKUP($C351,'[1]Form 1.4'!$C$73:$V$129,11,0)</f>
        <v>0</v>
      </c>
      <c r="N351" s="1572">
        <f>VLOOKUP($C351,'[1]Form 1.4'!$C$73:$V$129,12,0)</f>
        <v>0</v>
      </c>
      <c r="O351" s="1572">
        <f>VLOOKUP($C351,'[1]Form 1.4'!$C$73:$V$129,13,0)</f>
        <v>0</v>
      </c>
      <c r="P351" s="1573">
        <f t="shared" ref="P351:P356" si="119">SUM(K351:O351)</f>
        <v>53.56495945088551</v>
      </c>
      <c r="Q351" s="1572">
        <f t="shared" si="104"/>
        <v>0.53928181719094814</v>
      </c>
      <c r="R351" s="1572">
        <f t="shared" si="105"/>
        <v>0</v>
      </c>
      <c r="S351" s="1572">
        <f t="shared" si="106"/>
        <v>0</v>
      </c>
      <c r="T351" s="1572">
        <f t="shared" si="107"/>
        <v>0</v>
      </c>
      <c r="U351" s="1572">
        <f t="shared" si="108"/>
        <v>5.2794332072997801</v>
      </c>
      <c r="V351" s="1653">
        <f t="shared" si="102"/>
        <v>5.8187150244907286</v>
      </c>
      <c r="W351" s="912"/>
    </row>
    <row r="352" spans="3:23">
      <c r="C352" s="1451" t="s">
        <v>822</v>
      </c>
      <c r="D352" s="1570"/>
      <c r="E352" s="1570"/>
      <c r="F352" s="1581">
        <f>VLOOKUP($C352,'[1]Form 1.4'!$C$73:$V$129,2,0)</f>
        <v>2466.4260000000004</v>
      </c>
      <c r="G352" s="1571">
        <f>VLOOKUP($C352,'[1]Form 1.4'!$C$73:$V$129,3,0)</f>
        <v>1</v>
      </c>
      <c r="H352" s="1572">
        <f>VLOOKUP($C352,'[1]Form 1.4'!$C$73:$V$129,4,0)</f>
        <v>2466.4260000000004</v>
      </c>
      <c r="I352" s="1572">
        <f>VLOOKUP($C352,'[1]Form 1.4'!$C$73:$V$129,7,0)</f>
        <v>1858.9578584229985</v>
      </c>
      <c r="J352" s="1572">
        <f>VLOOKUP($C352,'[1]Form 1.4'!$C$73:$V$129,8,0)</f>
        <v>1858.9578584229985</v>
      </c>
      <c r="K352" s="1572">
        <f>VLOOKUP($C352,'[1]Form 1.4'!$C$73:$V$129,9,0)</f>
        <v>0</v>
      </c>
      <c r="L352" s="1572">
        <f>VLOOKUP($C352,'[1]Form 1.4'!$C$73:$V$129,10,0)</f>
        <v>797.49292126346631</v>
      </c>
      <c r="M352" s="1572">
        <f>VLOOKUP($C352,'[1]Form 1.4'!$C$73:$V$129,11,0)</f>
        <v>0</v>
      </c>
      <c r="N352" s="1572">
        <f>VLOOKUP($C352,'[1]Form 1.4'!$C$73:$V$129,12,0)</f>
        <v>0</v>
      </c>
      <c r="O352" s="1572">
        <f>VLOOKUP($C352,'[1]Form 1.4'!$C$73:$V$129,13,0)</f>
        <v>0</v>
      </c>
      <c r="P352" s="1573">
        <f t="shared" si="119"/>
        <v>797.49292126346631</v>
      </c>
      <c r="Q352" s="1572">
        <f t="shared" si="104"/>
        <v>0</v>
      </c>
      <c r="R352" s="1572">
        <f t="shared" si="105"/>
        <v>0</v>
      </c>
      <c r="S352" s="1572">
        <f t="shared" si="106"/>
        <v>0</v>
      </c>
      <c r="T352" s="1572">
        <f t="shared" si="107"/>
        <v>0</v>
      </c>
      <c r="U352" s="1572">
        <f t="shared" si="108"/>
        <v>4.29</v>
      </c>
      <c r="V352" s="1653">
        <f t="shared" si="102"/>
        <v>4.29</v>
      </c>
      <c r="W352" s="912"/>
    </row>
    <row r="353" spans="3:23">
      <c r="C353" s="1451" t="s">
        <v>1114</v>
      </c>
      <c r="D353" s="1570"/>
      <c r="E353" s="1570"/>
      <c r="F353" s="1581">
        <f>VLOOKUP($C353,'[1]Form 1.4'!$C$73:$V$129,2,0)</f>
        <v>3636.45</v>
      </c>
      <c r="G353" s="1571">
        <f>VLOOKUP($C353,'[1]Form 1.4'!$C$73:$V$129,3,0)</f>
        <v>1</v>
      </c>
      <c r="H353" s="1572">
        <f>VLOOKUP($C353,'[1]Form 1.4'!$C$73:$V$129,4,0)</f>
        <v>3636.45</v>
      </c>
      <c r="I353" s="1572">
        <f>VLOOKUP($C353,'[1]Form 1.4'!$C$73:$V$129,7,0)</f>
        <v>2749.6487335847814</v>
      </c>
      <c r="J353" s="1572">
        <f>VLOOKUP($C353,'[1]Form 1.4'!$C$73:$V$129,8,0)</f>
        <v>2749.6487335847814</v>
      </c>
      <c r="K353" s="1572">
        <f>VLOOKUP($C353,'[1]Form 1.4'!$C$73:$V$129,9,0)</f>
        <v>0</v>
      </c>
      <c r="L353" s="1572">
        <f>VLOOKUP($C353,'[1]Form 1.4'!$C$73:$V$129,10,0)</f>
        <v>1298.0261568656099</v>
      </c>
      <c r="M353" s="1572">
        <f>VLOOKUP($C353,'[1]Form 1.4'!$C$73:$V$129,11,0)</f>
        <v>0</v>
      </c>
      <c r="N353" s="1572">
        <f>VLOOKUP($C353,'[1]Form 1.4'!$C$73:$V$129,12,0)</f>
        <v>0</v>
      </c>
      <c r="O353" s="1572">
        <f>VLOOKUP($C353,'[1]Form 1.4'!$C$73:$V$129,13,0)</f>
        <v>0</v>
      </c>
      <c r="P353" s="1573">
        <f t="shared" si="119"/>
        <v>1298.0261568656099</v>
      </c>
      <c r="Q353" s="1572">
        <f t="shared" si="104"/>
        <v>0</v>
      </c>
      <c r="R353" s="1572">
        <f t="shared" si="105"/>
        <v>0</v>
      </c>
      <c r="S353" s="1572">
        <f t="shared" si="106"/>
        <v>0</v>
      </c>
      <c r="T353" s="1572">
        <f t="shared" si="107"/>
        <v>0</v>
      </c>
      <c r="U353" s="1572">
        <f t="shared" si="108"/>
        <v>4.7206981059480384</v>
      </c>
      <c r="V353" s="1653">
        <f t="shared" si="102"/>
        <v>4.7206981059480384</v>
      </c>
      <c r="W353" s="912"/>
    </row>
    <row r="354" spans="3:23">
      <c r="C354" s="1451" t="s">
        <v>1115</v>
      </c>
      <c r="D354" s="1570"/>
      <c r="E354" s="1570"/>
      <c r="F354" s="1581">
        <f>VLOOKUP($C354,'[1]Form 1.4'!$C$73:$V$129,2,0)</f>
        <v>39.200000000000003</v>
      </c>
      <c r="G354" s="1571">
        <f>VLOOKUP($C354,'[1]Form 1.4'!$C$73:$V$129,3,0)</f>
        <v>1</v>
      </c>
      <c r="H354" s="1572">
        <f>VLOOKUP($C354,'[1]Form 1.4'!$C$73:$V$129,4,0)</f>
        <v>39.200000000000003</v>
      </c>
      <c r="I354" s="1572">
        <f>VLOOKUP($C354,'[1]Form 1.4'!$C$73:$V$129,7,0)</f>
        <v>17.558902334712613</v>
      </c>
      <c r="J354" s="1572">
        <f>VLOOKUP($C354,'[1]Form 1.4'!$C$73:$V$129,8,0)</f>
        <v>17.558902334712613</v>
      </c>
      <c r="K354" s="1572">
        <f>VLOOKUP($C354,'[1]Form 1.4'!$C$73:$V$129,9,0)</f>
        <v>0</v>
      </c>
      <c r="L354" s="1572">
        <f>VLOOKUP($C354,'[1]Form 1.4'!$C$73:$V$129,10,0)</f>
        <v>18.928496716820195</v>
      </c>
      <c r="M354" s="1572">
        <f>VLOOKUP($C354,'[1]Form 1.4'!$C$73:$V$129,11,0)</f>
        <v>0</v>
      </c>
      <c r="N354" s="1572">
        <f>VLOOKUP($C354,'[1]Form 1.4'!$C$73:$V$129,12,0)</f>
        <v>0</v>
      </c>
      <c r="O354" s="1572">
        <f>VLOOKUP($C354,'[1]Form 1.4'!$C$73:$V$129,13,0)</f>
        <v>0</v>
      </c>
      <c r="P354" s="1573">
        <f t="shared" si="119"/>
        <v>18.928496716820195</v>
      </c>
      <c r="Q354" s="1572">
        <f t="shared" si="104"/>
        <v>0</v>
      </c>
      <c r="R354" s="1572">
        <f t="shared" si="105"/>
        <v>0</v>
      </c>
      <c r="S354" s="1572">
        <f t="shared" si="106"/>
        <v>0</v>
      </c>
      <c r="T354" s="1572">
        <f t="shared" si="107"/>
        <v>0</v>
      </c>
      <c r="U354" s="1572">
        <f t="shared" si="108"/>
        <v>10.779999999999998</v>
      </c>
      <c r="V354" s="1653">
        <f t="shared" si="102"/>
        <v>10.779999999999998</v>
      </c>
    </row>
    <row r="355" spans="3:23" ht="12.75" customHeight="1">
      <c r="C355" s="1451" t="s">
        <v>1116</v>
      </c>
      <c r="D355" s="1570"/>
      <c r="E355" s="1570"/>
      <c r="F355" s="1581">
        <f>VLOOKUP($C355,'[1]Form 1.4'!$C$73:$V$129,2,0)</f>
        <v>1250</v>
      </c>
      <c r="G355" s="1571">
        <f>VLOOKUP($C355,'[1]Form 1.4'!$C$73:$V$129,3,0)</f>
        <v>1</v>
      </c>
      <c r="H355" s="1572">
        <f>VLOOKUP($C355,'[1]Form 1.4'!$C$73:$V$129,4,0)</f>
        <v>1250</v>
      </c>
      <c r="I355" s="1572">
        <f>VLOOKUP($C355,'[1]Form 1.4'!$C$73:$V$129,7,0)</f>
        <v>1086.7091265821246</v>
      </c>
      <c r="J355" s="1572">
        <f>VLOOKUP($C355,'[1]Form 1.4'!$C$73:$V$129,8,0)</f>
        <v>1086.7091265821246</v>
      </c>
      <c r="K355" s="1572">
        <f>VLOOKUP($C355,'[1]Form 1.4'!$C$73:$V$129,9,0)</f>
        <v>0</v>
      </c>
      <c r="L355" s="1572">
        <f>VLOOKUP($C355,'[1]Form 1.4'!$C$73:$V$129,10,0)</f>
        <v>487.93239783537393</v>
      </c>
      <c r="M355" s="1572">
        <f>VLOOKUP($C355,'[1]Form 1.4'!$C$73:$V$129,11,0)</f>
        <v>0</v>
      </c>
      <c r="N355" s="1572">
        <f>VLOOKUP($C355,'[1]Form 1.4'!$C$73:$V$129,12,0)</f>
        <v>0</v>
      </c>
      <c r="O355" s="1572">
        <f>VLOOKUP($C355,'[1]Form 1.4'!$C$73:$V$129,13,0)</f>
        <v>0</v>
      </c>
      <c r="P355" s="1573">
        <f t="shared" si="119"/>
        <v>487.93239783537393</v>
      </c>
      <c r="Q355" s="1572">
        <f t="shared" si="104"/>
        <v>0</v>
      </c>
      <c r="R355" s="1572">
        <f t="shared" si="105"/>
        <v>0</v>
      </c>
      <c r="S355" s="1572">
        <f t="shared" si="106"/>
        <v>0</v>
      </c>
      <c r="T355" s="1572">
        <f t="shared" si="107"/>
        <v>0</v>
      </c>
      <c r="U355" s="1572">
        <f t="shared" si="108"/>
        <v>4.49</v>
      </c>
      <c r="V355" s="1653">
        <f t="shared" si="102"/>
        <v>4.49</v>
      </c>
    </row>
    <row r="356" spans="3:23">
      <c r="C356" s="1451" t="s">
        <v>1130</v>
      </c>
      <c r="D356" s="1570"/>
      <c r="E356" s="1570"/>
      <c r="F356" s="1581">
        <f>VLOOKUP($C356,'[1]Form 1.4'!$C$73:$V$132,2,0)</f>
        <v>3000</v>
      </c>
      <c r="G356" s="1571">
        <f>VLOOKUP($C356,'[1]Form 1.4'!$C$73:$V$132,3,0)</f>
        <v>0</v>
      </c>
      <c r="H356" s="1572">
        <f>VLOOKUP($C356,'[1]Form 1.4'!$C$73:$V$132,4,0)</f>
        <v>3000</v>
      </c>
      <c r="I356" s="1572">
        <f>VLOOKUP($C356,'[1]Form 1.4'!$C$73:$V$132,7,0)</f>
        <v>1302.7455008324148</v>
      </c>
      <c r="J356" s="1572">
        <f>VLOOKUP($C356,'[1]Form 1.4'!$C$73:$V$132,8,0)</f>
        <v>1302.7455008324148</v>
      </c>
      <c r="K356" s="1572">
        <f>VLOOKUP($C356,'[1]Form 1.4'!$C$73:$V$132,9,0)</f>
        <v>0</v>
      </c>
      <c r="L356" s="1572">
        <f>VLOOKUP($C356,'[1]Form 1.4'!$C$73:$V$132,10,0)</f>
        <v>324.38362970727133</v>
      </c>
      <c r="M356" s="1572">
        <f>VLOOKUP($C356,'[1]Form 1.4'!$C$73:$V$132,11,0)</f>
        <v>0</v>
      </c>
      <c r="N356" s="1572">
        <f>VLOOKUP($C356,'[1]Form 1.4'!$C$73:$V$132,12,0)</f>
        <v>0</v>
      </c>
      <c r="O356" s="1572">
        <f>VLOOKUP($C356,'[1]Form 1.4'!$C$73:$V$132,13,0)</f>
        <v>0</v>
      </c>
      <c r="P356" s="1573">
        <f t="shared" si="119"/>
        <v>324.38362970727133</v>
      </c>
      <c r="Q356" s="1572">
        <f t="shared" si="104"/>
        <v>0</v>
      </c>
      <c r="R356" s="1572">
        <f t="shared" si="105"/>
        <v>0</v>
      </c>
      <c r="S356" s="1572">
        <f t="shared" si="106"/>
        <v>0</v>
      </c>
      <c r="T356" s="1572">
        <f t="shared" si="107"/>
        <v>0</v>
      </c>
      <c r="U356" s="1572">
        <f t="shared" si="108"/>
        <v>2.4900000000000002</v>
      </c>
      <c r="V356" s="1653">
        <f t="shared" si="102"/>
        <v>2.4900000000000002</v>
      </c>
    </row>
    <row r="357" spans="3:23" ht="14.25">
      <c r="C357" s="1603" t="s">
        <v>825</v>
      </c>
      <c r="D357" s="1575"/>
      <c r="E357" s="1575"/>
      <c r="F357" s="1577">
        <f>SUM(F351:F356)</f>
        <v>10542.436000000002</v>
      </c>
      <c r="G357" s="1575"/>
      <c r="H357" s="1577">
        <f>SUM(H351:H356)</f>
        <v>10542.436000000002</v>
      </c>
      <c r="I357" s="1577">
        <f t="shared" ref="I357:P357" si="120">SUM(I351:I356)</f>
        <v>7107.6764593254356</v>
      </c>
      <c r="J357" s="1577">
        <f t="shared" si="120"/>
        <v>7107.6764593254356</v>
      </c>
      <c r="K357" s="1577">
        <f t="shared" si="120"/>
        <v>4.9644309007831557</v>
      </c>
      <c r="L357" s="1577">
        <f t="shared" si="120"/>
        <v>2975.3641309386439</v>
      </c>
      <c r="M357" s="1577">
        <f t="shared" si="120"/>
        <v>0</v>
      </c>
      <c r="N357" s="1577">
        <f t="shared" si="120"/>
        <v>0</v>
      </c>
      <c r="O357" s="1577">
        <f t="shared" si="120"/>
        <v>0</v>
      </c>
      <c r="P357" s="1577">
        <f t="shared" si="120"/>
        <v>2980.328561839427</v>
      </c>
      <c r="Q357" s="1577">
        <f t="shared" si="104"/>
        <v>6.9846045035852865E-3</v>
      </c>
      <c r="R357" s="1577">
        <f t="shared" si="105"/>
        <v>0</v>
      </c>
      <c r="S357" s="1577">
        <f t="shared" si="106"/>
        <v>0</v>
      </c>
      <c r="T357" s="1577">
        <f t="shared" si="107"/>
        <v>0</v>
      </c>
      <c r="U357" s="1577">
        <f t="shared" si="108"/>
        <v>4.1861277000515376</v>
      </c>
      <c r="V357" s="1620">
        <f t="shared" si="102"/>
        <v>4.1931123045551217</v>
      </c>
    </row>
    <row r="358" spans="3:23">
      <c r="C358" s="1451" t="s">
        <v>1127</v>
      </c>
      <c r="D358" s="1570"/>
      <c r="E358" s="1570"/>
      <c r="F358" s="1570"/>
      <c r="G358" s="1571"/>
      <c r="H358" s="1572"/>
      <c r="I358" s="1572">
        <f>VLOOKUP($C358,'[1]Form 1.4'!$C$73:$V$132,7,0)</f>
        <v>165.52816660244889</v>
      </c>
      <c r="J358" s="1572">
        <f>VLOOKUP($C358,'[1]Form 1.4'!$C$73:$V$132,8,0)</f>
        <v>165.52816660244889</v>
      </c>
      <c r="K358" s="1572">
        <f>VLOOKUP($C358,'[1]Form 1.4'!$C$73:$V$132,9,0)</f>
        <v>0</v>
      </c>
      <c r="L358" s="1572">
        <f>VLOOKUP($C358,'[1]Form 1.4'!$C$73:$V$132,10,0)</f>
        <v>80.694981218693826</v>
      </c>
      <c r="M358" s="1572">
        <f>VLOOKUP($C358,'[1]Form 1.4'!$C$73:$V$132,11,0)</f>
        <v>0</v>
      </c>
      <c r="N358" s="1572">
        <f>VLOOKUP($C358,'[1]Form 1.4'!$C$73:$V$132,12,0)</f>
        <v>0</v>
      </c>
      <c r="O358" s="1572">
        <f>VLOOKUP($C358,'[1]Form 1.4'!$C$73:$V$132,13,0)</f>
        <v>0</v>
      </c>
      <c r="P358" s="1573">
        <f t="shared" ref="P358" si="121">SUM(K358:O358)</f>
        <v>80.694981218693826</v>
      </c>
      <c r="Q358" s="1572">
        <f t="shared" ref="Q358" si="122">IFERROR(K358/J358*10,0)</f>
        <v>0</v>
      </c>
      <c r="R358" s="1572">
        <f t="shared" ref="R358" si="123">IFERROR(M358/J358*10,0)</f>
        <v>0</v>
      </c>
      <c r="S358" s="1572">
        <f t="shared" ref="S358" si="124">IFERROR(N358/J358*10,0)</f>
        <v>0</v>
      </c>
      <c r="T358" s="1572">
        <f t="shared" ref="T358" si="125">IFERROR(O358/J358*10,0)</f>
        <v>0</v>
      </c>
      <c r="U358" s="1572">
        <f t="shared" ref="U358" si="126">IFERROR(L358/J358*10,0)</f>
        <v>4.8749999999999991</v>
      </c>
      <c r="V358" s="1653">
        <f t="shared" ref="V358" si="127">IF(J358=0,0,P358/J358*10)</f>
        <v>4.8749999999999991</v>
      </c>
    </row>
    <row r="359" spans="3:23" ht="14.25">
      <c r="C359" s="1603" t="s">
        <v>827</v>
      </c>
      <c r="D359" s="1575"/>
      <c r="E359" s="1575"/>
      <c r="F359" s="1575">
        <f>F358</f>
        <v>0</v>
      </c>
      <c r="G359" s="1575"/>
      <c r="H359" s="1577">
        <f>H358</f>
        <v>0</v>
      </c>
      <c r="I359" s="1577">
        <f t="shared" ref="I359:P359" si="128">I358</f>
        <v>165.52816660244889</v>
      </c>
      <c r="J359" s="1577">
        <f t="shared" si="128"/>
        <v>165.52816660244889</v>
      </c>
      <c r="K359" s="1577">
        <f t="shared" si="128"/>
        <v>0</v>
      </c>
      <c r="L359" s="1577">
        <f t="shared" si="128"/>
        <v>80.694981218693826</v>
      </c>
      <c r="M359" s="1577">
        <f t="shared" si="128"/>
        <v>0</v>
      </c>
      <c r="N359" s="1577">
        <f t="shared" si="128"/>
        <v>0</v>
      </c>
      <c r="O359" s="1577">
        <f t="shared" si="128"/>
        <v>0</v>
      </c>
      <c r="P359" s="1577">
        <f t="shared" si="128"/>
        <v>80.694981218693826</v>
      </c>
      <c r="Q359" s="1577">
        <f t="shared" si="104"/>
        <v>0</v>
      </c>
      <c r="R359" s="1577"/>
      <c r="S359" s="1577"/>
      <c r="T359" s="1577"/>
      <c r="U359" s="1577"/>
      <c r="V359" s="1620"/>
      <c r="W359" s="1579">
        <f t="shared" ref="W359" si="129">IFERROR(R359/N359*10,0)</f>
        <v>0</v>
      </c>
    </row>
    <row r="360" spans="3:23" ht="15" thickBot="1">
      <c r="C360" s="1611" t="s">
        <v>831</v>
      </c>
      <c r="D360" s="1654"/>
      <c r="E360" s="1654"/>
      <c r="F360" s="1654">
        <f>F359+F357+F350+F344+F325+F321</f>
        <v>40762.86</v>
      </c>
      <c r="G360" s="1654"/>
      <c r="H360" s="1613">
        <f>H359+H357+H350+H344+H325+H321</f>
        <v>23527.58</v>
      </c>
      <c r="I360" s="1613">
        <f t="shared" ref="I360:P360" si="130">I359+I357+I350+I344+I325+I321</f>
        <v>35108.315137082805</v>
      </c>
      <c r="J360" s="1613">
        <f t="shared" si="130"/>
        <v>32945.650079835985</v>
      </c>
      <c r="K360" s="1613">
        <f t="shared" si="130"/>
        <v>4510.8681396428965</v>
      </c>
      <c r="L360" s="1613">
        <f t="shared" si="130"/>
        <v>10913.281616054084</v>
      </c>
      <c r="M360" s="1613">
        <f t="shared" si="130"/>
        <v>17.651833734465392</v>
      </c>
      <c r="N360" s="1613">
        <f t="shared" si="130"/>
        <v>0</v>
      </c>
      <c r="O360" s="1613">
        <f t="shared" si="130"/>
        <v>22.414804241407744</v>
      </c>
      <c r="P360" s="1613">
        <f t="shared" si="130"/>
        <v>15464.216393672854</v>
      </c>
      <c r="Q360" s="1613">
        <f t="shared" si="104"/>
        <v>1.3691847417525151</v>
      </c>
      <c r="R360" s="1613">
        <f t="shared" si="105"/>
        <v>5.3578647535229545E-3</v>
      </c>
      <c r="S360" s="1613">
        <f t="shared" si="106"/>
        <v>0</v>
      </c>
      <c r="T360" s="1613">
        <f t="shared" si="107"/>
        <v>6.803570179095198E-3</v>
      </c>
      <c r="U360" s="1613">
        <f t="shared" si="108"/>
        <v>3.3125106317854796</v>
      </c>
      <c r="V360" s="1614">
        <f t="shared" si="102"/>
        <v>4.6938568084706134</v>
      </c>
    </row>
  </sheetData>
  <mergeCells count="14">
    <mergeCell ref="W233:W234"/>
    <mergeCell ref="K298:P298"/>
    <mergeCell ref="Q298:U298"/>
    <mergeCell ref="W9:W10"/>
    <mergeCell ref="I9:J9"/>
    <mergeCell ref="K9:P9"/>
    <mergeCell ref="Q9:U9"/>
    <mergeCell ref="W190:W191"/>
    <mergeCell ref="K233:P233"/>
    <mergeCell ref="I233:J233"/>
    <mergeCell ref="C227:I228"/>
    <mergeCell ref="I298:J298"/>
    <mergeCell ref="Q233:U233"/>
    <mergeCell ref="W298:W299"/>
  </mergeCells>
  <phoneticPr fontId="11" type="noConversion"/>
  <dataValidations count="3">
    <dataValidation type="decimal" allowBlank="1" showInputMessage="1" showErrorMessage="1" sqref="I114:M179 I181:M193 F296:V297 I77:M82 I50:M58 I84:M88 I90:M101 I42:M42 I63:M65 I67:M75 I108:M112 I60:J61 K60:L60 M60:M61 I45:M48 I103:M106 I29:M39 I13:M27 I195:M223 V301:V64333 J227:V228 Q11:V226 I1:V7 F1:H4 F6:H7 F8:V8 I225:M225 F301:O301 Q301:U301 F361:U64333 V236:V293 F229:V232">
      <formula1>0</formula1>
      <formula2>9.99999999999999E+29</formula2>
    </dataValidation>
    <dataValidation type="decimal" allowBlank="1" showInputMessage="1" showErrorMessage="1" sqref="I194:P194 I28:P28 I59:P59 I89:P89 I49:P49 I40:P41 I62:P62 I226:P226 I180:P180 I224:P224 I113:P113 I76:P76 I107:P107 I83:P83 I66:P66 I102:P102">
      <formula1>-999999999999999000000</formula1>
      <formula2>9.99999999999999E+30</formula2>
    </dataValidation>
    <dataValidation type="decimal" allowBlank="1" showInputMessage="1" showErrorMessage="1" sqref="N9 L9 M9:M10 J9:K10 O9:P10 I9">
      <formula1>-999999999999999000000</formula1>
      <formula2>9.99999999999999E+29</formula2>
    </dataValidation>
  </dataValidations>
  <printOptions horizontalCentered="1" verticalCentered="1"/>
  <pageMargins left="0.23622047244094491" right="0.23622047244094491" top="0.23622047244094491" bottom="0" header="0" footer="0"/>
  <pageSetup paperSize="9" scale="60" fitToHeight="10" pageOrder="overThenDown" orientation="landscape" blackAndWhite="1" r:id="rId1"/>
  <headerFooter alignWithMargins="0"/>
</worksheet>
</file>

<file path=xl/worksheets/sheet8.xml><?xml version="1.0" encoding="utf-8"?>
<worksheet xmlns="http://schemas.openxmlformats.org/spreadsheetml/2006/main" xmlns:r="http://schemas.openxmlformats.org/officeDocument/2006/relationships">
  <sheetPr codeName="Sheet12"/>
  <dimension ref="A1:W449"/>
  <sheetViews>
    <sheetView view="pageBreakPreview" zoomScaleNormal="80" zoomScaleSheetLayoutView="100" workbookViewId="0">
      <selection activeCell="C18" sqref="C18:G18"/>
    </sheetView>
  </sheetViews>
  <sheetFormatPr defaultRowHeight="12.75"/>
  <cols>
    <col min="1" max="1" width="4.7109375" style="889" customWidth="1"/>
    <col min="2" max="2" width="5.7109375" style="889" customWidth="1"/>
    <col min="3" max="3" width="34.85546875" style="890" customWidth="1"/>
    <col min="4" max="4" width="7.28515625" style="889" customWidth="1"/>
    <col min="5" max="5" width="13.5703125" style="889" customWidth="1"/>
    <col min="6" max="6" width="9.7109375" style="891" customWidth="1"/>
    <col min="7" max="7" width="10.42578125" style="891" customWidth="1"/>
    <col min="8" max="8" width="10.85546875" style="891" customWidth="1"/>
    <col min="9" max="9" width="11.140625" style="892" customWidth="1"/>
    <col min="10" max="10" width="9" style="892" customWidth="1"/>
    <col min="11" max="11" width="5.28515625" style="891" bestFit="1" customWidth="1"/>
    <col min="12" max="12" width="8.7109375" style="891" bestFit="1" customWidth="1"/>
    <col min="13" max="13" width="9.28515625" style="891" bestFit="1" customWidth="1"/>
    <col min="14" max="14" width="8.140625" style="891" customWidth="1"/>
    <col min="15" max="15" width="6.42578125" style="891" bestFit="1" customWidth="1"/>
    <col min="16" max="16" width="5.5703125" style="891" bestFit="1" customWidth="1"/>
    <col min="17" max="17" width="6.140625" style="891" bestFit="1" customWidth="1"/>
    <col min="18" max="18" width="10.140625" style="891" bestFit="1" customWidth="1"/>
    <col min="19" max="19" width="8" style="889" customWidth="1"/>
    <col min="20" max="20" width="6.5703125" style="889" bestFit="1" customWidth="1"/>
    <col min="21" max="21" width="7.7109375" style="889" bestFit="1" customWidth="1"/>
    <col min="22" max="22" width="5.5703125" style="889" bestFit="1" customWidth="1"/>
    <col min="23" max="23" width="14.42578125" style="889" customWidth="1"/>
    <col min="24" max="16384" width="9.140625" style="889"/>
  </cols>
  <sheetData>
    <row r="1" spans="1:23">
      <c r="A1" s="888" t="s">
        <v>396</v>
      </c>
    </row>
    <row r="2" spans="1:23" ht="5.25" customHeight="1"/>
    <row r="3" spans="1:23" ht="15">
      <c r="C3" s="893" t="s">
        <v>264</v>
      </c>
      <c r="D3" s="894" t="s">
        <v>1002</v>
      </c>
      <c r="E3" s="894"/>
      <c r="F3" s="895"/>
      <c r="G3" s="895"/>
      <c r="H3" s="895"/>
      <c r="I3" s="896"/>
      <c r="J3" s="896"/>
      <c r="K3" s="895"/>
    </row>
    <row r="4" spans="1:23" ht="3.75" customHeight="1">
      <c r="C4" s="893"/>
      <c r="D4" s="894"/>
      <c r="E4" s="894"/>
      <c r="F4" s="895"/>
      <c r="G4" s="895"/>
      <c r="H4" s="895"/>
      <c r="I4" s="896"/>
      <c r="J4" s="896"/>
      <c r="K4" s="895"/>
    </row>
    <row r="5" spans="1:23" ht="13.5" customHeight="1">
      <c r="C5" s="1799" t="s">
        <v>1003</v>
      </c>
      <c r="D5" s="1800"/>
      <c r="E5" s="1800"/>
      <c r="F5" s="1800"/>
      <c r="G5" s="1801"/>
      <c r="H5" s="897"/>
      <c r="I5" s="898"/>
      <c r="J5" s="898"/>
      <c r="K5" s="899"/>
    </row>
    <row r="6" spans="1:23">
      <c r="C6" s="1656" t="s">
        <v>646</v>
      </c>
      <c r="D6" s="1657"/>
      <c r="E6" s="1657"/>
      <c r="F6" s="1658"/>
      <c r="G6" s="1658"/>
      <c r="H6" s="1658"/>
      <c r="I6" s="1659"/>
      <c r="J6" s="1660"/>
      <c r="K6" s="1658"/>
      <c r="L6" s="1658"/>
      <c r="M6" s="1658"/>
      <c r="N6" s="1661"/>
      <c r="O6" s="1658"/>
      <c r="P6" s="1662"/>
      <c r="Q6" s="1658"/>
      <c r="R6" s="1658"/>
      <c r="S6" s="1658"/>
      <c r="T6" s="1658"/>
      <c r="U6" s="1658"/>
      <c r="V6" s="1662"/>
    </row>
    <row r="7" spans="1:23" ht="23.25" customHeight="1">
      <c r="A7" s="890"/>
      <c r="B7" s="890"/>
      <c r="C7" s="1435" t="s">
        <v>92</v>
      </c>
      <c r="D7" s="1435" t="s">
        <v>93</v>
      </c>
      <c r="E7" s="1435" t="s">
        <v>368</v>
      </c>
      <c r="F7" s="1509" t="s">
        <v>222</v>
      </c>
      <c r="G7" s="1509" t="s">
        <v>225</v>
      </c>
      <c r="H7" s="1509" t="s">
        <v>225</v>
      </c>
      <c r="I7" s="1796" t="s">
        <v>250</v>
      </c>
      <c r="J7" s="1796"/>
      <c r="K7" s="1796" t="s">
        <v>91</v>
      </c>
      <c r="L7" s="1796"/>
      <c r="M7" s="1796"/>
      <c r="N7" s="1796"/>
      <c r="O7" s="1796"/>
      <c r="P7" s="1796"/>
      <c r="Q7" s="1796" t="s">
        <v>370</v>
      </c>
      <c r="R7" s="1796"/>
      <c r="S7" s="1796"/>
      <c r="T7" s="1796"/>
      <c r="U7" s="1796"/>
      <c r="V7" s="1436"/>
      <c r="W7" s="1794" t="s">
        <v>365</v>
      </c>
    </row>
    <row r="8" spans="1:23" ht="14.25" customHeight="1">
      <c r="C8" s="1437"/>
      <c r="D8" s="1438"/>
      <c r="E8" s="1437"/>
      <c r="F8" s="1509" t="s">
        <v>223</v>
      </c>
      <c r="G8" s="1509" t="s">
        <v>224</v>
      </c>
      <c r="H8" s="1509" t="s">
        <v>223</v>
      </c>
      <c r="I8" s="1509" t="s">
        <v>521</v>
      </c>
      <c r="J8" s="1509" t="s">
        <v>209</v>
      </c>
      <c r="K8" s="1439" t="s">
        <v>94</v>
      </c>
      <c r="L8" s="1439" t="s">
        <v>95</v>
      </c>
      <c r="M8" s="1439" t="s">
        <v>96</v>
      </c>
      <c r="N8" s="1509" t="s">
        <v>97</v>
      </c>
      <c r="O8" s="1439" t="s">
        <v>392</v>
      </c>
      <c r="P8" s="1439" t="s">
        <v>98</v>
      </c>
      <c r="Q8" s="1439" t="s">
        <v>94</v>
      </c>
      <c r="R8" s="1439" t="s">
        <v>262</v>
      </c>
      <c r="S8" s="1509" t="s">
        <v>97</v>
      </c>
      <c r="T8" s="1439" t="s">
        <v>392</v>
      </c>
      <c r="U8" s="1440" t="s">
        <v>95</v>
      </c>
      <c r="V8" s="1441" t="s">
        <v>98</v>
      </c>
      <c r="W8" s="1794"/>
    </row>
    <row r="9" spans="1:23" ht="6.75" customHeight="1">
      <c r="C9" s="1663"/>
      <c r="D9" s="1664"/>
      <c r="E9" s="1664"/>
      <c r="F9" s="1665"/>
      <c r="G9" s="1665"/>
      <c r="H9" s="1665"/>
      <c r="I9" s="1666"/>
      <c r="J9" s="1666"/>
      <c r="K9" s="1666"/>
      <c r="L9" s="1666"/>
      <c r="M9" s="1666"/>
      <c r="N9" s="1666"/>
      <c r="O9" s="1666"/>
      <c r="P9" s="1666"/>
      <c r="Q9" s="1666"/>
      <c r="R9" s="1666"/>
      <c r="S9" s="1666"/>
      <c r="T9" s="1666"/>
      <c r="U9" s="1666"/>
      <c r="V9" s="1666"/>
      <c r="W9" s="1511"/>
    </row>
    <row r="10" spans="1:23" ht="9.75" customHeight="1">
      <c r="C10" s="1667" t="s">
        <v>785</v>
      </c>
      <c r="D10" s="1668"/>
      <c r="E10" s="1668"/>
      <c r="F10" s="1668"/>
      <c r="G10" s="1668"/>
      <c r="H10" s="1668"/>
      <c r="I10" s="1666"/>
      <c r="J10" s="1669"/>
      <c r="K10" s="1668"/>
      <c r="L10" s="1668"/>
      <c r="M10" s="1668"/>
      <c r="N10" s="1668"/>
      <c r="O10" s="1668"/>
      <c r="P10" s="1668"/>
      <c r="Q10" s="1668"/>
      <c r="R10" s="1668"/>
      <c r="S10" s="1668"/>
      <c r="T10" s="1668"/>
      <c r="U10" s="1668"/>
      <c r="V10" s="1668"/>
      <c r="W10" s="1511"/>
    </row>
    <row r="11" spans="1:23" ht="9.75" customHeight="1">
      <c r="C11" s="300" t="s">
        <v>786</v>
      </c>
      <c r="D11" s="101"/>
      <c r="E11" s="101"/>
      <c r="F11" s="101"/>
      <c r="G11" s="101"/>
      <c r="H11" s="101"/>
      <c r="I11" s="1666"/>
      <c r="J11" s="1670"/>
      <c r="K11" s="101"/>
      <c r="L11" s="101"/>
      <c r="M11" s="101"/>
      <c r="N11" s="101"/>
      <c r="O11" s="101"/>
      <c r="P11" s="1671">
        <f t="shared" ref="P11:P52" si="0">SUM(K11:O11)</f>
        <v>0</v>
      </c>
      <c r="Q11" s="1671">
        <f>IF(J11=0,0,K11/J11*10)</f>
        <v>0</v>
      </c>
      <c r="R11" s="1671">
        <f>IF(J11=0,0,M11/J11*10)</f>
        <v>0</v>
      </c>
      <c r="S11" s="1671">
        <f>IF(J11=0,0,N11/J11*10)</f>
        <v>0</v>
      </c>
      <c r="T11" s="1671">
        <f>IF(J11=0,0,O11/J11*10)</f>
        <v>0</v>
      </c>
      <c r="U11" s="1671">
        <f>IF(J11=0,0,L11/J11*10)</f>
        <v>0</v>
      </c>
      <c r="V11" s="1671">
        <f>IF(J11=0,0,P11/J11*10)</f>
        <v>0</v>
      </c>
      <c r="W11" s="1511"/>
    </row>
    <row r="12" spans="1:23" ht="9.75" customHeight="1">
      <c r="C12" s="300" t="s">
        <v>787</v>
      </c>
      <c r="D12" s="101"/>
      <c r="E12" s="101"/>
      <c r="F12" s="101"/>
      <c r="G12" s="101"/>
      <c r="H12" s="101"/>
      <c r="I12" s="1666"/>
      <c r="J12" s="1670"/>
      <c r="K12" s="101"/>
      <c r="L12" s="101"/>
      <c r="M12" s="101"/>
      <c r="N12" s="101"/>
      <c r="O12" s="101"/>
      <c r="P12" s="1671">
        <f t="shared" si="0"/>
        <v>0</v>
      </c>
      <c r="Q12" s="1671">
        <f>IF(J12=0,0,K12/J12*10)</f>
        <v>0</v>
      </c>
      <c r="R12" s="1671">
        <f>IF(J12=0,0,M12/J12*10)</f>
        <v>0</v>
      </c>
      <c r="S12" s="1671">
        <f>IF(J12=0,0,N12/J12*10)</f>
        <v>0</v>
      </c>
      <c r="T12" s="1671">
        <f>IF(J12=0,0,O12/J12*10)</f>
        <v>0</v>
      </c>
      <c r="U12" s="1671">
        <f>IF(J12=0,0,L12/J12*10)</f>
        <v>0</v>
      </c>
      <c r="V12" s="1671">
        <f>IF(J12=0,0,P12/J12*10)</f>
        <v>0</v>
      </c>
      <c r="W12" s="1511"/>
    </row>
    <row r="13" spans="1:23" ht="9.75" customHeight="1">
      <c r="C13" s="300" t="s">
        <v>677</v>
      </c>
      <c r="D13" s="101"/>
      <c r="E13" s="101"/>
      <c r="F13" s="101"/>
      <c r="G13" s="101"/>
      <c r="H13" s="101"/>
      <c r="I13" s="1666"/>
      <c r="J13" s="1670"/>
      <c r="K13" s="101"/>
      <c r="L13" s="101"/>
      <c r="M13" s="101"/>
      <c r="N13" s="101"/>
      <c r="O13" s="101"/>
      <c r="P13" s="1671">
        <f t="shared" si="0"/>
        <v>0</v>
      </c>
      <c r="Q13" s="1671">
        <f t="shared" ref="Q13:Q67" si="1">IF(J13=0,0,K13/J13*10)</f>
        <v>0</v>
      </c>
      <c r="R13" s="1671">
        <f t="shared" ref="R13:R67" si="2">IF(J13=0,0,M13/J13*10)</f>
        <v>0</v>
      </c>
      <c r="S13" s="1671">
        <f t="shared" ref="S13:S67" si="3">IF(J13=0,0,N13/J13*10)</f>
        <v>0</v>
      </c>
      <c r="T13" s="1671">
        <f t="shared" ref="T13:T67" si="4">IF(J13=0,0,O13/J13*10)</f>
        <v>0</v>
      </c>
      <c r="U13" s="1671">
        <f t="shared" ref="U13:U67" si="5">IF(J13=0,0,L13/J13*10)</f>
        <v>0</v>
      </c>
      <c r="V13" s="1671">
        <f t="shared" ref="V13:V67" si="6">IF(J13=0,0,P13/J13*10)</f>
        <v>0</v>
      </c>
      <c r="W13" s="1511"/>
    </row>
    <row r="14" spans="1:23" ht="9.75" customHeight="1">
      <c r="C14" s="300" t="s">
        <v>105</v>
      </c>
      <c r="D14" s="101"/>
      <c r="E14" s="101"/>
      <c r="F14" s="101"/>
      <c r="G14" s="101"/>
      <c r="H14" s="101"/>
      <c r="I14" s="1666"/>
      <c r="J14" s="1670"/>
      <c r="K14" s="101"/>
      <c r="L14" s="101"/>
      <c r="M14" s="101"/>
      <c r="N14" s="101"/>
      <c r="O14" s="101"/>
      <c r="P14" s="1671">
        <f t="shared" si="0"/>
        <v>0</v>
      </c>
      <c r="Q14" s="1671">
        <f t="shared" si="1"/>
        <v>0</v>
      </c>
      <c r="R14" s="1671">
        <f t="shared" si="2"/>
        <v>0</v>
      </c>
      <c r="S14" s="1671">
        <f t="shared" si="3"/>
        <v>0</v>
      </c>
      <c r="T14" s="1671">
        <f t="shared" si="4"/>
        <v>0</v>
      </c>
      <c r="U14" s="1671">
        <f t="shared" si="5"/>
        <v>0</v>
      </c>
      <c r="V14" s="1671">
        <f t="shared" si="6"/>
        <v>0</v>
      </c>
      <c r="W14" s="1511"/>
    </row>
    <row r="15" spans="1:23" ht="9.75" customHeight="1">
      <c r="C15" s="300" t="s">
        <v>399</v>
      </c>
      <c r="D15" s="101"/>
      <c r="E15" s="101"/>
      <c r="F15" s="101"/>
      <c r="G15" s="101"/>
      <c r="H15" s="101"/>
      <c r="I15" s="1666"/>
      <c r="J15" s="1670"/>
      <c r="K15" s="101"/>
      <c r="L15" s="101"/>
      <c r="M15" s="101"/>
      <c r="N15" s="101"/>
      <c r="O15" s="101"/>
      <c r="P15" s="1671">
        <f t="shared" si="0"/>
        <v>0</v>
      </c>
      <c r="Q15" s="1671">
        <f t="shared" si="1"/>
        <v>0</v>
      </c>
      <c r="R15" s="1671">
        <f t="shared" si="2"/>
        <v>0</v>
      </c>
      <c r="S15" s="1671">
        <f t="shared" si="3"/>
        <v>0</v>
      </c>
      <c r="T15" s="1671">
        <f t="shared" si="4"/>
        <v>0</v>
      </c>
      <c r="U15" s="1671">
        <f t="shared" si="5"/>
        <v>0</v>
      </c>
      <c r="V15" s="1671">
        <f t="shared" si="6"/>
        <v>0</v>
      </c>
      <c r="W15" s="1511"/>
    </row>
    <row r="16" spans="1:23" ht="9.75" customHeight="1">
      <c r="C16" s="300" t="s">
        <v>678</v>
      </c>
      <c r="D16" s="101"/>
      <c r="E16" s="101"/>
      <c r="F16" s="101"/>
      <c r="G16" s="101"/>
      <c r="H16" s="101"/>
      <c r="I16" s="1666"/>
      <c r="J16" s="1670"/>
      <c r="K16" s="101"/>
      <c r="L16" s="101"/>
      <c r="M16" s="101"/>
      <c r="N16" s="101"/>
      <c r="O16" s="101"/>
      <c r="P16" s="1671">
        <f t="shared" si="0"/>
        <v>0</v>
      </c>
      <c r="Q16" s="1671">
        <f t="shared" si="1"/>
        <v>0</v>
      </c>
      <c r="R16" s="1671">
        <f t="shared" si="2"/>
        <v>0</v>
      </c>
      <c r="S16" s="1671">
        <f t="shared" si="3"/>
        <v>0</v>
      </c>
      <c r="T16" s="1671">
        <f t="shared" si="4"/>
        <v>0</v>
      </c>
      <c r="U16" s="1671">
        <f t="shared" si="5"/>
        <v>0</v>
      </c>
      <c r="V16" s="1671">
        <f t="shared" si="6"/>
        <v>0</v>
      </c>
      <c r="W16" s="1511"/>
    </row>
    <row r="17" spans="3:23" ht="9.75" customHeight="1">
      <c r="C17" s="1672" t="s">
        <v>788</v>
      </c>
      <c r="D17" s="1673"/>
      <c r="E17" s="1673"/>
      <c r="F17" s="1673"/>
      <c r="G17" s="1673"/>
      <c r="H17" s="1673"/>
      <c r="I17" s="1673"/>
      <c r="J17" s="1673"/>
      <c r="K17" s="1673"/>
      <c r="L17" s="1673"/>
      <c r="M17" s="1673"/>
      <c r="N17" s="1673"/>
      <c r="O17" s="1673"/>
      <c r="P17" s="1674">
        <f t="shared" si="0"/>
        <v>0</v>
      </c>
      <c r="Q17" s="1674">
        <f t="shared" si="1"/>
        <v>0</v>
      </c>
      <c r="R17" s="1674">
        <f t="shared" si="2"/>
        <v>0</v>
      </c>
      <c r="S17" s="1674">
        <f t="shared" si="3"/>
        <v>0</v>
      </c>
      <c r="T17" s="1674">
        <f t="shared" si="4"/>
        <v>0</v>
      </c>
      <c r="U17" s="1674">
        <f t="shared" si="5"/>
        <v>0</v>
      </c>
      <c r="V17" s="1674">
        <f t="shared" si="6"/>
        <v>0</v>
      </c>
      <c r="W17" s="1511"/>
    </row>
    <row r="18" spans="3:23" ht="9.75" customHeight="1">
      <c r="C18" s="300" t="s">
        <v>789</v>
      </c>
      <c r="D18" s="101"/>
      <c r="E18" s="101"/>
      <c r="F18" s="101"/>
      <c r="G18" s="101"/>
      <c r="H18" s="101"/>
      <c r="I18" s="1666"/>
      <c r="J18" s="1670"/>
      <c r="K18" s="101"/>
      <c r="L18" s="101"/>
      <c r="M18" s="101"/>
      <c r="N18" s="101"/>
      <c r="O18" s="101"/>
      <c r="P18" s="1671">
        <f t="shared" si="0"/>
        <v>0</v>
      </c>
      <c r="Q18" s="1671">
        <f t="shared" si="1"/>
        <v>0</v>
      </c>
      <c r="R18" s="1671">
        <f t="shared" si="2"/>
        <v>0</v>
      </c>
      <c r="S18" s="1671">
        <f t="shared" si="3"/>
        <v>0</v>
      </c>
      <c r="T18" s="1671">
        <f t="shared" si="4"/>
        <v>0</v>
      </c>
      <c r="U18" s="1671">
        <f t="shared" si="5"/>
        <v>0</v>
      </c>
      <c r="V18" s="1671">
        <f t="shared" si="6"/>
        <v>0</v>
      </c>
      <c r="W18" s="1511"/>
    </row>
    <row r="19" spans="3:23" ht="9.75" customHeight="1">
      <c r="C19" s="300" t="s">
        <v>782</v>
      </c>
      <c r="D19" s="101"/>
      <c r="E19" s="101"/>
      <c r="F19" s="101"/>
      <c r="G19" s="101"/>
      <c r="H19" s="101"/>
      <c r="I19" s="1666"/>
      <c r="J19" s="1670"/>
      <c r="K19" s="101"/>
      <c r="L19" s="101"/>
      <c r="M19" s="101"/>
      <c r="N19" s="101"/>
      <c r="O19" s="101"/>
      <c r="P19" s="1671">
        <f t="shared" si="0"/>
        <v>0</v>
      </c>
      <c r="Q19" s="1671">
        <f t="shared" si="1"/>
        <v>0</v>
      </c>
      <c r="R19" s="1671">
        <f t="shared" si="2"/>
        <v>0</v>
      </c>
      <c r="S19" s="1671">
        <f t="shared" si="3"/>
        <v>0</v>
      </c>
      <c r="T19" s="1671">
        <f t="shared" si="4"/>
        <v>0</v>
      </c>
      <c r="U19" s="1671">
        <f t="shared" si="5"/>
        <v>0</v>
      </c>
      <c r="V19" s="1671">
        <f t="shared" si="6"/>
        <v>0</v>
      </c>
      <c r="W19" s="1511"/>
    </row>
    <row r="20" spans="3:23" ht="9.75" customHeight="1">
      <c r="C20" s="300" t="s">
        <v>790</v>
      </c>
      <c r="D20" s="101"/>
      <c r="E20" s="101"/>
      <c r="F20" s="101"/>
      <c r="G20" s="101"/>
      <c r="H20" s="101"/>
      <c r="I20" s="1666"/>
      <c r="J20" s="1670"/>
      <c r="K20" s="101"/>
      <c r="L20" s="101"/>
      <c r="M20" s="101"/>
      <c r="N20" s="101"/>
      <c r="O20" s="101"/>
      <c r="P20" s="1671">
        <f t="shared" si="0"/>
        <v>0</v>
      </c>
      <c r="Q20" s="1671">
        <f t="shared" si="1"/>
        <v>0</v>
      </c>
      <c r="R20" s="1671">
        <f t="shared" si="2"/>
        <v>0</v>
      </c>
      <c r="S20" s="1671">
        <f t="shared" si="3"/>
        <v>0</v>
      </c>
      <c r="T20" s="1671">
        <f t="shared" si="4"/>
        <v>0</v>
      </c>
      <c r="U20" s="1671">
        <f t="shared" si="5"/>
        <v>0</v>
      </c>
      <c r="V20" s="1671">
        <f t="shared" si="6"/>
        <v>0</v>
      </c>
      <c r="W20" s="1511"/>
    </row>
    <row r="21" spans="3:23" ht="9.75" customHeight="1">
      <c r="C21" s="300" t="s">
        <v>791</v>
      </c>
      <c r="D21" s="101"/>
      <c r="E21" s="101"/>
      <c r="F21" s="101"/>
      <c r="G21" s="101"/>
      <c r="H21" s="101"/>
      <c r="I21" s="1666"/>
      <c r="J21" s="1670"/>
      <c r="K21" s="101"/>
      <c r="L21" s="101"/>
      <c r="M21" s="101"/>
      <c r="N21" s="101"/>
      <c r="O21" s="101"/>
      <c r="P21" s="1671">
        <f t="shared" si="0"/>
        <v>0</v>
      </c>
      <c r="Q21" s="1671">
        <f t="shared" si="1"/>
        <v>0</v>
      </c>
      <c r="R21" s="1671">
        <f t="shared" si="2"/>
        <v>0</v>
      </c>
      <c r="S21" s="1671">
        <f t="shared" si="3"/>
        <v>0</v>
      </c>
      <c r="T21" s="1671">
        <f t="shared" si="4"/>
        <v>0</v>
      </c>
      <c r="U21" s="1671">
        <f t="shared" si="5"/>
        <v>0</v>
      </c>
      <c r="V21" s="1671">
        <f t="shared" si="6"/>
        <v>0</v>
      </c>
      <c r="W21" s="1511"/>
    </row>
    <row r="22" spans="3:23" ht="9.75" customHeight="1">
      <c r="C22" s="300" t="s">
        <v>792</v>
      </c>
      <c r="D22" s="101"/>
      <c r="E22" s="101"/>
      <c r="F22" s="101"/>
      <c r="G22" s="101"/>
      <c r="H22" s="101"/>
      <c r="I22" s="1666"/>
      <c r="J22" s="1670"/>
      <c r="K22" s="101"/>
      <c r="L22" s="101"/>
      <c r="M22" s="101"/>
      <c r="N22" s="101"/>
      <c r="O22" s="101"/>
      <c r="P22" s="1671">
        <f t="shared" si="0"/>
        <v>0</v>
      </c>
      <c r="Q22" s="1671">
        <f t="shared" si="1"/>
        <v>0</v>
      </c>
      <c r="R22" s="1671">
        <f t="shared" si="2"/>
        <v>0</v>
      </c>
      <c r="S22" s="1671">
        <f t="shared" si="3"/>
        <v>0</v>
      </c>
      <c r="T22" s="1671">
        <f t="shared" si="4"/>
        <v>0</v>
      </c>
      <c r="U22" s="1671">
        <f t="shared" si="5"/>
        <v>0</v>
      </c>
      <c r="V22" s="1671">
        <f t="shared" si="6"/>
        <v>0</v>
      </c>
      <c r="W22" s="1511"/>
    </row>
    <row r="23" spans="3:23" ht="9.75" customHeight="1">
      <c r="C23" s="300" t="s">
        <v>793</v>
      </c>
      <c r="D23" s="101"/>
      <c r="E23" s="101"/>
      <c r="F23" s="101"/>
      <c r="G23" s="101"/>
      <c r="H23" s="101"/>
      <c r="I23" s="1666"/>
      <c r="J23" s="1670"/>
      <c r="K23" s="101"/>
      <c r="L23" s="101"/>
      <c r="M23" s="101"/>
      <c r="N23" s="101"/>
      <c r="O23" s="101"/>
      <c r="P23" s="1671">
        <f t="shared" si="0"/>
        <v>0</v>
      </c>
      <c r="Q23" s="1671">
        <f t="shared" si="1"/>
        <v>0</v>
      </c>
      <c r="R23" s="1671">
        <f t="shared" si="2"/>
        <v>0</v>
      </c>
      <c r="S23" s="1671">
        <f t="shared" si="3"/>
        <v>0</v>
      </c>
      <c r="T23" s="1671">
        <f t="shared" si="4"/>
        <v>0</v>
      </c>
      <c r="U23" s="1671">
        <f t="shared" si="5"/>
        <v>0</v>
      </c>
      <c r="V23" s="1671">
        <f t="shared" si="6"/>
        <v>0</v>
      </c>
      <c r="W23" s="1511"/>
    </row>
    <row r="24" spans="3:23" ht="9.75" customHeight="1">
      <c r="C24" s="300" t="s">
        <v>783</v>
      </c>
      <c r="D24" s="101"/>
      <c r="E24" s="101"/>
      <c r="F24" s="101"/>
      <c r="G24" s="101"/>
      <c r="H24" s="101"/>
      <c r="I24" s="1666"/>
      <c r="J24" s="1670"/>
      <c r="K24" s="101"/>
      <c r="L24" s="101"/>
      <c r="M24" s="101"/>
      <c r="N24" s="101"/>
      <c r="O24" s="101"/>
      <c r="P24" s="1671">
        <f t="shared" si="0"/>
        <v>0</v>
      </c>
      <c r="Q24" s="1671">
        <f t="shared" si="1"/>
        <v>0</v>
      </c>
      <c r="R24" s="1671">
        <f t="shared" si="2"/>
        <v>0</v>
      </c>
      <c r="S24" s="1671">
        <f t="shared" si="3"/>
        <v>0</v>
      </c>
      <c r="T24" s="1671">
        <f t="shared" si="4"/>
        <v>0</v>
      </c>
      <c r="U24" s="1671">
        <f t="shared" si="5"/>
        <v>0</v>
      </c>
      <c r="V24" s="1671">
        <f t="shared" si="6"/>
        <v>0</v>
      </c>
      <c r="W24" s="1511"/>
    </row>
    <row r="25" spans="3:23" ht="9.75" customHeight="1">
      <c r="C25" s="300" t="s">
        <v>794</v>
      </c>
      <c r="D25" s="101"/>
      <c r="E25" s="101"/>
      <c r="F25" s="101"/>
      <c r="G25" s="101"/>
      <c r="H25" s="101"/>
      <c r="I25" s="1666"/>
      <c r="J25" s="1670"/>
      <c r="K25" s="101"/>
      <c r="L25" s="101"/>
      <c r="M25" s="101"/>
      <c r="N25" s="101"/>
      <c r="O25" s="101"/>
      <c r="P25" s="1671">
        <f t="shared" si="0"/>
        <v>0</v>
      </c>
      <c r="Q25" s="1671">
        <f t="shared" si="1"/>
        <v>0</v>
      </c>
      <c r="R25" s="1671">
        <f t="shared" si="2"/>
        <v>0</v>
      </c>
      <c r="S25" s="1671">
        <f t="shared" si="3"/>
        <v>0</v>
      </c>
      <c r="T25" s="1671">
        <f t="shared" si="4"/>
        <v>0</v>
      </c>
      <c r="U25" s="1671">
        <f t="shared" si="5"/>
        <v>0</v>
      </c>
      <c r="V25" s="1671">
        <f t="shared" si="6"/>
        <v>0</v>
      </c>
      <c r="W25" s="1511"/>
    </row>
    <row r="26" spans="3:23" ht="9.75" customHeight="1">
      <c r="C26" s="300" t="s">
        <v>795</v>
      </c>
      <c r="D26" s="101"/>
      <c r="E26" s="101"/>
      <c r="F26" s="101"/>
      <c r="G26" s="101"/>
      <c r="H26" s="101"/>
      <c r="I26" s="1666"/>
      <c r="J26" s="1670"/>
      <c r="K26" s="101"/>
      <c r="L26" s="101"/>
      <c r="M26" s="101"/>
      <c r="N26" s="101"/>
      <c r="O26" s="101"/>
      <c r="P26" s="1671">
        <f t="shared" si="0"/>
        <v>0</v>
      </c>
      <c r="Q26" s="1671">
        <f t="shared" si="1"/>
        <v>0</v>
      </c>
      <c r="R26" s="1671">
        <f t="shared" si="2"/>
        <v>0</v>
      </c>
      <c r="S26" s="1671">
        <f t="shared" si="3"/>
        <v>0</v>
      </c>
      <c r="T26" s="1671">
        <f t="shared" si="4"/>
        <v>0</v>
      </c>
      <c r="U26" s="1671">
        <f t="shared" si="5"/>
        <v>0</v>
      </c>
      <c r="V26" s="1671">
        <f t="shared" si="6"/>
        <v>0</v>
      </c>
      <c r="W26" s="1511"/>
    </row>
    <row r="27" spans="3:23" ht="9.75" customHeight="1">
      <c r="C27" s="300" t="s">
        <v>796</v>
      </c>
      <c r="D27" s="101"/>
      <c r="E27" s="101"/>
      <c r="F27" s="101"/>
      <c r="G27" s="101"/>
      <c r="H27" s="101"/>
      <c r="I27" s="1666"/>
      <c r="J27" s="1670"/>
      <c r="K27" s="101"/>
      <c r="L27" s="101"/>
      <c r="M27" s="101"/>
      <c r="N27" s="101"/>
      <c r="O27" s="101"/>
      <c r="P27" s="1671">
        <f t="shared" si="0"/>
        <v>0</v>
      </c>
      <c r="Q27" s="1671">
        <f t="shared" si="1"/>
        <v>0</v>
      </c>
      <c r="R27" s="1671">
        <f t="shared" si="2"/>
        <v>0</v>
      </c>
      <c r="S27" s="1671">
        <f t="shared" si="3"/>
        <v>0</v>
      </c>
      <c r="T27" s="1671">
        <f t="shared" si="4"/>
        <v>0</v>
      </c>
      <c r="U27" s="1671">
        <f t="shared" si="5"/>
        <v>0</v>
      </c>
      <c r="V27" s="1671">
        <f t="shared" si="6"/>
        <v>0</v>
      </c>
      <c r="W27" s="1511"/>
    </row>
    <row r="28" spans="3:23" ht="9.75" customHeight="1">
      <c r="C28" s="1672" t="s">
        <v>797</v>
      </c>
      <c r="D28" s="1673"/>
      <c r="E28" s="1673"/>
      <c r="F28" s="1673"/>
      <c r="G28" s="1673"/>
      <c r="H28" s="1673"/>
      <c r="I28" s="1673"/>
      <c r="J28" s="1673"/>
      <c r="K28" s="1673"/>
      <c r="L28" s="1673"/>
      <c r="M28" s="1673"/>
      <c r="N28" s="1673"/>
      <c r="O28" s="1673"/>
      <c r="P28" s="1674">
        <f t="shared" si="0"/>
        <v>0</v>
      </c>
      <c r="Q28" s="1674">
        <f t="shared" si="1"/>
        <v>0</v>
      </c>
      <c r="R28" s="1674">
        <f t="shared" si="2"/>
        <v>0</v>
      </c>
      <c r="S28" s="1674">
        <f t="shared" si="3"/>
        <v>0</v>
      </c>
      <c r="T28" s="1674">
        <f t="shared" si="4"/>
        <v>0</v>
      </c>
      <c r="U28" s="1674">
        <f t="shared" si="5"/>
        <v>0</v>
      </c>
      <c r="V28" s="1674">
        <f t="shared" si="6"/>
        <v>0</v>
      </c>
      <c r="W28" s="1511"/>
    </row>
    <row r="29" spans="3:23" ht="9.75" customHeight="1">
      <c r="C29" s="1672" t="s">
        <v>798</v>
      </c>
      <c r="D29" s="1673"/>
      <c r="E29" s="1673"/>
      <c r="F29" s="1673"/>
      <c r="G29" s="1673"/>
      <c r="H29" s="1673"/>
      <c r="I29" s="1673"/>
      <c r="J29" s="1673"/>
      <c r="K29" s="1673"/>
      <c r="L29" s="1673"/>
      <c r="M29" s="1673"/>
      <c r="N29" s="1673"/>
      <c r="O29" s="1673"/>
      <c r="P29" s="1674">
        <f t="shared" si="0"/>
        <v>0</v>
      </c>
      <c r="Q29" s="1674">
        <f t="shared" si="1"/>
        <v>0</v>
      </c>
      <c r="R29" s="1674">
        <f t="shared" si="2"/>
        <v>0</v>
      </c>
      <c r="S29" s="1674">
        <f t="shared" si="3"/>
        <v>0</v>
      </c>
      <c r="T29" s="1674">
        <f t="shared" si="4"/>
        <v>0</v>
      </c>
      <c r="U29" s="1674">
        <f t="shared" si="5"/>
        <v>0</v>
      </c>
      <c r="V29" s="1674">
        <f t="shared" si="6"/>
        <v>0</v>
      </c>
      <c r="W29" s="1511"/>
    </row>
    <row r="30" spans="3:23" ht="9.75" customHeight="1">
      <c r="C30" s="300" t="s">
        <v>799</v>
      </c>
      <c r="D30" s="101"/>
      <c r="E30" s="101"/>
      <c r="F30" s="101"/>
      <c r="G30" s="101"/>
      <c r="H30" s="101"/>
      <c r="I30" s="1666"/>
      <c r="J30" s="1670"/>
      <c r="K30" s="101"/>
      <c r="L30" s="101"/>
      <c r="M30" s="101"/>
      <c r="N30" s="101"/>
      <c r="O30" s="101"/>
      <c r="P30" s="1671">
        <f t="shared" si="0"/>
        <v>0</v>
      </c>
      <c r="Q30" s="1671">
        <f t="shared" si="1"/>
        <v>0</v>
      </c>
      <c r="R30" s="1671">
        <f t="shared" si="2"/>
        <v>0</v>
      </c>
      <c r="S30" s="1671">
        <f t="shared" si="3"/>
        <v>0</v>
      </c>
      <c r="T30" s="1671">
        <f t="shared" si="4"/>
        <v>0</v>
      </c>
      <c r="U30" s="1671">
        <f t="shared" si="5"/>
        <v>0</v>
      </c>
      <c r="V30" s="1671">
        <f t="shared" si="6"/>
        <v>0</v>
      </c>
      <c r="W30" s="1511"/>
    </row>
    <row r="31" spans="3:23" ht="9.75" customHeight="1">
      <c r="C31" s="300" t="s">
        <v>800</v>
      </c>
      <c r="D31" s="101"/>
      <c r="E31" s="101"/>
      <c r="F31" s="101"/>
      <c r="G31" s="101"/>
      <c r="H31" s="101"/>
      <c r="I31" s="1666"/>
      <c r="J31" s="1670"/>
      <c r="K31" s="101"/>
      <c r="L31" s="101"/>
      <c r="M31" s="101"/>
      <c r="N31" s="101"/>
      <c r="O31" s="101"/>
      <c r="P31" s="1671">
        <f t="shared" si="0"/>
        <v>0</v>
      </c>
      <c r="Q31" s="1671">
        <f t="shared" si="1"/>
        <v>0</v>
      </c>
      <c r="R31" s="1671">
        <f t="shared" si="2"/>
        <v>0</v>
      </c>
      <c r="S31" s="1671">
        <f t="shared" si="3"/>
        <v>0</v>
      </c>
      <c r="T31" s="1671">
        <f t="shared" si="4"/>
        <v>0</v>
      </c>
      <c r="U31" s="1671">
        <f t="shared" si="5"/>
        <v>0</v>
      </c>
      <c r="V31" s="1671">
        <f t="shared" si="6"/>
        <v>0</v>
      </c>
      <c r="W31" s="1511"/>
    </row>
    <row r="32" spans="3:23" ht="9.75" customHeight="1">
      <c r="C32" s="300" t="s">
        <v>801</v>
      </c>
      <c r="D32" s="101"/>
      <c r="E32" s="101"/>
      <c r="F32" s="101"/>
      <c r="G32" s="101"/>
      <c r="H32" s="101"/>
      <c r="I32" s="1666"/>
      <c r="J32" s="1670"/>
      <c r="K32" s="101"/>
      <c r="L32" s="101"/>
      <c r="M32" s="101"/>
      <c r="N32" s="101"/>
      <c r="O32" s="101"/>
      <c r="P32" s="1671">
        <f t="shared" si="0"/>
        <v>0</v>
      </c>
      <c r="Q32" s="1671">
        <f t="shared" si="1"/>
        <v>0</v>
      </c>
      <c r="R32" s="1671">
        <f t="shared" si="2"/>
        <v>0</v>
      </c>
      <c r="S32" s="1671">
        <f t="shared" si="3"/>
        <v>0</v>
      </c>
      <c r="T32" s="1671">
        <f t="shared" si="4"/>
        <v>0</v>
      </c>
      <c r="U32" s="1671">
        <f t="shared" si="5"/>
        <v>0</v>
      </c>
      <c r="V32" s="1671">
        <f t="shared" si="6"/>
        <v>0</v>
      </c>
      <c r="W32" s="1511"/>
    </row>
    <row r="33" spans="3:23" ht="9.75" customHeight="1">
      <c r="C33" s="300" t="s">
        <v>648</v>
      </c>
      <c r="D33" s="101"/>
      <c r="E33" s="101"/>
      <c r="F33" s="101"/>
      <c r="G33" s="101"/>
      <c r="H33" s="101"/>
      <c r="I33" s="1666"/>
      <c r="J33" s="1670"/>
      <c r="K33" s="101"/>
      <c r="L33" s="101"/>
      <c r="M33" s="101"/>
      <c r="N33" s="101"/>
      <c r="O33" s="101"/>
      <c r="P33" s="1671">
        <f t="shared" si="0"/>
        <v>0</v>
      </c>
      <c r="Q33" s="1671">
        <f t="shared" si="1"/>
        <v>0</v>
      </c>
      <c r="R33" s="1671">
        <f t="shared" si="2"/>
        <v>0</v>
      </c>
      <c r="S33" s="1671">
        <f t="shared" si="3"/>
        <v>0</v>
      </c>
      <c r="T33" s="1671">
        <f t="shared" si="4"/>
        <v>0</v>
      </c>
      <c r="U33" s="1671">
        <f t="shared" si="5"/>
        <v>0</v>
      </c>
      <c r="V33" s="1671">
        <f t="shared" si="6"/>
        <v>0</v>
      </c>
      <c r="W33" s="1511"/>
    </row>
    <row r="34" spans="3:23" ht="9.75" customHeight="1">
      <c r="C34" s="1672" t="s">
        <v>802</v>
      </c>
      <c r="D34" s="1673"/>
      <c r="E34" s="1673"/>
      <c r="F34" s="1673">
        <f>SUM(F13:F33)</f>
        <v>0</v>
      </c>
      <c r="G34" s="1673"/>
      <c r="H34" s="1673">
        <f t="shared" ref="H34" si="7">SUM(H13:H33)</f>
        <v>0</v>
      </c>
      <c r="I34" s="1673"/>
      <c r="J34" s="1673">
        <f t="shared" ref="J34:O34" si="8">SUM(J13:J33)</f>
        <v>0</v>
      </c>
      <c r="K34" s="1673">
        <f t="shared" si="8"/>
        <v>0</v>
      </c>
      <c r="L34" s="1673">
        <f t="shared" si="8"/>
        <v>0</v>
      </c>
      <c r="M34" s="1673">
        <f t="shared" si="8"/>
        <v>0</v>
      </c>
      <c r="N34" s="1673">
        <f t="shared" si="8"/>
        <v>0</v>
      </c>
      <c r="O34" s="1673">
        <f t="shared" si="8"/>
        <v>0</v>
      </c>
      <c r="P34" s="1674">
        <f t="shared" si="0"/>
        <v>0</v>
      </c>
      <c r="Q34" s="1674">
        <f t="shared" si="1"/>
        <v>0</v>
      </c>
      <c r="R34" s="1674">
        <f t="shared" si="2"/>
        <v>0</v>
      </c>
      <c r="S34" s="1674">
        <f t="shared" si="3"/>
        <v>0</v>
      </c>
      <c r="T34" s="1674">
        <f t="shared" si="4"/>
        <v>0</v>
      </c>
      <c r="U34" s="1674">
        <f t="shared" si="5"/>
        <v>0</v>
      </c>
      <c r="V34" s="1674">
        <f t="shared" si="6"/>
        <v>0</v>
      </c>
      <c r="W34" s="1511"/>
    </row>
    <row r="35" spans="3:23" ht="9.75" customHeight="1">
      <c r="C35" s="300" t="s">
        <v>803</v>
      </c>
      <c r="D35" s="101"/>
      <c r="E35" s="101"/>
      <c r="F35" s="101"/>
      <c r="G35" s="101"/>
      <c r="H35" s="101"/>
      <c r="I35" s="1666"/>
      <c r="J35" s="1670"/>
      <c r="K35" s="101"/>
      <c r="L35" s="101"/>
      <c r="M35" s="101"/>
      <c r="N35" s="101"/>
      <c r="O35" s="101"/>
      <c r="P35" s="1671">
        <f t="shared" si="0"/>
        <v>0</v>
      </c>
      <c r="Q35" s="1671">
        <f t="shared" si="1"/>
        <v>0</v>
      </c>
      <c r="R35" s="1671">
        <f t="shared" si="2"/>
        <v>0</v>
      </c>
      <c r="S35" s="1671">
        <f t="shared" si="3"/>
        <v>0</v>
      </c>
      <c r="T35" s="1671">
        <f t="shared" si="4"/>
        <v>0</v>
      </c>
      <c r="U35" s="1671">
        <f t="shared" si="5"/>
        <v>0</v>
      </c>
      <c r="V35" s="1671">
        <f t="shared" si="6"/>
        <v>0</v>
      </c>
      <c r="W35" s="1511"/>
    </row>
    <row r="36" spans="3:23" ht="9.75" customHeight="1">
      <c r="C36" s="300" t="s">
        <v>804</v>
      </c>
      <c r="D36" s="101"/>
      <c r="E36" s="101"/>
      <c r="F36" s="101"/>
      <c r="G36" s="101"/>
      <c r="H36" s="101"/>
      <c r="I36" s="1666"/>
      <c r="J36" s="1670"/>
      <c r="K36" s="101"/>
      <c r="L36" s="101"/>
      <c r="M36" s="101"/>
      <c r="N36" s="101"/>
      <c r="O36" s="101"/>
      <c r="P36" s="1671">
        <f t="shared" si="0"/>
        <v>0</v>
      </c>
      <c r="Q36" s="1671">
        <f t="shared" si="1"/>
        <v>0</v>
      </c>
      <c r="R36" s="1671">
        <f t="shared" si="2"/>
        <v>0</v>
      </c>
      <c r="S36" s="1671">
        <f t="shared" si="3"/>
        <v>0</v>
      </c>
      <c r="T36" s="1671">
        <f t="shared" si="4"/>
        <v>0</v>
      </c>
      <c r="U36" s="1671">
        <f t="shared" si="5"/>
        <v>0</v>
      </c>
      <c r="V36" s="1671">
        <f t="shared" si="6"/>
        <v>0</v>
      </c>
      <c r="W36" s="1511"/>
    </row>
    <row r="37" spans="3:23" ht="9.75" customHeight="1">
      <c r="C37" s="300" t="s">
        <v>805</v>
      </c>
      <c r="D37" s="101"/>
      <c r="E37" s="101"/>
      <c r="F37" s="101"/>
      <c r="G37" s="101"/>
      <c r="H37" s="101"/>
      <c r="I37" s="1666"/>
      <c r="J37" s="1670"/>
      <c r="K37" s="101"/>
      <c r="L37" s="101"/>
      <c r="M37" s="101"/>
      <c r="N37" s="101"/>
      <c r="O37" s="101"/>
      <c r="P37" s="1671">
        <f t="shared" si="0"/>
        <v>0</v>
      </c>
      <c r="Q37" s="1671">
        <f t="shared" si="1"/>
        <v>0</v>
      </c>
      <c r="R37" s="1671">
        <f t="shared" si="2"/>
        <v>0</v>
      </c>
      <c r="S37" s="1671">
        <f t="shared" si="3"/>
        <v>0</v>
      </c>
      <c r="T37" s="1671">
        <f t="shared" si="4"/>
        <v>0</v>
      </c>
      <c r="U37" s="1671">
        <f t="shared" si="5"/>
        <v>0</v>
      </c>
      <c r="V37" s="1671">
        <f t="shared" si="6"/>
        <v>0</v>
      </c>
      <c r="W37" s="1511"/>
    </row>
    <row r="38" spans="3:23" ht="9.75" customHeight="1">
      <c r="C38" s="300" t="s">
        <v>806</v>
      </c>
      <c r="D38" s="101"/>
      <c r="E38" s="101"/>
      <c r="F38" s="101"/>
      <c r="G38" s="101"/>
      <c r="H38" s="101"/>
      <c r="I38" s="1666"/>
      <c r="J38" s="1670"/>
      <c r="K38" s="101"/>
      <c r="L38" s="101"/>
      <c r="M38" s="101"/>
      <c r="N38" s="101"/>
      <c r="O38" s="101"/>
      <c r="P38" s="1671">
        <f t="shared" si="0"/>
        <v>0</v>
      </c>
      <c r="Q38" s="1671">
        <f t="shared" si="1"/>
        <v>0</v>
      </c>
      <c r="R38" s="1671">
        <f t="shared" si="2"/>
        <v>0</v>
      </c>
      <c r="S38" s="1671">
        <f t="shared" si="3"/>
        <v>0</v>
      </c>
      <c r="T38" s="1671">
        <f t="shared" si="4"/>
        <v>0</v>
      </c>
      <c r="U38" s="1671">
        <f t="shared" si="5"/>
        <v>0</v>
      </c>
      <c r="V38" s="1671">
        <f t="shared" si="6"/>
        <v>0</v>
      </c>
      <c r="W38" s="1511"/>
    </row>
    <row r="39" spans="3:23" ht="9.75" customHeight="1">
      <c r="C39" s="300" t="s">
        <v>807</v>
      </c>
      <c r="D39" s="101"/>
      <c r="E39" s="101"/>
      <c r="F39" s="101"/>
      <c r="G39" s="101"/>
      <c r="H39" s="101"/>
      <c r="I39" s="1666"/>
      <c r="J39" s="1670"/>
      <c r="K39" s="101"/>
      <c r="L39" s="101"/>
      <c r="M39" s="101"/>
      <c r="N39" s="101"/>
      <c r="O39" s="101"/>
      <c r="P39" s="1671">
        <f t="shared" si="0"/>
        <v>0</v>
      </c>
      <c r="Q39" s="1671">
        <f t="shared" si="1"/>
        <v>0</v>
      </c>
      <c r="R39" s="1671">
        <f t="shared" si="2"/>
        <v>0</v>
      </c>
      <c r="S39" s="1671">
        <f t="shared" si="3"/>
        <v>0</v>
      </c>
      <c r="T39" s="1671">
        <f t="shared" si="4"/>
        <v>0</v>
      </c>
      <c r="U39" s="1671">
        <f t="shared" si="5"/>
        <v>0</v>
      </c>
      <c r="V39" s="1671">
        <f t="shared" si="6"/>
        <v>0</v>
      </c>
      <c r="W39" s="1511"/>
    </row>
    <row r="40" spans="3:23" ht="9.75" customHeight="1">
      <c r="C40" s="300" t="s">
        <v>808</v>
      </c>
      <c r="D40" s="101"/>
      <c r="E40" s="101"/>
      <c r="F40" s="101"/>
      <c r="G40" s="101"/>
      <c r="H40" s="101"/>
      <c r="I40" s="1666"/>
      <c r="J40" s="1670"/>
      <c r="K40" s="101"/>
      <c r="L40" s="101"/>
      <c r="M40" s="101"/>
      <c r="N40" s="101"/>
      <c r="O40" s="101"/>
      <c r="P40" s="1671">
        <f t="shared" si="0"/>
        <v>0</v>
      </c>
      <c r="Q40" s="1671">
        <f t="shared" si="1"/>
        <v>0</v>
      </c>
      <c r="R40" s="1671">
        <f t="shared" si="2"/>
        <v>0</v>
      </c>
      <c r="S40" s="1671">
        <f t="shared" si="3"/>
        <v>0</v>
      </c>
      <c r="T40" s="1671">
        <f t="shared" si="4"/>
        <v>0</v>
      </c>
      <c r="U40" s="1671">
        <f t="shared" si="5"/>
        <v>0</v>
      </c>
      <c r="V40" s="1671">
        <f t="shared" si="6"/>
        <v>0</v>
      </c>
      <c r="W40" s="1511"/>
    </row>
    <row r="41" spans="3:23" ht="9.75" customHeight="1">
      <c r="C41" s="300" t="s">
        <v>809</v>
      </c>
      <c r="D41" s="101"/>
      <c r="E41" s="101"/>
      <c r="F41" s="101"/>
      <c r="G41" s="101"/>
      <c r="H41" s="101"/>
      <c r="I41" s="1666"/>
      <c r="J41" s="1670"/>
      <c r="K41" s="101"/>
      <c r="L41" s="101"/>
      <c r="M41" s="101"/>
      <c r="N41" s="101"/>
      <c r="O41" s="101"/>
      <c r="P41" s="1671">
        <f t="shared" si="0"/>
        <v>0</v>
      </c>
      <c r="Q41" s="1671">
        <f t="shared" si="1"/>
        <v>0</v>
      </c>
      <c r="R41" s="1671">
        <f t="shared" si="2"/>
        <v>0</v>
      </c>
      <c r="S41" s="1671">
        <f t="shared" si="3"/>
        <v>0</v>
      </c>
      <c r="T41" s="1671">
        <f t="shared" si="4"/>
        <v>0</v>
      </c>
      <c r="U41" s="1671">
        <f t="shared" si="5"/>
        <v>0</v>
      </c>
      <c r="V41" s="1671">
        <f t="shared" si="6"/>
        <v>0</v>
      </c>
      <c r="W41" s="1511"/>
    </row>
    <row r="42" spans="3:23" ht="9.75" customHeight="1">
      <c r="C42" s="300" t="s">
        <v>681</v>
      </c>
      <c r="D42" s="101"/>
      <c r="E42" s="101"/>
      <c r="F42" s="101"/>
      <c r="G42" s="101"/>
      <c r="H42" s="101"/>
      <c r="I42" s="1666"/>
      <c r="J42" s="1670"/>
      <c r="K42" s="101"/>
      <c r="L42" s="101"/>
      <c r="M42" s="101"/>
      <c r="N42" s="101"/>
      <c r="O42" s="101"/>
      <c r="P42" s="1671">
        <f t="shared" si="0"/>
        <v>0</v>
      </c>
      <c r="Q42" s="1671">
        <f t="shared" si="1"/>
        <v>0</v>
      </c>
      <c r="R42" s="1671">
        <f t="shared" si="2"/>
        <v>0</v>
      </c>
      <c r="S42" s="1671">
        <f t="shared" si="3"/>
        <v>0</v>
      </c>
      <c r="T42" s="1671">
        <f t="shared" si="4"/>
        <v>0</v>
      </c>
      <c r="U42" s="1671">
        <f t="shared" si="5"/>
        <v>0</v>
      </c>
      <c r="V42" s="1671">
        <f t="shared" si="6"/>
        <v>0</v>
      </c>
      <c r="W42" s="1511"/>
    </row>
    <row r="43" spans="3:23" ht="9.75" customHeight="1">
      <c r="C43" s="300" t="s">
        <v>680</v>
      </c>
      <c r="D43" s="101"/>
      <c r="E43" s="101"/>
      <c r="F43" s="101"/>
      <c r="G43" s="101"/>
      <c r="H43" s="101"/>
      <c r="I43" s="1666"/>
      <c r="J43" s="1670"/>
      <c r="K43" s="101"/>
      <c r="L43" s="101"/>
      <c r="M43" s="101"/>
      <c r="N43" s="101"/>
      <c r="O43" s="101"/>
      <c r="P43" s="1671">
        <f t="shared" si="0"/>
        <v>0</v>
      </c>
      <c r="Q43" s="1671">
        <f t="shared" si="1"/>
        <v>0</v>
      </c>
      <c r="R43" s="1671">
        <f t="shared" si="2"/>
        <v>0</v>
      </c>
      <c r="S43" s="1671">
        <f t="shared" si="3"/>
        <v>0</v>
      </c>
      <c r="T43" s="1671">
        <f t="shared" si="4"/>
        <v>0</v>
      </c>
      <c r="U43" s="1671">
        <f t="shared" si="5"/>
        <v>0</v>
      </c>
      <c r="V43" s="1671">
        <f t="shared" si="6"/>
        <v>0</v>
      </c>
      <c r="W43" s="1511"/>
    </row>
    <row r="44" spans="3:23" ht="9.75" customHeight="1">
      <c r="C44" s="300" t="s">
        <v>810</v>
      </c>
      <c r="D44" s="101"/>
      <c r="E44" s="101"/>
      <c r="F44" s="101"/>
      <c r="G44" s="101"/>
      <c r="H44" s="101"/>
      <c r="I44" s="1666"/>
      <c r="J44" s="1670"/>
      <c r="K44" s="101"/>
      <c r="L44" s="101"/>
      <c r="M44" s="101"/>
      <c r="N44" s="101"/>
      <c r="O44" s="101"/>
      <c r="P44" s="1671">
        <f t="shared" si="0"/>
        <v>0</v>
      </c>
      <c r="Q44" s="1671">
        <f t="shared" si="1"/>
        <v>0</v>
      </c>
      <c r="R44" s="1671">
        <f t="shared" si="2"/>
        <v>0</v>
      </c>
      <c r="S44" s="1671">
        <f t="shared" si="3"/>
        <v>0</v>
      </c>
      <c r="T44" s="1671">
        <f t="shared" si="4"/>
        <v>0</v>
      </c>
      <c r="U44" s="1671">
        <f t="shared" si="5"/>
        <v>0</v>
      </c>
      <c r="V44" s="1671">
        <f t="shared" si="6"/>
        <v>0</v>
      </c>
      <c r="W44" s="1511"/>
    </row>
    <row r="45" spans="3:23" ht="9.75" customHeight="1">
      <c r="C45" s="300" t="s">
        <v>811</v>
      </c>
      <c r="D45" s="101"/>
      <c r="E45" s="101"/>
      <c r="F45" s="101"/>
      <c r="G45" s="101"/>
      <c r="H45" s="101"/>
      <c r="I45" s="1666"/>
      <c r="J45" s="1670"/>
      <c r="K45" s="101"/>
      <c r="L45" s="101"/>
      <c r="M45" s="101"/>
      <c r="N45" s="101"/>
      <c r="O45" s="101"/>
      <c r="P45" s="1671">
        <f t="shared" si="0"/>
        <v>0</v>
      </c>
      <c r="Q45" s="1671">
        <f t="shared" si="1"/>
        <v>0</v>
      </c>
      <c r="R45" s="1671">
        <f t="shared" si="2"/>
        <v>0</v>
      </c>
      <c r="S45" s="1671">
        <f t="shared" si="3"/>
        <v>0</v>
      </c>
      <c r="T45" s="1671">
        <f t="shared" si="4"/>
        <v>0</v>
      </c>
      <c r="U45" s="1671">
        <f t="shared" si="5"/>
        <v>0</v>
      </c>
      <c r="V45" s="1671">
        <f t="shared" si="6"/>
        <v>0</v>
      </c>
      <c r="W45" s="1511"/>
    </row>
    <row r="46" spans="3:23" ht="9.75" customHeight="1">
      <c r="C46" s="300" t="s">
        <v>812</v>
      </c>
      <c r="D46" s="101"/>
      <c r="E46" s="101"/>
      <c r="F46" s="101"/>
      <c r="G46" s="101"/>
      <c r="H46" s="101"/>
      <c r="I46" s="1666"/>
      <c r="J46" s="1670"/>
      <c r="K46" s="101"/>
      <c r="L46" s="101"/>
      <c r="M46" s="101"/>
      <c r="N46" s="101"/>
      <c r="O46" s="101"/>
      <c r="P46" s="1671">
        <f t="shared" si="0"/>
        <v>0</v>
      </c>
      <c r="Q46" s="1671">
        <f t="shared" si="1"/>
        <v>0</v>
      </c>
      <c r="R46" s="1671">
        <f t="shared" si="2"/>
        <v>0</v>
      </c>
      <c r="S46" s="1671">
        <f t="shared" si="3"/>
        <v>0</v>
      </c>
      <c r="T46" s="1671">
        <f t="shared" si="4"/>
        <v>0</v>
      </c>
      <c r="U46" s="1671">
        <f t="shared" si="5"/>
        <v>0</v>
      </c>
      <c r="V46" s="1671">
        <f t="shared" si="6"/>
        <v>0</v>
      </c>
      <c r="W46" s="1511"/>
    </row>
    <row r="47" spans="3:23" ht="9.75" customHeight="1">
      <c r="C47" s="300" t="s">
        <v>780</v>
      </c>
      <c r="D47" s="101"/>
      <c r="E47" s="101"/>
      <c r="F47" s="101"/>
      <c r="G47" s="101"/>
      <c r="H47" s="101"/>
      <c r="I47" s="1666"/>
      <c r="J47" s="1670"/>
      <c r="K47" s="101"/>
      <c r="L47" s="101"/>
      <c r="M47" s="101"/>
      <c r="N47" s="101"/>
      <c r="O47" s="101"/>
      <c r="P47" s="1671">
        <f t="shared" si="0"/>
        <v>0</v>
      </c>
      <c r="Q47" s="1671">
        <f t="shared" si="1"/>
        <v>0</v>
      </c>
      <c r="R47" s="1671">
        <f t="shared" si="2"/>
        <v>0</v>
      </c>
      <c r="S47" s="1671">
        <f t="shared" si="3"/>
        <v>0</v>
      </c>
      <c r="T47" s="1671">
        <f t="shared" si="4"/>
        <v>0</v>
      </c>
      <c r="U47" s="1671">
        <f t="shared" si="5"/>
        <v>0</v>
      </c>
      <c r="V47" s="1671">
        <f t="shared" si="6"/>
        <v>0</v>
      </c>
      <c r="W47" s="1511"/>
    </row>
    <row r="48" spans="3:23" ht="9.75" customHeight="1">
      <c r="C48" s="300" t="s">
        <v>813</v>
      </c>
      <c r="D48" s="101"/>
      <c r="E48" s="101"/>
      <c r="F48" s="101"/>
      <c r="G48" s="101"/>
      <c r="H48" s="101"/>
      <c r="I48" s="1666"/>
      <c r="J48" s="1670"/>
      <c r="K48" s="101"/>
      <c r="L48" s="101"/>
      <c r="M48" s="101"/>
      <c r="N48" s="101"/>
      <c r="O48" s="101"/>
      <c r="P48" s="1671">
        <f t="shared" si="0"/>
        <v>0</v>
      </c>
      <c r="Q48" s="1671">
        <f t="shared" si="1"/>
        <v>0</v>
      </c>
      <c r="R48" s="1671">
        <f t="shared" si="2"/>
        <v>0</v>
      </c>
      <c r="S48" s="1671">
        <f t="shared" si="3"/>
        <v>0</v>
      </c>
      <c r="T48" s="1671">
        <f t="shared" si="4"/>
        <v>0</v>
      </c>
      <c r="U48" s="1671">
        <f t="shared" si="5"/>
        <v>0</v>
      </c>
      <c r="V48" s="1671">
        <f t="shared" si="6"/>
        <v>0</v>
      </c>
      <c r="W48" s="1511"/>
    </row>
    <row r="49" spans="1:23" ht="9.75" customHeight="1">
      <c r="C49" s="300" t="s">
        <v>814</v>
      </c>
      <c r="D49" s="101"/>
      <c r="E49" s="101"/>
      <c r="F49" s="101"/>
      <c r="G49" s="101"/>
      <c r="H49" s="101"/>
      <c r="I49" s="1666"/>
      <c r="J49" s="1670"/>
      <c r="K49" s="101"/>
      <c r="L49" s="101"/>
      <c r="M49" s="101"/>
      <c r="N49" s="101"/>
      <c r="O49" s="101"/>
      <c r="P49" s="1671">
        <f t="shared" si="0"/>
        <v>0</v>
      </c>
      <c r="Q49" s="1671">
        <f t="shared" si="1"/>
        <v>0</v>
      </c>
      <c r="R49" s="1671">
        <f t="shared" si="2"/>
        <v>0</v>
      </c>
      <c r="S49" s="1671">
        <f t="shared" si="3"/>
        <v>0</v>
      </c>
      <c r="T49" s="1671">
        <f t="shared" si="4"/>
        <v>0</v>
      </c>
      <c r="U49" s="1671">
        <f t="shared" si="5"/>
        <v>0</v>
      </c>
      <c r="V49" s="1671">
        <f t="shared" si="6"/>
        <v>0</v>
      </c>
      <c r="W49" s="1511"/>
    </row>
    <row r="50" spans="1:23" ht="9.75" customHeight="1">
      <c r="C50" s="1672" t="s">
        <v>815</v>
      </c>
      <c r="D50" s="1673"/>
      <c r="E50" s="1673"/>
      <c r="F50" s="1673"/>
      <c r="G50" s="1673"/>
      <c r="H50" s="1673"/>
      <c r="I50" s="1673"/>
      <c r="J50" s="1673"/>
      <c r="K50" s="1673"/>
      <c r="L50" s="1673"/>
      <c r="M50" s="1673"/>
      <c r="N50" s="1673"/>
      <c r="O50" s="1673"/>
      <c r="P50" s="1674">
        <f t="shared" si="0"/>
        <v>0</v>
      </c>
      <c r="Q50" s="1674">
        <f t="shared" si="1"/>
        <v>0</v>
      </c>
      <c r="R50" s="1674">
        <f t="shared" si="2"/>
        <v>0</v>
      </c>
      <c r="S50" s="1674">
        <f t="shared" si="3"/>
        <v>0</v>
      </c>
      <c r="T50" s="1674">
        <f t="shared" si="4"/>
        <v>0</v>
      </c>
      <c r="U50" s="1674">
        <f t="shared" si="5"/>
        <v>0</v>
      </c>
      <c r="V50" s="1674">
        <f t="shared" si="6"/>
        <v>0</v>
      </c>
      <c r="W50" s="1511"/>
    </row>
    <row r="51" spans="1:23" ht="9.75" customHeight="1">
      <c r="C51" s="300" t="s">
        <v>816</v>
      </c>
      <c r="D51" s="101"/>
      <c r="E51" s="101"/>
      <c r="F51" s="101"/>
      <c r="G51" s="101"/>
      <c r="H51" s="101"/>
      <c r="I51" s="1666"/>
      <c r="J51" s="1670"/>
      <c r="K51" s="101"/>
      <c r="L51" s="101"/>
      <c r="M51" s="101"/>
      <c r="N51" s="101"/>
      <c r="O51" s="101"/>
      <c r="P51" s="1671">
        <f t="shared" si="0"/>
        <v>0</v>
      </c>
      <c r="Q51" s="1671">
        <f t="shared" si="1"/>
        <v>0</v>
      </c>
      <c r="R51" s="1671">
        <f t="shared" si="2"/>
        <v>0</v>
      </c>
      <c r="S51" s="1671">
        <f t="shared" si="3"/>
        <v>0</v>
      </c>
      <c r="T51" s="1671">
        <f t="shared" si="4"/>
        <v>0</v>
      </c>
      <c r="U51" s="1671">
        <f t="shared" si="5"/>
        <v>0</v>
      </c>
      <c r="V51" s="1671">
        <f t="shared" si="6"/>
        <v>0</v>
      </c>
      <c r="W51" s="1511"/>
    </row>
    <row r="52" spans="1:23" ht="9.75" customHeight="1">
      <c r="C52" s="300" t="s">
        <v>817</v>
      </c>
      <c r="D52" s="101"/>
      <c r="E52" s="101"/>
      <c r="F52" s="101"/>
      <c r="G52" s="101"/>
      <c r="H52" s="101"/>
      <c r="I52" s="1666"/>
      <c r="J52" s="1670"/>
      <c r="K52" s="101"/>
      <c r="L52" s="101"/>
      <c r="M52" s="101"/>
      <c r="N52" s="101"/>
      <c r="O52" s="101"/>
      <c r="P52" s="1671">
        <f t="shared" si="0"/>
        <v>0</v>
      </c>
      <c r="Q52" s="1671">
        <f t="shared" si="1"/>
        <v>0</v>
      </c>
      <c r="R52" s="1671">
        <f t="shared" si="2"/>
        <v>0</v>
      </c>
      <c r="S52" s="1671">
        <f t="shared" si="3"/>
        <v>0</v>
      </c>
      <c r="T52" s="1671">
        <f t="shared" si="4"/>
        <v>0</v>
      </c>
      <c r="U52" s="1671">
        <f t="shared" si="5"/>
        <v>0</v>
      </c>
      <c r="V52" s="1671">
        <f t="shared" si="6"/>
        <v>0</v>
      </c>
      <c r="W52" s="1511"/>
    </row>
    <row r="53" spans="1:23" ht="9.75" customHeight="1">
      <c r="C53" s="300" t="s">
        <v>818</v>
      </c>
      <c r="D53" s="101"/>
      <c r="E53" s="101"/>
      <c r="F53" s="101"/>
      <c r="G53" s="101"/>
      <c r="H53" s="101"/>
      <c r="I53" s="1666"/>
      <c r="J53" s="1670"/>
      <c r="K53" s="101"/>
      <c r="L53" s="101"/>
      <c r="M53" s="101"/>
      <c r="N53" s="101"/>
      <c r="O53" s="101"/>
      <c r="P53" s="1671"/>
      <c r="Q53" s="1671">
        <f t="shared" si="1"/>
        <v>0</v>
      </c>
      <c r="R53" s="1671">
        <f t="shared" si="2"/>
        <v>0</v>
      </c>
      <c r="S53" s="1671">
        <f t="shared" si="3"/>
        <v>0</v>
      </c>
      <c r="T53" s="1671">
        <f t="shared" si="4"/>
        <v>0</v>
      </c>
      <c r="U53" s="1671">
        <f t="shared" si="5"/>
        <v>0</v>
      </c>
      <c r="V53" s="1671">
        <f t="shared" si="6"/>
        <v>0</v>
      </c>
      <c r="W53" s="1511"/>
    </row>
    <row r="54" spans="1:23" ht="9.75" customHeight="1">
      <c r="C54" s="1672" t="s">
        <v>819</v>
      </c>
      <c r="D54" s="1673"/>
      <c r="E54" s="1673"/>
      <c r="F54" s="1673"/>
      <c r="G54" s="1673"/>
      <c r="H54" s="1673"/>
      <c r="I54" s="1673"/>
      <c r="J54" s="1673"/>
      <c r="K54" s="1673"/>
      <c r="L54" s="1673"/>
      <c r="M54" s="1673"/>
      <c r="N54" s="1673"/>
      <c r="O54" s="1673"/>
      <c r="P54" s="1674">
        <f t="shared" ref="P54:P57" si="9">SUM(K54:O54)</f>
        <v>0</v>
      </c>
      <c r="Q54" s="1674">
        <f t="shared" si="1"/>
        <v>0</v>
      </c>
      <c r="R54" s="1674">
        <f t="shared" si="2"/>
        <v>0</v>
      </c>
      <c r="S54" s="1674">
        <f t="shared" si="3"/>
        <v>0</v>
      </c>
      <c r="T54" s="1674">
        <f t="shared" si="4"/>
        <v>0</v>
      </c>
      <c r="U54" s="1674">
        <f t="shared" si="5"/>
        <v>0</v>
      </c>
      <c r="V54" s="1674">
        <f t="shared" si="6"/>
        <v>0</v>
      </c>
      <c r="W54" s="1511"/>
    </row>
    <row r="55" spans="1:23" ht="9.75" customHeight="1">
      <c r="C55" s="300" t="s">
        <v>820</v>
      </c>
      <c r="D55" s="101"/>
      <c r="E55" s="101"/>
      <c r="F55" s="101"/>
      <c r="G55" s="101"/>
      <c r="H55" s="101"/>
      <c r="I55" s="1666"/>
      <c r="J55" s="1670"/>
      <c r="K55" s="101"/>
      <c r="L55" s="101"/>
      <c r="M55" s="101"/>
      <c r="N55" s="101"/>
      <c r="O55" s="101"/>
      <c r="P55" s="1671">
        <f t="shared" si="9"/>
        <v>0</v>
      </c>
      <c r="Q55" s="1671">
        <f t="shared" si="1"/>
        <v>0</v>
      </c>
      <c r="R55" s="1671">
        <f t="shared" si="2"/>
        <v>0</v>
      </c>
      <c r="S55" s="1671">
        <f t="shared" si="3"/>
        <v>0</v>
      </c>
      <c r="T55" s="1671">
        <f t="shared" si="4"/>
        <v>0</v>
      </c>
      <c r="U55" s="1671">
        <f t="shared" si="5"/>
        <v>0</v>
      </c>
      <c r="V55" s="1671">
        <f t="shared" si="6"/>
        <v>0</v>
      </c>
      <c r="W55" s="1511"/>
    </row>
    <row r="56" spans="1:23" ht="9.75" customHeight="1">
      <c r="C56" s="300" t="s">
        <v>821</v>
      </c>
      <c r="D56" s="101"/>
      <c r="E56" s="101"/>
      <c r="F56" s="101"/>
      <c r="G56" s="101"/>
      <c r="H56" s="101"/>
      <c r="I56" s="1666"/>
      <c r="J56" s="1670"/>
      <c r="K56" s="101"/>
      <c r="L56" s="101"/>
      <c r="M56" s="101"/>
      <c r="N56" s="101"/>
      <c r="O56" s="101"/>
      <c r="P56" s="1671">
        <f t="shared" si="9"/>
        <v>0</v>
      </c>
      <c r="Q56" s="1671">
        <f t="shared" si="1"/>
        <v>0</v>
      </c>
      <c r="R56" s="1671">
        <f t="shared" si="2"/>
        <v>0</v>
      </c>
      <c r="S56" s="1671">
        <f t="shared" si="3"/>
        <v>0</v>
      </c>
      <c r="T56" s="1671">
        <f t="shared" si="4"/>
        <v>0</v>
      </c>
      <c r="U56" s="1671">
        <f t="shared" si="5"/>
        <v>0</v>
      </c>
      <c r="V56" s="1671">
        <f t="shared" si="6"/>
        <v>0</v>
      </c>
      <c r="W56" s="1511"/>
    </row>
    <row r="57" spans="1:23" ht="9.75" customHeight="1">
      <c r="C57" s="300" t="s">
        <v>822</v>
      </c>
      <c r="D57" s="101"/>
      <c r="E57" s="101"/>
      <c r="F57" s="101"/>
      <c r="G57" s="101"/>
      <c r="H57" s="101"/>
      <c r="I57" s="1666"/>
      <c r="J57" s="1670"/>
      <c r="K57" s="101"/>
      <c r="L57" s="101"/>
      <c r="M57" s="101"/>
      <c r="N57" s="101"/>
      <c r="O57" s="101"/>
      <c r="P57" s="1671">
        <f t="shared" si="9"/>
        <v>0</v>
      </c>
      <c r="Q57" s="1671">
        <f t="shared" si="1"/>
        <v>0</v>
      </c>
      <c r="R57" s="1671">
        <f t="shared" si="2"/>
        <v>0</v>
      </c>
      <c r="S57" s="1671">
        <f t="shared" si="3"/>
        <v>0</v>
      </c>
      <c r="T57" s="1671">
        <f t="shared" si="4"/>
        <v>0</v>
      </c>
      <c r="U57" s="1671">
        <f t="shared" si="5"/>
        <v>0</v>
      </c>
      <c r="V57" s="1671">
        <f t="shared" si="6"/>
        <v>0</v>
      </c>
      <c r="W57" s="1511"/>
    </row>
    <row r="58" spans="1:23" ht="9.75" customHeight="1">
      <c r="C58" s="300" t="s">
        <v>823</v>
      </c>
      <c r="D58" s="101"/>
      <c r="E58" s="101"/>
      <c r="F58" s="101"/>
      <c r="G58" s="101"/>
      <c r="H58" s="101"/>
      <c r="I58" s="1666"/>
      <c r="J58" s="1670"/>
      <c r="K58" s="101"/>
      <c r="L58" s="101"/>
      <c r="M58" s="101"/>
      <c r="N58" s="101"/>
      <c r="O58" s="101"/>
      <c r="P58" s="1671"/>
      <c r="Q58" s="1671">
        <f t="shared" si="1"/>
        <v>0</v>
      </c>
      <c r="R58" s="1671">
        <f t="shared" si="2"/>
        <v>0</v>
      </c>
      <c r="S58" s="1671">
        <f t="shared" si="3"/>
        <v>0</v>
      </c>
      <c r="T58" s="1671">
        <f t="shared" si="4"/>
        <v>0</v>
      </c>
      <c r="U58" s="1671">
        <f t="shared" si="5"/>
        <v>0</v>
      </c>
      <c r="V58" s="1671">
        <f t="shared" si="6"/>
        <v>0</v>
      </c>
      <c r="W58" s="1511"/>
    </row>
    <row r="59" spans="1:23" ht="9.75" customHeight="1">
      <c r="C59" s="300" t="s">
        <v>824</v>
      </c>
      <c r="D59" s="101"/>
      <c r="E59" s="101"/>
      <c r="F59" s="101"/>
      <c r="G59" s="101"/>
      <c r="H59" s="101"/>
      <c r="I59" s="1666"/>
      <c r="J59" s="1670"/>
      <c r="K59" s="101"/>
      <c r="L59" s="101"/>
      <c r="M59" s="101"/>
      <c r="N59" s="101"/>
      <c r="O59" s="101"/>
      <c r="P59" s="1671">
        <f t="shared" ref="P59:P65" si="10">SUM(K59:O59)</f>
        <v>0</v>
      </c>
      <c r="Q59" s="1671">
        <f t="shared" si="1"/>
        <v>0</v>
      </c>
      <c r="R59" s="1671">
        <f t="shared" si="2"/>
        <v>0</v>
      </c>
      <c r="S59" s="1671">
        <f t="shared" si="3"/>
        <v>0</v>
      </c>
      <c r="T59" s="1671">
        <f t="shared" si="4"/>
        <v>0</v>
      </c>
      <c r="U59" s="1671">
        <f t="shared" si="5"/>
        <v>0</v>
      </c>
      <c r="V59" s="1671">
        <f t="shared" si="6"/>
        <v>0</v>
      </c>
      <c r="W59" s="1511"/>
    </row>
    <row r="60" spans="1:23" ht="9.75" customHeight="1">
      <c r="C60" s="1672" t="s">
        <v>825</v>
      </c>
      <c r="D60" s="1673"/>
      <c r="E60" s="1673"/>
      <c r="F60" s="1673"/>
      <c r="G60" s="1673"/>
      <c r="H60" s="1673"/>
      <c r="I60" s="1673"/>
      <c r="J60" s="1673"/>
      <c r="K60" s="1673"/>
      <c r="L60" s="1673"/>
      <c r="M60" s="1673"/>
      <c r="N60" s="1673"/>
      <c r="O60" s="1673"/>
      <c r="P60" s="1674">
        <f t="shared" si="10"/>
        <v>0</v>
      </c>
      <c r="Q60" s="1674">
        <f t="shared" si="1"/>
        <v>0</v>
      </c>
      <c r="R60" s="1674">
        <f t="shared" si="2"/>
        <v>0</v>
      </c>
      <c r="S60" s="1674">
        <f t="shared" si="3"/>
        <v>0</v>
      </c>
      <c r="T60" s="1674">
        <f t="shared" si="4"/>
        <v>0</v>
      </c>
      <c r="U60" s="1674">
        <f t="shared" si="5"/>
        <v>0</v>
      </c>
      <c r="V60" s="1674">
        <f t="shared" si="6"/>
        <v>0</v>
      </c>
      <c r="W60" s="1511"/>
    </row>
    <row r="61" spans="1:23" ht="9.75" customHeight="1">
      <c r="C61" s="300" t="s">
        <v>826</v>
      </c>
      <c r="D61" s="101"/>
      <c r="E61" s="101"/>
      <c r="F61" s="101"/>
      <c r="G61" s="101"/>
      <c r="H61" s="101"/>
      <c r="I61" s="1666"/>
      <c r="J61" s="1670"/>
      <c r="K61" s="101"/>
      <c r="L61" s="101"/>
      <c r="M61" s="101"/>
      <c r="N61" s="101"/>
      <c r="O61" s="101"/>
      <c r="P61" s="1671">
        <f t="shared" si="10"/>
        <v>0</v>
      </c>
      <c r="Q61" s="1671">
        <f t="shared" si="1"/>
        <v>0</v>
      </c>
      <c r="R61" s="1671">
        <f t="shared" si="2"/>
        <v>0</v>
      </c>
      <c r="S61" s="1671">
        <f t="shared" si="3"/>
        <v>0</v>
      </c>
      <c r="T61" s="1671">
        <f t="shared" si="4"/>
        <v>0</v>
      </c>
      <c r="U61" s="1671">
        <f t="shared" si="5"/>
        <v>0</v>
      </c>
      <c r="V61" s="1671">
        <f t="shared" si="6"/>
        <v>0</v>
      </c>
      <c r="W61" s="1511"/>
    </row>
    <row r="62" spans="1:23" ht="9.75" customHeight="1">
      <c r="A62" s="894"/>
      <c r="C62" s="300" t="s">
        <v>675</v>
      </c>
      <c r="D62" s="101"/>
      <c r="E62" s="101"/>
      <c r="F62" s="101">
        <f>SUM(F35:F61)</f>
        <v>0</v>
      </c>
      <c r="G62" s="101"/>
      <c r="H62" s="101">
        <f t="shared" ref="H62" si="11">SUM(H35:H61)</f>
        <v>0</v>
      </c>
      <c r="I62" s="1666"/>
      <c r="J62" s="1670">
        <f t="shared" ref="J62:O62" si="12">SUM(J35:J61)</f>
        <v>0</v>
      </c>
      <c r="K62" s="101">
        <f t="shared" si="12"/>
        <v>0</v>
      </c>
      <c r="L62" s="101">
        <f t="shared" si="12"/>
        <v>0</v>
      </c>
      <c r="M62" s="101">
        <f t="shared" si="12"/>
        <v>0</v>
      </c>
      <c r="N62" s="101">
        <f t="shared" si="12"/>
        <v>0</v>
      </c>
      <c r="O62" s="101">
        <f t="shared" si="12"/>
        <v>0</v>
      </c>
      <c r="P62" s="1671">
        <f t="shared" si="10"/>
        <v>0</v>
      </c>
      <c r="Q62" s="1671">
        <f t="shared" si="1"/>
        <v>0</v>
      </c>
      <c r="R62" s="1671">
        <f t="shared" si="2"/>
        <v>0</v>
      </c>
      <c r="S62" s="1671">
        <f t="shared" si="3"/>
        <v>0</v>
      </c>
      <c r="T62" s="1671">
        <f t="shared" si="4"/>
        <v>0</v>
      </c>
      <c r="U62" s="1671">
        <f t="shared" si="5"/>
        <v>0</v>
      </c>
      <c r="V62" s="1671">
        <f t="shared" si="6"/>
        <v>0</v>
      </c>
      <c r="W62" s="1511"/>
    </row>
    <row r="63" spans="1:23" ht="9.75" customHeight="1">
      <c r="A63" s="894"/>
      <c r="C63" s="300" t="s">
        <v>676</v>
      </c>
      <c r="D63" s="101"/>
      <c r="E63" s="101"/>
      <c r="F63" s="101">
        <f>SUM(F62,F34)</f>
        <v>0</v>
      </c>
      <c r="G63" s="101"/>
      <c r="H63" s="101">
        <f t="shared" ref="H63" si="13">SUM(H62,H34)</f>
        <v>0</v>
      </c>
      <c r="I63" s="1666"/>
      <c r="J63" s="1670">
        <f t="shared" ref="J63:O63" si="14">SUM(J62,J34)</f>
        <v>0</v>
      </c>
      <c r="K63" s="101">
        <f t="shared" si="14"/>
        <v>0</v>
      </c>
      <c r="L63" s="101">
        <f t="shared" si="14"/>
        <v>0</v>
      </c>
      <c r="M63" s="101">
        <f t="shared" si="14"/>
        <v>0</v>
      </c>
      <c r="N63" s="101">
        <f t="shared" si="14"/>
        <v>0</v>
      </c>
      <c r="O63" s="101">
        <f t="shared" si="14"/>
        <v>0</v>
      </c>
      <c r="P63" s="1671">
        <f t="shared" si="10"/>
        <v>0</v>
      </c>
      <c r="Q63" s="1671">
        <f t="shared" si="1"/>
        <v>0</v>
      </c>
      <c r="R63" s="1671">
        <f t="shared" si="2"/>
        <v>0</v>
      </c>
      <c r="S63" s="1671">
        <f t="shared" si="3"/>
        <v>0</v>
      </c>
      <c r="T63" s="1671">
        <f t="shared" si="4"/>
        <v>0</v>
      </c>
      <c r="U63" s="1671">
        <f t="shared" si="5"/>
        <v>0</v>
      </c>
      <c r="V63" s="1671">
        <f t="shared" si="6"/>
        <v>0</v>
      </c>
      <c r="W63" s="1511"/>
    </row>
    <row r="64" spans="1:23" ht="9.75" customHeight="1">
      <c r="C64" s="1672" t="s">
        <v>827</v>
      </c>
      <c r="D64" s="1673"/>
      <c r="E64" s="1673"/>
      <c r="F64" s="1673"/>
      <c r="G64" s="1673"/>
      <c r="H64" s="1673"/>
      <c r="I64" s="1673"/>
      <c r="J64" s="1673"/>
      <c r="K64" s="1673"/>
      <c r="L64" s="1673"/>
      <c r="M64" s="1673"/>
      <c r="N64" s="1673"/>
      <c r="O64" s="1673"/>
      <c r="P64" s="1674">
        <f t="shared" si="10"/>
        <v>0</v>
      </c>
      <c r="Q64" s="1674">
        <f t="shared" si="1"/>
        <v>0</v>
      </c>
      <c r="R64" s="1674">
        <f t="shared" si="2"/>
        <v>0</v>
      </c>
      <c r="S64" s="1674">
        <f t="shared" si="3"/>
        <v>0</v>
      </c>
      <c r="T64" s="1674">
        <f t="shared" si="4"/>
        <v>0</v>
      </c>
      <c r="U64" s="1674">
        <f t="shared" si="5"/>
        <v>0</v>
      </c>
      <c r="V64" s="1674">
        <f t="shared" si="6"/>
        <v>0</v>
      </c>
      <c r="W64" s="1511"/>
    </row>
    <row r="65" spans="1:23" ht="9.75" customHeight="1">
      <c r="A65" s="894"/>
      <c r="B65" s="894"/>
      <c r="C65" s="1672" t="s">
        <v>831</v>
      </c>
      <c r="D65" s="1673"/>
      <c r="E65" s="1673"/>
      <c r="F65" s="1673"/>
      <c r="G65" s="1673"/>
      <c r="H65" s="1673"/>
      <c r="I65" s="1673"/>
      <c r="J65" s="1673"/>
      <c r="K65" s="1673"/>
      <c r="L65" s="1673"/>
      <c r="M65" s="1673"/>
      <c r="N65" s="1673"/>
      <c r="O65" s="1673"/>
      <c r="P65" s="1674">
        <f t="shared" si="10"/>
        <v>0</v>
      </c>
      <c r="Q65" s="1674">
        <f t="shared" si="1"/>
        <v>0</v>
      </c>
      <c r="R65" s="1674">
        <f t="shared" si="2"/>
        <v>0</v>
      </c>
      <c r="S65" s="1674">
        <f t="shared" si="3"/>
        <v>0</v>
      </c>
      <c r="T65" s="1674">
        <f t="shared" si="4"/>
        <v>0</v>
      </c>
      <c r="U65" s="1674">
        <f t="shared" si="5"/>
        <v>0</v>
      </c>
      <c r="V65" s="1674">
        <f t="shared" si="6"/>
        <v>0</v>
      </c>
      <c r="W65" s="1511"/>
    </row>
    <row r="66" spans="1:23" ht="9.75" customHeight="1">
      <c r="A66" s="894"/>
      <c r="B66" s="894"/>
      <c r="C66" s="545" t="s">
        <v>832</v>
      </c>
      <c r="D66" s="101"/>
      <c r="E66" s="101"/>
      <c r="F66" s="101"/>
      <c r="G66" s="101"/>
      <c r="H66" s="101"/>
      <c r="I66" s="1666"/>
      <c r="J66" s="289"/>
      <c r="K66" s="101"/>
      <c r="L66" s="101"/>
      <c r="M66" s="101"/>
      <c r="N66" s="101"/>
      <c r="O66" s="101"/>
      <c r="P66" s="1671"/>
      <c r="Q66" s="1671">
        <f t="shared" si="1"/>
        <v>0</v>
      </c>
      <c r="R66" s="1671">
        <f t="shared" si="2"/>
        <v>0</v>
      </c>
      <c r="S66" s="1671">
        <f t="shared" si="3"/>
        <v>0</v>
      </c>
      <c r="T66" s="1671">
        <f t="shared" si="4"/>
        <v>0</v>
      </c>
      <c r="U66" s="1671">
        <f t="shared" si="5"/>
        <v>0</v>
      </c>
      <c r="V66" s="1671">
        <f t="shared" si="6"/>
        <v>0</v>
      </c>
      <c r="W66" s="1511"/>
    </row>
    <row r="67" spans="1:23" ht="9.75" customHeight="1" thickBot="1">
      <c r="A67" s="894"/>
      <c r="B67" s="894"/>
      <c r="C67" s="1675" t="s">
        <v>829</v>
      </c>
      <c r="D67" s="1676"/>
      <c r="E67" s="1676"/>
      <c r="F67" s="1676"/>
      <c r="G67" s="1676"/>
      <c r="H67" s="1676"/>
      <c r="I67" s="1676"/>
      <c r="J67" s="1676"/>
      <c r="K67" s="1676"/>
      <c r="L67" s="1676"/>
      <c r="M67" s="1676"/>
      <c r="N67" s="1676"/>
      <c r="O67" s="1676"/>
      <c r="P67" s="1677"/>
      <c r="Q67" s="1677">
        <f t="shared" si="1"/>
        <v>0</v>
      </c>
      <c r="R67" s="1677">
        <f t="shared" si="2"/>
        <v>0</v>
      </c>
      <c r="S67" s="1677">
        <f t="shared" si="3"/>
        <v>0</v>
      </c>
      <c r="T67" s="1677">
        <f t="shared" si="4"/>
        <v>0</v>
      </c>
      <c r="U67" s="1677">
        <f t="shared" si="5"/>
        <v>0</v>
      </c>
      <c r="V67" s="1677">
        <f t="shared" si="6"/>
        <v>0</v>
      </c>
      <c r="W67" s="1511"/>
    </row>
    <row r="68" spans="1:23" ht="10.5" customHeight="1">
      <c r="C68" s="1797" t="s">
        <v>963</v>
      </c>
      <c r="D68" s="1798"/>
      <c r="E68" s="1798"/>
      <c r="F68" s="1798"/>
      <c r="G68" s="1798"/>
      <c r="H68" s="1798"/>
      <c r="I68" s="1798"/>
      <c r="J68" s="1798"/>
      <c r="K68" s="1798"/>
      <c r="L68" s="1798"/>
      <c r="M68" s="1798"/>
      <c r="N68" s="1798"/>
      <c r="O68" s="1798"/>
      <c r="P68" s="1798"/>
      <c r="Q68" s="1798"/>
      <c r="R68" s="1798"/>
      <c r="S68" s="1798"/>
      <c r="T68" s="1798"/>
      <c r="U68" s="1798"/>
      <c r="V68" s="1798"/>
    </row>
    <row r="69" spans="1:23" s="1527" customFormat="1" ht="19.5" customHeight="1">
      <c r="A69" s="889"/>
      <c r="B69" s="889"/>
      <c r="C69" s="1582"/>
      <c r="D69" s="1582"/>
      <c r="E69" s="1582"/>
      <c r="F69" s="1582"/>
      <c r="G69" s="1582"/>
      <c r="H69" s="1582"/>
      <c r="I69" s="1582"/>
      <c r="J69" s="1678"/>
      <c r="K69" s="1679"/>
      <c r="L69" s="1679"/>
      <c r="M69" s="1679"/>
      <c r="N69" s="1679"/>
      <c r="O69" s="1679"/>
      <c r="P69" s="1680"/>
      <c r="Q69" s="1679"/>
      <c r="R69" s="1679"/>
      <c r="S69" s="1679"/>
      <c r="T69" s="1679"/>
      <c r="U69" s="1679"/>
      <c r="V69" s="1680"/>
    </row>
    <row r="70" spans="1:23" ht="13.5" thickBot="1">
      <c r="C70" s="91" t="s">
        <v>974</v>
      </c>
      <c r="D70" s="1681"/>
      <c r="E70" s="1681"/>
      <c r="F70" s="1679"/>
      <c r="G70" s="1679"/>
      <c r="H70" s="1679"/>
      <c r="I70" s="1678"/>
      <c r="J70" s="1522"/>
      <c r="K70" s="1658"/>
      <c r="L70" s="1658"/>
      <c r="M70" s="1658"/>
      <c r="N70" s="92"/>
      <c r="O70" s="1658"/>
      <c r="P70" s="1662"/>
      <c r="Q70" s="1658"/>
      <c r="R70" s="1658"/>
      <c r="S70" s="1658"/>
      <c r="T70" s="1658"/>
      <c r="U70" s="1658"/>
      <c r="V70" s="1662"/>
    </row>
    <row r="71" spans="1:23" ht="31.5">
      <c r="C71" s="1682" t="s">
        <v>92</v>
      </c>
      <c r="D71" s="1646" t="s">
        <v>93</v>
      </c>
      <c r="E71" s="1646" t="s">
        <v>368</v>
      </c>
      <c r="F71" s="1510" t="s">
        <v>222</v>
      </c>
      <c r="G71" s="1510" t="s">
        <v>225</v>
      </c>
      <c r="H71" s="1510" t="s">
        <v>225</v>
      </c>
      <c r="I71" s="1788" t="s">
        <v>250</v>
      </c>
      <c r="J71" s="1788"/>
      <c r="K71" s="1788" t="s">
        <v>91</v>
      </c>
      <c r="L71" s="1788"/>
      <c r="M71" s="1788"/>
      <c r="N71" s="1788"/>
      <c r="O71" s="1788"/>
      <c r="P71" s="1788"/>
      <c r="Q71" s="1788" t="s">
        <v>370</v>
      </c>
      <c r="R71" s="1788"/>
      <c r="S71" s="1788"/>
      <c r="T71" s="1788"/>
      <c r="U71" s="1788"/>
      <c r="V71" s="1647"/>
      <c r="W71" s="1795" t="s">
        <v>365</v>
      </c>
    </row>
    <row r="72" spans="1:23" ht="14.25" customHeight="1">
      <c r="C72" s="1683"/>
      <c r="D72" s="1684"/>
      <c r="E72" s="1449"/>
      <c r="F72" s="1509" t="s">
        <v>223</v>
      </c>
      <c r="G72" s="1509" t="s">
        <v>224</v>
      </c>
      <c r="H72" s="1509" t="s">
        <v>223</v>
      </c>
      <c r="I72" s="1509" t="s">
        <v>521</v>
      </c>
      <c r="J72" s="1509" t="s">
        <v>209</v>
      </c>
      <c r="K72" s="1439" t="s">
        <v>94</v>
      </c>
      <c r="L72" s="1439" t="s">
        <v>95</v>
      </c>
      <c r="M72" s="1439" t="s">
        <v>96</v>
      </c>
      <c r="N72" s="1509" t="s">
        <v>97</v>
      </c>
      <c r="O72" s="1439" t="s">
        <v>392</v>
      </c>
      <c r="P72" s="1439" t="s">
        <v>98</v>
      </c>
      <c r="Q72" s="1439" t="s">
        <v>94</v>
      </c>
      <c r="R72" s="1439" t="s">
        <v>262</v>
      </c>
      <c r="S72" s="1509" t="s">
        <v>97</v>
      </c>
      <c r="T72" s="1439" t="s">
        <v>392</v>
      </c>
      <c r="U72" s="1440" t="s">
        <v>95</v>
      </c>
      <c r="V72" s="1685" t="s">
        <v>98</v>
      </c>
      <c r="W72" s="1795"/>
    </row>
    <row r="73" spans="1:23" ht="11.25" customHeight="1">
      <c r="C73" s="1667" t="s">
        <v>785</v>
      </c>
      <c r="D73" s="1668"/>
      <c r="E73" s="1668"/>
      <c r="F73" s="1668"/>
      <c r="G73" s="1668"/>
      <c r="H73" s="1668"/>
      <c r="I73" s="1666"/>
      <c r="J73" s="1669"/>
      <c r="K73" s="1668"/>
      <c r="L73" s="1668"/>
      <c r="M73" s="1668"/>
      <c r="N73" s="1668"/>
      <c r="O73" s="1668"/>
      <c r="P73" s="1668"/>
      <c r="Q73" s="1668"/>
      <c r="R73" s="1668"/>
      <c r="S73" s="1668"/>
      <c r="T73" s="1668"/>
      <c r="U73" s="1668"/>
      <c r="V73" s="1668"/>
      <c r="W73" s="1511"/>
    </row>
    <row r="74" spans="1:23" ht="11.25" customHeight="1">
      <c r="C74" s="300" t="s">
        <v>786</v>
      </c>
      <c r="D74" s="101"/>
      <c r="E74" s="101"/>
      <c r="F74" s="101"/>
      <c r="G74" s="101"/>
      <c r="H74" s="101"/>
      <c r="I74" s="1666"/>
      <c r="J74" s="1670"/>
      <c r="K74" s="101"/>
      <c r="L74" s="101"/>
      <c r="M74" s="101"/>
      <c r="N74" s="101"/>
      <c r="O74" s="101"/>
      <c r="P74" s="1671">
        <f t="shared" ref="P74:P97" si="15">SUM(K74:O74)</f>
        <v>0</v>
      </c>
      <c r="Q74" s="1671">
        <f>IF(J74=0,0,K74/J74*10)</f>
        <v>0</v>
      </c>
      <c r="R74" s="1671">
        <f>IF(J74=0,0,M74/J74*10)</f>
        <v>0</v>
      </c>
      <c r="S74" s="1671">
        <f>IF(J74=0,0,N74/J74*10)</f>
        <v>0</v>
      </c>
      <c r="T74" s="1671">
        <f>IF(J74=0,0,O74/J74*10)</f>
        <v>0</v>
      </c>
      <c r="U74" s="1671">
        <f>IF(J74=0,0,L74/J74*10)</f>
        <v>0</v>
      </c>
      <c r="V74" s="1671">
        <f>IF(J74=0,0,P74/J74*10)</f>
        <v>0</v>
      </c>
      <c r="W74" s="1511"/>
    </row>
    <row r="75" spans="1:23" ht="11.25" customHeight="1">
      <c r="C75" s="300" t="s">
        <v>787</v>
      </c>
      <c r="D75" s="101"/>
      <c r="E75" s="101"/>
      <c r="F75" s="101"/>
      <c r="G75" s="101"/>
      <c r="H75" s="101"/>
      <c r="I75" s="1666"/>
      <c r="J75" s="1670"/>
      <c r="K75" s="101"/>
      <c r="L75" s="101"/>
      <c r="M75" s="101"/>
      <c r="N75" s="101"/>
      <c r="O75" s="101"/>
      <c r="P75" s="1671">
        <f t="shared" si="15"/>
        <v>0</v>
      </c>
      <c r="Q75" s="1671">
        <f>IF(J75=0,0,K75/J75*10)</f>
        <v>0</v>
      </c>
      <c r="R75" s="1671">
        <f>IF(J75=0,0,M75/J75*10)</f>
        <v>0</v>
      </c>
      <c r="S75" s="1671">
        <f>IF(J75=0,0,N75/J75*10)</f>
        <v>0</v>
      </c>
      <c r="T75" s="1671">
        <f>IF(J75=0,0,O75/J75*10)</f>
        <v>0</v>
      </c>
      <c r="U75" s="1671">
        <f>IF(J75=0,0,L75/J75*10)</f>
        <v>0</v>
      </c>
      <c r="V75" s="1671">
        <f>IF(J75=0,0,P75/J75*10)</f>
        <v>0</v>
      </c>
      <c r="W75" s="1511"/>
    </row>
    <row r="76" spans="1:23" ht="11.25" customHeight="1">
      <c r="C76" s="300" t="s">
        <v>677</v>
      </c>
      <c r="D76" s="101"/>
      <c r="E76" s="101"/>
      <c r="F76" s="101"/>
      <c r="G76" s="101"/>
      <c r="H76" s="101"/>
      <c r="I76" s="1666"/>
      <c r="J76" s="1670"/>
      <c r="K76" s="101"/>
      <c r="L76" s="101"/>
      <c r="M76" s="101"/>
      <c r="N76" s="101"/>
      <c r="O76" s="101"/>
      <c r="P76" s="1671">
        <f t="shared" si="15"/>
        <v>0</v>
      </c>
      <c r="Q76" s="1671">
        <f t="shared" ref="Q76:Q130" si="16">IF(J76=0,0,K76/J76*10)</f>
        <v>0</v>
      </c>
      <c r="R76" s="1671">
        <f t="shared" ref="R76:R130" si="17">IF(J76=0,0,M76/J76*10)</f>
        <v>0</v>
      </c>
      <c r="S76" s="1671">
        <f t="shared" ref="S76:S130" si="18">IF(J76=0,0,N76/J76*10)</f>
        <v>0</v>
      </c>
      <c r="T76" s="1671">
        <f t="shared" ref="T76:T130" si="19">IF(J76=0,0,O76/J76*10)</f>
        <v>0</v>
      </c>
      <c r="U76" s="1671">
        <f t="shared" ref="U76:U130" si="20">IF(J76=0,0,L76/J76*10)</f>
        <v>0</v>
      </c>
      <c r="V76" s="1671">
        <f t="shared" ref="V76:V130" si="21">IF(J76=0,0,P76/J76*10)</f>
        <v>0</v>
      </c>
      <c r="W76" s="1511"/>
    </row>
    <row r="77" spans="1:23" ht="11.25" customHeight="1">
      <c r="C77" s="300" t="s">
        <v>105</v>
      </c>
      <c r="D77" s="101"/>
      <c r="E77" s="101"/>
      <c r="F77" s="101"/>
      <c r="G77" s="101"/>
      <c r="H77" s="101"/>
      <c r="I77" s="1666"/>
      <c r="J77" s="1670"/>
      <c r="K77" s="101"/>
      <c r="L77" s="101"/>
      <c r="M77" s="101"/>
      <c r="N77" s="101"/>
      <c r="O77" s="101"/>
      <c r="P77" s="1671">
        <f t="shared" si="15"/>
        <v>0</v>
      </c>
      <c r="Q77" s="1671">
        <f t="shared" si="16"/>
        <v>0</v>
      </c>
      <c r="R77" s="1671">
        <f t="shared" si="17"/>
        <v>0</v>
      </c>
      <c r="S77" s="1671">
        <f t="shared" si="18"/>
        <v>0</v>
      </c>
      <c r="T77" s="1671">
        <f t="shared" si="19"/>
        <v>0</v>
      </c>
      <c r="U77" s="1671">
        <f t="shared" si="20"/>
        <v>0</v>
      </c>
      <c r="V77" s="1671">
        <f t="shared" si="21"/>
        <v>0</v>
      </c>
      <c r="W77" s="1511"/>
    </row>
    <row r="78" spans="1:23" ht="11.25" customHeight="1">
      <c r="C78" s="300" t="s">
        <v>399</v>
      </c>
      <c r="D78" s="101"/>
      <c r="E78" s="101"/>
      <c r="F78" s="101"/>
      <c r="G78" s="101"/>
      <c r="H78" s="101"/>
      <c r="I78" s="1666"/>
      <c r="J78" s="1670"/>
      <c r="K78" s="101"/>
      <c r="L78" s="101"/>
      <c r="M78" s="101"/>
      <c r="N78" s="101"/>
      <c r="O78" s="101"/>
      <c r="P78" s="1671">
        <f t="shared" si="15"/>
        <v>0</v>
      </c>
      <c r="Q78" s="1671">
        <f t="shared" si="16"/>
        <v>0</v>
      </c>
      <c r="R78" s="1671">
        <f t="shared" si="17"/>
        <v>0</v>
      </c>
      <c r="S78" s="1671">
        <f t="shared" si="18"/>
        <v>0</v>
      </c>
      <c r="T78" s="1671">
        <f t="shared" si="19"/>
        <v>0</v>
      </c>
      <c r="U78" s="1671">
        <f t="shared" si="20"/>
        <v>0</v>
      </c>
      <c r="V78" s="1671">
        <f t="shared" si="21"/>
        <v>0</v>
      </c>
      <c r="W78" s="1511"/>
    </row>
    <row r="79" spans="1:23" ht="11.25" customHeight="1">
      <c r="C79" s="300" t="s">
        <v>678</v>
      </c>
      <c r="D79" s="101"/>
      <c r="E79" s="101"/>
      <c r="F79" s="101"/>
      <c r="G79" s="101"/>
      <c r="H79" s="101"/>
      <c r="I79" s="1666"/>
      <c r="J79" s="1670"/>
      <c r="K79" s="101"/>
      <c r="L79" s="101"/>
      <c r="M79" s="101"/>
      <c r="N79" s="101"/>
      <c r="O79" s="101"/>
      <c r="P79" s="1671">
        <f t="shared" si="15"/>
        <v>0</v>
      </c>
      <c r="Q79" s="1671">
        <f t="shared" si="16"/>
        <v>0</v>
      </c>
      <c r="R79" s="1671">
        <f t="shared" si="17"/>
        <v>0</v>
      </c>
      <c r="S79" s="1671">
        <f t="shared" si="18"/>
        <v>0</v>
      </c>
      <c r="T79" s="1671">
        <f t="shared" si="19"/>
        <v>0</v>
      </c>
      <c r="U79" s="1671">
        <f t="shared" si="20"/>
        <v>0</v>
      </c>
      <c r="V79" s="1671">
        <f t="shared" si="21"/>
        <v>0</v>
      </c>
      <c r="W79" s="1511"/>
    </row>
    <row r="80" spans="1:23" ht="11.25" customHeight="1">
      <c r="C80" s="1672" t="s">
        <v>788</v>
      </c>
      <c r="D80" s="1673"/>
      <c r="E80" s="1673"/>
      <c r="F80" s="1673"/>
      <c r="G80" s="1673"/>
      <c r="H80" s="1673"/>
      <c r="I80" s="1673"/>
      <c r="J80" s="1673"/>
      <c r="K80" s="1673"/>
      <c r="L80" s="1673"/>
      <c r="M80" s="1673"/>
      <c r="N80" s="1673"/>
      <c r="O80" s="1673"/>
      <c r="P80" s="1674">
        <f t="shared" si="15"/>
        <v>0</v>
      </c>
      <c r="Q80" s="1674">
        <f t="shared" si="16"/>
        <v>0</v>
      </c>
      <c r="R80" s="1674">
        <f t="shared" si="17"/>
        <v>0</v>
      </c>
      <c r="S80" s="1674">
        <f t="shared" si="18"/>
        <v>0</v>
      </c>
      <c r="T80" s="1674">
        <f t="shared" si="19"/>
        <v>0</v>
      </c>
      <c r="U80" s="1674">
        <f t="shared" si="20"/>
        <v>0</v>
      </c>
      <c r="V80" s="1674">
        <f t="shared" si="21"/>
        <v>0</v>
      </c>
      <c r="W80" s="1511"/>
    </row>
    <row r="81" spans="3:23" ht="11.25" customHeight="1">
      <c r="C81" s="300" t="s">
        <v>789</v>
      </c>
      <c r="D81" s="101"/>
      <c r="E81" s="101"/>
      <c r="F81" s="101"/>
      <c r="G81" s="101"/>
      <c r="H81" s="101"/>
      <c r="I81" s="1666"/>
      <c r="J81" s="1670"/>
      <c r="K81" s="101"/>
      <c r="L81" s="101"/>
      <c r="M81" s="101"/>
      <c r="N81" s="101"/>
      <c r="O81" s="101"/>
      <c r="P81" s="1671">
        <f t="shared" si="15"/>
        <v>0</v>
      </c>
      <c r="Q81" s="1671">
        <f t="shared" si="16"/>
        <v>0</v>
      </c>
      <c r="R81" s="1671">
        <f t="shared" si="17"/>
        <v>0</v>
      </c>
      <c r="S81" s="1671">
        <f t="shared" si="18"/>
        <v>0</v>
      </c>
      <c r="T81" s="1671">
        <f t="shared" si="19"/>
        <v>0</v>
      </c>
      <c r="U81" s="1671">
        <f t="shared" si="20"/>
        <v>0</v>
      </c>
      <c r="V81" s="1671">
        <f t="shared" si="21"/>
        <v>0</v>
      </c>
      <c r="W81" s="1511"/>
    </row>
    <row r="82" spans="3:23" ht="11.25" customHeight="1">
      <c r="C82" s="300" t="s">
        <v>782</v>
      </c>
      <c r="D82" s="101"/>
      <c r="E82" s="101"/>
      <c r="F82" s="101"/>
      <c r="G82" s="101"/>
      <c r="H82" s="101"/>
      <c r="I82" s="1666"/>
      <c r="J82" s="1670"/>
      <c r="K82" s="101"/>
      <c r="L82" s="101"/>
      <c r="M82" s="101"/>
      <c r="N82" s="101"/>
      <c r="O82" s="101"/>
      <c r="P82" s="1671">
        <f t="shared" si="15"/>
        <v>0</v>
      </c>
      <c r="Q82" s="1671">
        <f t="shared" si="16"/>
        <v>0</v>
      </c>
      <c r="R82" s="1671">
        <f t="shared" si="17"/>
        <v>0</v>
      </c>
      <c r="S82" s="1671">
        <f t="shared" si="18"/>
        <v>0</v>
      </c>
      <c r="T82" s="1671">
        <f t="shared" si="19"/>
        <v>0</v>
      </c>
      <c r="U82" s="1671">
        <f t="shared" si="20"/>
        <v>0</v>
      </c>
      <c r="V82" s="1671">
        <f t="shared" si="21"/>
        <v>0</v>
      </c>
      <c r="W82" s="1511"/>
    </row>
    <row r="83" spans="3:23" ht="11.25" customHeight="1">
      <c r="C83" s="300" t="s">
        <v>790</v>
      </c>
      <c r="D83" s="101"/>
      <c r="E83" s="101"/>
      <c r="F83" s="101"/>
      <c r="G83" s="101"/>
      <c r="H83" s="101"/>
      <c r="I83" s="1666"/>
      <c r="J83" s="1670"/>
      <c r="K83" s="101"/>
      <c r="L83" s="101"/>
      <c r="M83" s="101"/>
      <c r="N83" s="101"/>
      <c r="O83" s="101"/>
      <c r="P83" s="1671">
        <f t="shared" si="15"/>
        <v>0</v>
      </c>
      <c r="Q83" s="1671">
        <f t="shared" si="16"/>
        <v>0</v>
      </c>
      <c r="R83" s="1671">
        <f t="shared" si="17"/>
        <v>0</v>
      </c>
      <c r="S83" s="1671">
        <f t="shared" si="18"/>
        <v>0</v>
      </c>
      <c r="T83" s="1671">
        <f t="shared" si="19"/>
        <v>0</v>
      </c>
      <c r="U83" s="1671">
        <f t="shared" si="20"/>
        <v>0</v>
      </c>
      <c r="V83" s="1671">
        <f t="shared" si="21"/>
        <v>0</v>
      </c>
      <c r="W83" s="1511"/>
    </row>
    <row r="84" spans="3:23" ht="11.25" customHeight="1">
      <c r="C84" s="300" t="s">
        <v>791</v>
      </c>
      <c r="D84" s="101"/>
      <c r="E84" s="101"/>
      <c r="F84" s="101"/>
      <c r="G84" s="101"/>
      <c r="H84" s="101"/>
      <c r="I84" s="1666"/>
      <c r="J84" s="1670"/>
      <c r="K84" s="101"/>
      <c r="L84" s="101"/>
      <c r="M84" s="101"/>
      <c r="N84" s="101"/>
      <c r="O84" s="101"/>
      <c r="P84" s="1671">
        <f t="shared" si="15"/>
        <v>0</v>
      </c>
      <c r="Q84" s="1671">
        <f t="shared" si="16"/>
        <v>0</v>
      </c>
      <c r="R84" s="1671">
        <f t="shared" si="17"/>
        <v>0</v>
      </c>
      <c r="S84" s="1671">
        <f t="shared" si="18"/>
        <v>0</v>
      </c>
      <c r="T84" s="1671">
        <f t="shared" si="19"/>
        <v>0</v>
      </c>
      <c r="U84" s="1671">
        <f t="shared" si="20"/>
        <v>0</v>
      </c>
      <c r="V84" s="1671">
        <f t="shared" si="21"/>
        <v>0</v>
      </c>
      <c r="W84" s="1511"/>
    </row>
    <row r="85" spans="3:23" ht="11.25" customHeight="1">
      <c r="C85" s="300" t="s">
        <v>792</v>
      </c>
      <c r="D85" s="101"/>
      <c r="E85" s="101"/>
      <c r="F85" s="101"/>
      <c r="G85" s="101"/>
      <c r="H85" s="101"/>
      <c r="I85" s="1666"/>
      <c r="J85" s="1670"/>
      <c r="K85" s="101"/>
      <c r="L85" s="101"/>
      <c r="M85" s="101"/>
      <c r="N85" s="101"/>
      <c r="O85" s="101"/>
      <c r="P85" s="1671">
        <f t="shared" si="15"/>
        <v>0</v>
      </c>
      <c r="Q85" s="1671">
        <f t="shared" si="16"/>
        <v>0</v>
      </c>
      <c r="R85" s="1671">
        <f t="shared" si="17"/>
        <v>0</v>
      </c>
      <c r="S85" s="1671">
        <f t="shared" si="18"/>
        <v>0</v>
      </c>
      <c r="T85" s="1671">
        <f t="shared" si="19"/>
        <v>0</v>
      </c>
      <c r="U85" s="1671">
        <f t="shared" si="20"/>
        <v>0</v>
      </c>
      <c r="V85" s="1671">
        <f t="shared" si="21"/>
        <v>0</v>
      </c>
      <c r="W85" s="1511"/>
    </row>
    <row r="86" spans="3:23" ht="11.25" customHeight="1">
      <c r="C86" s="300" t="s">
        <v>793</v>
      </c>
      <c r="D86" s="101"/>
      <c r="E86" s="101"/>
      <c r="F86" s="101"/>
      <c r="G86" s="101"/>
      <c r="H86" s="101"/>
      <c r="I86" s="1666"/>
      <c r="J86" s="1670"/>
      <c r="K86" s="101"/>
      <c r="L86" s="101"/>
      <c r="M86" s="101"/>
      <c r="N86" s="101"/>
      <c r="O86" s="101"/>
      <c r="P86" s="1671">
        <f t="shared" si="15"/>
        <v>0</v>
      </c>
      <c r="Q86" s="1671">
        <f t="shared" si="16"/>
        <v>0</v>
      </c>
      <c r="R86" s="1671">
        <f t="shared" si="17"/>
        <v>0</v>
      </c>
      <c r="S86" s="1671">
        <f t="shared" si="18"/>
        <v>0</v>
      </c>
      <c r="T86" s="1671">
        <f t="shared" si="19"/>
        <v>0</v>
      </c>
      <c r="U86" s="1671">
        <f t="shared" si="20"/>
        <v>0</v>
      </c>
      <c r="V86" s="1671">
        <f t="shared" si="21"/>
        <v>0</v>
      </c>
      <c r="W86" s="1511"/>
    </row>
    <row r="87" spans="3:23" ht="11.25" customHeight="1">
      <c r="C87" s="300" t="s">
        <v>783</v>
      </c>
      <c r="D87" s="101"/>
      <c r="E87" s="101"/>
      <c r="F87" s="101"/>
      <c r="G87" s="101"/>
      <c r="H87" s="101"/>
      <c r="I87" s="1666"/>
      <c r="J87" s="1670"/>
      <c r="K87" s="101"/>
      <c r="L87" s="101"/>
      <c r="M87" s="101"/>
      <c r="N87" s="101"/>
      <c r="O87" s="101"/>
      <c r="P87" s="1671">
        <f t="shared" si="15"/>
        <v>0</v>
      </c>
      <c r="Q87" s="1671">
        <f t="shared" si="16"/>
        <v>0</v>
      </c>
      <c r="R87" s="1671">
        <f t="shared" si="17"/>
        <v>0</v>
      </c>
      <c r="S87" s="1671">
        <f t="shared" si="18"/>
        <v>0</v>
      </c>
      <c r="T87" s="1671">
        <f t="shared" si="19"/>
        <v>0</v>
      </c>
      <c r="U87" s="1671">
        <f t="shared" si="20"/>
        <v>0</v>
      </c>
      <c r="V87" s="1671">
        <f t="shared" si="21"/>
        <v>0</v>
      </c>
      <c r="W87" s="1511"/>
    </row>
    <row r="88" spans="3:23" ht="11.25" customHeight="1">
      <c r="C88" s="300" t="s">
        <v>794</v>
      </c>
      <c r="D88" s="101"/>
      <c r="E88" s="101"/>
      <c r="F88" s="101"/>
      <c r="G88" s="101"/>
      <c r="H88" s="101"/>
      <c r="I88" s="1666"/>
      <c r="J88" s="1670"/>
      <c r="K88" s="101"/>
      <c r="L88" s="101"/>
      <c r="M88" s="101"/>
      <c r="N88" s="101"/>
      <c r="O88" s="101"/>
      <c r="P88" s="1671">
        <f t="shared" si="15"/>
        <v>0</v>
      </c>
      <c r="Q88" s="1671">
        <f t="shared" si="16"/>
        <v>0</v>
      </c>
      <c r="R88" s="1671">
        <f t="shared" si="17"/>
        <v>0</v>
      </c>
      <c r="S88" s="1671">
        <f t="shared" si="18"/>
        <v>0</v>
      </c>
      <c r="T88" s="1671">
        <f t="shared" si="19"/>
        <v>0</v>
      </c>
      <c r="U88" s="1671">
        <f t="shared" si="20"/>
        <v>0</v>
      </c>
      <c r="V88" s="1671">
        <f t="shared" si="21"/>
        <v>0</v>
      </c>
      <c r="W88" s="1511"/>
    </row>
    <row r="89" spans="3:23" ht="11.25" customHeight="1">
      <c r="C89" s="300" t="s">
        <v>795</v>
      </c>
      <c r="D89" s="101"/>
      <c r="E89" s="101"/>
      <c r="F89" s="101"/>
      <c r="G89" s="101"/>
      <c r="H89" s="101"/>
      <c r="I89" s="1666"/>
      <c r="J89" s="1670"/>
      <c r="K89" s="101"/>
      <c r="L89" s="101"/>
      <c r="M89" s="101"/>
      <c r="N89" s="101"/>
      <c r="O89" s="101"/>
      <c r="P89" s="1671">
        <f t="shared" si="15"/>
        <v>0</v>
      </c>
      <c r="Q89" s="1671">
        <f t="shared" si="16"/>
        <v>0</v>
      </c>
      <c r="R89" s="1671">
        <f t="shared" si="17"/>
        <v>0</v>
      </c>
      <c r="S89" s="1671">
        <f t="shared" si="18"/>
        <v>0</v>
      </c>
      <c r="T89" s="1671">
        <f t="shared" si="19"/>
        <v>0</v>
      </c>
      <c r="U89" s="1671">
        <f t="shared" si="20"/>
        <v>0</v>
      </c>
      <c r="V89" s="1671">
        <f t="shared" si="21"/>
        <v>0</v>
      </c>
      <c r="W89" s="1511"/>
    </row>
    <row r="90" spans="3:23" ht="11.25" customHeight="1">
      <c r="C90" s="300" t="s">
        <v>796</v>
      </c>
      <c r="D90" s="101"/>
      <c r="E90" s="101"/>
      <c r="F90" s="101"/>
      <c r="G90" s="101"/>
      <c r="H90" s="101"/>
      <c r="I90" s="1666"/>
      <c r="J90" s="1670"/>
      <c r="K90" s="101"/>
      <c r="L90" s="101"/>
      <c r="M90" s="101"/>
      <c r="N90" s="101"/>
      <c r="O90" s="101"/>
      <c r="P90" s="1671">
        <f t="shared" si="15"/>
        <v>0</v>
      </c>
      <c r="Q90" s="1671">
        <f t="shared" si="16"/>
        <v>0</v>
      </c>
      <c r="R90" s="1671">
        <f t="shared" si="17"/>
        <v>0</v>
      </c>
      <c r="S90" s="1671">
        <f t="shared" si="18"/>
        <v>0</v>
      </c>
      <c r="T90" s="1671">
        <f t="shared" si="19"/>
        <v>0</v>
      </c>
      <c r="U90" s="1671">
        <f t="shared" si="20"/>
        <v>0</v>
      </c>
      <c r="V90" s="1671">
        <f t="shared" si="21"/>
        <v>0</v>
      </c>
      <c r="W90" s="1511"/>
    </row>
    <row r="91" spans="3:23" ht="11.25" customHeight="1">
      <c r="C91" s="1672" t="s">
        <v>797</v>
      </c>
      <c r="D91" s="1673"/>
      <c r="E91" s="1673"/>
      <c r="F91" s="1673"/>
      <c r="G91" s="1673"/>
      <c r="H91" s="1673"/>
      <c r="I91" s="1673"/>
      <c r="J91" s="1673"/>
      <c r="K91" s="1673"/>
      <c r="L91" s="1673"/>
      <c r="M91" s="1673"/>
      <c r="N91" s="1673"/>
      <c r="O91" s="1673"/>
      <c r="P91" s="1674">
        <f t="shared" si="15"/>
        <v>0</v>
      </c>
      <c r="Q91" s="1674">
        <f t="shared" si="16"/>
        <v>0</v>
      </c>
      <c r="R91" s="1674">
        <f t="shared" si="17"/>
        <v>0</v>
      </c>
      <c r="S91" s="1674">
        <f t="shared" si="18"/>
        <v>0</v>
      </c>
      <c r="T91" s="1674">
        <f t="shared" si="19"/>
        <v>0</v>
      </c>
      <c r="U91" s="1674">
        <f t="shared" si="20"/>
        <v>0</v>
      </c>
      <c r="V91" s="1674">
        <f t="shared" si="21"/>
        <v>0</v>
      </c>
      <c r="W91" s="1511"/>
    </row>
    <row r="92" spans="3:23" ht="11.25" customHeight="1">
      <c r="C92" s="1672" t="s">
        <v>798</v>
      </c>
      <c r="D92" s="1673"/>
      <c r="E92" s="1673"/>
      <c r="F92" s="1673"/>
      <c r="G92" s="1673"/>
      <c r="H92" s="1673"/>
      <c r="I92" s="1673"/>
      <c r="J92" s="1673"/>
      <c r="K92" s="1673"/>
      <c r="L92" s="1673"/>
      <c r="M92" s="1673"/>
      <c r="N92" s="1673"/>
      <c r="O92" s="1673"/>
      <c r="P92" s="1674">
        <f t="shared" si="15"/>
        <v>0</v>
      </c>
      <c r="Q92" s="1674">
        <f t="shared" si="16"/>
        <v>0</v>
      </c>
      <c r="R92" s="1674">
        <f t="shared" si="17"/>
        <v>0</v>
      </c>
      <c r="S92" s="1674">
        <f t="shared" si="18"/>
        <v>0</v>
      </c>
      <c r="T92" s="1674">
        <f t="shared" si="19"/>
        <v>0</v>
      </c>
      <c r="U92" s="1674">
        <f t="shared" si="20"/>
        <v>0</v>
      </c>
      <c r="V92" s="1674">
        <f t="shared" si="21"/>
        <v>0</v>
      </c>
      <c r="W92" s="1511"/>
    </row>
    <row r="93" spans="3:23" ht="11.25" customHeight="1">
      <c r="C93" s="300" t="s">
        <v>799</v>
      </c>
      <c r="D93" s="101"/>
      <c r="E93" s="101"/>
      <c r="F93" s="101"/>
      <c r="G93" s="101"/>
      <c r="H93" s="101"/>
      <c r="I93" s="1666"/>
      <c r="J93" s="1670"/>
      <c r="K93" s="101"/>
      <c r="L93" s="101"/>
      <c r="M93" s="101"/>
      <c r="N93" s="101"/>
      <c r="O93" s="101"/>
      <c r="P93" s="1671">
        <f t="shared" si="15"/>
        <v>0</v>
      </c>
      <c r="Q93" s="1671">
        <f t="shared" si="16"/>
        <v>0</v>
      </c>
      <c r="R93" s="1671">
        <f t="shared" si="17"/>
        <v>0</v>
      </c>
      <c r="S93" s="1671">
        <f t="shared" si="18"/>
        <v>0</v>
      </c>
      <c r="T93" s="1671">
        <f t="shared" si="19"/>
        <v>0</v>
      </c>
      <c r="U93" s="1671">
        <f t="shared" si="20"/>
        <v>0</v>
      </c>
      <c r="V93" s="1671">
        <f t="shared" si="21"/>
        <v>0</v>
      </c>
      <c r="W93" s="1511"/>
    </row>
    <row r="94" spans="3:23" ht="11.25" customHeight="1">
      <c r="C94" s="300" t="s">
        <v>800</v>
      </c>
      <c r="D94" s="101"/>
      <c r="E94" s="101"/>
      <c r="F94" s="101"/>
      <c r="G94" s="101"/>
      <c r="H94" s="101"/>
      <c r="I94" s="1666"/>
      <c r="J94" s="1670"/>
      <c r="K94" s="101"/>
      <c r="L94" s="101"/>
      <c r="M94" s="101"/>
      <c r="N94" s="101"/>
      <c r="O94" s="101"/>
      <c r="P94" s="1671">
        <f t="shared" si="15"/>
        <v>0</v>
      </c>
      <c r="Q94" s="1671">
        <f t="shared" si="16"/>
        <v>0</v>
      </c>
      <c r="R94" s="1671">
        <f t="shared" si="17"/>
        <v>0</v>
      </c>
      <c r="S94" s="1671">
        <f t="shared" si="18"/>
        <v>0</v>
      </c>
      <c r="T94" s="1671">
        <f t="shared" si="19"/>
        <v>0</v>
      </c>
      <c r="U94" s="1671">
        <f t="shared" si="20"/>
        <v>0</v>
      </c>
      <c r="V94" s="1671">
        <f t="shared" si="21"/>
        <v>0</v>
      </c>
      <c r="W94" s="1511"/>
    </row>
    <row r="95" spans="3:23" ht="11.25" customHeight="1">
      <c r="C95" s="300" t="s">
        <v>801</v>
      </c>
      <c r="D95" s="101"/>
      <c r="E95" s="101"/>
      <c r="F95" s="101"/>
      <c r="G95" s="101"/>
      <c r="H95" s="101"/>
      <c r="I95" s="1666"/>
      <c r="J95" s="1670"/>
      <c r="K95" s="101"/>
      <c r="L95" s="101"/>
      <c r="M95" s="101"/>
      <c r="N95" s="101"/>
      <c r="O95" s="101"/>
      <c r="P95" s="1671">
        <f t="shared" si="15"/>
        <v>0</v>
      </c>
      <c r="Q95" s="1671">
        <f t="shared" si="16"/>
        <v>0</v>
      </c>
      <c r="R95" s="1671">
        <f t="shared" si="17"/>
        <v>0</v>
      </c>
      <c r="S95" s="1671">
        <f t="shared" si="18"/>
        <v>0</v>
      </c>
      <c r="T95" s="1671">
        <f t="shared" si="19"/>
        <v>0</v>
      </c>
      <c r="U95" s="1671">
        <f t="shared" si="20"/>
        <v>0</v>
      </c>
      <c r="V95" s="1671">
        <f t="shared" si="21"/>
        <v>0</v>
      </c>
      <c r="W95" s="1511"/>
    </row>
    <row r="96" spans="3:23" ht="11.25" customHeight="1">
      <c r="C96" s="300" t="s">
        <v>648</v>
      </c>
      <c r="D96" s="101"/>
      <c r="E96" s="101"/>
      <c r="F96" s="101"/>
      <c r="G96" s="101"/>
      <c r="H96" s="101"/>
      <c r="I96" s="1666"/>
      <c r="J96" s="1670"/>
      <c r="K96" s="101"/>
      <c r="L96" s="101"/>
      <c r="M96" s="101"/>
      <c r="N96" s="101"/>
      <c r="O96" s="101"/>
      <c r="P96" s="1671">
        <f t="shared" si="15"/>
        <v>0</v>
      </c>
      <c r="Q96" s="1671">
        <f t="shared" si="16"/>
        <v>0</v>
      </c>
      <c r="R96" s="1671">
        <f t="shared" si="17"/>
        <v>0</v>
      </c>
      <c r="S96" s="1671">
        <f t="shared" si="18"/>
        <v>0</v>
      </c>
      <c r="T96" s="1671">
        <f t="shared" si="19"/>
        <v>0</v>
      </c>
      <c r="U96" s="1671">
        <f t="shared" si="20"/>
        <v>0</v>
      </c>
      <c r="V96" s="1671">
        <f t="shared" si="21"/>
        <v>0</v>
      </c>
      <c r="W96" s="1511"/>
    </row>
    <row r="97" spans="3:23" ht="11.25" customHeight="1">
      <c r="C97" s="1672" t="s">
        <v>802</v>
      </c>
      <c r="D97" s="1673"/>
      <c r="E97" s="1673"/>
      <c r="F97" s="1673">
        <f>SUM(F76:F96)</f>
        <v>0</v>
      </c>
      <c r="G97" s="1673"/>
      <c r="H97" s="1673">
        <f t="shared" ref="H97:O97" si="22">SUM(H76:H96)</f>
        <v>0</v>
      </c>
      <c r="I97" s="1673"/>
      <c r="J97" s="1673">
        <f t="shared" si="22"/>
        <v>0</v>
      </c>
      <c r="K97" s="1673">
        <f t="shared" si="22"/>
        <v>0</v>
      </c>
      <c r="L97" s="1673">
        <f t="shared" si="22"/>
        <v>0</v>
      </c>
      <c r="M97" s="1673">
        <f t="shared" si="22"/>
        <v>0</v>
      </c>
      <c r="N97" s="1673">
        <f t="shared" si="22"/>
        <v>0</v>
      </c>
      <c r="O97" s="1673">
        <f t="shared" si="22"/>
        <v>0</v>
      </c>
      <c r="P97" s="1674">
        <f t="shared" si="15"/>
        <v>0</v>
      </c>
      <c r="Q97" s="1674">
        <f t="shared" si="16"/>
        <v>0</v>
      </c>
      <c r="R97" s="1674">
        <f t="shared" si="17"/>
        <v>0</v>
      </c>
      <c r="S97" s="1674">
        <f t="shared" si="18"/>
        <v>0</v>
      </c>
      <c r="T97" s="1674">
        <f t="shared" si="19"/>
        <v>0</v>
      </c>
      <c r="U97" s="1674">
        <f t="shared" si="20"/>
        <v>0</v>
      </c>
      <c r="V97" s="1674">
        <f t="shared" si="21"/>
        <v>0</v>
      </c>
      <c r="W97" s="1511"/>
    </row>
    <row r="98" spans="3:23" ht="11.25" customHeight="1">
      <c r="C98" s="300" t="s">
        <v>803</v>
      </c>
      <c r="D98" s="101"/>
      <c r="E98" s="101"/>
      <c r="F98" s="101"/>
      <c r="G98" s="101"/>
      <c r="H98" s="101"/>
      <c r="I98" s="1666"/>
      <c r="J98" s="1670"/>
      <c r="K98" s="101"/>
      <c r="L98" s="101"/>
      <c r="M98" s="101"/>
      <c r="N98" s="101"/>
      <c r="O98" s="101"/>
      <c r="P98" s="1671">
        <f t="shared" ref="P98:P128" si="23">SUM(K98:O98)</f>
        <v>0</v>
      </c>
      <c r="Q98" s="1671">
        <f t="shared" si="16"/>
        <v>0</v>
      </c>
      <c r="R98" s="1671">
        <f t="shared" si="17"/>
        <v>0</v>
      </c>
      <c r="S98" s="1671">
        <f t="shared" si="18"/>
        <v>0</v>
      </c>
      <c r="T98" s="1671">
        <f t="shared" si="19"/>
        <v>0</v>
      </c>
      <c r="U98" s="1671">
        <f t="shared" si="20"/>
        <v>0</v>
      </c>
      <c r="V98" s="1671">
        <f t="shared" si="21"/>
        <v>0</v>
      </c>
      <c r="W98" s="1511"/>
    </row>
    <row r="99" spans="3:23" ht="11.25" customHeight="1">
      <c r="C99" s="300" t="s">
        <v>804</v>
      </c>
      <c r="D99" s="101"/>
      <c r="E99" s="101"/>
      <c r="F99" s="101"/>
      <c r="G99" s="101"/>
      <c r="H99" s="101"/>
      <c r="I99" s="1666"/>
      <c r="J99" s="1670"/>
      <c r="K99" s="101"/>
      <c r="L99" s="101"/>
      <c r="M99" s="101"/>
      <c r="N99" s="101"/>
      <c r="O99" s="101"/>
      <c r="P99" s="1671">
        <f t="shared" si="23"/>
        <v>0</v>
      </c>
      <c r="Q99" s="1671">
        <f t="shared" si="16"/>
        <v>0</v>
      </c>
      <c r="R99" s="1671">
        <f t="shared" si="17"/>
        <v>0</v>
      </c>
      <c r="S99" s="1671">
        <f t="shared" si="18"/>
        <v>0</v>
      </c>
      <c r="T99" s="1671">
        <f t="shared" si="19"/>
        <v>0</v>
      </c>
      <c r="U99" s="1671">
        <f t="shared" si="20"/>
        <v>0</v>
      </c>
      <c r="V99" s="1671">
        <f t="shared" si="21"/>
        <v>0</v>
      </c>
      <c r="W99" s="1511"/>
    </row>
    <row r="100" spans="3:23" ht="11.25" customHeight="1">
      <c r="C100" s="300" t="s">
        <v>805</v>
      </c>
      <c r="D100" s="101"/>
      <c r="E100" s="101"/>
      <c r="F100" s="101"/>
      <c r="G100" s="101"/>
      <c r="H100" s="101"/>
      <c r="I100" s="1666"/>
      <c r="J100" s="1670"/>
      <c r="K100" s="101"/>
      <c r="L100" s="101"/>
      <c r="M100" s="101"/>
      <c r="N100" s="101"/>
      <c r="O100" s="101"/>
      <c r="P100" s="1671">
        <f t="shared" si="23"/>
        <v>0</v>
      </c>
      <c r="Q100" s="1671">
        <f t="shared" si="16"/>
        <v>0</v>
      </c>
      <c r="R100" s="1671">
        <f t="shared" si="17"/>
        <v>0</v>
      </c>
      <c r="S100" s="1671">
        <f t="shared" si="18"/>
        <v>0</v>
      </c>
      <c r="T100" s="1671">
        <f t="shared" si="19"/>
        <v>0</v>
      </c>
      <c r="U100" s="1671">
        <f t="shared" si="20"/>
        <v>0</v>
      </c>
      <c r="V100" s="1671">
        <f t="shared" si="21"/>
        <v>0</v>
      </c>
      <c r="W100" s="1511"/>
    </row>
    <row r="101" spans="3:23" ht="11.25" customHeight="1">
      <c r="C101" s="300" t="s">
        <v>806</v>
      </c>
      <c r="D101" s="101"/>
      <c r="E101" s="101"/>
      <c r="F101" s="101"/>
      <c r="G101" s="101"/>
      <c r="H101" s="101"/>
      <c r="I101" s="1666"/>
      <c r="J101" s="1670"/>
      <c r="K101" s="101"/>
      <c r="L101" s="101"/>
      <c r="M101" s="101"/>
      <c r="N101" s="101"/>
      <c r="O101" s="101"/>
      <c r="P101" s="1671">
        <f t="shared" si="23"/>
        <v>0</v>
      </c>
      <c r="Q101" s="1671">
        <f t="shared" si="16"/>
        <v>0</v>
      </c>
      <c r="R101" s="1671">
        <f t="shared" si="17"/>
        <v>0</v>
      </c>
      <c r="S101" s="1671">
        <f t="shared" si="18"/>
        <v>0</v>
      </c>
      <c r="T101" s="1671">
        <f t="shared" si="19"/>
        <v>0</v>
      </c>
      <c r="U101" s="1671">
        <f t="shared" si="20"/>
        <v>0</v>
      </c>
      <c r="V101" s="1671">
        <f t="shared" si="21"/>
        <v>0</v>
      </c>
      <c r="W101" s="1511"/>
    </row>
    <row r="102" spans="3:23" ht="11.25" customHeight="1">
      <c r="C102" s="300" t="s">
        <v>807</v>
      </c>
      <c r="D102" s="101"/>
      <c r="E102" s="101"/>
      <c r="F102" s="101"/>
      <c r="G102" s="101"/>
      <c r="H102" s="101"/>
      <c r="I102" s="1666"/>
      <c r="J102" s="1670"/>
      <c r="K102" s="101"/>
      <c r="L102" s="101"/>
      <c r="M102" s="101"/>
      <c r="N102" s="101"/>
      <c r="O102" s="101"/>
      <c r="P102" s="1671">
        <f t="shared" si="23"/>
        <v>0</v>
      </c>
      <c r="Q102" s="1671">
        <f t="shared" si="16"/>
        <v>0</v>
      </c>
      <c r="R102" s="1671">
        <f t="shared" si="17"/>
        <v>0</v>
      </c>
      <c r="S102" s="1671">
        <f t="shared" si="18"/>
        <v>0</v>
      </c>
      <c r="T102" s="1671">
        <f t="shared" si="19"/>
        <v>0</v>
      </c>
      <c r="U102" s="1671">
        <f t="shared" si="20"/>
        <v>0</v>
      </c>
      <c r="V102" s="1671">
        <f t="shared" si="21"/>
        <v>0</v>
      </c>
      <c r="W102" s="1511"/>
    </row>
    <row r="103" spans="3:23" ht="11.25" customHeight="1">
      <c r="C103" s="300" t="s">
        <v>808</v>
      </c>
      <c r="D103" s="101"/>
      <c r="E103" s="101"/>
      <c r="F103" s="101"/>
      <c r="G103" s="101"/>
      <c r="H103" s="101"/>
      <c r="I103" s="1666"/>
      <c r="J103" s="1670"/>
      <c r="K103" s="101"/>
      <c r="L103" s="101"/>
      <c r="M103" s="101"/>
      <c r="N103" s="101"/>
      <c r="O103" s="101"/>
      <c r="P103" s="1671">
        <f t="shared" si="23"/>
        <v>0</v>
      </c>
      <c r="Q103" s="1671">
        <f t="shared" si="16"/>
        <v>0</v>
      </c>
      <c r="R103" s="1671">
        <f t="shared" si="17"/>
        <v>0</v>
      </c>
      <c r="S103" s="1671">
        <f t="shared" si="18"/>
        <v>0</v>
      </c>
      <c r="T103" s="1671">
        <f t="shared" si="19"/>
        <v>0</v>
      </c>
      <c r="U103" s="1671">
        <f t="shared" si="20"/>
        <v>0</v>
      </c>
      <c r="V103" s="1671">
        <f t="shared" si="21"/>
        <v>0</v>
      </c>
      <c r="W103" s="1511"/>
    </row>
    <row r="104" spans="3:23" ht="11.25" customHeight="1">
      <c r="C104" s="300" t="s">
        <v>809</v>
      </c>
      <c r="D104" s="101"/>
      <c r="E104" s="101"/>
      <c r="F104" s="101"/>
      <c r="G104" s="101"/>
      <c r="H104" s="101"/>
      <c r="I104" s="1666"/>
      <c r="J104" s="1670"/>
      <c r="K104" s="101"/>
      <c r="L104" s="101"/>
      <c r="M104" s="101"/>
      <c r="N104" s="101"/>
      <c r="O104" s="101"/>
      <c r="P104" s="1671">
        <f t="shared" si="23"/>
        <v>0</v>
      </c>
      <c r="Q104" s="1671">
        <f t="shared" si="16"/>
        <v>0</v>
      </c>
      <c r="R104" s="1671">
        <f t="shared" si="17"/>
        <v>0</v>
      </c>
      <c r="S104" s="1671">
        <f t="shared" si="18"/>
        <v>0</v>
      </c>
      <c r="T104" s="1671">
        <f t="shared" si="19"/>
        <v>0</v>
      </c>
      <c r="U104" s="1671">
        <f t="shared" si="20"/>
        <v>0</v>
      </c>
      <c r="V104" s="1671">
        <f t="shared" si="21"/>
        <v>0</v>
      </c>
      <c r="W104" s="1511"/>
    </row>
    <row r="105" spans="3:23" ht="11.25" customHeight="1">
      <c r="C105" s="300" t="s">
        <v>681</v>
      </c>
      <c r="D105" s="101"/>
      <c r="E105" s="101"/>
      <c r="F105" s="101"/>
      <c r="G105" s="101"/>
      <c r="H105" s="101"/>
      <c r="I105" s="1666"/>
      <c r="J105" s="1670"/>
      <c r="K105" s="101"/>
      <c r="L105" s="101"/>
      <c r="M105" s="101"/>
      <c r="N105" s="101"/>
      <c r="O105" s="101"/>
      <c r="P105" s="1671">
        <f t="shared" si="23"/>
        <v>0</v>
      </c>
      <c r="Q105" s="1671">
        <f t="shared" si="16"/>
        <v>0</v>
      </c>
      <c r="R105" s="1671">
        <f t="shared" si="17"/>
        <v>0</v>
      </c>
      <c r="S105" s="1671">
        <f t="shared" si="18"/>
        <v>0</v>
      </c>
      <c r="T105" s="1671">
        <f t="shared" si="19"/>
        <v>0</v>
      </c>
      <c r="U105" s="1671">
        <f t="shared" si="20"/>
        <v>0</v>
      </c>
      <c r="V105" s="1671">
        <f t="shared" si="21"/>
        <v>0</v>
      </c>
      <c r="W105" s="1511"/>
    </row>
    <row r="106" spans="3:23" ht="11.25" customHeight="1">
      <c r="C106" s="300" t="s">
        <v>680</v>
      </c>
      <c r="D106" s="101"/>
      <c r="E106" s="101"/>
      <c r="F106" s="101"/>
      <c r="G106" s="101"/>
      <c r="H106" s="101"/>
      <c r="I106" s="1666"/>
      <c r="J106" s="1670"/>
      <c r="K106" s="101"/>
      <c r="L106" s="101"/>
      <c r="M106" s="101"/>
      <c r="N106" s="101"/>
      <c r="O106" s="101"/>
      <c r="P106" s="1671">
        <f t="shared" si="23"/>
        <v>0</v>
      </c>
      <c r="Q106" s="1671">
        <f t="shared" si="16"/>
        <v>0</v>
      </c>
      <c r="R106" s="1671">
        <f t="shared" si="17"/>
        <v>0</v>
      </c>
      <c r="S106" s="1671">
        <f t="shared" si="18"/>
        <v>0</v>
      </c>
      <c r="T106" s="1671">
        <f t="shared" si="19"/>
        <v>0</v>
      </c>
      <c r="U106" s="1671">
        <f t="shared" si="20"/>
        <v>0</v>
      </c>
      <c r="V106" s="1671">
        <f t="shared" si="21"/>
        <v>0</v>
      </c>
      <c r="W106" s="1511"/>
    </row>
    <row r="107" spans="3:23" ht="11.25" customHeight="1">
      <c r="C107" s="300" t="s">
        <v>810</v>
      </c>
      <c r="D107" s="101"/>
      <c r="E107" s="101"/>
      <c r="F107" s="101"/>
      <c r="G107" s="101"/>
      <c r="H107" s="101"/>
      <c r="I107" s="1666"/>
      <c r="J107" s="1670"/>
      <c r="K107" s="101"/>
      <c r="L107" s="101"/>
      <c r="M107" s="101"/>
      <c r="N107" s="101"/>
      <c r="O107" s="101"/>
      <c r="P107" s="1671">
        <f t="shared" si="23"/>
        <v>0</v>
      </c>
      <c r="Q107" s="1671">
        <f t="shared" si="16"/>
        <v>0</v>
      </c>
      <c r="R107" s="1671">
        <f t="shared" si="17"/>
        <v>0</v>
      </c>
      <c r="S107" s="1671">
        <f t="shared" si="18"/>
        <v>0</v>
      </c>
      <c r="T107" s="1671">
        <f t="shared" si="19"/>
        <v>0</v>
      </c>
      <c r="U107" s="1671">
        <f t="shared" si="20"/>
        <v>0</v>
      </c>
      <c r="V107" s="1671">
        <f t="shared" si="21"/>
        <v>0</v>
      </c>
      <c r="W107" s="1511"/>
    </row>
    <row r="108" spans="3:23" ht="11.25" customHeight="1">
      <c r="C108" s="300" t="s">
        <v>811</v>
      </c>
      <c r="D108" s="101"/>
      <c r="E108" s="101"/>
      <c r="F108" s="101"/>
      <c r="G108" s="101"/>
      <c r="H108" s="101"/>
      <c r="I108" s="1666"/>
      <c r="J108" s="1670"/>
      <c r="K108" s="101"/>
      <c r="L108" s="101"/>
      <c r="M108" s="101"/>
      <c r="N108" s="101"/>
      <c r="O108" s="101"/>
      <c r="P108" s="1671">
        <f t="shared" si="23"/>
        <v>0</v>
      </c>
      <c r="Q108" s="1671">
        <f t="shared" si="16"/>
        <v>0</v>
      </c>
      <c r="R108" s="1671">
        <f t="shared" si="17"/>
        <v>0</v>
      </c>
      <c r="S108" s="1671">
        <f t="shared" si="18"/>
        <v>0</v>
      </c>
      <c r="T108" s="1671">
        <f t="shared" si="19"/>
        <v>0</v>
      </c>
      <c r="U108" s="1671">
        <f t="shared" si="20"/>
        <v>0</v>
      </c>
      <c r="V108" s="1671">
        <f t="shared" si="21"/>
        <v>0</v>
      </c>
      <c r="W108" s="1511"/>
    </row>
    <row r="109" spans="3:23" ht="11.25" customHeight="1">
      <c r="C109" s="300" t="s">
        <v>812</v>
      </c>
      <c r="D109" s="101"/>
      <c r="E109" s="101"/>
      <c r="F109" s="101"/>
      <c r="G109" s="101"/>
      <c r="H109" s="101"/>
      <c r="I109" s="1666"/>
      <c r="J109" s="1670"/>
      <c r="K109" s="101"/>
      <c r="L109" s="101"/>
      <c r="M109" s="101"/>
      <c r="N109" s="101"/>
      <c r="O109" s="101"/>
      <c r="P109" s="1671">
        <f t="shared" si="23"/>
        <v>0</v>
      </c>
      <c r="Q109" s="1671">
        <f t="shared" si="16"/>
        <v>0</v>
      </c>
      <c r="R109" s="1671">
        <f t="shared" si="17"/>
        <v>0</v>
      </c>
      <c r="S109" s="1671">
        <f t="shared" si="18"/>
        <v>0</v>
      </c>
      <c r="T109" s="1671">
        <f t="shared" si="19"/>
        <v>0</v>
      </c>
      <c r="U109" s="1671">
        <f t="shared" si="20"/>
        <v>0</v>
      </c>
      <c r="V109" s="1671">
        <f t="shared" si="21"/>
        <v>0</v>
      </c>
      <c r="W109" s="1511"/>
    </row>
    <row r="110" spans="3:23" ht="11.25" customHeight="1">
      <c r="C110" s="300" t="s">
        <v>780</v>
      </c>
      <c r="D110" s="101"/>
      <c r="E110" s="101"/>
      <c r="F110" s="101"/>
      <c r="G110" s="101"/>
      <c r="H110" s="101"/>
      <c r="I110" s="1666"/>
      <c r="J110" s="1670"/>
      <c r="K110" s="101"/>
      <c r="L110" s="101"/>
      <c r="M110" s="101"/>
      <c r="N110" s="101"/>
      <c r="O110" s="101"/>
      <c r="P110" s="1671">
        <f t="shared" si="23"/>
        <v>0</v>
      </c>
      <c r="Q110" s="1671">
        <f t="shared" si="16"/>
        <v>0</v>
      </c>
      <c r="R110" s="1671">
        <f t="shared" si="17"/>
        <v>0</v>
      </c>
      <c r="S110" s="1671">
        <f t="shared" si="18"/>
        <v>0</v>
      </c>
      <c r="T110" s="1671">
        <f t="shared" si="19"/>
        <v>0</v>
      </c>
      <c r="U110" s="1671">
        <f t="shared" si="20"/>
        <v>0</v>
      </c>
      <c r="V110" s="1671">
        <f t="shared" si="21"/>
        <v>0</v>
      </c>
      <c r="W110" s="1511"/>
    </row>
    <row r="111" spans="3:23" ht="11.25" customHeight="1">
      <c r="C111" s="300" t="s">
        <v>813</v>
      </c>
      <c r="D111" s="101"/>
      <c r="E111" s="101"/>
      <c r="F111" s="101"/>
      <c r="G111" s="101"/>
      <c r="H111" s="101"/>
      <c r="I111" s="1666"/>
      <c r="J111" s="1670"/>
      <c r="K111" s="101"/>
      <c r="L111" s="101"/>
      <c r="M111" s="101"/>
      <c r="N111" s="101"/>
      <c r="O111" s="101"/>
      <c r="P111" s="1671">
        <f t="shared" si="23"/>
        <v>0</v>
      </c>
      <c r="Q111" s="1671">
        <f t="shared" si="16"/>
        <v>0</v>
      </c>
      <c r="R111" s="1671">
        <f t="shared" si="17"/>
        <v>0</v>
      </c>
      <c r="S111" s="1671">
        <f t="shared" si="18"/>
        <v>0</v>
      </c>
      <c r="T111" s="1671">
        <f t="shared" si="19"/>
        <v>0</v>
      </c>
      <c r="U111" s="1671">
        <f t="shared" si="20"/>
        <v>0</v>
      </c>
      <c r="V111" s="1671">
        <f t="shared" si="21"/>
        <v>0</v>
      </c>
      <c r="W111" s="1511"/>
    </row>
    <row r="112" spans="3:23" ht="11.25" customHeight="1">
      <c r="C112" s="300" t="s">
        <v>814</v>
      </c>
      <c r="D112" s="101"/>
      <c r="E112" s="101"/>
      <c r="F112" s="101"/>
      <c r="G112" s="101"/>
      <c r="H112" s="101"/>
      <c r="I112" s="1666"/>
      <c r="J112" s="1670"/>
      <c r="K112" s="101"/>
      <c r="L112" s="101"/>
      <c r="M112" s="101"/>
      <c r="N112" s="101"/>
      <c r="O112" s="101"/>
      <c r="P112" s="1671">
        <f t="shared" si="23"/>
        <v>0</v>
      </c>
      <c r="Q112" s="1671">
        <f t="shared" si="16"/>
        <v>0</v>
      </c>
      <c r="R112" s="1671">
        <f t="shared" si="17"/>
        <v>0</v>
      </c>
      <c r="S112" s="1671">
        <f t="shared" si="18"/>
        <v>0</v>
      </c>
      <c r="T112" s="1671">
        <f t="shared" si="19"/>
        <v>0</v>
      </c>
      <c r="U112" s="1671">
        <f t="shared" si="20"/>
        <v>0</v>
      </c>
      <c r="V112" s="1671">
        <f t="shared" si="21"/>
        <v>0</v>
      </c>
      <c r="W112" s="1511"/>
    </row>
    <row r="113" spans="3:23" ht="11.25" customHeight="1">
      <c r="C113" s="1672" t="s">
        <v>815</v>
      </c>
      <c r="D113" s="1673"/>
      <c r="E113" s="1673"/>
      <c r="F113" s="1673"/>
      <c r="G113" s="1673"/>
      <c r="H113" s="1673"/>
      <c r="I113" s="1673"/>
      <c r="J113" s="1673"/>
      <c r="K113" s="1673"/>
      <c r="L113" s="1673"/>
      <c r="M113" s="1673"/>
      <c r="N113" s="1673"/>
      <c r="O113" s="1673"/>
      <c r="P113" s="1674">
        <f t="shared" si="23"/>
        <v>0</v>
      </c>
      <c r="Q113" s="1674">
        <f t="shared" si="16"/>
        <v>0</v>
      </c>
      <c r="R113" s="1674">
        <f t="shared" si="17"/>
        <v>0</v>
      </c>
      <c r="S113" s="1674">
        <f t="shared" si="18"/>
        <v>0</v>
      </c>
      <c r="T113" s="1674">
        <f t="shared" si="19"/>
        <v>0</v>
      </c>
      <c r="U113" s="1674">
        <f t="shared" si="20"/>
        <v>0</v>
      </c>
      <c r="V113" s="1674">
        <f t="shared" si="21"/>
        <v>0</v>
      </c>
      <c r="W113" s="1511"/>
    </row>
    <row r="114" spans="3:23" ht="11.25" customHeight="1">
      <c r="C114" s="300" t="s">
        <v>816</v>
      </c>
      <c r="D114" s="101"/>
      <c r="E114" s="101"/>
      <c r="F114" s="101"/>
      <c r="G114" s="101"/>
      <c r="H114" s="101"/>
      <c r="I114" s="1666"/>
      <c r="J114" s="1670"/>
      <c r="K114" s="101"/>
      <c r="L114" s="101"/>
      <c r="M114" s="101"/>
      <c r="N114" s="101"/>
      <c r="O114" s="101"/>
      <c r="P114" s="1671">
        <f t="shared" si="23"/>
        <v>0</v>
      </c>
      <c r="Q114" s="1671">
        <f t="shared" si="16"/>
        <v>0</v>
      </c>
      <c r="R114" s="1671">
        <f t="shared" si="17"/>
        <v>0</v>
      </c>
      <c r="S114" s="1671">
        <f t="shared" si="18"/>
        <v>0</v>
      </c>
      <c r="T114" s="1671">
        <f t="shared" si="19"/>
        <v>0</v>
      </c>
      <c r="U114" s="1671">
        <f t="shared" si="20"/>
        <v>0</v>
      </c>
      <c r="V114" s="1671">
        <f t="shared" si="21"/>
        <v>0</v>
      </c>
      <c r="W114" s="1511"/>
    </row>
    <row r="115" spans="3:23" ht="11.25" customHeight="1">
      <c r="C115" s="300" t="s">
        <v>817</v>
      </c>
      <c r="D115" s="101"/>
      <c r="E115" s="101"/>
      <c r="F115" s="101"/>
      <c r="G115" s="101"/>
      <c r="H115" s="101"/>
      <c r="I115" s="1666"/>
      <c r="J115" s="1670"/>
      <c r="K115" s="101"/>
      <c r="L115" s="101"/>
      <c r="M115" s="101"/>
      <c r="N115" s="101"/>
      <c r="O115" s="101"/>
      <c r="P115" s="1671">
        <f t="shared" si="23"/>
        <v>0</v>
      </c>
      <c r="Q115" s="1671">
        <f t="shared" si="16"/>
        <v>0</v>
      </c>
      <c r="R115" s="1671">
        <f t="shared" si="17"/>
        <v>0</v>
      </c>
      <c r="S115" s="1671">
        <f t="shared" si="18"/>
        <v>0</v>
      </c>
      <c r="T115" s="1671">
        <f t="shared" si="19"/>
        <v>0</v>
      </c>
      <c r="U115" s="1671">
        <f t="shared" si="20"/>
        <v>0</v>
      </c>
      <c r="V115" s="1671">
        <f t="shared" si="21"/>
        <v>0</v>
      </c>
      <c r="W115" s="1511"/>
    </row>
    <row r="116" spans="3:23" ht="11.25" customHeight="1">
      <c r="C116" s="300" t="s">
        <v>818</v>
      </c>
      <c r="D116" s="101"/>
      <c r="E116" s="101"/>
      <c r="F116" s="101"/>
      <c r="G116" s="101"/>
      <c r="H116" s="101"/>
      <c r="I116" s="1666"/>
      <c r="J116" s="1670"/>
      <c r="K116" s="101"/>
      <c r="L116" s="101"/>
      <c r="M116" s="101"/>
      <c r="N116" s="101"/>
      <c r="O116" s="101"/>
      <c r="P116" s="1671"/>
      <c r="Q116" s="1671">
        <f t="shared" si="16"/>
        <v>0</v>
      </c>
      <c r="R116" s="1671">
        <f t="shared" si="17"/>
        <v>0</v>
      </c>
      <c r="S116" s="1671">
        <f t="shared" si="18"/>
        <v>0</v>
      </c>
      <c r="T116" s="1671">
        <f t="shared" si="19"/>
        <v>0</v>
      </c>
      <c r="U116" s="1671">
        <f t="shared" si="20"/>
        <v>0</v>
      </c>
      <c r="V116" s="1671">
        <f t="shared" si="21"/>
        <v>0</v>
      </c>
      <c r="W116" s="1511"/>
    </row>
    <row r="117" spans="3:23" ht="11.25" customHeight="1">
      <c r="C117" s="1672" t="s">
        <v>819</v>
      </c>
      <c r="D117" s="1673"/>
      <c r="E117" s="1673"/>
      <c r="F117" s="1673"/>
      <c r="G117" s="1673"/>
      <c r="H117" s="1673"/>
      <c r="I117" s="1673"/>
      <c r="J117" s="1673"/>
      <c r="K117" s="1673"/>
      <c r="L117" s="1673"/>
      <c r="M117" s="1673"/>
      <c r="N117" s="1673"/>
      <c r="O117" s="1673"/>
      <c r="P117" s="1674">
        <f t="shared" si="23"/>
        <v>0</v>
      </c>
      <c r="Q117" s="1674">
        <f t="shared" si="16"/>
        <v>0</v>
      </c>
      <c r="R117" s="1674">
        <f t="shared" si="17"/>
        <v>0</v>
      </c>
      <c r="S117" s="1674">
        <f t="shared" si="18"/>
        <v>0</v>
      </c>
      <c r="T117" s="1674">
        <f t="shared" si="19"/>
        <v>0</v>
      </c>
      <c r="U117" s="1674">
        <f t="shared" si="20"/>
        <v>0</v>
      </c>
      <c r="V117" s="1674">
        <f t="shared" si="21"/>
        <v>0</v>
      </c>
      <c r="W117" s="1511"/>
    </row>
    <row r="118" spans="3:23" ht="11.25" customHeight="1">
      <c r="C118" s="300" t="s">
        <v>820</v>
      </c>
      <c r="D118" s="101"/>
      <c r="E118" s="101"/>
      <c r="F118" s="101"/>
      <c r="G118" s="101"/>
      <c r="H118" s="101"/>
      <c r="I118" s="1666"/>
      <c r="J118" s="1670"/>
      <c r="K118" s="101"/>
      <c r="L118" s="101"/>
      <c r="M118" s="101"/>
      <c r="N118" s="101"/>
      <c r="O118" s="101"/>
      <c r="P118" s="1671">
        <f t="shared" si="23"/>
        <v>0</v>
      </c>
      <c r="Q118" s="1671">
        <f t="shared" si="16"/>
        <v>0</v>
      </c>
      <c r="R118" s="1671">
        <f t="shared" si="17"/>
        <v>0</v>
      </c>
      <c r="S118" s="1671">
        <f t="shared" si="18"/>
        <v>0</v>
      </c>
      <c r="T118" s="1671">
        <f t="shared" si="19"/>
        <v>0</v>
      </c>
      <c r="U118" s="1671">
        <f t="shared" si="20"/>
        <v>0</v>
      </c>
      <c r="V118" s="1671">
        <f t="shared" si="21"/>
        <v>0</v>
      </c>
      <c r="W118" s="1511"/>
    </row>
    <row r="119" spans="3:23" ht="11.25" customHeight="1">
      <c r="C119" s="300" t="s">
        <v>821</v>
      </c>
      <c r="D119" s="101"/>
      <c r="E119" s="101"/>
      <c r="F119" s="101"/>
      <c r="G119" s="101"/>
      <c r="H119" s="101"/>
      <c r="I119" s="1666"/>
      <c r="J119" s="1670"/>
      <c r="K119" s="101"/>
      <c r="L119" s="101"/>
      <c r="M119" s="101"/>
      <c r="N119" s="101"/>
      <c r="O119" s="101"/>
      <c r="P119" s="1671">
        <f t="shared" si="23"/>
        <v>0</v>
      </c>
      <c r="Q119" s="1671">
        <f t="shared" si="16"/>
        <v>0</v>
      </c>
      <c r="R119" s="1671">
        <f t="shared" si="17"/>
        <v>0</v>
      </c>
      <c r="S119" s="1671">
        <f t="shared" si="18"/>
        <v>0</v>
      </c>
      <c r="T119" s="1671">
        <f t="shared" si="19"/>
        <v>0</v>
      </c>
      <c r="U119" s="1671">
        <f t="shared" si="20"/>
        <v>0</v>
      </c>
      <c r="V119" s="1671">
        <f t="shared" si="21"/>
        <v>0</v>
      </c>
      <c r="W119" s="1511"/>
    </row>
    <row r="120" spans="3:23" ht="11.25" customHeight="1">
      <c r="C120" s="300" t="s">
        <v>822</v>
      </c>
      <c r="D120" s="101"/>
      <c r="E120" s="101"/>
      <c r="F120" s="101"/>
      <c r="G120" s="101"/>
      <c r="H120" s="101"/>
      <c r="I120" s="1666"/>
      <c r="J120" s="1670"/>
      <c r="K120" s="101"/>
      <c r="L120" s="101"/>
      <c r="M120" s="101"/>
      <c r="N120" s="101"/>
      <c r="O120" s="101"/>
      <c r="P120" s="1671">
        <f t="shared" si="23"/>
        <v>0</v>
      </c>
      <c r="Q120" s="1671">
        <f t="shared" si="16"/>
        <v>0</v>
      </c>
      <c r="R120" s="1671">
        <f t="shared" si="17"/>
        <v>0</v>
      </c>
      <c r="S120" s="1671">
        <f t="shared" si="18"/>
        <v>0</v>
      </c>
      <c r="T120" s="1671">
        <f t="shared" si="19"/>
        <v>0</v>
      </c>
      <c r="U120" s="1671">
        <f t="shared" si="20"/>
        <v>0</v>
      </c>
      <c r="V120" s="1671">
        <f t="shared" si="21"/>
        <v>0</v>
      </c>
      <c r="W120" s="1511"/>
    </row>
    <row r="121" spans="3:23" ht="11.25" customHeight="1">
      <c r="C121" s="300" t="s">
        <v>823</v>
      </c>
      <c r="D121" s="101"/>
      <c r="E121" s="101"/>
      <c r="F121" s="101"/>
      <c r="G121" s="101"/>
      <c r="H121" s="101"/>
      <c r="I121" s="1666"/>
      <c r="J121" s="1670"/>
      <c r="K121" s="101"/>
      <c r="L121" s="101"/>
      <c r="M121" s="101"/>
      <c r="N121" s="101"/>
      <c r="O121" s="101"/>
      <c r="P121" s="1671"/>
      <c r="Q121" s="1671">
        <f t="shared" si="16"/>
        <v>0</v>
      </c>
      <c r="R121" s="1671">
        <f t="shared" si="17"/>
        <v>0</v>
      </c>
      <c r="S121" s="1671">
        <f t="shared" si="18"/>
        <v>0</v>
      </c>
      <c r="T121" s="1671">
        <f t="shared" si="19"/>
        <v>0</v>
      </c>
      <c r="U121" s="1671">
        <f t="shared" si="20"/>
        <v>0</v>
      </c>
      <c r="V121" s="1671">
        <f t="shared" si="21"/>
        <v>0</v>
      </c>
      <c r="W121" s="1511"/>
    </row>
    <row r="122" spans="3:23" ht="11.25" customHeight="1">
      <c r="C122" s="300" t="s">
        <v>824</v>
      </c>
      <c r="D122" s="101"/>
      <c r="E122" s="101"/>
      <c r="F122" s="101"/>
      <c r="G122" s="101"/>
      <c r="H122" s="101"/>
      <c r="I122" s="1666"/>
      <c r="J122" s="1670"/>
      <c r="K122" s="101"/>
      <c r="L122" s="101"/>
      <c r="M122" s="101"/>
      <c r="N122" s="101"/>
      <c r="O122" s="101"/>
      <c r="P122" s="1671">
        <f t="shared" si="23"/>
        <v>0</v>
      </c>
      <c r="Q122" s="1671">
        <f t="shared" si="16"/>
        <v>0</v>
      </c>
      <c r="R122" s="1671">
        <f t="shared" si="17"/>
        <v>0</v>
      </c>
      <c r="S122" s="1671">
        <f t="shared" si="18"/>
        <v>0</v>
      </c>
      <c r="T122" s="1671">
        <f t="shared" si="19"/>
        <v>0</v>
      </c>
      <c r="U122" s="1671">
        <f t="shared" si="20"/>
        <v>0</v>
      </c>
      <c r="V122" s="1671">
        <f t="shared" si="21"/>
        <v>0</v>
      </c>
      <c r="W122" s="1511"/>
    </row>
    <row r="123" spans="3:23" ht="11.25" customHeight="1">
      <c r="C123" s="1672" t="s">
        <v>825</v>
      </c>
      <c r="D123" s="1673"/>
      <c r="E123" s="1673"/>
      <c r="F123" s="1673"/>
      <c r="G123" s="1673"/>
      <c r="H123" s="1673"/>
      <c r="I123" s="1673"/>
      <c r="J123" s="1673"/>
      <c r="K123" s="1673"/>
      <c r="L123" s="1673"/>
      <c r="M123" s="1673"/>
      <c r="N123" s="1673"/>
      <c r="O123" s="1673"/>
      <c r="P123" s="1674">
        <f t="shared" si="23"/>
        <v>0</v>
      </c>
      <c r="Q123" s="1674">
        <f t="shared" si="16"/>
        <v>0</v>
      </c>
      <c r="R123" s="1674">
        <f t="shared" si="17"/>
        <v>0</v>
      </c>
      <c r="S123" s="1674">
        <f t="shared" si="18"/>
        <v>0</v>
      </c>
      <c r="T123" s="1674">
        <f t="shared" si="19"/>
        <v>0</v>
      </c>
      <c r="U123" s="1674">
        <f t="shared" si="20"/>
        <v>0</v>
      </c>
      <c r="V123" s="1674">
        <f t="shared" si="21"/>
        <v>0</v>
      </c>
      <c r="W123" s="1511"/>
    </row>
    <row r="124" spans="3:23" ht="11.25" customHeight="1">
      <c r="C124" s="300" t="s">
        <v>826</v>
      </c>
      <c r="D124" s="101"/>
      <c r="E124" s="101"/>
      <c r="F124" s="101"/>
      <c r="G124" s="101"/>
      <c r="H124" s="101"/>
      <c r="I124" s="1666"/>
      <c r="J124" s="1670"/>
      <c r="K124" s="101"/>
      <c r="L124" s="101"/>
      <c r="M124" s="101"/>
      <c r="N124" s="101"/>
      <c r="O124" s="101"/>
      <c r="P124" s="1671">
        <f t="shared" si="23"/>
        <v>0</v>
      </c>
      <c r="Q124" s="1671">
        <f t="shared" si="16"/>
        <v>0</v>
      </c>
      <c r="R124" s="1671">
        <f t="shared" si="17"/>
        <v>0</v>
      </c>
      <c r="S124" s="1671">
        <f t="shared" si="18"/>
        <v>0</v>
      </c>
      <c r="T124" s="1671">
        <f t="shared" si="19"/>
        <v>0</v>
      </c>
      <c r="U124" s="1671">
        <f t="shared" si="20"/>
        <v>0</v>
      </c>
      <c r="V124" s="1671">
        <f t="shared" si="21"/>
        <v>0</v>
      </c>
      <c r="W124" s="1511"/>
    </row>
    <row r="125" spans="3:23" ht="11.25" customHeight="1">
      <c r="C125" s="300" t="s">
        <v>675</v>
      </c>
      <c r="D125" s="101"/>
      <c r="E125" s="101"/>
      <c r="F125" s="101">
        <f>SUM(F98:F124)</f>
        <v>0</v>
      </c>
      <c r="G125" s="101"/>
      <c r="H125" s="101">
        <f t="shared" ref="H125:O125" si="24">SUM(H98:H124)</f>
        <v>0</v>
      </c>
      <c r="I125" s="1666"/>
      <c r="J125" s="1670">
        <f t="shared" si="24"/>
        <v>0</v>
      </c>
      <c r="K125" s="101">
        <f t="shared" si="24"/>
        <v>0</v>
      </c>
      <c r="L125" s="101">
        <f t="shared" si="24"/>
        <v>0</v>
      </c>
      <c r="M125" s="101">
        <f t="shared" si="24"/>
        <v>0</v>
      </c>
      <c r="N125" s="101">
        <f t="shared" si="24"/>
        <v>0</v>
      </c>
      <c r="O125" s="101">
        <f t="shared" si="24"/>
        <v>0</v>
      </c>
      <c r="P125" s="1671">
        <f t="shared" si="23"/>
        <v>0</v>
      </c>
      <c r="Q125" s="1671">
        <f t="shared" si="16"/>
        <v>0</v>
      </c>
      <c r="R125" s="1671">
        <f t="shared" si="17"/>
        <v>0</v>
      </c>
      <c r="S125" s="1671">
        <f t="shared" si="18"/>
        <v>0</v>
      </c>
      <c r="T125" s="1671">
        <f t="shared" si="19"/>
        <v>0</v>
      </c>
      <c r="U125" s="1671">
        <f t="shared" si="20"/>
        <v>0</v>
      </c>
      <c r="V125" s="1671">
        <f t="shared" si="21"/>
        <v>0</v>
      </c>
      <c r="W125" s="1511"/>
    </row>
    <row r="126" spans="3:23" ht="11.25" customHeight="1">
      <c r="C126" s="300" t="s">
        <v>676</v>
      </c>
      <c r="D126" s="101"/>
      <c r="E126" s="101"/>
      <c r="F126" s="101">
        <f>SUM(F125,F97)</f>
        <v>0</v>
      </c>
      <c r="G126" s="101"/>
      <c r="H126" s="101">
        <f t="shared" ref="H126:O126" si="25">SUM(H125,H97)</f>
        <v>0</v>
      </c>
      <c r="I126" s="1666"/>
      <c r="J126" s="1670">
        <f t="shared" si="25"/>
        <v>0</v>
      </c>
      <c r="K126" s="101">
        <f t="shared" si="25"/>
        <v>0</v>
      </c>
      <c r="L126" s="101">
        <f t="shared" si="25"/>
        <v>0</v>
      </c>
      <c r="M126" s="101">
        <f t="shared" si="25"/>
        <v>0</v>
      </c>
      <c r="N126" s="101">
        <f t="shared" si="25"/>
        <v>0</v>
      </c>
      <c r="O126" s="101">
        <f t="shared" si="25"/>
        <v>0</v>
      </c>
      <c r="P126" s="1671">
        <f t="shared" si="23"/>
        <v>0</v>
      </c>
      <c r="Q126" s="1671">
        <f t="shared" si="16"/>
        <v>0</v>
      </c>
      <c r="R126" s="1671">
        <f t="shared" si="17"/>
        <v>0</v>
      </c>
      <c r="S126" s="1671">
        <f t="shared" si="18"/>
        <v>0</v>
      </c>
      <c r="T126" s="1671">
        <f t="shared" si="19"/>
        <v>0</v>
      </c>
      <c r="U126" s="1671">
        <f t="shared" si="20"/>
        <v>0</v>
      </c>
      <c r="V126" s="1671">
        <f t="shared" si="21"/>
        <v>0</v>
      </c>
      <c r="W126" s="1511"/>
    </row>
    <row r="127" spans="3:23" ht="11.25" customHeight="1">
      <c r="C127" s="1672" t="s">
        <v>827</v>
      </c>
      <c r="D127" s="1673"/>
      <c r="E127" s="1673"/>
      <c r="F127" s="1673"/>
      <c r="G127" s="1673"/>
      <c r="H127" s="1673"/>
      <c r="I127" s="1673"/>
      <c r="J127" s="1673"/>
      <c r="K127" s="1673"/>
      <c r="L127" s="1673"/>
      <c r="M127" s="1673"/>
      <c r="N127" s="1673"/>
      <c r="O127" s="1673"/>
      <c r="P127" s="1674">
        <f t="shared" si="23"/>
        <v>0</v>
      </c>
      <c r="Q127" s="1674">
        <f t="shared" si="16"/>
        <v>0</v>
      </c>
      <c r="R127" s="1674">
        <f t="shared" si="17"/>
        <v>0</v>
      </c>
      <c r="S127" s="1674">
        <f t="shared" si="18"/>
        <v>0</v>
      </c>
      <c r="T127" s="1674">
        <f t="shared" si="19"/>
        <v>0</v>
      </c>
      <c r="U127" s="1674">
        <f t="shared" si="20"/>
        <v>0</v>
      </c>
      <c r="V127" s="1674">
        <f t="shared" si="21"/>
        <v>0</v>
      </c>
      <c r="W127" s="1511"/>
    </row>
    <row r="128" spans="3:23" ht="11.25" customHeight="1">
      <c r="C128" s="1672" t="s">
        <v>831</v>
      </c>
      <c r="D128" s="1673"/>
      <c r="E128" s="1673"/>
      <c r="F128" s="1673"/>
      <c r="G128" s="1673"/>
      <c r="H128" s="1673"/>
      <c r="I128" s="1673"/>
      <c r="J128" s="1673"/>
      <c r="K128" s="1673"/>
      <c r="L128" s="1673"/>
      <c r="M128" s="1673"/>
      <c r="N128" s="1673"/>
      <c r="O128" s="1673"/>
      <c r="P128" s="1674">
        <f t="shared" si="23"/>
        <v>0</v>
      </c>
      <c r="Q128" s="1674">
        <f t="shared" si="16"/>
        <v>0</v>
      </c>
      <c r="R128" s="1674">
        <f t="shared" si="17"/>
        <v>0</v>
      </c>
      <c r="S128" s="1674">
        <f t="shared" si="18"/>
        <v>0</v>
      </c>
      <c r="T128" s="1674">
        <f t="shared" si="19"/>
        <v>0</v>
      </c>
      <c r="U128" s="1674">
        <f t="shared" si="20"/>
        <v>0</v>
      </c>
      <c r="V128" s="1674">
        <f t="shared" si="21"/>
        <v>0</v>
      </c>
      <c r="W128" s="1511"/>
    </row>
    <row r="129" spans="3:23" ht="11.25" customHeight="1">
      <c r="C129" s="545" t="s">
        <v>832</v>
      </c>
      <c r="D129" s="101"/>
      <c r="E129" s="101"/>
      <c r="F129" s="101"/>
      <c r="G129" s="101"/>
      <c r="H129" s="101"/>
      <c r="I129" s="1666"/>
      <c r="J129" s="289"/>
      <c r="K129" s="101"/>
      <c r="L129" s="101"/>
      <c r="M129" s="101"/>
      <c r="N129" s="101"/>
      <c r="O129" s="101"/>
      <c r="P129" s="1671"/>
      <c r="Q129" s="1671">
        <f t="shared" si="16"/>
        <v>0</v>
      </c>
      <c r="R129" s="1671">
        <f t="shared" si="17"/>
        <v>0</v>
      </c>
      <c r="S129" s="1671">
        <f t="shared" si="18"/>
        <v>0</v>
      </c>
      <c r="T129" s="1671">
        <f t="shared" si="19"/>
        <v>0</v>
      </c>
      <c r="U129" s="1671">
        <f t="shared" si="20"/>
        <v>0</v>
      </c>
      <c r="V129" s="1671">
        <f t="shared" si="21"/>
        <v>0</v>
      </c>
      <c r="W129" s="1511"/>
    </row>
    <row r="130" spans="3:23" ht="11.25" customHeight="1" thickBot="1">
      <c r="C130" s="1675" t="s">
        <v>829</v>
      </c>
      <c r="D130" s="1676"/>
      <c r="E130" s="1676"/>
      <c r="F130" s="1676"/>
      <c r="G130" s="1676"/>
      <c r="H130" s="1676"/>
      <c r="I130" s="1676"/>
      <c r="J130" s="1676"/>
      <c r="K130" s="1676"/>
      <c r="L130" s="1676"/>
      <c r="M130" s="1676"/>
      <c r="N130" s="1676"/>
      <c r="O130" s="1676"/>
      <c r="P130" s="1677"/>
      <c r="Q130" s="1677">
        <f t="shared" si="16"/>
        <v>0</v>
      </c>
      <c r="R130" s="1677">
        <f t="shared" si="17"/>
        <v>0</v>
      </c>
      <c r="S130" s="1677">
        <f t="shared" si="18"/>
        <v>0</v>
      </c>
      <c r="T130" s="1677">
        <f t="shared" si="19"/>
        <v>0</v>
      </c>
      <c r="U130" s="1677">
        <f t="shared" si="20"/>
        <v>0</v>
      </c>
      <c r="V130" s="1677">
        <f t="shared" si="21"/>
        <v>0</v>
      </c>
      <c r="W130" s="1511"/>
    </row>
    <row r="131" spans="3:23">
      <c r="P131" s="895"/>
      <c r="S131" s="891"/>
      <c r="T131" s="891"/>
      <c r="U131" s="891"/>
      <c r="V131" s="895"/>
    </row>
    <row r="132" spans="3:23">
      <c r="P132" s="895"/>
      <c r="S132" s="891"/>
      <c r="T132" s="891"/>
      <c r="U132" s="891"/>
      <c r="V132" s="895"/>
    </row>
    <row r="133" spans="3:23">
      <c r="P133" s="895"/>
      <c r="S133" s="891"/>
      <c r="T133" s="891"/>
      <c r="U133" s="891"/>
      <c r="V133" s="895"/>
    </row>
    <row r="134" spans="3:23">
      <c r="P134" s="895"/>
      <c r="S134" s="891"/>
      <c r="T134" s="891"/>
      <c r="U134" s="891"/>
      <c r="V134" s="895"/>
    </row>
    <row r="135" spans="3:23">
      <c r="P135" s="895"/>
      <c r="S135" s="891"/>
      <c r="T135" s="891"/>
      <c r="U135" s="891"/>
      <c r="V135" s="895"/>
    </row>
    <row r="136" spans="3:23">
      <c r="P136" s="895"/>
      <c r="S136" s="891"/>
      <c r="T136" s="891"/>
      <c r="U136" s="891"/>
      <c r="V136" s="895"/>
    </row>
    <row r="137" spans="3:23">
      <c r="P137" s="895"/>
      <c r="S137" s="891"/>
      <c r="T137" s="891"/>
      <c r="U137" s="891"/>
      <c r="V137" s="895"/>
    </row>
    <row r="138" spans="3:23">
      <c r="P138" s="895"/>
      <c r="S138" s="891"/>
      <c r="T138" s="891"/>
      <c r="U138" s="891"/>
      <c r="V138" s="895"/>
    </row>
    <row r="139" spans="3:23">
      <c r="P139" s="895"/>
      <c r="S139" s="891"/>
      <c r="T139" s="891"/>
      <c r="U139" s="891"/>
      <c r="V139" s="895"/>
    </row>
    <row r="140" spans="3:23">
      <c r="P140" s="895"/>
      <c r="S140" s="891"/>
      <c r="T140" s="891"/>
      <c r="U140" s="891"/>
      <c r="V140" s="895"/>
    </row>
    <row r="141" spans="3:23">
      <c r="P141" s="895"/>
      <c r="S141" s="891"/>
      <c r="T141" s="891"/>
      <c r="U141" s="891"/>
      <c r="V141" s="895"/>
    </row>
    <row r="142" spans="3:23">
      <c r="P142" s="895"/>
      <c r="S142" s="891"/>
      <c r="T142" s="891"/>
      <c r="U142" s="891"/>
      <c r="V142" s="895"/>
    </row>
    <row r="143" spans="3:23">
      <c r="P143" s="895"/>
      <c r="S143" s="891"/>
      <c r="T143" s="891"/>
      <c r="U143" s="891"/>
      <c r="V143" s="895"/>
    </row>
    <row r="144" spans="3:23">
      <c r="P144" s="895"/>
      <c r="S144" s="891"/>
      <c r="T144" s="891"/>
      <c r="U144" s="891"/>
      <c r="V144" s="895"/>
    </row>
    <row r="145" spans="16:22">
      <c r="P145" s="895"/>
      <c r="S145" s="891"/>
      <c r="T145" s="891"/>
      <c r="U145" s="891"/>
      <c r="V145" s="895"/>
    </row>
    <row r="146" spans="16:22">
      <c r="P146" s="895"/>
      <c r="S146" s="891"/>
      <c r="T146" s="891"/>
      <c r="U146" s="891"/>
      <c r="V146" s="895"/>
    </row>
    <row r="147" spans="16:22">
      <c r="P147" s="895"/>
      <c r="S147" s="891"/>
      <c r="T147" s="891"/>
      <c r="U147" s="891"/>
      <c r="V147" s="895"/>
    </row>
    <row r="148" spans="16:22">
      <c r="P148" s="895"/>
      <c r="S148" s="891"/>
      <c r="T148" s="891"/>
      <c r="U148" s="891"/>
      <c r="V148" s="895"/>
    </row>
    <row r="149" spans="16:22">
      <c r="P149" s="895"/>
      <c r="S149" s="891"/>
      <c r="T149" s="891"/>
      <c r="U149" s="891"/>
      <c r="V149" s="895"/>
    </row>
    <row r="150" spans="16:22">
      <c r="P150" s="895"/>
      <c r="S150" s="891"/>
      <c r="T150" s="891"/>
      <c r="U150" s="891"/>
      <c r="V150" s="895"/>
    </row>
    <row r="151" spans="16:22">
      <c r="P151" s="895"/>
      <c r="S151" s="891"/>
      <c r="T151" s="891"/>
      <c r="U151" s="891"/>
      <c r="V151" s="895"/>
    </row>
    <row r="152" spans="16:22">
      <c r="P152" s="895"/>
      <c r="S152" s="891"/>
      <c r="T152" s="891"/>
      <c r="U152" s="891"/>
      <c r="V152" s="895"/>
    </row>
    <row r="153" spans="16:22">
      <c r="P153" s="895"/>
      <c r="S153" s="891"/>
      <c r="T153" s="891"/>
      <c r="U153" s="891"/>
      <c r="V153" s="895"/>
    </row>
    <row r="154" spans="16:22">
      <c r="P154" s="895"/>
      <c r="S154" s="891"/>
      <c r="T154" s="891"/>
      <c r="U154" s="891"/>
      <c r="V154" s="895"/>
    </row>
    <row r="155" spans="16:22">
      <c r="P155" s="895"/>
      <c r="S155" s="891"/>
      <c r="T155" s="891"/>
      <c r="U155" s="891"/>
      <c r="V155" s="895"/>
    </row>
    <row r="156" spans="16:22">
      <c r="P156" s="895"/>
      <c r="S156" s="891"/>
      <c r="T156" s="891"/>
      <c r="U156" s="891"/>
      <c r="V156" s="895"/>
    </row>
    <row r="157" spans="16:22">
      <c r="P157" s="895"/>
      <c r="S157" s="891"/>
      <c r="T157" s="891"/>
      <c r="U157" s="891"/>
      <c r="V157" s="895"/>
    </row>
    <row r="158" spans="16:22">
      <c r="P158" s="895"/>
      <c r="S158" s="891"/>
      <c r="T158" s="891"/>
      <c r="U158" s="891"/>
      <c r="V158" s="895"/>
    </row>
    <row r="159" spans="16:22">
      <c r="P159" s="895"/>
      <c r="S159" s="891"/>
      <c r="T159" s="891"/>
      <c r="U159" s="891"/>
      <c r="V159" s="895"/>
    </row>
    <row r="160" spans="16:22">
      <c r="P160" s="895"/>
      <c r="S160" s="891"/>
      <c r="T160" s="891"/>
      <c r="U160" s="891"/>
      <c r="V160" s="895"/>
    </row>
    <row r="161" spans="16:22">
      <c r="P161" s="895"/>
      <c r="S161" s="891"/>
      <c r="T161" s="891"/>
      <c r="U161" s="891"/>
      <c r="V161" s="895"/>
    </row>
    <row r="162" spans="16:22">
      <c r="P162" s="895"/>
      <c r="S162" s="891"/>
      <c r="T162" s="891"/>
      <c r="U162" s="891"/>
      <c r="V162" s="895"/>
    </row>
    <row r="163" spans="16:22">
      <c r="P163" s="895"/>
      <c r="S163" s="891"/>
      <c r="T163" s="891"/>
      <c r="U163" s="891"/>
      <c r="V163" s="895"/>
    </row>
    <row r="164" spans="16:22">
      <c r="P164" s="895"/>
      <c r="S164" s="891"/>
      <c r="T164" s="891"/>
      <c r="U164" s="891"/>
      <c r="V164" s="895"/>
    </row>
    <row r="165" spans="16:22">
      <c r="P165" s="895"/>
      <c r="S165" s="891"/>
      <c r="T165" s="891"/>
      <c r="U165" s="891"/>
      <c r="V165" s="895"/>
    </row>
    <row r="166" spans="16:22">
      <c r="P166" s="895"/>
      <c r="S166" s="891"/>
      <c r="T166" s="891"/>
      <c r="U166" s="891"/>
      <c r="V166" s="895"/>
    </row>
    <row r="167" spans="16:22">
      <c r="P167" s="895"/>
      <c r="S167" s="891"/>
      <c r="T167" s="891"/>
      <c r="U167" s="891"/>
      <c r="V167" s="895"/>
    </row>
    <row r="168" spans="16:22">
      <c r="P168" s="895"/>
      <c r="S168" s="891"/>
      <c r="T168" s="891"/>
      <c r="U168" s="891"/>
      <c r="V168" s="895"/>
    </row>
    <row r="169" spans="16:22">
      <c r="P169" s="895"/>
      <c r="S169" s="891"/>
      <c r="T169" s="891"/>
      <c r="U169" s="891"/>
      <c r="V169" s="895"/>
    </row>
    <row r="170" spans="16:22">
      <c r="P170" s="895"/>
      <c r="S170" s="891"/>
      <c r="T170" s="891"/>
      <c r="U170" s="891"/>
      <c r="V170" s="895"/>
    </row>
    <row r="171" spans="16:22">
      <c r="P171" s="895"/>
      <c r="S171" s="891"/>
      <c r="T171" s="891"/>
      <c r="U171" s="891"/>
      <c r="V171" s="895"/>
    </row>
    <row r="172" spans="16:22">
      <c r="P172" s="895"/>
      <c r="S172" s="891"/>
      <c r="T172" s="891"/>
      <c r="U172" s="891"/>
      <c r="V172" s="895"/>
    </row>
    <row r="173" spans="16:22">
      <c r="P173" s="895"/>
      <c r="S173" s="891"/>
      <c r="T173" s="891"/>
      <c r="U173" s="891"/>
      <c r="V173" s="895"/>
    </row>
    <row r="174" spans="16:22">
      <c r="P174" s="895"/>
      <c r="S174" s="891"/>
      <c r="T174" s="891"/>
      <c r="U174" s="891"/>
      <c r="V174" s="895"/>
    </row>
    <row r="175" spans="16:22">
      <c r="P175" s="895"/>
      <c r="S175" s="891"/>
      <c r="T175" s="891"/>
      <c r="U175" s="891"/>
      <c r="V175" s="895"/>
    </row>
    <row r="176" spans="16:22">
      <c r="P176" s="895"/>
      <c r="S176" s="891"/>
      <c r="T176" s="891"/>
      <c r="U176" s="891"/>
      <c r="V176" s="895"/>
    </row>
    <row r="177" spans="16:22">
      <c r="P177" s="895"/>
      <c r="S177" s="891"/>
      <c r="T177" s="891"/>
      <c r="U177" s="891"/>
      <c r="V177" s="895"/>
    </row>
    <row r="178" spans="16:22">
      <c r="P178" s="895"/>
      <c r="S178" s="891"/>
      <c r="T178" s="891"/>
      <c r="U178" s="891"/>
      <c r="V178" s="895"/>
    </row>
    <row r="179" spans="16:22">
      <c r="P179" s="895"/>
      <c r="S179" s="891"/>
      <c r="T179" s="891"/>
      <c r="U179" s="891"/>
      <c r="V179" s="895"/>
    </row>
    <row r="180" spans="16:22">
      <c r="P180" s="895"/>
      <c r="S180" s="891"/>
      <c r="T180" s="891"/>
      <c r="U180" s="891"/>
      <c r="V180" s="895"/>
    </row>
    <row r="181" spans="16:22">
      <c r="P181" s="895"/>
      <c r="S181" s="891"/>
      <c r="T181" s="891"/>
      <c r="U181" s="891"/>
      <c r="V181" s="895"/>
    </row>
    <row r="182" spans="16:22">
      <c r="P182" s="895"/>
      <c r="S182" s="891"/>
      <c r="T182" s="891"/>
      <c r="U182" s="891"/>
      <c r="V182" s="895"/>
    </row>
    <row r="183" spans="16:22">
      <c r="P183" s="895"/>
      <c r="S183" s="891"/>
      <c r="T183" s="891"/>
      <c r="U183" s="891"/>
      <c r="V183" s="895"/>
    </row>
    <row r="184" spans="16:22">
      <c r="P184" s="895"/>
      <c r="S184" s="891"/>
      <c r="T184" s="891"/>
      <c r="U184" s="891"/>
      <c r="V184" s="895"/>
    </row>
    <row r="185" spans="16:22">
      <c r="P185" s="895"/>
      <c r="S185" s="891"/>
      <c r="T185" s="891"/>
      <c r="U185" s="891"/>
      <c r="V185" s="895"/>
    </row>
    <row r="186" spans="16:22">
      <c r="P186" s="895"/>
      <c r="S186" s="891"/>
      <c r="T186" s="891"/>
      <c r="U186" s="891"/>
      <c r="V186" s="895"/>
    </row>
    <row r="187" spans="16:22">
      <c r="P187" s="895"/>
      <c r="S187" s="891"/>
      <c r="T187" s="891"/>
      <c r="U187" s="891"/>
      <c r="V187" s="895"/>
    </row>
    <row r="188" spans="16:22">
      <c r="P188" s="895"/>
      <c r="S188" s="891"/>
      <c r="T188" s="891"/>
      <c r="U188" s="891"/>
      <c r="V188" s="895"/>
    </row>
    <row r="189" spans="16:22">
      <c r="P189" s="895"/>
      <c r="S189" s="891"/>
      <c r="T189" s="891"/>
      <c r="U189" s="891"/>
      <c r="V189" s="895"/>
    </row>
    <row r="190" spans="16:22">
      <c r="P190" s="895"/>
      <c r="S190" s="891"/>
      <c r="T190" s="891"/>
      <c r="U190" s="891"/>
      <c r="V190" s="895"/>
    </row>
    <row r="191" spans="16:22">
      <c r="P191" s="895"/>
      <c r="S191" s="891"/>
      <c r="T191" s="891"/>
      <c r="U191" s="891"/>
      <c r="V191" s="895"/>
    </row>
    <row r="192" spans="16:22">
      <c r="P192" s="895"/>
      <c r="S192" s="891"/>
      <c r="T192" s="891"/>
      <c r="U192" s="891"/>
      <c r="V192" s="895"/>
    </row>
    <row r="193" spans="16:22">
      <c r="P193" s="895"/>
      <c r="S193" s="891"/>
      <c r="T193" s="891"/>
      <c r="U193" s="891"/>
      <c r="V193" s="895"/>
    </row>
    <row r="194" spans="16:22">
      <c r="P194" s="895"/>
      <c r="S194" s="891"/>
      <c r="T194" s="891"/>
      <c r="U194" s="891"/>
      <c r="V194" s="895"/>
    </row>
    <row r="195" spans="16:22">
      <c r="P195" s="895"/>
      <c r="S195" s="891"/>
      <c r="T195" s="891"/>
      <c r="U195" s="891"/>
      <c r="V195" s="895"/>
    </row>
    <row r="196" spans="16:22">
      <c r="P196" s="895"/>
      <c r="S196" s="891"/>
      <c r="T196" s="891"/>
      <c r="U196" s="891"/>
      <c r="V196" s="895"/>
    </row>
    <row r="197" spans="16:22">
      <c r="P197" s="895"/>
      <c r="S197" s="891"/>
      <c r="T197" s="891"/>
      <c r="U197" s="891"/>
      <c r="V197" s="895"/>
    </row>
    <row r="198" spans="16:22">
      <c r="P198" s="895"/>
      <c r="S198" s="891"/>
      <c r="T198" s="891"/>
      <c r="U198" s="891"/>
      <c r="V198" s="895"/>
    </row>
    <row r="199" spans="16:22">
      <c r="P199" s="895"/>
      <c r="S199" s="891"/>
      <c r="T199" s="891"/>
      <c r="U199" s="891"/>
      <c r="V199" s="895"/>
    </row>
    <row r="200" spans="16:22">
      <c r="P200" s="895"/>
      <c r="S200" s="891"/>
      <c r="T200" s="891"/>
      <c r="U200" s="891"/>
      <c r="V200" s="895"/>
    </row>
    <row r="201" spans="16:22">
      <c r="P201" s="895"/>
      <c r="S201" s="891"/>
      <c r="T201" s="891"/>
      <c r="U201" s="891"/>
      <c r="V201" s="895"/>
    </row>
    <row r="202" spans="16:22">
      <c r="P202" s="895"/>
      <c r="S202" s="891"/>
      <c r="T202" s="891"/>
      <c r="U202" s="891"/>
      <c r="V202" s="895"/>
    </row>
    <row r="203" spans="16:22">
      <c r="P203" s="895"/>
      <c r="S203" s="891"/>
      <c r="T203" s="891"/>
      <c r="U203" s="891"/>
      <c r="V203" s="895"/>
    </row>
    <row r="204" spans="16:22">
      <c r="P204" s="895"/>
      <c r="S204" s="891"/>
      <c r="T204" s="891"/>
      <c r="U204" s="891"/>
      <c r="V204" s="895"/>
    </row>
    <row r="205" spans="16:22">
      <c r="P205" s="895"/>
      <c r="S205" s="891"/>
      <c r="T205" s="891"/>
      <c r="U205" s="891"/>
      <c r="V205" s="895"/>
    </row>
    <row r="206" spans="16:22">
      <c r="P206" s="895"/>
      <c r="S206" s="891"/>
      <c r="T206" s="891"/>
      <c r="U206" s="891"/>
      <c r="V206" s="895"/>
    </row>
    <row r="207" spans="16:22">
      <c r="P207" s="895"/>
      <c r="S207" s="891"/>
      <c r="T207" s="891"/>
      <c r="U207" s="891"/>
      <c r="V207" s="895"/>
    </row>
    <row r="208" spans="16:22">
      <c r="P208" s="895"/>
      <c r="S208" s="891"/>
      <c r="T208" s="891"/>
      <c r="U208" s="891"/>
      <c r="V208" s="895"/>
    </row>
    <row r="209" spans="16:22">
      <c r="P209" s="895"/>
      <c r="S209" s="891"/>
      <c r="T209" s="891"/>
      <c r="U209" s="891"/>
      <c r="V209" s="895"/>
    </row>
    <row r="210" spans="16:22">
      <c r="P210" s="895"/>
      <c r="S210" s="891"/>
      <c r="T210" s="891"/>
      <c r="U210" s="891"/>
      <c r="V210" s="895"/>
    </row>
    <row r="211" spans="16:22">
      <c r="P211" s="895"/>
      <c r="S211" s="891"/>
      <c r="T211" s="891"/>
      <c r="U211" s="891"/>
      <c r="V211" s="895"/>
    </row>
    <row r="212" spans="16:22">
      <c r="P212" s="895"/>
      <c r="S212" s="891"/>
      <c r="T212" s="891"/>
      <c r="U212" s="891"/>
      <c r="V212" s="895"/>
    </row>
    <row r="213" spans="16:22">
      <c r="P213" s="895"/>
      <c r="S213" s="891"/>
      <c r="T213" s="891"/>
      <c r="U213" s="891"/>
      <c r="V213" s="895"/>
    </row>
    <row r="214" spans="16:22">
      <c r="P214" s="895"/>
      <c r="S214" s="891"/>
      <c r="T214" s="891"/>
      <c r="U214" s="891"/>
      <c r="V214" s="895"/>
    </row>
    <row r="215" spans="16:22">
      <c r="P215" s="895"/>
      <c r="S215" s="891"/>
      <c r="T215" s="891"/>
      <c r="U215" s="891"/>
      <c r="V215" s="895"/>
    </row>
    <row r="216" spans="16:22">
      <c r="P216" s="895"/>
      <c r="S216" s="891"/>
      <c r="T216" s="891"/>
      <c r="U216" s="891"/>
      <c r="V216" s="895"/>
    </row>
    <row r="217" spans="16:22">
      <c r="P217" s="895"/>
      <c r="S217" s="891"/>
      <c r="T217" s="891"/>
      <c r="U217" s="891"/>
      <c r="V217" s="895"/>
    </row>
    <row r="218" spans="16:22">
      <c r="P218" s="895"/>
      <c r="S218" s="891"/>
      <c r="T218" s="891"/>
      <c r="U218" s="891"/>
      <c r="V218" s="895"/>
    </row>
    <row r="219" spans="16:22">
      <c r="P219" s="895"/>
      <c r="S219" s="891"/>
      <c r="T219" s="891"/>
      <c r="U219" s="891"/>
      <c r="V219" s="895"/>
    </row>
    <row r="220" spans="16:22">
      <c r="P220" s="895"/>
      <c r="S220" s="891"/>
      <c r="T220" s="891"/>
      <c r="U220" s="891"/>
      <c r="V220" s="895"/>
    </row>
    <row r="221" spans="16:22">
      <c r="P221" s="895"/>
      <c r="S221" s="891"/>
      <c r="T221" s="891"/>
      <c r="U221" s="891"/>
      <c r="V221" s="895"/>
    </row>
    <row r="222" spans="16:22">
      <c r="P222" s="895"/>
      <c r="S222" s="891"/>
      <c r="T222" s="891"/>
      <c r="U222" s="891"/>
      <c r="V222" s="895"/>
    </row>
    <row r="223" spans="16:22">
      <c r="P223" s="895"/>
      <c r="S223" s="891"/>
      <c r="T223" s="891"/>
      <c r="U223" s="891"/>
      <c r="V223" s="895"/>
    </row>
    <row r="224" spans="16:22">
      <c r="P224" s="895"/>
      <c r="S224" s="891"/>
      <c r="T224" s="891"/>
      <c r="U224" s="891"/>
      <c r="V224" s="895"/>
    </row>
    <row r="225" spans="16:22">
      <c r="P225" s="895"/>
      <c r="S225" s="891"/>
      <c r="T225" s="891"/>
      <c r="U225" s="891"/>
      <c r="V225" s="895"/>
    </row>
    <row r="226" spans="16:22">
      <c r="P226" s="895"/>
      <c r="S226" s="891"/>
      <c r="T226" s="891"/>
      <c r="U226" s="891"/>
      <c r="V226" s="895"/>
    </row>
    <row r="227" spans="16:22">
      <c r="P227" s="895"/>
      <c r="S227" s="891"/>
      <c r="T227" s="891"/>
      <c r="U227" s="891"/>
      <c r="V227" s="895"/>
    </row>
    <row r="228" spans="16:22">
      <c r="P228" s="895"/>
      <c r="S228" s="891"/>
      <c r="T228" s="891"/>
      <c r="U228" s="891"/>
      <c r="V228" s="895"/>
    </row>
    <row r="229" spans="16:22">
      <c r="P229" s="895"/>
      <c r="S229" s="891"/>
      <c r="T229" s="891"/>
      <c r="U229" s="891"/>
      <c r="V229" s="895"/>
    </row>
    <row r="230" spans="16:22">
      <c r="P230" s="895"/>
      <c r="S230" s="891"/>
      <c r="T230" s="891"/>
      <c r="U230" s="891"/>
      <c r="V230" s="895"/>
    </row>
    <row r="231" spans="16:22">
      <c r="P231" s="895"/>
      <c r="S231" s="891"/>
      <c r="T231" s="891"/>
      <c r="U231" s="891"/>
      <c r="V231" s="895"/>
    </row>
    <row r="232" spans="16:22">
      <c r="P232" s="895"/>
      <c r="S232" s="891"/>
      <c r="T232" s="891"/>
      <c r="U232" s="891"/>
      <c r="V232" s="895"/>
    </row>
    <row r="233" spans="16:22">
      <c r="P233" s="895"/>
      <c r="S233" s="891"/>
      <c r="T233" s="891"/>
      <c r="U233" s="891"/>
      <c r="V233" s="895"/>
    </row>
    <row r="234" spans="16:22">
      <c r="P234" s="895"/>
      <c r="S234" s="891"/>
      <c r="T234" s="891"/>
      <c r="U234" s="891"/>
      <c r="V234" s="895"/>
    </row>
    <row r="235" spans="16:22">
      <c r="P235" s="895"/>
      <c r="S235" s="891"/>
      <c r="T235" s="891"/>
      <c r="U235" s="891"/>
      <c r="V235" s="895"/>
    </row>
    <row r="236" spans="16:22">
      <c r="P236" s="895"/>
      <c r="S236" s="891"/>
      <c r="T236" s="891"/>
      <c r="U236" s="891"/>
      <c r="V236" s="895"/>
    </row>
    <row r="237" spans="16:22">
      <c r="P237" s="895"/>
      <c r="S237" s="891"/>
      <c r="T237" s="891"/>
      <c r="U237" s="891"/>
      <c r="V237" s="895"/>
    </row>
    <row r="238" spans="16:22">
      <c r="P238" s="895"/>
      <c r="S238" s="891"/>
      <c r="T238" s="891"/>
      <c r="U238" s="891"/>
      <c r="V238" s="895"/>
    </row>
    <row r="239" spans="16:22">
      <c r="P239" s="895"/>
      <c r="S239" s="891"/>
      <c r="T239" s="891"/>
      <c r="U239" s="891"/>
      <c r="V239" s="895"/>
    </row>
    <row r="240" spans="16:22">
      <c r="P240" s="895"/>
      <c r="S240" s="891"/>
      <c r="T240" s="891"/>
      <c r="U240" s="891"/>
      <c r="V240" s="895"/>
    </row>
    <row r="241" spans="16:22">
      <c r="P241" s="895"/>
      <c r="S241" s="891"/>
      <c r="T241" s="891"/>
      <c r="U241" s="891"/>
      <c r="V241" s="895"/>
    </row>
    <row r="242" spans="16:22">
      <c r="P242" s="895"/>
      <c r="S242" s="891"/>
      <c r="T242" s="891"/>
      <c r="U242" s="891"/>
      <c r="V242" s="895"/>
    </row>
    <row r="243" spans="16:22">
      <c r="P243" s="895"/>
      <c r="S243" s="891"/>
      <c r="T243" s="891"/>
      <c r="U243" s="891"/>
      <c r="V243" s="895"/>
    </row>
    <row r="244" spans="16:22">
      <c r="P244" s="895"/>
      <c r="S244" s="891"/>
      <c r="T244" s="891"/>
      <c r="U244" s="891"/>
      <c r="V244" s="895"/>
    </row>
    <row r="245" spans="16:22">
      <c r="P245" s="895"/>
      <c r="S245" s="891"/>
      <c r="T245" s="891"/>
      <c r="U245" s="891"/>
      <c r="V245" s="895"/>
    </row>
    <row r="246" spans="16:22">
      <c r="P246" s="895"/>
      <c r="S246" s="891"/>
      <c r="T246" s="891"/>
      <c r="U246" s="891"/>
      <c r="V246" s="895"/>
    </row>
    <row r="247" spans="16:22">
      <c r="P247" s="895"/>
      <c r="S247" s="891"/>
      <c r="T247" s="891"/>
      <c r="U247" s="891"/>
      <c r="V247" s="895"/>
    </row>
    <row r="248" spans="16:22">
      <c r="P248" s="895"/>
      <c r="S248" s="891"/>
      <c r="T248" s="891"/>
      <c r="U248" s="891"/>
      <c r="V248" s="895"/>
    </row>
    <row r="249" spans="16:22">
      <c r="P249" s="895"/>
      <c r="S249" s="891"/>
      <c r="T249" s="891"/>
      <c r="U249" s="891"/>
      <c r="V249" s="895"/>
    </row>
    <row r="250" spans="16:22">
      <c r="P250" s="895"/>
      <c r="S250" s="891"/>
      <c r="T250" s="891"/>
      <c r="U250" s="891"/>
      <c r="V250" s="895"/>
    </row>
    <row r="251" spans="16:22">
      <c r="P251" s="895"/>
      <c r="S251" s="891"/>
      <c r="T251" s="891"/>
      <c r="U251" s="891"/>
      <c r="V251" s="895"/>
    </row>
    <row r="252" spans="16:22">
      <c r="P252" s="895"/>
      <c r="S252" s="891"/>
      <c r="T252" s="891"/>
      <c r="U252" s="891"/>
      <c r="V252" s="895"/>
    </row>
    <row r="253" spans="16:22">
      <c r="P253" s="895"/>
      <c r="S253" s="891"/>
      <c r="T253" s="891"/>
      <c r="U253" s="891"/>
      <c r="V253" s="895"/>
    </row>
    <row r="254" spans="16:22">
      <c r="P254" s="895"/>
      <c r="S254" s="891"/>
      <c r="T254" s="891"/>
      <c r="U254" s="891"/>
      <c r="V254" s="895"/>
    </row>
    <row r="255" spans="16:22">
      <c r="P255" s="895"/>
      <c r="S255" s="891"/>
      <c r="T255" s="891"/>
      <c r="U255" s="891"/>
      <c r="V255" s="895"/>
    </row>
    <row r="256" spans="16:22">
      <c r="P256" s="895"/>
      <c r="S256" s="891"/>
      <c r="T256" s="891"/>
      <c r="U256" s="891"/>
      <c r="V256" s="895"/>
    </row>
    <row r="257" spans="16:22">
      <c r="P257" s="895"/>
      <c r="S257" s="891"/>
      <c r="T257" s="891"/>
      <c r="U257" s="891"/>
      <c r="V257" s="895"/>
    </row>
    <row r="258" spans="16:22">
      <c r="P258" s="895"/>
      <c r="S258" s="891"/>
      <c r="T258" s="891"/>
      <c r="U258" s="891"/>
      <c r="V258" s="895"/>
    </row>
    <row r="259" spans="16:22">
      <c r="P259" s="895"/>
      <c r="S259" s="891"/>
      <c r="T259" s="891"/>
      <c r="U259" s="891"/>
      <c r="V259" s="895"/>
    </row>
    <row r="260" spans="16:22">
      <c r="P260" s="895"/>
      <c r="S260" s="891"/>
      <c r="T260" s="891"/>
      <c r="U260" s="891"/>
      <c r="V260" s="895"/>
    </row>
    <row r="261" spans="16:22">
      <c r="P261" s="895"/>
      <c r="S261" s="891"/>
      <c r="T261" s="891"/>
      <c r="U261" s="891"/>
      <c r="V261" s="895"/>
    </row>
    <row r="262" spans="16:22">
      <c r="P262" s="895"/>
      <c r="S262" s="891"/>
      <c r="T262" s="891"/>
      <c r="U262" s="891"/>
      <c r="V262" s="895"/>
    </row>
    <row r="263" spans="16:22">
      <c r="P263" s="895"/>
      <c r="S263" s="891"/>
      <c r="T263" s="891"/>
      <c r="U263" s="891"/>
      <c r="V263" s="895"/>
    </row>
    <row r="264" spans="16:22">
      <c r="P264" s="895"/>
      <c r="S264" s="891"/>
      <c r="T264" s="891"/>
      <c r="U264" s="891"/>
      <c r="V264" s="895"/>
    </row>
    <row r="265" spans="16:22">
      <c r="P265" s="895"/>
      <c r="S265" s="891"/>
      <c r="T265" s="891"/>
      <c r="U265" s="891"/>
      <c r="V265" s="895"/>
    </row>
    <row r="266" spans="16:22">
      <c r="P266" s="895"/>
      <c r="S266" s="891"/>
      <c r="T266" s="891"/>
      <c r="U266" s="891"/>
      <c r="V266" s="895"/>
    </row>
    <row r="267" spans="16:22">
      <c r="P267" s="895"/>
      <c r="S267" s="891"/>
      <c r="T267" s="891"/>
      <c r="U267" s="891"/>
      <c r="V267" s="895"/>
    </row>
    <row r="268" spans="16:22">
      <c r="P268" s="895"/>
      <c r="S268" s="891"/>
      <c r="T268" s="891"/>
      <c r="U268" s="891"/>
      <c r="V268" s="895"/>
    </row>
    <row r="269" spans="16:22">
      <c r="P269" s="895"/>
      <c r="S269" s="891"/>
      <c r="T269" s="891"/>
      <c r="U269" s="891"/>
      <c r="V269" s="895"/>
    </row>
    <row r="270" spans="16:22">
      <c r="P270" s="895"/>
      <c r="S270" s="891"/>
      <c r="T270" s="891"/>
      <c r="U270" s="891"/>
      <c r="V270" s="895"/>
    </row>
    <row r="271" spans="16:22">
      <c r="P271" s="895"/>
      <c r="S271" s="891"/>
      <c r="T271" s="891"/>
      <c r="U271" s="891"/>
      <c r="V271" s="895"/>
    </row>
    <row r="272" spans="16:22">
      <c r="P272" s="895"/>
      <c r="S272" s="891"/>
      <c r="T272" s="891"/>
      <c r="U272" s="891"/>
      <c r="V272" s="895"/>
    </row>
    <row r="273" spans="16:22">
      <c r="P273" s="895"/>
      <c r="S273" s="891"/>
      <c r="T273" s="891"/>
      <c r="U273" s="891"/>
      <c r="V273" s="895"/>
    </row>
    <row r="274" spans="16:22">
      <c r="P274" s="895"/>
      <c r="S274" s="891"/>
      <c r="T274" s="891"/>
      <c r="U274" s="891"/>
      <c r="V274" s="895"/>
    </row>
    <row r="275" spans="16:22">
      <c r="P275" s="895"/>
      <c r="S275" s="891"/>
      <c r="T275" s="891"/>
      <c r="U275" s="891"/>
      <c r="V275" s="895"/>
    </row>
    <row r="276" spans="16:22">
      <c r="P276" s="895"/>
      <c r="S276" s="891"/>
      <c r="T276" s="891"/>
      <c r="U276" s="891"/>
      <c r="V276" s="895"/>
    </row>
    <row r="277" spans="16:22">
      <c r="P277" s="895"/>
      <c r="S277" s="891"/>
      <c r="T277" s="891"/>
      <c r="U277" s="891"/>
      <c r="V277" s="895"/>
    </row>
    <row r="278" spans="16:22">
      <c r="P278" s="895"/>
      <c r="S278" s="891"/>
      <c r="T278" s="891"/>
      <c r="U278" s="891"/>
      <c r="V278" s="895"/>
    </row>
    <row r="279" spans="16:22">
      <c r="P279" s="895"/>
      <c r="S279" s="891"/>
      <c r="T279" s="891"/>
      <c r="U279" s="891"/>
      <c r="V279" s="895"/>
    </row>
    <row r="280" spans="16:22">
      <c r="P280" s="895"/>
      <c r="S280" s="891"/>
      <c r="T280" s="891"/>
      <c r="U280" s="891"/>
      <c r="V280" s="895"/>
    </row>
    <row r="281" spans="16:22">
      <c r="P281" s="895"/>
      <c r="S281" s="891"/>
      <c r="T281" s="891"/>
      <c r="U281" s="891"/>
      <c r="V281" s="895"/>
    </row>
    <row r="282" spans="16:22">
      <c r="P282" s="895"/>
      <c r="S282" s="891"/>
      <c r="T282" s="891"/>
      <c r="U282" s="891"/>
      <c r="V282" s="895"/>
    </row>
    <row r="283" spans="16:22">
      <c r="P283" s="895"/>
      <c r="S283" s="891"/>
      <c r="T283" s="891"/>
      <c r="U283" s="891"/>
      <c r="V283" s="895"/>
    </row>
    <row r="284" spans="16:22">
      <c r="P284" s="895"/>
      <c r="S284" s="891"/>
      <c r="T284" s="891"/>
      <c r="U284" s="891"/>
      <c r="V284" s="895"/>
    </row>
    <row r="285" spans="16:22">
      <c r="P285" s="895"/>
      <c r="S285" s="891"/>
      <c r="T285" s="891"/>
      <c r="U285" s="891"/>
      <c r="V285" s="895"/>
    </row>
    <row r="286" spans="16:22">
      <c r="P286" s="895"/>
      <c r="S286" s="891"/>
      <c r="T286" s="891"/>
      <c r="U286" s="891"/>
      <c r="V286" s="895"/>
    </row>
    <row r="287" spans="16:22">
      <c r="P287" s="895"/>
      <c r="S287" s="891"/>
      <c r="T287" s="891"/>
      <c r="U287" s="891"/>
      <c r="V287" s="895"/>
    </row>
    <row r="288" spans="16:22">
      <c r="P288" s="895"/>
      <c r="S288" s="891"/>
      <c r="T288" s="891"/>
      <c r="U288" s="891"/>
      <c r="V288" s="895"/>
    </row>
    <row r="289" spans="16:22">
      <c r="P289" s="895"/>
      <c r="S289" s="891"/>
      <c r="T289" s="891"/>
      <c r="U289" s="891"/>
      <c r="V289" s="895"/>
    </row>
    <row r="290" spans="16:22">
      <c r="P290" s="895"/>
      <c r="S290" s="891"/>
      <c r="T290" s="891"/>
      <c r="U290" s="891"/>
      <c r="V290" s="895"/>
    </row>
    <row r="291" spans="16:22">
      <c r="P291" s="895"/>
      <c r="S291" s="891"/>
      <c r="T291" s="891"/>
      <c r="U291" s="891"/>
      <c r="V291" s="895"/>
    </row>
    <row r="292" spans="16:22">
      <c r="P292" s="895"/>
      <c r="S292" s="891"/>
      <c r="T292" s="891"/>
      <c r="U292" s="891"/>
      <c r="V292" s="895"/>
    </row>
    <row r="293" spans="16:22">
      <c r="P293" s="895"/>
      <c r="S293" s="891"/>
      <c r="T293" s="891"/>
      <c r="U293" s="891"/>
      <c r="V293" s="895"/>
    </row>
    <row r="294" spans="16:22">
      <c r="P294" s="895"/>
      <c r="S294" s="891"/>
      <c r="T294" s="891"/>
      <c r="U294" s="891"/>
      <c r="V294" s="895"/>
    </row>
    <row r="295" spans="16:22">
      <c r="P295" s="895"/>
      <c r="S295" s="891"/>
      <c r="T295" s="891"/>
      <c r="U295" s="891"/>
      <c r="V295" s="895"/>
    </row>
    <row r="296" spans="16:22">
      <c r="P296" s="895"/>
      <c r="S296" s="891"/>
      <c r="T296" s="891"/>
      <c r="U296" s="891"/>
      <c r="V296" s="895"/>
    </row>
    <row r="297" spans="16:22">
      <c r="P297" s="895"/>
      <c r="S297" s="891"/>
      <c r="T297" s="891"/>
      <c r="U297" s="891"/>
      <c r="V297" s="895"/>
    </row>
    <row r="298" spans="16:22">
      <c r="P298" s="895"/>
      <c r="S298" s="891"/>
      <c r="T298" s="891"/>
      <c r="U298" s="891"/>
      <c r="V298" s="895"/>
    </row>
    <row r="299" spans="16:22">
      <c r="P299" s="895"/>
      <c r="S299" s="891"/>
      <c r="T299" s="891"/>
      <c r="U299" s="891"/>
      <c r="V299" s="895"/>
    </row>
    <row r="300" spans="16:22">
      <c r="P300" s="895"/>
      <c r="S300" s="891"/>
      <c r="T300" s="891"/>
      <c r="U300" s="891"/>
      <c r="V300" s="895"/>
    </row>
    <row r="301" spans="16:22">
      <c r="P301" s="895"/>
      <c r="S301" s="891"/>
      <c r="T301" s="891"/>
      <c r="U301" s="891"/>
      <c r="V301" s="895"/>
    </row>
    <row r="302" spans="16:22">
      <c r="P302" s="895"/>
      <c r="S302" s="891"/>
      <c r="T302" s="891"/>
      <c r="U302" s="891"/>
      <c r="V302" s="895"/>
    </row>
    <row r="303" spans="16:22">
      <c r="P303" s="895"/>
      <c r="S303" s="891"/>
      <c r="T303" s="891"/>
      <c r="U303" s="891"/>
      <c r="V303" s="895"/>
    </row>
    <row r="304" spans="16:22">
      <c r="P304" s="895"/>
      <c r="S304" s="891"/>
      <c r="T304" s="891"/>
      <c r="U304" s="891"/>
      <c r="V304" s="895"/>
    </row>
    <row r="305" spans="16:22">
      <c r="P305" s="895"/>
      <c r="S305" s="891"/>
      <c r="T305" s="891"/>
      <c r="U305" s="891"/>
      <c r="V305" s="895"/>
    </row>
    <row r="306" spans="16:22">
      <c r="P306" s="895"/>
      <c r="S306" s="891"/>
      <c r="T306" s="891"/>
      <c r="U306" s="891"/>
      <c r="V306" s="895"/>
    </row>
    <row r="307" spans="16:22">
      <c r="P307" s="895"/>
      <c r="S307" s="891"/>
      <c r="T307" s="891"/>
      <c r="U307" s="891"/>
      <c r="V307" s="895"/>
    </row>
    <row r="308" spans="16:22">
      <c r="P308" s="895"/>
      <c r="S308" s="891"/>
      <c r="T308" s="891"/>
      <c r="U308" s="891"/>
      <c r="V308" s="895"/>
    </row>
    <row r="309" spans="16:22">
      <c r="P309" s="895"/>
      <c r="S309" s="891"/>
      <c r="T309" s="891"/>
      <c r="U309" s="891"/>
      <c r="V309" s="895"/>
    </row>
    <row r="310" spans="16:22">
      <c r="P310" s="895"/>
      <c r="S310" s="891"/>
      <c r="T310" s="891"/>
      <c r="U310" s="891"/>
      <c r="V310" s="895"/>
    </row>
    <row r="311" spans="16:22">
      <c r="P311" s="895"/>
      <c r="S311" s="891"/>
      <c r="T311" s="891"/>
      <c r="U311" s="891"/>
      <c r="V311" s="895"/>
    </row>
    <row r="312" spans="16:22">
      <c r="P312" s="895"/>
      <c r="S312" s="891"/>
      <c r="T312" s="891"/>
      <c r="U312" s="891"/>
      <c r="V312" s="895"/>
    </row>
    <row r="313" spans="16:22">
      <c r="P313" s="895"/>
      <c r="S313" s="891"/>
      <c r="T313" s="891"/>
      <c r="U313" s="891"/>
      <c r="V313" s="895"/>
    </row>
    <row r="314" spans="16:22">
      <c r="P314" s="895"/>
      <c r="S314" s="891"/>
      <c r="T314" s="891"/>
      <c r="U314" s="891"/>
      <c r="V314" s="895"/>
    </row>
    <row r="315" spans="16:22">
      <c r="P315" s="895"/>
      <c r="S315" s="891"/>
      <c r="T315" s="891"/>
      <c r="U315" s="891"/>
      <c r="V315" s="895"/>
    </row>
    <row r="316" spans="16:22">
      <c r="P316" s="895"/>
      <c r="S316" s="891"/>
      <c r="T316" s="891"/>
      <c r="U316" s="891"/>
      <c r="V316" s="895"/>
    </row>
    <row r="317" spans="16:22">
      <c r="P317" s="895"/>
      <c r="S317" s="891"/>
      <c r="T317" s="891"/>
      <c r="U317" s="891"/>
      <c r="V317" s="895"/>
    </row>
    <row r="318" spans="16:22">
      <c r="P318" s="895"/>
      <c r="S318" s="891"/>
      <c r="T318" s="891"/>
      <c r="U318" s="891"/>
      <c r="V318" s="895"/>
    </row>
    <row r="319" spans="16:22">
      <c r="P319" s="895"/>
      <c r="S319" s="891"/>
      <c r="T319" s="891"/>
      <c r="U319" s="891"/>
      <c r="V319" s="895"/>
    </row>
    <row r="320" spans="16:22">
      <c r="P320" s="895"/>
      <c r="S320" s="891"/>
      <c r="T320" s="891"/>
      <c r="U320" s="891"/>
      <c r="V320" s="895"/>
    </row>
    <row r="321" spans="16:22">
      <c r="P321" s="895"/>
      <c r="S321" s="891"/>
      <c r="T321" s="891"/>
      <c r="U321" s="891"/>
      <c r="V321" s="895"/>
    </row>
    <row r="322" spans="16:22">
      <c r="P322" s="895"/>
      <c r="S322" s="891"/>
      <c r="T322" s="891"/>
      <c r="U322" s="891"/>
      <c r="V322" s="895"/>
    </row>
    <row r="323" spans="16:22">
      <c r="P323" s="895"/>
      <c r="S323" s="891"/>
      <c r="T323" s="891"/>
      <c r="U323" s="891"/>
      <c r="V323" s="895"/>
    </row>
    <row r="324" spans="16:22">
      <c r="P324" s="895"/>
      <c r="S324" s="891"/>
      <c r="T324" s="891"/>
      <c r="U324" s="891"/>
      <c r="V324" s="895"/>
    </row>
    <row r="325" spans="16:22">
      <c r="P325" s="895"/>
      <c r="S325" s="891"/>
      <c r="T325" s="891"/>
      <c r="U325" s="891"/>
      <c r="V325" s="895"/>
    </row>
    <row r="326" spans="16:22">
      <c r="P326" s="895"/>
      <c r="S326" s="891"/>
      <c r="T326" s="891"/>
      <c r="U326" s="891"/>
      <c r="V326" s="895"/>
    </row>
    <row r="327" spans="16:22">
      <c r="P327" s="895"/>
      <c r="S327" s="891"/>
      <c r="T327" s="891"/>
      <c r="U327" s="891"/>
      <c r="V327" s="895"/>
    </row>
    <row r="328" spans="16:22">
      <c r="P328" s="895"/>
      <c r="S328" s="891"/>
      <c r="T328" s="891"/>
      <c r="U328" s="891"/>
      <c r="V328" s="895"/>
    </row>
    <row r="329" spans="16:22">
      <c r="P329" s="895"/>
      <c r="S329" s="891"/>
      <c r="T329" s="891"/>
      <c r="U329" s="891"/>
      <c r="V329" s="895"/>
    </row>
    <row r="330" spans="16:22">
      <c r="P330" s="895"/>
      <c r="S330" s="891"/>
      <c r="T330" s="891"/>
      <c r="U330" s="891"/>
      <c r="V330" s="895"/>
    </row>
    <row r="331" spans="16:22">
      <c r="P331" s="895"/>
      <c r="S331" s="891"/>
      <c r="T331" s="891"/>
      <c r="U331" s="891"/>
      <c r="V331" s="895"/>
    </row>
    <row r="332" spans="16:22">
      <c r="P332" s="895"/>
      <c r="S332" s="891"/>
      <c r="T332" s="891"/>
      <c r="U332" s="891"/>
      <c r="V332" s="895"/>
    </row>
    <row r="333" spans="16:22">
      <c r="P333" s="895"/>
      <c r="S333" s="891"/>
      <c r="T333" s="891"/>
      <c r="U333" s="891"/>
      <c r="V333" s="895"/>
    </row>
    <row r="334" spans="16:22">
      <c r="P334" s="895"/>
      <c r="S334" s="891"/>
      <c r="T334" s="891"/>
      <c r="U334" s="891"/>
      <c r="V334" s="895"/>
    </row>
    <row r="335" spans="16:22">
      <c r="P335" s="895"/>
      <c r="S335" s="891"/>
      <c r="T335" s="891"/>
      <c r="U335" s="891"/>
      <c r="V335" s="895"/>
    </row>
    <row r="336" spans="16:22">
      <c r="P336" s="895"/>
      <c r="S336" s="891"/>
      <c r="T336" s="891"/>
      <c r="U336" s="891"/>
      <c r="V336" s="895"/>
    </row>
    <row r="337" spans="16:22">
      <c r="P337" s="895"/>
      <c r="S337" s="891"/>
      <c r="T337" s="891"/>
      <c r="U337" s="891"/>
      <c r="V337" s="895"/>
    </row>
    <row r="338" spans="16:22">
      <c r="P338" s="895"/>
      <c r="S338" s="891"/>
      <c r="T338" s="891"/>
      <c r="U338" s="891"/>
      <c r="V338" s="895"/>
    </row>
    <row r="339" spans="16:22">
      <c r="P339" s="895"/>
      <c r="S339" s="891"/>
      <c r="T339" s="891"/>
      <c r="U339" s="891"/>
      <c r="V339" s="895"/>
    </row>
    <row r="340" spans="16:22">
      <c r="P340" s="895"/>
      <c r="S340" s="891"/>
      <c r="T340" s="891"/>
      <c r="U340" s="891"/>
      <c r="V340" s="895"/>
    </row>
    <row r="341" spans="16:22">
      <c r="P341" s="895"/>
      <c r="S341" s="891"/>
      <c r="T341" s="891"/>
      <c r="U341" s="891"/>
      <c r="V341" s="895"/>
    </row>
    <row r="342" spans="16:22">
      <c r="P342" s="895"/>
      <c r="S342" s="891"/>
      <c r="T342" s="891"/>
      <c r="U342" s="891"/>
      <c r="V342" s="895"/>
    </row>
    <row r="343" spans="16:22">
      <c r="P343" s="895"/>
      <c r="S343" s="891"/>
      <c r="T343" s="891"/>
      <c r="U343" s="891"/>
      <c r="V343" s="895"/>
    </row>
    <row r="344" spans="16:22">
      <c r="P344" s="895"/>
      <c r="S344" s="891"/>
      <c r="T344" s="891"/>
      <c r="U344" s="891"/>
      <c r="V344" s="895"/>
    </row>
    <row r="345" spans="16:22">
      <c r="P345" s="895"/>
      <c r="S345" s="891"/>
      <c r="T345" s="891"/>
      <c r="U345" s="891"/>
      <c r="V345" s="895"/>
    </row>
    <row r="346" spans="16:22">
      <c r="P346" s="895"/>
      <c r="S346" s="891"/>
      <c r="T346" s="891"/>
      <c r="U346" s="891"/>
      <c r="V346" s="895"/>
    </row>
    <row r="347" spans="16:22">
      <c r="P347" s="895"/>
      <c r="S347" s="891"/>
      <c r="T347" s="891"/>
      <c r="U347" s="891"/>
      <c r="V347" s="895"/>
    </row>
    <row r="348" spans="16:22">
      <c r="P348" s="895"/>
      <c r="S348" s="891"/>
      <c r="T348" s="891"/>
      <c r="U348" s="891"/>
      <c r="V348" s="895"/>
    </row>
    <row r="349" spans="16:22">
      <c r="P349" s="895"/>
      <c r="S349" s="891"/>
      <c r="T349" s="891"/>
      <c r="U349" s="891"/>
      <c r="V349" s="895"/>
    </row>
    <row r="350" spans="16:22">
      <c r="P350" s="895"/>
      <c r="S350" s="891"/>
      <c r="T350" s="891"/>
      <c r="U350" s="891"/>
      <c r="V350" s="895"/>
    </row>
    <row r="351" spans="16:22">
      <c r="P351" s="895"/>
      <c r="S351" s="891"/>
      <c r="T351" s="891"/>
      <c r="U351" s="891"/>
      <c r="V351" s="895"/>
    </row>
    <row r="352" spans="16:22">
      <c r="P352" s="895"/>
      <c r="S352" s="891"/>
      <c r="T352" s="891"/>
      <c r="U352" s="891"/>
      <c r="V352" s="895"/>
    </row>
    <row r="353" spans="16:22">
      <c r="P353" s="895"/>
      <c r="S353" s="891"/>
      <c r="T353" s="891"/>
      <c r="U353" s="891"/>
      <c r="V353" s="895"/>
    </row>
    <row r="354" spans="16:22">
      <c r="P354" s="895"/>
      <c r="S354" s="891"/>
      <c r="T354" s="891"/>
      <c r="U354" s="891"/>
      <c r="V354" s="895"/>
    </row>
    <row r="355" spans="16:22">
      <c r="P355" s="895"/>
      <c r="S355" s="891"/>
      <c r="T355" s="891"/>
      <c r="U355" s="891"/>
      <c r="V355" s="895"/>
    </row>
    <row r="356" spans="16:22">
      <c r="P356" s="895"/>
      <c r="S356" s="891"/>
      <c r="T356" s="891"/>
      <c r="U356" s="891"/>
      <c r="V356" s="895"/>
    </row>
    <row r="357" spans="16:22">
      <c r="P357" s="895"/>
      <c r="S357" s="891"/>
      <c r="T357" s="891"/>
      <c r="U357" s="891"/>
      <c r="V357" s="895"/>
    </row>
    <row r="358" spans="16:22">
      <c r="P358" s="895"/>
      <c r="S358" s="891"/>
      <c r="T358" s="891"/>
      <c r="U358" s="891"/>
      <c r="V358" s="895"/>
    </row>
    <row r="359" spans="16:22">
      <c r="P359" s="895"/>
      <c r="S359" s="891"/>
      <c r="T359" s="891"/>
      <c r="U359" s="891"/>
      <c r="V359" s="895"/>
    </row>
    <row r="360" spans="16:22">
      <c r="P360" s="895"/>
      <c r="S360" s="891"/>
      <c r="T360" s="891"/>
      <c r="U360" s="891"/>
      <c r="V360" s="895"/>
    </row>
    <row r="361" spans="16:22">
      <c r="P361" s="895"/>
      <c r="S361" s="891"/>
      <c r="T361" s="891"/>
      <c r="U361" s="891"/>
      <c r="V361" s="895"/>
    </row>
    <row r="362" spans="16:22">
      <c r="P362" s="895"/>
      <c r="S362" s="891"/>
      <c r="T362" s="891"/>
      <c r="U362" s="891"/>
      <c r="V362" s="895"/>
    </row>
    <row r="363" spans="16:22">
      <c r="P363" s="895"/>
      <c r="S363" s="891"/>
      <c r="T363" s="891"/>
      <c r="U363" s="891"/>
      <c r="V363" s="895"/>
    </row>
    <row r="364" spans="16:22">
      <c r="P364" s="895"/>
      <c r="S364" s="891"/>
      <c r="T364" s="891"/>
      <c r="U364" s="891"/>
      <c r="V364" s="895"/>
    </row>
    <row r="365" spans="16:22">
      <c r="P365" s="895"/>
      <c r="S365" s="891"/>
      <c r="T365" s="891"/>
      <c r="U365" s="891"/>
      <c r="V365" s="895"/>
    </row>
    <row r="366" spans="16:22">
      <c r="P366" s="895"/>
      <c r="S366" s="891"/>
      <c r="T366" s="891"/>
      <c r="U366" s="891"/>
      <c r="V366" s="895"/>
    </row>
    <row r="367" spans="16:22">
      <c r="P367" s="895"/>
      <c r="S367" s="891"/>
      <c r="T367" s="891"/>
      <c r="U367" s="891"/>
      <c r="V367" s="895"/>
    </row>
    <row r="368" spans="16:22">
      <c r="P368" s="895"/>
      <c r="S368" s="891"/>
      <c r="T368" s="891"/>
      <c r="U368" s="891"/>
      <c r="V368" s="895"/>
    </row>
    <row r="369" spans="16:22">
      <c r="P369" s="895"/>
      <c r="S369" s="891"/>
      <c r="T369" s="891"/>
      <c r="U369" s="891"/>
      <c r="V369" s="895"/>
    </row>
    <row r="370" spans="16:22">
      <c r="P370" s="895"/>
      <c r="S370" s="891"/>
      <c r="T370" s="891"/>
      <c r="U370" s="891"/>
      <c r="V370" s="895"/>
    </row>
    <row r="371" spans="16:22">
      <c r="P371" s="895"/>
      <c r="S371" s="891"/>
      <c r="T371" s="891"/>
      <c r="U371" s="891"/>
      <c r="V371" s="895"/>
    </row>
    <row r="372" spans="16:22">
      <c r="P372" s="895"/>
      <c r="S372" s="891"/>
      <c r="T372" s="891"/>
      <c r="U372" s="891"/>
      <c r="V372" s="895"/>
    </row>
    <row r="373" spans="16:22">
      <c r="P373" s="895"/>
      <c r="S373" s="891"/>
      <c r="T373" s="891"/>
      <c r="U373" s="891"/>
      <c r="V373" s="895"/>
    </row>
    <row r="374" spans="16:22">
      <c r="P374" s="895"/>
      <c r="S374" s="891"/>
      <c r="T374" s="891"/>
      <c r="U374" s="891"/>
      <c r="V374" s="895"/>
    </row>
    <row r="375" spans="16:22">
      <c r="P375" s="895"/>
      <c r="S375" s="891"/>
      <c r="T375" s="891"/>
      <c r="U375" s="891"/>
      <c r="V375" s="895"/>
    </row>
    <row r="376" spans="16:22">
      <c r="P376" s="895"/>
      <c r="S376" s="891"/>
      <c r="T376" s="891"/>
      <c r="U376" s="891"/>
      <c r="V376" s="895"/>
    </row>
    <row r="377" spans="16:22">
      <c r="P377" s="895"/>
      <c r="S377" s="891"/>
      <c r="T377" s="891"/>
      <c r="U377" s="891"/>
      <c r="V377" s="895"/>
    </row>
    <row r="378" spans="16:22">
      <c r="P378" s="895"/>
      <c r="S378" s="891"/>
      <c r="T378" s="891"/>
      <c r="U378" s="891"/>
      <c r="V378" s="895"/>
    </row>
    <row r="379" spans="16:22">
      <c r="P379" s="895"/>
      <c r="S379" s="891"/>
      <c r="T379" s="891"/>
      <c r="U379" s="891"/>
      <c r="V379" s="895"/>
    </row>
    <row r="380" spans="16:22">
      <c r="P380" s="895"/>
      <c r="S380" s="891"/>
      <c r="T380" s="891"/>
      <c r="U380" s="891"/>
      <c r="V380" s="895"/>
    </row>
    <row r="381" spans="16:22">
      <c r="P381" s="895"/>
      <c r="S381" s="891"/>
      <c r="T381" s="891"/>
      <c r="U381" s="891"/>
      <c r="V381" s="895"/>
    </row>
    <row r="382" spans="16:22">
      <c r="P382" s="895"/>
      <c r="S382" s="891"/>
      <c r="T382" s="891"/>
      <c r="U382" s="891"/>
      <c r="V382" s="895"/>
    </row>
    <row r="383" spans="16:22">
      <c r="P383" s="895"/>
      <c r="S383" s="891"/>
      <c r="T383" s="891"/>
      <c r="U383" s="891"/>
      <c r="V383" s="895"/>
    </row>
    <row r="384" spans="16:22">
      <c r="P384" s="895"/>
      <c r="S384" s="891"/>
      <c r="T384" s="891"/>
      <c r="U384" s="891"/>
      <c r="V384" s="895"/>
    </row>
    <row r="385" spans="16:22">
      <c r="P385" s="895"/>
      <c r="S385" s="891"/>
      <c r="T385" s="891"/>
      <c r="U385" s="891"/>
      <c r="V385" s="895"/>
    </row>
    <row r="386" spans="16:22">
      <c r="P386" s="895"/>
      <c r="S386" s="891"/>
      <c r="T386" s="891"/>
      <c r="U386" s="891"/>
      <c r="V386" s="895"/>
    </row>
    <row r="387" spans="16:22">
      <c r="P387" s="895"/>
      <c r="S387" s="891"/>
      <c r="T387" s="891"/>
      <c r="U387" s="891"/>
      <c r="V387" s="895"/>
    </row>
    <row r="388" spans="16:22">
      <c r="P388" s="895"/>
      <c r="S388" s="891"/>
      <c r="T388" s="891"/>
      <c r="U388" s="891"/>
      <c r="V388" s="895"/>
    </row>
    <row r="389" spans="16:22">
      <c r="P389" s="895"/>
      <c r="S389" s="891"/>
      <c r="T389" s="891"/>
      <c r="U389" s="891"/>
      <c r="V389" s="895"/>
    </row>
    <row r="390" spans="16:22">
      <c r="P390" s="895"/>
      <c r="S390" s="891"/>
      <c r="T390" s="891"/>
      <c r="U390" s="891"/>
      <c r="V390" s="895"/>
    </row>
    <row r="391" spans="16:22">
      <c r="P391" s="895"/>
      <c r="S391" s="891"/>
      <c r="T391" s="891"/>
      <c r="U391" s="891"/>
      <c r="V391" s="895"/>
    </row>
    <row r="392" spans="16:22">
      <c r="P392" s="895"/>
      <c r="S392" s="891"/>
      <c r="T392" s="891"/>
      <c r="U392" s="891"/>
      <c r="V392" s="895"/>
    </row>
    <row r="393" spans="16:22">
      <c r="P393" s="895"/>
      <c r="S393" s="891"/>
      <c r="T393" s="891"/>
      <c r="U393" s="891"/>
      <c r="V393" s="895"/>
    </row>
    <row r="394" spans="16:22">
      <c r="P394" s="895"/>
      <c r="S394" s="891"/>
      <c r="T394" s="891"/>
      <c r="U394" s="891"/>
      <c r="V394" s="895"/>
    </row>
    <row r="395" spans="16:22">
      <c r="P395" s="895"/>
      <c r="S395" s="891"/>
      <c r="T395" s="891"/>
      <c r="U395" s="891"/>
      <c r="V395" s="895"/>
    </row>
    <row r="396" spans="16:22">
      <c r="P396" s="895"/>
      <c r="S396" s="891"/>
      <c r="T396" s="891"/>
      <c r="U396" s="891"/>
      <c r="V396" s="895"/>
    </row>
    <row r="397" spans="16:22">
      <c r="P397" s="895"/>
      <c r="S397" s="891"/>
      <c r="T397" s="891"/>
      <c r="U397" s="891"/>
      <c r="V397" s="895"/>
    </row>
    <row r="398" spans="16:22">
      <c r="P398" s="895"/>
      <c r="S398" s="891"/>
      <c r="T398" s="891"/>
      <c r="U398" s="891"/>
      <c r="V398" s="895"/>
    </row>
    <row r="399" spans="16:22">
      <c r="P399" s="895"/>
      <c r="S399" s="891"/>
      <c r="T399" s="891"/>
      <c r="U399" s="891"/>
      <c r="V399" s="895"/>
    </row>
    <row r="400" spans="16:22">
      <c r="P400" s="895"/>
      <c r="S400" s="891"/>
      <c r="T400" s="891"/>
      <c r="U400" s="891"/>
      <c r="V400" s="895"/>
    </row>
    <row r="401" spans="16:22">
      <c r="P401" s="895"/>
      <c r="S401" s="891"/>
      <c r="T401" s="891"/>
      <c r="U401" s="891"/>
      <c r="V401" s="895"/>
    </row>
    <row r="402" spans="16:22">
      <c r="P402" s="895"/>
      <c r="S402" s="891"/>
      <c r="T402" s="891"/>
      <c r="U402" s="891"/>
      <c r="V402" s="895"/>
    </row>
    <row r="403" spans="16:22">
      <c r="P403" s="895"/>
      <c r="S403" s="891"/>
      <c r="T403" s="891"/>
      <c r="U403" s="891"/>
      <c r="V403" s="895"/>
    </row>
    <row r="404" spans="16:22">
      <c r="P404" s="895"/>
      <c r="S404" s="891"/>
      <c r="T404" s="891"/>
      <c r="U404" s="891"/>
      <c r="V404" s="895"/>
    </row>
    <row r="405" spans="16:22">
      <c r="P405" s="895"/>
      <c r="S405" s="891"/>
      <c r="T405" s="891"/>
      <c r="U405" s="891"/>
      <c r="V405" s="895"/>
    </row>
    <row r="406" spans="16:22">
      <c r="P406" s="895"/>
      <c r="S406" s="891"/>
      <c r="T406" s="891"/>
      <c r="U406" s="891"/>
      <c r="V406" s="895"/>
    </row>
    <row r="407" spans="16:22">
      <c r="P407" s="895"/>
      <c r="S407" s="891"/>
      <c r="T407" s="891"/>
      <c r="U407" s="891"/>
      <c r="V407" s="895"/>
    </row>
    <row r="408" spans="16:22">
      <c r="P408" s="895"/>
      <c r="S408" s="891"/>
      <c r="T408" s="891"/>
      <c r="U408" s="891"/>
      <c r="V408" s="895"/>
    </row>
    <row r="409" spans="16:22">
      <c r="P409" s="895"/>
      <c r="S409" s="891"/>
      <c r="T409" s="891"/>
      <c r="U409" s="891"/>
      <c r="V409" s="895"/>
    </row>
    <row r="410" spans="16:22">
      <c r="P410" s="895"/>
      <c r="S410" s="891"/>
      <c r="T410" s="891"/>
      <c r="U410" s="891"/>
      <c r="V410" s="895"/>
    </row>
    <row r="411" spans="16:22">
      <c r="P411" s="895"/>
      <c r="S411" s="891"/>
      <c r="T411" s="891"/>
      <c r="U411" s="891"/>
      <c r="V411" s="895"/>
    </row>
    <row r="412" spans="16:22">
      <c r="P412" s="895"/>
      <c r="S412" s="891"/>
      <c r="T412" s="891"/>
      <c r="U412" s="891"/>
      <c r="V412" s="895"/>
    </row>
    <row r="413" spans="16:22">
      <c r="P413" s="895"/>
      <c r="S413" s="891"/>
      <c r="T413" s="891"/>
      <c r="U413" s="891"/>
      <c r="V413" s="895"/>
    </row>
    <row r="414" spans="16:22">
      <c r="P414" s="895"/>
      <c r="S414" s="891"/>
      <c r="T414" s="891"/>
      <c r="U414" s="891"/>
      <c r="V414" s="895"/>
    </row>
    <row r="415" spans="16:22">
      <c r="P415" s="895"/>
      <c r="S415" s="891"/>
      <c r="T415" s="891"/>
      <c r="U415" s="891"/>
      <c r="V415" s="895"/>
    </row>
    <row r="416" spans="16:22">
      <c r="P416" s="895"/>
      <c r="S416" s="891"/>
      <c r="T416" s="891"/>
      <c r="U416" s="891"/>
      <c r="V416" s="895"/>
    </row>
    <row r="417" spans="16:22">
      <c r="P417" s="895"/>
      <c r="S417" s="891"/>
      <c r="T417" s="891"/>
      <c r="U417" s="891"/>
      <c r="V417" s="895"/>
    </row>
    <row r="418" spans="16:22">
      <c r="P418" s="895"/>
      <c r="S418" s="891"/>
      <c r="T418" s="891"/>
      <c r="U418" s="891"/>
      <c r="V418" s="895"/>
    </row>
    <row r="419" spans="16:22">
      <c r="P419" s="895"/>
      <c r="S419" s="891"/>
      <c r="T419" s="891"/>
      <c r="U419" s="891"/>
      <c r="V419" s="895"/>
    </row>
    <row r="420" spans="16:22">
      <c r="P420" s="895"/>
      <c r="S420" s="891"/>
      <c r="T420" s="891"/>
      <c r="U420" s="891"/>
      <c r="V420" s="895"/>
    </row>
    <row r="421" spans="16:22">
      <c r="P421" s="895"/>
      <c r="S421" s="891"/>
      <c r="T421" s="891"/>
      <c r="U421" s="891"/>
      <c r="V421" s="895"/>
    </row>
    <row r="422" spans="16:22">
      <c r="P422" s="895"/>
      <c r="S422" s="891"/>
      <c r="T422" s="891"/>
      <c r="U422" s="891"/>
      <c r="V422" s="895"/>
    </row>
    <row r="423" spans="16:22">
      <c r="P423" s="895"/>
      <c r="S423" s="891"/>
      <c r="T423" s="891"/>
      <c r="U423" s="891"/>
      <c r="V423" s="895"/>
    </row>
    <row r="424" spans="16:22">
      <c r="P424" s="895"/>
      <c r="S424" s="891"/>
      <c r="T424" s="891"/>
      <c r="U424" s="891"/>
      <c r="V424" s="895"/>
    </row>
    <row r="425" spans="16:22">
      <c r="P425" s="895"/>
      <c r="S425" s="891"/>
      <c r="T425" s="891"/>
      <c r="U425" s="891"/>
      <c r="V425" s="895"/>
    </row>
    <row r="426" spans="16:22">
      <c r="P426" s="895"/>
      <c r="S426" s="891"/>
      <c r="T426" s="891"/>
      <c r="U426" s="891"/>
      <c r="V426" s="895"/>
    </row>
    <row r="427" spans="16:22">
      <c r="P427" s="895"/>
      <c r="S427" s="891"/>
      <c r="T427" s="891"/>
      <c r="U427" s="891"/>
      <c r="V427" s="895"/>
    </row>
    <row r="428" spans="16:22">
      <c r="P428" s="895"/>
      <c r="S428" s="891"/>
      <c r="T428" s="891"/>
      <c r="U428" s="891"/>
      <c r="V428" s="895"/>
    </row>
    <row r="429" spans="16:22">
      <c r="P429" s="895"/>
      <c r="S429" s="891"/>
      <c r="T429" s="891"/>
      <c r="U429" s="891"/>
      <c r="V429" s="895"/>
    </row>
    <row r="430" spans="16:22">
      <c r="P430" s="895"/>
      <c r="S430" s="891"/>
      <c r="T430" s="891"/>
      <c r="U430" s="891"/>
      <c r="V430" s="895"/>
    </row>
    <row r="431" spans="16:22">
      <c r="P431" s="895"/>
      <c r="S431" s="891"/>
      <c r="T431" s="891"/>
      <c r="U431" s="891"/>
      <c r="V431" s="895"/>
    </row>
    <row r="432" spans="16:22">
      <c r="P432" s="895"/>
      <c r="S432" s="891"/>
      <c r="T432" s="891"/>
      <c r="U432" s="891"/>
      <c r="V432" s="895"/>
    </row>
    <row r="433" spans="16:22">
      <c r="P433" s="895"/>
      <c r="S433" s="891"/>
      <c r="T433" s="891"/>
      <c r="U433" s="891"/>
      <c r="V433" s="895"/>
    </row>
    <row r="434" spans="16:22">
      <c r="P434" s="895"/>
      <c r="S434" s="891"/>
      <c r="T434" s="891"/>
      <c r="U434" s="891"/>
      <c r="V434" s="895"/>
    </row>
    <row r="435" spans="16:22">
      <c r="P435" s="895"/>
      <c r="S435" s="891"/>
      <c r="T435" s="891"/>
      <c r="U435" s="891"/>
      <c r="V435" s="895"/>
    </row>
    <row r="436" spans="16:22">
      <c r="P436" s="895"/>
      <c r="S436" s="891"/>
      <c r="T436" s="891"/>
      <c r="U436" s="891"/>
      <c r="V436" s="895"/>
    </row>
    <row r="437" spans="16:22">
      <c r="P437" s="895"/>
      <c r="S437" s="891"/>
      <c r="T437" s="891"/>
      <c r="U437" s="891"/>
      <c r="V437" s="895"/>
    </row>
    <row r="438" spans="16:22">
      <c r="P438" s="895"/>
      <c r="S438" s="891"/>
      <c r="T438" s="891"/>
      <c r="U438" s="891"/>
      <c r="V438" s="895"/>
    </row>
    <row r="439" spans="16:22">
      <c r="P439" s="895"/>
      <c r="S439" s="891"/>
      <c r="T439" s="891"/>
      <c r="U439" s="891"/>
      <c r="V439" s="895"/>
    </row>
    <row r="440" spans="16:22">
      <c r="P440" s="895"/>
      <c r="S440" s="891"/>
      <c r="T440" s="891"/>
      <c r="U440" s="891"/>
      <c r="V440" s="895"/>
    </row>
    <row r="441" spans="16:22">
      <c r="P441" s="895"/>
      <c r="S441" s="891"/>
      <c r="T441" s="891"/>
      <c r="U441" s="891"/>
      <c r="V441" s="895"/>
    </row>
    <row r="442" spans="16:22">
      <c r="P442" s="895"/>
      <c r="S442" s="891"/>
      <c r="T442" s="891"/>
      <c r="U442" s="891"/>
      <c r="V442" s="895"/>
    </row>
    <row r="443" spans="16:22">
      <c r="P443" s="895"/>
      <c r="S443" s="891"/>
      <c r="T443" s="891"/>
      <c r="U443" s="891"/>
      <c r="V443" s="895"/>
    </row>
    <row r="444" spans="16:22">
      <c r="P444" s="895"/>
      <c r="S444" s="891"/>
      <c r="T444" s="891"/>
      <c r="U444" s="891"/>
      <c r="V444" s="895"/>
    </row>
    <row r="445" spans="16:22">
      <c r="P445" s="895"/>
      <c r="S445" s="891"/>
      <c r="T445" s="891"/>
      <c r="U445" s="891"/>
      <c r="V445" s="895"/>
    </row>
    <row r="446" spans="16:22">
      <c r="P446" s="895"/>
      <c r="S446" s="891"/>
      <c r="T446" s="891"/>
      <c r="U446" s="891"/>
      <c r="V446" s="895"/>
    </row>
    <row r="447" spans="16:22">
      <c r="P447" s="895"/>
      <c r="S447" s="891"/>
      <c r="T447" s="891"/>
      <c r="U447" s="891"/>
      <c r="V447" s="895"/>
    </row>
    <row r="448" spans="16:22">
      <c r="P448" s="895"/>
      <c r="S448" s="891"/>
      <c r="T448" s="891"/>
      <c r="U448" s="891"/>
      <c r="V448" s="895"/>
    </row>
    <row r="449" spans="16:22">
      <c r="P449" s="895"/>
      <c r="S449" s="891"/>
      <c r="T449" s="891"/>
      <c r="U449" s="891"/>
      <c r="V449" s="895"/>
    </row>
  </sheetData>
  <mergeCells count="10">
    <mergeCell ref="C5:G5"/>
    <mergeCell ref="I71:J71"/>
    <mergeCell ref="K71:P71"/>
    <mergeCell ref="Q71:U71"/>
    <mergeCell ref="Q7:U7"/>
    <mergeCell ref="W7:W8"/>
    <mergeCell ref="W71:W72"/>
    <mergeCell ref="K7:P7"/>
    <mergeCell ref="I7:J7"/>
    <mergeCell ref="C68:V68"/>
  </mergeCells>
  <phoneticPr fontId="11" type="noConversion"/>
  <dataValidations count="2">
    <dataValidation type="decimal" allowBlank="1" showInputMessage="1" showErrorMessage="1" sqref="J450:R65011 J131:V449 F9:V67 F1:H4 F6:V6 I1:R5 F131:I65011 F70:V70 F73:V130 J69:V69">
      <formula1>0</formula1>
      <formula2>9.99999999999999E+29</formula2>
    </dataValidation>
    <dataValidation type="list" allowBlank="1" showInputMessage="1" showErrorMessage="1" sqref="E98:E124 E66:E67 E35:E61 E13:E33 E76:E96 E129:E130">
      <formula1>#REF!</formula1>
    </dataValidation>
  </dataValidations>
  <hyperlinks>
    <hyperlink ref="A1" location="Index!A1" display="Index sheet"/>
  </hyperlinks>
  <printOptions horizontalCentered="1" verticalCentered="1"/>
  <pageMargins left="0" right="0" top="0" bottom="0" header="0" footer="0"/>
  <pageSetup paperSize="9" scale="74" fitToHeight="7" pageOrder="overThenDown" orientation="landscape" blackAndWhite="1" r:id="rId1"/>
  <headerFooter alignWithMargins="0"/>
</worksheet>
</file>

<file path=xl/worksheets/sheet9.xml><?xml version="1.0" encoding="utf-8"?>
<worksheet xmlns="http://schemas.openxmlformats.org/spreadsheetml/2006/main" xmlns:r="http://schemas.openxmlformats.org/officeDocument/2006/relationships">
  <sheetPr>
    <pageSetUpPr fitToPage="1"/>
  </sheetPr>
  <dimension ref="A1:AL43"/>
  <sheetViews>
    <sheetView view="pageBreakPreview" zoomScale="90" zoomScaleSheetLayoutView="90" workbookViewId="0">
      <selection activeCell="C18" sqref="C18:G18"/>
    </sheetView>
  </sheetViews>
  <sheetFormatPr defaultColWidth="14" defaultRowHeight="12.75"/>
  <cols>
    <col min="1" max="1" width="1.5703125" style="815" customWidth="1"/>
    <col min="2" max="2" width="24.28515625" style="815" bestFit="1" customWidth="1"/>
    <col min="3" max="3" width="14.85546875" style="815" customWidth="1"/>
    <col min="4" max="5" width="7.7109375" style="815" bestFit="1" customWidth="1"/>
    <col min="6" max="7" width="8.28515625" style="815" bestFit="1" customWidth="1"/>
    <col min="8" max="8" width="9.85546875" style="815" bestFit="1" customWidth="1"/>
    <col min="9" max="9" width="7.85546875" style="815" bestFit="1" customWidth="1"/>
    <col min="10" max="10" width="5.140625" style="815" bestFit="1" customWidth="1"/>
    <col min="11" max="11" width="7.7109375" style="815" bestFit="1" customWidth="1"/>
    <col min="12" max="12" width="8" style="815" bestFit="1" customWidth="1"/>
    <col min="13" max="13" width="5" style="815" customWidth="1"/>
    <col min="14" max="14" width="6.5703125" style="815" bestFit="1" customWidth="1"/>
    <col min="15" max="15" width="5.42578125" style="1518" bestFit="1" customWidth="1"/>
    <col min="16" max="16" width="5.140625" style="815" bestFit="1" customWidth="1"/>
    <col min="17" max="17" width="8.85546875" style="815" bestFit="1" customWidth="1"/>
    <col min="18" max="18" width="4.42578125" style="815" bestFit="1" customWidth="1"/>
    <col min="19" max="19" width="6.5703125" style="815" bestFit="1" customWidth="1"/>
    <col min="20" max="20" width="7.7109375" style="815" bestFit="1" customWidth="1"/>
    <col min="21" max="21" width="5.42578125" style="1518" bestFit="1" customWidth="1"/>
    <col min="22" max="22" width="8.28515625" style="815" bestFit="1" customWidth="1"/>
    <col min="23" max="23" width="14" style="815"/>
    <col min="24" max="24" width="0" style="815" hidden="1" customWidth="1"/>
    <col min="25" max="256" width="14" style="815"/>
    <col min="257" max="257" width="9" style="815" bestFit="1" customWidth="1"/>
    <col min="258" max="258" width="27" style="815" customWidth="1"/>
    <col min="259" max="259" width="14" style="815" customWidth="1"/>
    <col min="260" max="260" width="16.140625" style="815" customWidth="1"/>
    <col min="261" max="261" width="9.85546875" style="815" customWidth="1"/>
    <col min="262" max="262" width="10.5703125" style="815" customWidth="1"/>
    <col min="263" max="263" width="11" style="815" customWidth="1"/>
    <col min="264" max="264" width="14.42578125" style="815" customWidth="1"/>
    <col min="265" max="265" width="13" style="815" customWidth="1"/>
    <col min="266" max="266" width="10.140625" style="815" customWidth="1"/>
    <col min="267" max="267" width="9.140625" style="815" customWidth="1"/>
    <col min="268" max="268" width="8.140625" style="815" bestFit="1" customWidth="1"/>
    <col min="269" max="269" width="6.85546875" style="815" bestFit="1" customWidth="1"/>
    <col min="270" max="270" width="6.42578125" style="815" bestFit="1" customWidth="1"/>
    <col min="271" max="271" width="11.5703125" style="815" customWidth="1"/>
    <col min="272" max="272" width="8" style="815" customWidth="1"/>
    <col min="273" max="273" width="7.85546875" style="815" customWidth="1"/>
    <col min="274" max="274" width="8.7109375" style="815" customWidth="1"/>
    <col min="275" max="275" width="8" style="815" customWidth="1"/>
    <col min="276" max="276" width="7.5703125" style="815" customWidth="1"/>
    <col min="277" max="277" width="9.140625" style="815" customWidth="1"/>
    <col min="278" max="278" width="10.140625" style="815" customWidth="1"/>
    <col min="279" max="512" width="14" style="815"/>
    <col min="513" max="513" width="9" style="815" bestFit="1" customWidth="1"/>
    <col min="514" max="514" width="27" style="815" customWidth="1"/>
    <col min="515" max="515" width="14" style="815" customWidth="1"/>
    <col min="516" max="516" width="16.140625" style="815" customWidth="1"/>
    <col min="517" max="517" width="9.85546875" style="815" customWidth="1"/>
    <col min="518" max="518" width="10.5703125" style="815" customWidth="1"/>
    <col min="519" max="519" width="11" style="815" customWidth="1"/>
    <col min="520" max="520" width="14.42578125" style="815" customWidth="1"/>
    <col min="521" max="521" width="13" style="815" customWidth="1"/>
    <col min="522" max="522" width="10.140625" style="815" customWidth="1"/>
    <col min="523" max="523" width="9.140625" style="815" customWidth="1"/>
    <col min="524" max="524" width="8.140625" style="815" bestFit="1" customWidth="1"/>
    <col min="525" max="525" width="6.85546875" style="815" bestFit="1" customWidth="1"/>
    <col min="526" max="526" width="6.42578125" style="815" bestFit="1" customWidth="1"/>
    <col min="527" max="527" width="11.5703125" style="815" customWidth="1"/>
    <col min="528" max="528" width="8" style="815" customWidth="1"/>
    <col min="529" max="529" width="7.85546875" style="815" customWidth="1"/>
    <col min="530" max="530" width="8.7109375" style="815" customWidth="1"/>
    <col min="531" max="531" width="8" style="815" customWidth="1"/>
    <col min="532" max="532" width="7.5703125" style="815" customWidth="1"/>
    <col min="533" max="533" width="9.140625" style="815" customWidth="1"/>
    <col min="534" max="534" width="10.140625" style="815" customWidth="1"/>
    <col min="535" max="768" width="14" style="815"/>
    <col min="769" max="769" width="9" style="815" bestFit="1" customWidth="1"/>
    <col min="770" max="770" width="27" style="815" customWidth="1"/>
    <col min="771" max="771" width="14" style="815" customWidth="1"/>
    <col min="772" max="772" width="16.140625" style="815" customWidth="1"/>
    <col min="773" max="773" width="9.85546875" style="815" customWidth="1"/>
    <col min="774" max="774" width="10.5703125" style="815" customWidth="1"/>
    <col min="775" max="775" width="11" style="815" customWidth="1"/>
    <col min="776" max="776" width="14.42578125" style="815" customWidth="1"/>
    <col min="777" max="777" width="13" style="815" customWidth="1"/>
    <col min="778" max="778" width="10.140625" style="815" customWidth="1"/>
    <col min="779" max="779" width="9.140625" style="815" customWidth="1"/>
    <col min="780" max="780" width="8.140625" style="815" bestFit="1" customWidth="1"/>
    <col min="781" max="781" width="6.85546875" style="815" bestFit="1" customWidth="1"/>
    <col min="782" max="782" width="6.42578125" style="815" bestFit="1" customWidth="1"/>
    <col min="783" max="783" width="11.5703125" style="815" customWidth="1"/>
    <col min="784" max="784" width="8" style="815" customWidth="1"/>
    <col min="785" max="785" width="7.85546875" style="815" customWidth="1"/>
    <col min="786" max="786" width="8.7109375" style="815" customWidth="1"/>
    <col min="787" max="787" width="8" style="815" customWidth="1"/>
    <col min="788" max="788" width="7.5703125" style="815" customWidth="1"/>
    <col min="789" max="789" width="9.140625" style="815" customWidth="1"/>
    <col min="790" max="790" width="10.140625" style="815" customWidth="1"/>
    <col min="791" max="1024" width="14" style="815"/>
    <col min="1025" max="1025" width="9" style="815" bestFit="1" customWidth="1"/>
    <col min="1026" max="1026" width="27" style="815" customWidth="1"/>
    <col min="1027" max="1027" width="14" style="815" customWidth="1"/>
    <col min="1028" max="1028" width="16.140625" style="815" customWidth="1"/>
    <col min="1029" max="1029" width="9.85546875" style="815" customWidth="1"/>
    <col min="1030" max="1030" width="10.5703125" style="815" customWidth="1"/>
    <col min="1031" max="1031" width="11" style="815" customWidth="1"/>
    <col min="1032" max="1032" width="14.42578125" style="815" customWidth="1"/>
    <col min="1033" max="1033" width="13" style="815" customWidth="1"/>
    <col min="1034" max="1034" width="10.140625" style="815" customWidth="1"/>
    <col min="1035" max="1035" width="9.140625" style="815" customWidth="1"/>
    <col min="1036" max="1036" width="8.140625" style="815" bestFit="1" customWidth="1"/>
    <col min="1037" max="1037" width="6.85546875" style="815" bestFit="1" customWidth="1"/>
    <col min="1038" max="1038" width="6.42578125" style="815" bestFit="1" customWidth="1"/>
    <col min="1039" max="1039" width="11.5703125" style="815" customWidth="1"/>
    <col min="1040" max="1040" width="8" style="815" customWidth="1"/>
    <col min="1041" max="1041" width="7.85546875" style="815" customWidth="1"/>
    <col min="1042" max="1042" width="8.7109375" style="815" customWidth="1"/>
    <col min="1043" max="1043" width="8" style="815" customWidth="1"/>
    <col min="1044" max="1044" width="7.5703125" style="815" customWidth="1"/>
    <col min="1045" max="1045" width="9.140625" style="815" customWidth="1"/>
    <col min="1046" max="1046" width="10.140625" style="815" customWidth="1"/>
    <col min="1047" max="1280" width="14" style="815"/>
    <col min="1281" max="1281" width="9" style="815" bestFit="1" customWidth="1"/>
    <col min="1282" max="1282" width="27" style="815" customWidth="1"/>
    <col min="1283" max="1283" width="14" style="815" customWidth="1"/>
    <col min="1284" max="1284" width="16.140625" style="815" customWidth="1"/>
    <col min="1285" max="1285" width="9.85546875" style="815" customWidth="1"/>
    <col min="1286" max="1286" width="10.5703125" style="815" customWidth="1"/>
    <col min="1287" max="1287" width="11" style="815" customWidth="1"/>
    <col min="1288" max="1288" width="14.42578125" style="815" customWidth="1"/>
    <col min="1289" max="1289" width="13" style="815" customWidth="1"/>
    <col min="1290" max="1290" width="10.140625" style="815" customWidth="1"/>
    <col min="1291" max="1291" width="9.140625" style="815" customWidth="1"/>
    <col min="1292" max="1292" width="8.140625" style="815" bestFit="1" customWidth="1"/>
    <col min="1293" max="1293" width="6.85546875" style="815" bestFit="1" customWidth="1"/>
    <col min="1294" max="1294" width="6.42578125" style="815" bestFit="1" customWidth="1"/>
    <col min="1295" max="1295" width="11.5703125" style="815" customWidth="1"/>
    <col min="1296" max="1296" width="8" style="815" customWidth="1"/>
    <col min="1297" max="1297" width="7.85546875" style="815" customWidth="1"/>
    <col min="1298" max="1298" width="8.7109375" style="815" customWidth="1"/>
    <col min="1299" max="1299" width="8" style="815" customWidth="1"/>
    <col min="1300" max="1300" width="7.5703125" style="815" customWidth="1"/>
    <col min="1301" max="1301" width="9.140625" style="815" customWidth="1"/>
    <col min="1302" max="1302" width="10.140625" style="815" customWidth="1"/>
    <col min="1303" max="1536" width="14" style="815"/>
    <col min="1537" max="1537" width="9" style="815" bestFit="1" customWidth="1"/>
    <col min="1538" max="1538" width="27" style="815" customWidth="1"/>
    <col min="1539" max="1539" width="14" style="815" customWidth="1"/>
    <col min="1540" max="1540" width="16.140625" style="815" customWidth="1"/>
    <col min="1541" max="1541" width="9.85546875" style="815" customWidth="1"/>
    <col min="1542" max="1542" width="10.5703125" style="815" customWidth="1"/>
    <col min="1543" max="1543" width="11" style="815" customWidth="1"/>
    <col min="1544" max="1544" width="14.42578125" style="815" customWidth="1"/>
    <col min="1545" max="1545" width="13" style="815" customWidth="1"/>
    <col min="1546" max="1546" width="10.140625" style="815" customWidth="1"/>
    <col min="1547" max="1547" width="9.140625" style="815" customWidth="1"/>
    <col min="1548" max="1548" width="8.140625" style="815" bestFit="1" customWidth="1"/>
    <col min="1549" max="1549" width="6.85546875" style="815" bestFit="1" customWidth="1"/>
    <col min="1550" max="1550" width="6.42578125" style="815" bestFit="1" customWidth="1"/>
    <col min="1551" max="1551" width="11.5703125" style="815" customWidth="1"/>
    <col min="1552" max="1552" width="8" style="815" customWidth="1"/>
    <col min="1553" max="1553" width="7.85546875" style="815" customWidth="1"/>
    <col min="1554" max="1554" width="8.7109375" style="815" customWidth="1"/>
    <col min="1555" max="1555" width="8" style="815" customWidth="1"/>
    <col min="1556" max="1556" width="7.5703125" style="815" customWidth="1"/>
    <col min="1557" max="1557" width="9.140625" style="815" customWidth="1"/>
    <col min="1558" max="1558" width="10.140625" style="815" customWidth="1"/>
    <col min="1559" max="1792" width="14" style="815"/>
    <col min="1793" max="1793" width="9" style="815" bestFit="1" customWidth="1"/>
    <col min="1794" max="1794" width="27" style="815" customWidth="1"/>
    <col min="1795" max="1795" width="14" style="815" customWidth="1"/>
    <col min="1796" max="1796" width="16.140625" style="815" customWidth="1"/>
    <col min="1797" max="1797" width="9.85546875" style="815" customWidth="1"/>
    <col min="1798" max="1798" width="10.5703125" style="815" customWidth="1"/>
    <col min="1799" max="1799" width="11" style="815" customWidth="1"/>
    <col min="1800" max="1800" width="14.42578125" style="815" customWidth="1"/>
    <col min="1801" max="1801" width="13" style="815" customWidth="1"/>
    <col min="1802" max="1802" width="10.140625" style="815" customWidth="1"/>
    <col min="1803" max="1803" width="9.140625" style="815" customWidth="1"/>
    <col min="1804" max="1804" width="8.140625" style="815" bestFit="1" customWidth="1"/>
    <col min="1805" max="1805" width="6.85546875" style="815" bestFit="1" customWidth="1"/>
    <col min="1806" max="1806" width="6.42578125" style="815" bestFit="1" customWidth="1"/>
    <col min="1807" max="1807" width="11.5703125" style="815" customWidth="1"/>
    <col min="1808" max="1808" width="8" style="815" customWidth="1"/>
    <col min="1809" max="1809" width="7.85546875" style="815" customWidth="1"/>
    <col min="1810" max="1810" width="8.7109375" style="815" customWidth="1"/>
    <col min="1811" max="1811" width="8" style="815" customWidth="1"/>
    <col min="1812" max="1812" width="7.5703125" style="815" customWidth="1"/>
    <col min="1813" max="1813" width="9.140625" style="815" customWidth="1"/>
    <col min="1814" max="1814" width="10.140625" style="815" customWidth="1"/>
    <col min="1815" max="2048" width="14" style="815"/>
    <col min="2049" max="2049" width="9" style="815" bestFit="1" customWidth="1"/>
    <col min="2050" max="2050" width="27" style="815" customWidth="1"/>
    <col min="2051" max="2051" width="14" style="815" customWidth="1"/>
    <col min="2052" max="2052" width="16.140625" style="815" customWidth="1"/>
    <col min="2053" max="2053" width="9.85546875" style="815" customWidth="1"/>
    <col min="2054" max="2054" width="10.5703125" style="815" customWidth="1"/>
    <col min="2055" max="2055" width="11" style="815" customWidth="1"/>
    <col min="2056" max="2056" width="14.42578125" style="815" customWidth="1"/>
    <col min="2057" max="2057" width="13" style="815" customWidth="1"/>
    <col min="2058" max="2058" width="10.140625" style="815" customWidth="1"/>
    <col min="2059" max="2059" width="9.140625" style="815" customWidth="1"/>
    <col min="2060" max="2060" width="8.140625" style="815" bestFit="1" customWidth="1"/>
    <col min="2061" max="2061" width="6.85546875" style="815" bestFit="1" customWidth="1"/>
    <col min="2062" max="2062" width="6.42578125" style="815" bestFit="1" customWidth="1"/>
    <col min="2063" max="2063" width="11.5703125" style="815" customWidth="1"/>
    <col min="2064" max="2064" width="8" style="815" customWidth="1"/>
    <col min="2065" max="2065" width="7.85546875" style="815" customWidth="1"/>
    <col min="2066" max="2066" width="8.7109375" style="815" customWidth="1"/>
    <col min="2067" max="2067" width="8" style="815" customWidth="1"/>
    <col min="2068" max="2068" width="7.5703125" style="815" customWidth="1"/>
    <col min="2069" max="2069" width="9.140625" style="815" customWidth="1"/>
    <col min="2070" max="2070" width="10.140625" style="815" customWidth="1"/>
    <col min="2071" max="2304" width="14" style="815"/>
    <col min="2305" max="2305" width="9" style="815" bestFit="1" customWidth="1"/>
    <col min="2306" max="2306" width="27" style="815" customWidth="1"/>
    <col min="2307" max="2307" width="14" style="815" customWidth="1"/>
    <col min="2308" max="2308" width="16.140625" style="815" customWidth="1"/>
    <col min="2309" max="2309" width="9.85546875" style="815" customWidth="1"/>
    <col min="2310" max="2310" width="10.5703125" style="815" customWidth="1"/>
    <col min="2311" max="2311" width="11" style="815" customWidth="1"/>
    <col min="2312" max="2312" width="14.42578125" style="815" customWidth="1"/>
    <col min="2313" max="2313" width="13" style="815" customWidth="1"/>
    <col min="2314" max="2314" width="10.140625" style="815" customWidth="1"/>
    <col min="2315" max="2315" width="9.140625" style="815" customWidth="1"/>
    <col min="2316" max="2316" width="8.140625" style="815" bestFit="1" customWidth="1"/>
    <col min="2317" max="2317" width="6.85546875" style="815" bestFit="1" customWidth="1"/>
    <col min="2318" max="2318" width="6.42578125" style="815" bestFit="1" customWidth="1"/>
    <col min="2319" max="2319" width="11.5703125" style="815" customWidth="1"/>
    <col min="2320" max="2320" width="8" style="815" customWidth="1"/>
    <col min="2321" max="2321" width="7.85546875" style="815" customWidth="1"/>
    <col min="2322" max="2322" width="8.7109375" style="815" customWidth="1"/>
    <col min="2323" max="2323" width="8" style="815" customWidth="1"/>
    <col min="2324" max="2324" width="7.5703125" style="815" customWidth="1"/>
    <col min="2325" max="2325" width="9.140625" style="815" customWidth="1"/>
    <col min="2326" max="2326" width="10.140625" style="815" customWidth="1"/>
    <col min="2327" max="2560" width="14" style="815"/>
    <col min="2561" max="2561" width="9" style="815" bestFit="1" customWidth="1"/>
    <col min="2562" max="2562" width="27" style="815" customWidth="1"/>
    <col min="2563" max="2563" width="14" style="815" customWidth="1"/>
    <col min="2564" max="2564" width="16.140625" style="815" customWidth="1"/>
    <col min="2565" max="2565" width="9.85546875" style="815" customWidth="1"/>
    <col min="2566" max="2566" width="10.5703125" style="815" customWidth="1"/>
    <col min="2567" max="2567" width="11" style="815" customWidth="1"/>
    <col min="2568" max="2568" width="14.42578125" style="815" customWidth="1"/>
    <col min="2569" max="2569" width="13" style="815" customWidth="1"/>
    <col min="2570" max="2570" width="10.140625" style="815" customWidth="1"/>
    <col min="2571" max="2571" width="9.140625" style="815" customWidth="1"/>
    <col min="2572" max="2572" width="8.140625" style="815" bestFit="1" customWidth="1"/>
    <col min="2573" max="2573" width="6.85546875" style="815" bestFit="1" customWidth="1"/>
    <col min="2574" max="2574" width="6.42578125" style="815" bestFit="1" customWidth="1"/>
    <col min="2575" max="2575" width="11.5703125" style="815" customWidth="1"/>
    <col min="2576" max="2576" width="8" style="815" customWidth="1"/>
    <col min="2577" max="2577" width="7.85546875" style="815" customWidth="1"/>
    <col min="2578" max="2578" width="8.7109375" style="815" customWidth="1"/>
    <col min="2579" max="2579" width="8" style="815" customWidth="1"/>
    <col min="2580" max="2580" width="7.5703125" style="815" customWidth="1"/>
    <col min="2581" max="2581" width="9.140625" style="815" customWidth="1"/>
    <col min="2582" max="2582" width="10.140625" style="815" customWidth="1"/>
    <col min="2583" max="2816" width="14" style="815"/>
    <col min="2817" max="2817" width="9" style="815" bestFit="1" customWidth="1"/>
    <col min="2818" max="2818" width="27" style="815" customWidth="1"/>
    <col min="2819" max="2819" width="14" style="815" customWidth="1"/>
    <col min="2820" max="2820" width="16.140625" style="815" customWidth="1"/>
    <col min="2821" max="2821" width="9.85546875" style="815" customWidth="1"/>
    <col min="2822" max="2822" width="10.5703125" style="815" customWidth="1"/>
    <col min="2823" max="2823" width="11" style="815" customWidth="1"/>
    <col min="2824" max="2824" width="14.42578125" style="815" customWidth="1"/>
    <col min="2825" max="2825" width="13" style="815" customWidth="1"/>
    <col min="2826" max="2826" width="10.140625" style="815" customWidth="1"/>
    <col min="2827" max="2827" width="9.140625" style="815" customWidth="1"/>
    <col min="2828" max="2828" width="8.140625" style="815" bestFit="1" customWidth="1"/>
    <col min="2829" max="2829" width="6.85546875" style="815" bestFit="1" customWidth="1"/>
    <col min="2830" max="2830" width="6.42578125" style="815" bestFit="1" customWidth="1"/>
    <col min="2831" max="2831" width="11.5703125" style="815" customWidth="1"/>
    <col min="2832" max="2832" width="8" style="815" customWidth="1"/>
    <col min="2833" max="2833" width="7.85546875" style="815" customWidth="1"/>
    <col min="2834" max="2834" width="8.7109375" style="815" customWidth="1"/>
    <col min="2835" max="2835" width="8" style="815" customWidth="1"/>
    <col min="2836" max="2836" width="7.5703125" style="815" customWidth="1"/>
    <col min="2837" max="2837" width="9.140625" style="815" customWidth="1"/>
    <col min="2838" max="2838" width="10.140625" style="815" customWidth="1"/>
    <col min="2839" max="3072" width="14" style="815"/>
    <col min="3073" max="3073" width="9" style="815" bestFit="1" customWidth="1"/>
    <col min="3074" max="3074" width="27" style="815" customWidth="1"/>
    <col min="3075" max="3075" width="14" style="815" customWidth="1"/>
    <col min="3076" max="3076" width="16.140625" style="815" customWidth="1"/>
    <col min="3077" max="3077" width="9.85546875" style="815" customWidth="1"/>
    <col min="3078" max="3078" width="10.5703125" style="815" customWidth="1"/>
    <col min="3079" max="3079" width="11" style="815" customWidth="1"/>
    <col min="3080" max="3080" width="14.42578125" style="815" customWidth="1"/>
    <col min="3081" max="3081" width="13" style="815" customWidth="1"/>
    <col min="3082" max="3082" width="10.140625" style="815" customWidth="1"/>
    <col min="3083" max="3083" width="9.140625" style="815" customWidth="1"/>
    <col min="3084" max="3084" width="8.140625" style="815" bestFit="1" customWidth="1"/>
    <col min="3085" max="3085" width="6.85546875" style="815" bestFit="1" customWidth="1"/>
    <col min="3086" max="3086" width="6.42578125" style="815" bestFit="1" customWidth="1"/>
    <col min="3087" max="3087" width="11.5703125" style="815" customWidth="1"/>
    <col min="3088" max="3088" width="8" style="815" customWidth="1"/>
    <col min="3089" max="3089" width="7.85546875" style="815" customWidth="1"/>
    <col min="3090" max="3090" width="8.7109375" style="815" customWidth="1"/>
    <col min="3091" max="3091" width="8" style="815" customWidth="1"/>
    <col min="3092" max="3092" width="7.5703125" style="815" customWidth="1"/>
    <col min="3093" max="3093" width="9.140625" style="815" customWidth="1"/>
    <col min="3094" max="3094" width="10.140625" style="815" customWidth="1"/>
    <col min="3095" max="3328" width="14" style="815"/>
    <col min="3329" max="3329" width="9" style="815" bestFit="1" customWidth="1"/>
    <col min="3330" max="3330" width="27" style="815" customWidth="1"/>
    <col min="3331" max="3331" width="14" style="815" customWidth="1"/>
    <col min="3332" max="3332" width="16.140625" style="815" customWidth="1"/>
    <col min="3333" max="3333" width="9.85546875" style="815" customWidth="1"/>
    <col min="3334" max="3334" width="10.5703125" style="815" customWidth="1"/>
    <col min="3335" max="3335" width="11" style="815" customWidth="1"/>
    <col min="3336" max="3336" width="14.42578125" style="815" customWidth="1"/>
    <col min="3337" max="3337" width="13" style="815" customWidth="1"/>
    <col min="3338" max="3338" width="10.140625" style="815" customWidth="1"/>
    <col min="3339" max="3339" width="9.140625" style="815" customWidth="1"/>
    <col min="3340" max="3340" width="8.140625" style="815" bestFit="1" customWidth="1"/>
    <col min="3341" max="3341" width="6.85546875" style="815" bestFit="1" customWidth="1"/>
    <col min="3342" max="3342" width="6.42578125" style="815" bestFit="1" customWidth="1"/>
    <col min="3343" max="3343" width="11.5703125" style="815" customWidth="1"/>
    <col min="3344" max="3344" width="8" style="815" customWidth="1"/>
    <col min="3345" max="3345" width="7.85546875" style="815" customWidth="1"/>
    <col min="3346" max="3346" width="8.7109375" style="815" customWidth="1"/>
    <col min="3347" max="3347" width="8" style="815" customWidth="1"/>
    <col min="3348" max="3348" width="7.5703125" style="815" customWidth="1"/>
    <col min="3349" max="3349" width="9.140625" style="815" customWidth="1"/>
    <col min="3350" max="3350" width="10.140625" style="815" customWidth="1"/>
    <col min="3351" max="3584" width="14" style="815"/>
    <col min="3585" max="3585" width="9" style="815" bestFit="1" customWidth="1"/>
    <col min="3586" max="3586" width="27" style="815" customWidth="1"/>
    <col min="3587" max="3587" width="14" style="815" customWidth="1"/>
    <col min="3588" max="3588" width="16.140625" style="815" customWidth="1"/>
    <col min="3589" max="3589" width="9.85546875" style="815" customWidth="1"/>
    <col min="3590" max="3590" width="10.5703125" style="815" customWidth="1"/>
    <col min="3591" max="3591" width="11" style="815" customWidth="1"/>
    <col min="3592" max="3592" width="14.42578125" style="815" customWidth="1"/>
    <col min="3593" max="3593" width="13" style="815" customWidth="1"/>
    <col min="3594" max="3594" width="10.140625" style="815" customWidth="1"/>
    <col min="3595" max="3595" width="9.140625" style="815" customWidth="1"/>
    <col min="3596" max="3596" width="8.140625" style="815" bestFit="1" customWidth="1"/>
    <col min="3597" max="3597" width="6.85546875" style="815" bestFit="1" customWidth="1"/>
    <col min="3598" max="3598" width="6.42578125" style="815" bestFit="1" customWidth="1"/>
    <col min="3599" max="3599" width="11.5703125" style="815" customWidth="1"/>
    <col min="3600" max="3600" width="8" style="815" customWidth="1"/>
    <col min="3601" max="3601" width="7.85546875" style="815" customWidth="1"/>
    <col min="3602" max="3602" width="8.7109375" style="815" customWidth="1"/>
    <col min="3603" max="3603" width="8" style="815" customWidth="1"/>
    <col min="3604" max="3604" width="7.5703125" style="815" customWidth="1"/>
    <col min="3605" max="3605" width="9.140625" style="815" customWidth="1"/>
    <col min="3606" max="3606" width="10.140625" style="815" customWidth="1"/>
    <col min="3607" max="3840" width="14" style="815"/>
    <col min="3841" max="3841" width="9" style="815" bestFit="1" customWidth="1"/>
    <col min="3842" max="3842" width="27" style="815" customWidth="1"/>
    <col min="3843" max="3843" width="14" style="815" customWidth="1"/>
    <col min="3844" max="3844" width="16.140625" style="815" customWidth="1"/>
    <col min="3845" max="3845" width="9.85546875" style="815" customWidth="1"/>
    <col min="3846" max="3846" width="10.5703125" style="815" customWidth="1"/>
    <col min="3847" max="3847" width="11" style="815" customWidth="1"/>
    <col min="3848" max="3848" width="14.42578125" style="815" customWidth="1"/>
    <col min="3849" max="3849" width="13" style="815" customWidth="1"/>
    <col min="3850" max="3850" width="10.140625" style="815" customWidth="1"/>
    <col min="3851" max="3851" width="9.140625" style="815" customWidth="1"/>
    <col min="3852" max="3852" width="8.140625" style="815" bestFit="1" customWidth="1"/>
    <col min="3853" max="3853" width="6.85546875" style="815" bestFit="1" customWidth="1"/>
    <col min="3854" max="3854" width="6.42578125" style="815" bestFit="1" customWidth="1"/>
    <col min="3855" max="3855" width="11.5703125" style="815" customWidth="1"/>
    <col min="3856" max="3856" width="8" style="815" customWidth="1"/>
    <col min="3857" max="3857" width="7.85546875" style="815" customWidth="1"/>
    <col min="3858" max="3858" width="8.7109375" style="815" customWidth="1"/>
    <col min="3859" max="3859" width="8" style="815" customWidth="1"/>
    <col min="3860" max="3860" width="7.5703125" style="815" customWidth="1"/>
    <col min="3861" max="3861" width="9.140625" style="815" customWidth="1"/>
    <col min="3862" max="3862" width="10.140625" style="815" customWidth="1"/>
    <col min="3863" max="4096" width="14" style="815"/>
    <col min="4097" max="4097" width="9" style="815" bestFit="1" customWidth="1"/>
    <col min="4098" max="4098" width="27" style="815" customWidth="1"/>
    <col min="4099" max="4099" width="14" style="815" customWidth="1"/>
    <col min="4100" max="4100" width="16.140625" style="815" customWidth="1"/>
    <col min="4101" max="4101" width="9.85546875" style="815" customWidth="1"/>
    <col min="4102" max="4102" width="10.5703125" style="815" customWidth="1"/>
    <col min="4103" max="4103" width="11" style="815" customWidth="1"/>
    <col min="4104" max="4104" width="14.42578125" style="815" customWidth="1"/>
    <col min="4105" max="4105" width="13" style="815" customWidth="1"/>
    <col min="4106" max="4106" width="10.140625" style="815" customWidth="1"/>
    <col min="4107" max="4107" width="9.140625" style="815" customWidth="1"/>
    <col min="4108" max="4108" width="8.140625" style="815" bestFit="1" customWidth="1"/>
    <col min="4109" max="4109" width="6.85546875" style="815" bestFit="1" customWidth="1"/>
    <col min="4110" max="4110" width="6.42578125" style="815" bestFit="1" customWidth="1"/>
    <col min="4111" max="4111" width="11.5703125" style="815" customWidth="1"/>
    <col min="4112" max="4112" width="8" style="815" customWidth="1"/>
    <col min="4113" max="4113" width="7.85546875" style="815" customWidth="1"/>
    <col min="4114" max="4114" width="8.7109375" style="815" customWidth="1"/>
    <col min="4115" max="4115" width="8" style="815" customWidth="1"/>
    <col min="4116" max="4116" width="7.5703125" style="815" customWidth="1"/>
    <col min="4117" max="4117" width="9.140625" style="815" customWidth="1"/>
    <col min="4118" max="4118" width="10.140625" style="815" customWidth="1"/>
    <col min="4119" max="4352" width="14" style="815"/>
    <col min="4353" max="4353" width="9" style="815" bestFit="1" customWidth="1"/>
    <col min="4354" max="4354" width="27" style="815" customWidth="1"/>
    <col min="4355" max="4355" width="14" style="815" customWidth="1"/>
    <col min="4356" max="4356" width="16.140625" style="815" customWidth="1"/>
    <col min="4357" max="4357" width="9.85546875" style="815" customWidth="1"/>
    <col min="4358" max="4358" width="10.5703125" style="815" customWidth="1"/>
    <col min="4359" max="4359" width="11" style="815" customWidth="1"/>
    <col min="4360" max="4360" width="14.42578125" style="815" customWidth="1"/>
    <col min="4361" max="4361" width="13" style="815" customWidth="1"/>
    <col min="4362" max="4362" width="10.140625" style="815" customWidth="1"/>
    <col min="4363" max="4363" width="9.140625" style="815" customWidth="1"/>
    <col min="4364" max="4364" width="8.140625" style="815" bestFit="1" customWidth="1"/>
    <col min="4365" max="4365" width="6.85546875" style="815" bestFit="1" customWidth="1"/>
    <col min="4366" max="4366" width="6.42578125" style="815" bestFit="1" customWidth="1"/>
    <col min="4367" max="4367" width="11.5703125" style="815" customWidth="1"/>
    <col min="4368" max="4368" width="8" style="815" customWidth="1"/>
    <col min="4369" max="4369" width="7.85546875" style="815" customWidth="1"/>
    <col min="4370" max="4370" width="8.7109375" style="815" customWidth="1"/>
    <col min="4371" max="4371" width="8" style="815" customWidth="1"/>
    <col min="4372" max="4372" width="7.5703125" style="815" customWidth="1"/>
    <col min="4373" max="4373" width="9.140625" style="815" customWidth="1"/>
    <col min="4374" max="4374" width="10.140625" style="815" customWidth="1"/>
    <col min="4375" max="4608" width="14" style="815"/>
    <col min="4609" max="4609" width="9" style="815" bestFit="1" customWidth="1"/>
    <col min="4610" max="4610" width="27" style="815" customWidth="1"/>
    <col min="4611" max="4611" width="14" style="815" customWidth="1"/>
    <col min="4612" max="4612" width="16.140625" style="815" customWidth="1"/>
    <col min="4613" max="4613" width="9.85546875" style="815" customWidth="1"/>
    <col min="4614" max="4614" width="10.5703125" style="815" customWidth="1"/>
    <col min="4615" max="4615" width="11" style="815" customWidth="1"/>
    <col min="4616" max="4616" width="14.42578125" style="815" customWidth="1"/>
    <col min="4617" max="4617" width="13" style="815" customWidth="1"/>
    <col min="4618" max="4618" width="10.140625" style="815" customWidth="1"/>
    <col min="4619" max="4619" width="9.140625" style="815" customWidth="1"/>
    <col min="4620" max="4620" width="8.140625" style="815" bestFit="1" customWidth="1"/>
    <col min="4621" max="4621" width="6.85546875" style="815" bestFit="1" customWidth="1"/>
    <col min="4622" max="4622" width="6.42578125" style="815" bestFit="1" customWidth="1"/>
    <col min="4623" max="4623" width="11.5703125" style="815" customWidth="1"/>
    <col min="4624" max="4624" width="8" style="815" customWidth="1"/>
    <col min="4625" max="4625" width="7.85546875" style="815" customWidth="1"/>
    <col min="4626" max="4626" width="8.7109375" style="815" customWidth="1"/>
    <col min="4627" max="4627" width="8" style="815" customWidth="1"/>
    <col min="4628" max="4628" width="7.5703125" style="815" customWidth="1"/>
    <col min="4629" max="4629" width="9.140625" style="815" customWidth="1"/>
    <col min="4630" max="4630" width="10.140625" style="815" customWidth="1"/>
    <col min="4631" max="4864" width="14" style="815"/>
    <col min="4865" max="4865" width="9" style="815" bestFit="1" customWidth="1"/>
    <col min="4866" max="4866" width="27" style="815" customWidth="1"/>
    <col min="4867" max="4867" width="14" style="815" customWidth="1"/>
    <col min="4868" max="4868" width="16.140625" style="815" customWidth="1"/>
    <col min="4869" max="4869" width="9.85546875" style="815" customWidth="1"/>
    <col min="4870" max="4870" width="10.5703125" style="815" customWidth="1"/>
    <col min="4871" max="4871" width="11" style="815" customWidth="1"/>
    <col min="4872" max="4872" width="14.42578125" style="815" customWidth="1"/>
    <col min="4873" max="4873" width="13" style="815" customWidth="1"/>
    <col min="4874" max="4874" width="10.140625" style="815" customWidth="1"/>
    <col min="4875" max="4875" width="9.140625" style="815" customWidth="1"/>
    <col min="4876" max="4876" width="8.140625" style="815" bestFit="1" customWidth="1"/>
    <col min="4877" max="4877" width="6.85546875" style="815" bestFit="1" customWidth="1"/>
    <col min="4878" max="4878" width="6.42578125" style="815" bestFit="1" customWidth="1"/>
    <col min="4879" max="4879" width="11.5703125" style="815" customWidth="1"/>
    <col min="4880" max="4880" width="8" style="815" customWidth="1"/>
    <col min="4881" max="4881" width="7.85546875" style="815" customWidth="1"/>
    <col min="4882" max="4882" width="8.7109375" style="815" customWidth="1"/>
    <col min="4883" max="4883" width="8" style="815" customWidth="1"/>
    <col min="4884" max="4884" width="7.5703125" style="815" customWidth="1"/>
    <col min="4885" max="4885" width="9.140625" style="815" customWidth="1"/>
    <col min="4886" max="4886" width="10.140625" style="815" customWidth="1"/>
    <col min="4887" max="5120" width="14" style="815"/>
    <col min="5121" max="5121" width="9" style="815" bestFit="1" customWidth="1"/>
    <col min="5122" max="5122" width="27" style="815" customWidth="1"/>
    <col min="5123" max="5123" width="14" style="815" customWidth="1"/>
    <col min="5124" max="5124" width="16.140625" style="815" customWidth="1"/>
    <col min="5125" max="5125" width="9.85546875" style="815" customWidth="1"/>
    <col min="5126" max="5126" width="10.5703125" style="815" customWidth="1"/>
    <col min="5127" max="5127" width="11" style="815" customWidth="1"/>
    <col min="5128" max="5128" width="14.42578125" style="815" customWidth="1"/>
    <col min="5129" max="5129" width="13" style="815" customWidth="1"/>
    <col min="5130" max="5130" width="10.140625" style="815" customWidth="1"/>
    <col min="5131" max="5131" width="9.140625" style="815" customWidth="1"/>
    <col min="5132" max="5132" width="8.140625" style="815" bestFit="1" customWidth="1"/>
    <col min="5133" max="5133" width="6.85546875" style="815" bestFit="1" customWidth="1"/>
    <col min="5134" max="5134" width="6.42578125" style="815" bestFit="1" customWidth="1"/>
    <col min="5135" max="5135" width="11.5703125" style="815" customWidth="1"/>
    <col min="5136" max="5136" width="8" style="815" customWidth="1"/>
    <col min="5137" max="5137" width="7.85546875" style="815" customWidth="1"/>
    <col min="5138" max="5138" width="8.7109375" style="815" customWidth="1"/>
    <col min="5139" max="5139" width="8" style="815" customWidth="1"/>
    <col min="5140" max="5140" width="7.5703125" style="815" customWidth="1"/>
    <col min="5141" max="5141" width="9.140625" style="815" customWidth="1"/>
    <col min="5142" max="5142" width="10.140625" style="815" customWidth="1"/>
    <col min="5143" max="5376" width="14" style="815"/>
    <col min="5377" max="5377" width="9" style="815" bestFit="1" customWidth="1"/>
    <col min="5378" max="5378" width="27" style="815" customWidth="1"/>
    <col min="5379" max="5379" width="14" style="815" customWidth="1"/>
    <col min="5380" max="5380" width="16.140625" style="815" customWidth="1"/>
    <col min="5381" max="5381" width="9.85546875" style="815" customWidth="1"/>
    <col min="5382" max="5382" width="10.5703125" style="815" customWidth="1"/>
    <col min="5383" max="5383" width="11" style="815" customWidth="1"/>
    <col min="5384" max="5384" width="14.42578125" style="815" customWidth="1"/>
    <col min="5385" max="5385" width="13" style="815" customWidth="1"/>
    <col min="5386" max="5386" width="10.140625" style="815" customWidth="1"/>
    <col min="5387" max="5387" width="9.140625" style="815" customWidth="1"/>
    <col min="5388" max="5388" width="8.140625" style="815" bestFit="1" customWidth="1"/>
    <col min="5389" max="5389" width="6.85546875" style="815" bestFit="1" customWidth="1"/>
    <col min="5390" max="5390" width="6.42578125" style="815" bestFit="1" customWidth="1"/>
    <col min="5391" max="5391" width="11.5703125" style="815" customWidth="1"/>
    <col min="5392" max="5392" width="8" style="815" customWidth="1"/>
    <col min="5393" max="5393" width="7.85546875" style="815" customWidth="1"/>
    <col min="5394" max="5394" width="8.7109375" style="815" customWidth="1"/>
    <col min="5395" max="5395" width="8" style="815" customWidth="1"/>
    <col min="5396" max="5396" width="7.5703125" style="815" customWidth="1"/>
    <col min="5397" max="5397" width="9.140625" style="815" customWidth="1"/>
    <col min="5398" max="5398" width="10.140625" style="815" customWidth="1"/>
    <col min="5399" max="5632" width="14" style="815"/>
    <col min="5633" max="5633" width="9" style="815" bestFit="1" customWidth="1"/>
    <col min="5634" max="5634" width="27" style="815" customWidth="1"/>
    <col min="5635" max="5635" width="14" style="815" customWidth="1"/>
    <col min="5636" max="5636" width="16.140625" style="815" customWidth="1"/>
    <col min="5637" max="5637" width="9.85546875" style="815" customWidth="1"/>
    <col min="5638" max="5638" width="10.5703125" style="815" customWidth="1"/>
    <col min="5639" max="5639" width="11" style="815" customWidth="1"/>
    <col min="5640" max="5640" width="14.42578125" style="815" customWidth="1"/>
    <col min="5641" max="5641" width="13" style="815" customWidth="1"/>
    <col min="5642" max="5642" width="10.140625" style="815" customWidth="1"/>
    <col min="5643" max="5643" width="9.140625" style="815" customWidth="1"/>
    <col min="5644" max="5644" width="8.140625" style="815" bestFit="1" customWidth="1"/>
    <col min="5645" max="5645" width="6.85546875" style="815" bestFit="1" customWidth="1"/>
    <col min="5646" max="5646" width="6.42578125" style="815" bestFit="1" customWidth="1"/>
    <col min="5647" max="5647" width="11.5703125" style="815" customWidth="1"/>
    <col min="5648" max="5648" width="8" style="815" customWidth="1"/>
    <col min="5649" max="5649" width="7.85546875" style="815" customWidth="1"/>
    <col min="5650" max="5650" width="8.7109375" style="815" customWidth="1"/>
    <col min="5651" max="5651" width="8" style="815" customWidth="1"/>
    <col min="5652" max="5652" width="7.5703125" style="815" customWidth="1"/>
    <col min="5653" max="5653" width="9.140625" style="815" customWidth="1"/>
    <col min="5654" max="5654" width="10.140625" style="815" customWidth="1"/>
    <col min="5655" max="5888" width="14" style="815"/>
    <col min="5889" max="5889" width="9" style="815" bestFit="1" customWidth="1"/>
    <col min="5890" max="5890" width="27" style="815" customWidth="1"/>
    <col min="5891" max="5891" width="14" style="815" customWidth="1"/>
    <col min="5892" max="5892" width="16.140625" style="815" customWidth="1"/>
    <col min="5893" max="5893" width="9.85546875" style="815" customWidth="1"/>
    <col min="5894" max="5894" width="10.5703125" style="815" customWidth="1"/>
    <col min="5895" max="5895" width="11" style="815" customWidth="1"/>
    <col min="5896" max="5896" width="14.42578125" style="815" customWidth="1"/>
    <col min="5897" max="5897" width="13" style="815" customWidth="1"/>
    <col min="5898" max="5898" width="10.140625" style="815" customWidth="1"/>
    <col min="5899" max="5899" width="9.140625" style="815" customWidth="1"/>
    <col min="5900" max="5900" width="8.140625" style="815" bestFit="1" customWidth="1"/>
    <col min="5901" max="5901" width="6.85546875" style="815" bestFit="1" customWidth="1"/>
    <col min="5902" max="5902" width="6.42578125" style="815" bestFit="1" customWidth="1"/>
    <col min="5903" max="5903" width="11.5703125" style="815" customWidth="1"/>
    <col min="5904" max="5904" width="8" style="815" customWidth="1"/>
    <col min="5905" max="5905" width="7.85546875" style="815" customWidth="1"/>
    <col min="5906" max="5906" width="8.7109375" style="815" customWidth="1"/>
    <col min="5907" max="5907" width="8" style="815" customWidth="1"/>
    <col min="5908" max="5908" width="7.5703125" style="815" customWidth="1"/>
    <col min="5909" max="5909" width="9.140625" style="815" customWidth="1"/>
    <col min="5910" max="5910" width="10.140625" style="815" customWidth="1"/>
    <col min="5911" max="6144" width="14" style="815"/>
    <col min="6145" max="6145" width="9" style="815" bestFit="1" customWidth="1"/>
    <col min="6146" max="6146" width="27" style="815" customWidth="1"/>
    <col min="6147" max="6147" width="14" style="815" customWidth="1"/>
    <col min="6148" max="6148" width="16.140625" style="815" customWidth="1"/>
    <col min="6149" max="6149" width="9.85546875" style="815" customWidth="1"/>
    <col min="6150" max="6150" width="10.5703125" style="815" customWidth="1"/>
    <col min="6151" max="6151" width="11" style="815" customWidth="1"/>
    <col min="6152" max="6152" width="14.42578125" style="815" customWidth="1"/>
    <col min="6153" max="6153" width="13" style="815" customWidth="1"/>
    <col min="6154" max="6154" width="10.140625" style="815" customWidth="1"/>
    <col min="6155" max="6155" width="9.140625" style="815" customWidth="1"/>
    <col min="6156" max="6156" width="8.140625" style="815" bestFit="1" customWidth="1"/>
    <col min="6157" max="6157" width="6.85546875" style="815" bestFit="1" customWidth="1"/>
    <col min="6158" max="6158" width="6.42578125" style="815" bestFit="1" customWidth="1"/>
    <col min="6159" max="6159" width="11.5703125" style="815" customWidth="1"/>
    <col min="6160" max="6160" width="8" style="815" customWidth="1"/>
    <col min="6161" max="6161" width="7.85546875" style="815" customWidth="1"/>
    <col min="6162" max="6162" width="8.7109375" style="815" customWidth="1"/>
    <col min="6163" max="6163" width="8" style="815" customWidth="1"/>
    <col min="6164" max="6164" width="7.5703125" style="815" customWidth="1"/>
    <col min="6165" max="6165" width="9.140625" style="815" customWidth="1"/>
    <col min="6166" max="6166" width="10.140625" style="815" customWidth="1"/>
    <col min="6167" max="6400" width="14" style="815"/>
    <col min="6401" max="6401" width="9" style="815" bestFit="1" customWidth="1"/>
    <col min="6402" max="6402" width="27" style="815" customWidth="1"/>
    <col min="6403" max="6403" width="14" style="815" customWidth="1"/>
    <col min="6404" max="6404" width="16.140625" style="815" customWidth="1"/>
    <col min="6405" max="6405" width="9.85546875" style="815" customWidth="1"/>
    <col min="6406" max="6406" width="10.5703125" style="815" customWidth="1"/>
    <col min="6407" max="6407" width="11" style="815" customWidth="1"/>
    <col min="6408" max="6408" width="14.42578125" style="815" customWidth="1"/>
    <col min="6409" max="6409" width="13" style="815" customWidth="1"/>
    <col min="6410" max="6410" width="10.140625" style="815" customWidth="1"/>
    <col min="6411" max="6411" width="9.140625" style="815" customWidth="1"/>
    <col min="6412" max="6412" width="8.140625" style="815" bestFit="1" customWidth="1"/>
    <col min="6413" max="6413" width="6.85546875" style="815" bestFit="1" customWidth="1"/>
    <col min="6414" max="6414" width="6.42578125" style="815" bestFit="1" customWidth="1"/>
    <col min="6415" max="6415" width="11.5703125" style="815" customWidth="1"/>
    <col min="6416" max="6416" width="8" style="815" customWidth="1"/>
    <col min="6417" max="6417" width="7.85546875" style="815" customWidth="1"/>
    <col min="6418" max="6418" width="8.7109375" style="815" customWidth="1"/>
    <col min="6419" max="6419" width="8" style="815" customWidth="1"/>
    <col min="6420" max="6420" width="7.5703125" style="815" customWidth="1"/>
    <col min="6421" max="6421" width="9.140625" style="815" customWidth="1"/>
    <col min="6422" max="6422" width="10.140625" style="815" customWidth="1"/>
    <col min="6423" max="6656" width="14" style="815"/>
    <col min="6657" max="6657" width="9" style="815" bestFit="1" customWidth="1"/>
    <col min="6658" max="6658" width="27" style="815" customWidth="1"/>
    <col min="6659" max="6659" width="14" style="815" customWidth="1"/>
    <col min="6660" max="6660" width="16.140625" style="815" customWidth="1"/>
    <col min="6661" max="6661" width="9.85546875" style="815" customWidth="1"/>
    <col min="6662" max="6662" width="10.5703125" style="815" customWidth="1"/>
    <col min="6663" max="6663" width="11" style="815" customWidth="1"/>
    <col min="6664" max="6664" width="14.42578125" style="815" customWidth="1"/>
    <col min="6665" max="6665" width="13" style="815" customWidth="1"/>
    <col min="6666" max="6666" width="10.140625" style="815" customWidth="1"/>
    <col min="6667" max="6667" width="9.140625" style="815" customWidth="1"/>
    <col min="6668" max="6668" width="8.140625" style="815" bestFit="1" customWidth="1"/>
    <col min="6669" max="6669" width="6.85546875" style="815" bestFit="1" customWidth="1"/>
    <col min="6670" max="6670" width="6.42578125" style="815" bestFit="1" customWidth="1"/>
    <col min="6671" max="6671" width="11.5703125" style="815" customWidth="1"/>
    <col min="6672" max="6672" width="8" style="815" customWidth="1"/>
    <col min="6673" max="6673" width="7.85546875" style="815" customWidth="1"/>
    <col min="6674" max="6674" width="8.7109375" style="815" customWidth="1"/>
    <col min="6675" max="6675" width="8" style="815" customWidth="1"/>
    <col min="6676" max="6676" width="7.5703125" style="815" customWidth="1"/>
    <col min="6677" max="6677" width="9.140625" style="815" customWidth="1"/>
    <col min="6678" max="6678" width="10.140625" style="815" customWidth="1"/>
    <col min="6679" max="6912" width="14" style="815"/>
    <col min="6913" max="6913" width="9" style="815" bestFit="1" customWidth="1"/>
    <col min="6914" max="6914" width="27" style="815" customWidth="1"/>
    <col min="6915" max="6915" width="14" style="815" customWidth="1"/>
    <col min="6916" max="6916" width="16.140625" style="815" customWidth="1"/>
    <col min="6917" max="6917" width="9.85546875" style="815" customWidth="1"/>
    <col min="6918" max="6918" width="10.5703125" style="815" customWidth="1"/>
    <col min="6919" max="6919" width="11" style="815" customWidth="1"/>
    <col min="6920" max="6920" width="14.42578125" style="815" customWidth="1"/>
    <col min="6921" max="6921" width="13" style="815" customWidth="1"/>
    <col min="6922" max="6922" width="10.140625" style="815" customWidth="1"/>
    <col min="6923" max="6923" width="9.140625" style="815" customWidth="1"/>
    <col min="6924" max="6924" width="8.140625" style="815" bestFit="1" customWidth="1"/>
    <col min="6925" max="6925" width="6.85546875" style="815" bestFit="1" customWidth="1"/>
    <col min="6926" max="6926" width="6.42578125" style="815" bestFit="1" customWidth="1"/>
    <col min="6927" max="6927" width="11.5703125" style="815" customWidth="1"/>
    <col min="6928" max="6928" width="8" style="815" customWidth="1"/>
    <col min="6929" max="6929" width="7.85546875" style="815" customWidth="1"/>
    <col min="6930" max="6930" width="8.7109375" style="815" customWidth="1"/>
    <col min="6931" max="6931" width="8" style="815" customWidth="1"/>
    <col min="6932" max="6932" width="7.5703125" style="815" customWidth="1"/>
    <col min="6933" max="6933" width="9.140625" style="815" customWidth="1"/>
    <col min="6934" max="6934" width="10.140625" style="815" customWidth="1"/>
    <col min="6935" max="7168" width="14" style="815"/>
    <col min="7169" max="7169" width="9" style="815" bestFit="1" customWidth="1"/>
    <col min="7170" max="7170" width="27" style="815" customWidth="1"/>
    <col min="7171" max="7171" width="14" style="815" customWidth="1"/>
    <col min="7172" max="7172" width="16.140625" style="815" customWidth="1"/>
    <col min="7173" max="7173" width="9.85546875" style="815" customWidth="1"/>
    <col min="7174" max="7174" width="10.5703125" style="815" customWidth="1"/>
    <col min="7175" max="7175" width="11" style="815" customWidth="1"/>
    <col min="7176" max="7176" width="14.42578125" style="815" customWidth="1"/>
    <col min="7177" max="7177" width="13" style="815" customWidth="1"/>
    <col min="7178" max="7178" width="10.140625" style="815" customWidth="1"/>
    <col min="7179" max="7179" width="9.140625" style="815" customWidth="1"/>
    <col min="7180" max="7180" width="8.140625" style="815" bestFit="1" customWidth="1"/>
    <col min="7181" max="7181" width="6.85546875" style="815" bestFit="1" customWidth="1"/>
    <col min="7182" max="7182" width="6.42578125" style="815" bestFit="1" customWidth="1"/>
    <col min="7183" max="7183" width="11.5703125" style="815" customWidth="1"/>
    <col min="7184" max="7184" width="8" style="815" customWidth="1"/>
    <col min="7185" max="7185" width="7.85546875" style="815" customWidth="1"/>
    <col min="7186" max="7186" width="8.7109375" style="815" customWidth="1"/>
    <col min="7187" max="7187" width="8" style="815" customWidth="1"/>
    <col min="7188" max="7188" width="7.5703125" style="815" customWidth="1"/>
    <col min="7189" max="7189" width="9.140625" style="815" customWidth="1"/>
    <col min="7190" max="7190" width="10.140625" style="815" customWidth="1"/>
    <col min="7191" max="7424" width="14" style="815"/>
    <col min="7425" max="7425" width="9" style="815" bestFit="1" customWidth="1"/>
    <col min="7426" max="7426" width="27" style="815" customWidth="1"/>
    <col min="7427" max="7427" width="14" style="815" customWidth="1"/>
    <col min="7428" max="7428" width="16.140625" style="815" customWidth="1"/>
    <col min="7429" max="7429" width="9.85546875" style="815" customWidth="1"/>
    <col min="7430" max="7430" width="10.5703125" style="815" customWidth="1"/>
    <col min="7431" max="7431" width="11" style="815" customWidth="1"/>
    <col min="7432" max="7432" width="14.42578125" style="815" customWidth="1"/>
    <col min="7433" max="7433" width="13" style="815" customWidth="1"/>
    <col min="7434" max="7434" width="10.140625" style="815" customWidth="1"/>
    <col min="7435" max="7435" width="9.140625" style="815" customWidth="1"/>
    <col min="7436" max="7436" width="8.140625" style="815" bestFit="1" customWidth="1"/>
    <col min="7437" max="7437" width="6.85546875" style="815" bestFit="1" customWidth="1"/>
    <col min="7438" max="7438" width="6.42578125" style="815" bestFit="1" customWidth="1"/>
    <col min="7439" max="7439" width="11.5703125" style="815" customWidth="1"/>
    <col min="7440" max="7440" width="8" style="815" customWidth="1"/>
    <col min="7441" max="7441" width="7.85546875" style="815" customWidth="1"/>
    <col min="7442" max="7442" width="8.7109375" style="815" customWidth="1"/>
    <col min="7443" max="7443" width="8" style="815" customWidth="1"/>
    <col min="7444" max="7444" width="7.5703125" style="815" customWidth="1"/>
    <col min="7445" max="7445" width="9.140625" style="815" customWidth="1"/>
    <col min="7446" max="7446" width="10.140625" style="815" customWidth="1"/>
    <col min="7447" max="7680" width="14" style="815"/>
    <col min="7681" max="7681" width="9" style="815" bestFit="1" customWidth="1"/>
    <col min="7682" max="7682" width="27" style="815" customWidth="1"/>
    <col min="7683" max="7683" width="14" style="815" customWidth="1"/>
    <col min="7684" max="7684" width="16.140625" style="815" customWidth="1"/>
    <col min="7685" max="7685" width="9.85546875" style="815" customWidth="1"/>
    <col min="7686" max="7686" width="10.5703125" style="815" customWidth="1"/>
    <col min="7687" max="7687" width="11" style="815" customWidth="1"/>
    <col min="7688" max="7688" width="14.42578125" style="815" customWidth="1"/>
    <col min="7689" max="7689" width="13" style="815" customWidth="1"/>
    <col min="7690" max="7690" width="10.140625" style="815" customWidth="1"/>
    <col min="7691" max="7691" width="9.140625" style="815" customWidth="1"/>
    <col min="7692" max="7692" width="8.140625" style="815" bestFit="1" customWidth="1"/>
    <col min="7693" max="7693" width="6.85546875" style="815" bestFit="1" customWidth="1"/>
    <col min="7694" max="7694" width="6.42578125" style="815" bestFit="1" customWidth="1"/>
    <col min="7695" max="7695" width="11.5703125" style="815" customWidth="1"/>
    <col min="7696" max="7696" width="8" style="815" customWidth="1"/>
    <col min="7697" max="7697" width="7.85546875" style="815" customWidth="1"/>
    <col min="7698" max="7698" width="8.7109375" style="815" customWidth="1"/>
    <col min="7699" max="7699" width="8" style="815" customWidth="1"/>
    <col min="7700" max="7700" width="7.5703125" style="815" customWidth="1"/>
    <col min="7701" max="7701" width="9.140625" style="815" customWidth="1"/>
    <col min="7702" max="7702" width="10.140625" style="815" customWidth="1"/>
    <col min="7703" max="7936" width="14" style="815"/>
    <col min="7937" max="7937" width="9" style="815" bestFit="1" customWidth="1"/>
    <col min="7938" max="7938" width="27" style="815" customWidth="1"/>
    <col min="7939" max="7939" width="14" style="815" customWidth="1"/>
    <col min="7940" max="7940" width="16.140625" style="815" customWidth="1"/>
    <col min="7941" max="7941" width="9.85546875" style="815" customWidth="1"/>
    <col min="7942" max="7942" width="10.5703125" style="815" customWidth="1"/>
    <col min="7943" max="7943" width="11" style="815" customWidth="1"/>
    <col min="7944" max="7944" width="14.42578125" style="815" customWidth="1"/>
    <col min="7945" max="7945" width="13" style="815" customWidth="1"/>
    <col min="7946" max="7946" width="10.140625" style="815" customWidth="1"/>
    <col min="7947" max="7947" width="9.140625" style="815" customWidth="1"/>
    <col min="7948" max="7948" width="8.140625" style="815" bestFit="1" customWidth="1"/>
    <col min="7949" max="7949" width="6.85546875" style="815" bestFit="1" customWidth="1"/>
    <col min="7950" max="7950" width="6.42578125" style="815" bestFit="1" customWidth="1"/>
    <col min="7951" max="7951" width="11.5703125" style="815" customWidth="1"/>
    <col min="7952" max="7952" width="8" style="815" customWidth="1"/>
    <col min="7953" max="7953" width="7.85546875" style="815" customWidth="1"/>
    <col min="7954" max="7954" width="8.7109375" style="815" customWidth="1"/>
    <col min="7955" max="7955" width="8" style="815" customWidth="1"/>
    <col min="7956" max="7956" width="7.5703125" style="815" customWidth="1"/>
    <col min="7957" max="7957" width="9.140625" style="815" customWidth="1"/>
    <col min="7958" max="7958" width="10.140625" style="815" customWidth="1"/>
    <col min="7959" max="8192" width="14" style="815"/>
    <col min="8193" max="8193" width="9" style="815" bestFit="1" customWidth="1"/>
    <col min="8194" max="8194" width="27" style="815" customWidth="1"/>
    <col min="8195" max="8195" width="14" style="815" customWidth="1"/>
    <col min="8196" max="8196" width="16.140625" style="815" customWidth="1"/>
    <col min="8197" max="8197" width="9.85546875" style="815" customWidth="1"/>
    <col min="8198" max="8198" width="10.5703125" style="815" customWidth="1"/>
    <col min="8199" max="8199" width="11" style="815" customWidth="1"/>
    <col min="8200" max="8200" width="14.42578125" style="815" customWidth="1"/>
    <col min="8201" max="8201" width="13" style="815" customWidth="1"/>
    <col min="8202" max="8202" width="10.140625" style="815" customWidth="1"/>
    <col min="8203" max="8203" width="9.140625" style="815" customWidth="1"/>
    <col min="8204" max="8204" width="8.140625" style="815" bestFit="1" customWidth="1"/>
    <col min="8205" max="8205" width="6.85546875" style="815" bestFit="1" customWidth="1"/>
    <col min="8206" max="8206" width="6.42578125" style="815" bestFit="1" customWidth="1"/>
    <col min="8207" max="8207" width="11.5703125" style="815" customWidth="1"/>
    <col min="8208" max="8208" width="8" style="815" customWidth="1"/>
    <col min="8209" max="8209" width="7.85546875" style="815" customWidth="1"/>
    <col min="8210" max="8210" width="8.7109375" style="815" customWidth="1"/>
    <col min="8211" max="8211" width="8" style="815" customWidth="1"/>
    <col min="8212" max="8212" width="7.5703125" style="815" customWidth="1"/>
    <col min="8213" max="8213" width="9.140625" style="815" customWidth="1"/>
    <col min="8214" max="8214" width="10.140625" style="815" customWidth="1"/>
    <col min="8215" max="8448" width="14" style="815"/>
    <col min="8449" max="8449" width="9" style="815" bestFit="1" customWidth="1"/>
    <col min="8450" max="8450" width="27" style="815" customWidth="1"/>
    <col min="8451" max="8451" width="14" style="815" customWidth="1"/>
    <col min="8452" max="8452" width="16.140625" style="815" customWidth="1"/>
    <col min="8453" max="8453" width="9.85546875" style="815" customWidth="1"/>
    <col min="8454" max="8454" width="10.5703125" style="815" customWidth="1"/>
    <col min="8455" max="8455" width="11" style="815" customWidth="1"/>
    <col min="8456" max="8456" width="14.42578125" style="815" customWidth="1"/>
    <col min="8457" max="8457" width="13" style="815" customWidth="1"/>
    <col min="8458" max="8458" width="10.140625" style="815" customWidth="1"/>
    <col min="8459" max="8459" width="9.140625" style="815" customWidth="1"/>
    <col min="8460" max="8460" width="8.140625" style="815" bestFit="1" customWidth="1"/>
    <col min="8461" max="8461" width="6.85546875" style="815" bestFit="1" customWidth="1"/>
    <col min="8462" max="8462" width="6.42578125" style="815" bestFit="1" customWidth="1"/>
    <col min="8463" max="8463" width="11.5703125" style="815" customWidth="1"/>
    <col min="8464" max="8464" width="8" style="815" customWidth="1"/>
    <col min="8465" max="8465" width="7.85546875" style="815" customWidth="1"/>
    <col min="8466" max="8466" width="8.7109375" style="815" customWidth="1"/>
    <col min="8467" max="8467" width="8" style="815" customWidth="1"/>
    <col min="8468" max="8468" width="7.5703125" style="815" customWidth="1"/>
    <col min="8469" max="8469" width="9.140625" style="815" customWidth="1"/>
    <col min="8470" max="8470" width="10.140625" style="815" customWidth="1"/>
    <col min="8471" max="8704" width="14" style="815"/>
    <col min="8705" max="8705" width="9" style="815" bestFit="1" customWidth="1"/>
    <col min="8706" max="8706" width="27" style="815" customWidth="1"/>
    <col min="8707" max="8707" width="14" style="815" customWidth="1"/>
    <col min="8708" max="8708" width="16.140625" style="815" customWidth="1"/>
    <col min="8709" max="8709" width="9.85546875" style="815" customWidth="1"/>
    <col min="8710" max="8710" width="10.5703125" style="815" customWidth="1"/>
    <col min="8711" max="8711" width="11" style="815" customWidth="1"/>
    <col min="8712" max="8712" width="14.42578125" style="815" customWidth="1"/>
    <col min="8713" max="8713" width="13" style="815" customWidth="1"/>
    <col min="8714" max="8714" width="10.140625" style="815" customWidth="1"/>
    <col min="8715" max="8715" width="9.140625" style="815" customWidth="1"/>
    <col min="8716" max="8716" width="8.140625" style="815" bestFit="1" customWidth="1"/>
    <col min="8717" max="8717" width="6.85546875" style="815" bestFit="1" customWidth="1"/>
    <col min="8718" max="8718" width="6.42578125" style="815" bestFit="1" customWidth="1"/>
    <col min="8719" max="8719" width="11.5703125" style="815" customWidth="1"/>
    <col min="8720" max="8720" width="8" style="815" customWidth="1"/>
    <col min="8721" max="8721" width="7.85546875" style="815" customWidth="1"/>
    <col min="8722" max="8722" width="8.7109375" style="815" customWidth="1"/>
    <col min="8723" max="8723" width="8" style="815" customWidth="1"/>
    <col min="8724" max="8724" width="7.5703125" style="815" customWidth="1"/>
    <col min="8725" max="8725" width="9.140625" style="815" customWidth="1"/>
    <col min="8726" max="8726" width="10.140625" style="815" customWidth="1"/>
    <col min="8727" max="8960" width="14" style="815"/>
    <col min="8961" max="8961" width="9" style="815" bestFit="1" customWidth="1"/>
    <col min="8962" max="8962" width="27" style="815" customWidth="1"/>
    <col min="8963" max="8963" width="14" style="815" customWidth="1"/>
    <col min="8964" max="8964" width="16.140625" style="815" customWidth="1"/>
    <col min="8965" max="8965" width="9.85546875" style="815" customWidth="1"/>
    <col min="8966" max="8966" width="10.5703125" style="815" customWidth="1"/>
    <col min="8967" max="8967" width="11" style="815" customWidth="1"/>
    <col min="8968" max="8968" width="14.42578125" style="815" customWidth="1"/>
    <col min="8969" max="8969" width="13" style="815" customWidth="1"/>
    <col min="8970" max="8970" width="10.140625" style="815" customWidth="1"/>
    <col min="8971" max="8971" width="9.140625" style="815" customWidth="1"/>
    <col min="8972" max="8972" width="8.140625" style="815" bestFit="1" customWidth="1"/>
    <col min="8973" max="8973" width="6.85546875" style="815" bestFit="1" customWidth="1"/>
    <col min="8974" max="8974" width="6.42578125" style="815" bestFit="1" customWidth="1"/>
    <col min="8975" max="8975" width="11.5703125" style="815" customWidth="1"/>
    <col min="8976" max="8976" width="8" style="815" customWidth="1"/>
    <col min="8977" max="8977" width="7.85546875" style="815" customWidth="1"/>
    <col min="8978" max="8978" width="8.7109375" style="815" customWidth="1"/>
    <col min="8979" max="8979" width="8" style="815" customWidth="1"/>
    <col min="8980" max="8980" width="7.5703125" style="815" customWidth="1"/>
    <col min="8981" max="8981" width="9.140625" style="815" customWidth="1"/>
    <col min="8982" max="8982" width="10.140625" style="815" customWidth="1"/>
    <col min="8983" max="9216" width="14" style="815"/>
    <col min="9217" max="9217" width="9" style="815" bestFit="1" customWidth="1"/>
    <col min="9218" max="9218" width="27" style="815" customWidth="1"/>
    <col min="9219" max="9219" width="14" style="815" customWidth="1"/>
    <col min="9220" max="9220" width="16.140625" style="815" customWidth="1"/>
    <col min="9221" max="9221" width="9.85546875" style="815" customWidth="1"/>
    <col min="9222" max="9222" width="10.5703125" style="815" customWidth="1"/>
    <col min="9223" max="9223" width="11" style="815" customWidth="1"/>
    <col min="9224" max="9224" width="14.42578125" style="815" customWidth="1"/>
    <col min="9225" max="9225" width="13" style="815" customWidth="1"/>
    <col min="9226" max="9226" width="10.140625" style="815" customWidth="1"/>
    <col min="9227" max="9227" width="9.140625" style="815" customWidth="1"/>
    <col min="9228" max="9228" width="8.140625" style="815" bestFit="1" customWidth="1"/>
    <col min="9229" max="9229" width="6.85546875" style="815" bestFit="1" customWidth="1"/>
    <col min="9230" max="9230" width="6.42578125" style="815" bestFit="1" customWidth="1"/>
    <col min="9231" max="9231" width="11.5703125" style="815" customWidth="1"/>
    <col min="9232" max="9232" width="8" style="815" customWidth="1"/>
    <col min="9233" max="9233" width="7.85546875" style="815" customWidth="1"/>
    <col min="9234" max="9234" width="8.7109375" style="815" customWidth="1"/>
    <col min="9235" max="9235" width="8" style="815" customWidth="1"/>
    <col min="9236" max="9236" width="7.5703125" style="815" customWidth="1"/>
    <col min="9237" max="9237" width="9.140625" style="815" customWidth="1"/>
    <col min="9238" max="9238" width="10.140625" style="815" customWidth="1"/>
    <col min="9239" max="9472" width="14" style="815"/>
    <col min="9473" max="9473" width="9" style="815" bestFit="1" customWidth="1"/>
    <col min="9474" max="9474" width="27" style="815" customWidth="1"/>
    <col min="9475" max="9475" width="14" style="815" customWidth="1"/>
    <col min="9476" max="9476" width="16.140625" style="815" customWidth="1"/>
    <col min="9477" max="9477" width="9.85546875" style="815" customWidth="1"/>
    <col min="9478" max="9478" width="10.5703125" style="815" customWidth="1"/>
    <col min="9479" max="9479" width="11" style="815" customWidth="1"/>
    <col min="9480" max="9480" width="14.42578125" style="815" customWidth="1"/>
    <col min="9481" max="9481" width="13" style="815" customWidth="1"/>
    <col min="9482" max="9482" width="10.140625" style="815" customWidth="1"/>
    <col min="9483" max="9483" width="9.140625" style="815" customWidth="1"/>
    <col min="9484" max="9484" width="8.140625" style="815" bestFit="1" customWidth="1"/>
    <col min="9485" max="9485" width="6.85546875" style="815" bestFit="1" customWidth="1"/>
    <col min="9486" max="9486" width="6.42578125" style="815" bestFit="1" customWidth="1"/>
    <col min="9487" max="9487" width="11.5703125" style="815" customWidth="1"/>
    <col min="9488" max="9488" width="8" style="815" customWidth="1"/>
    <col min="9489" max="9489" width="7.85546875" style="815" customWidth="1"/>
    <col min="9490" max="9490" width="8.7109375" style="815" customWidth="1"/>
    <col min="9491" max="9491" width="8" style="815" customWidth="1"/>
    <col min="9492" max="9492" width="7.5703125" style="815" customWidth="1"/>
    <col min="9493" max="9493" width="9.140625" style="815" customWidth="1"/>
    <col min="9494" max="9494" width="10.140625" style="815" customWidth="1"/>
    <col min="9495" max="9728" width="14" style="815"/>
    <col min="9729" max="9729" width="9" style="815" bestFit="1" customWidth="1"/>
    <col min="9730" max="9730" width="27" style="815" customWidth="1"/>
    <col min="9731" max="9731" width="14" style="815" customWidth="1"/>
    <col min="9732" max="9732" width="16.140625" style="815" customWidth="1"/>
    <col min="9733" max="9733" width="9.85546875" style="815" customWidth="1"/>
    <col min="9734" max="9734" width="10.5703125" style="815" customWidth="1"/>
    <col min="9735" max="9735" width="11" style="815" customWidth="1"/>
    <col min="9736" max="9736" width="14.42578125" style="815" customWidth="1"/>
    <col min="9737" max="9737" width="13" style="815" customWidth="1"/>
    <col min="9738" max="9738" width="10.140625" style="815" customWidth="1"/>
    <col min="9739" max="9739" width="9.140625" style="815" customWidth="1"/>
    <col min="9740" max="9740" width="8.140625" style="815" bestFit="1" customWidth="1"/>
    <col min="9741" max="9741" width="6.85546875" style="815" bestFit="1" customWidth="1"/>
    <col min="9742" max="9742" width="6.42578125" style="815" bestFit="1" customWidth="1"/>
    <col min="9743" max="9743" width="11.5703125" style="815" customWidth="1"/>
    <col min="9744" max="9744" width="8" style="815" customWidth="1"/>
    <col min="9745" max="9745" width="7.85546875" style="815" customWidth="1"/>
    <col min="9746" max="9746" width="8.7109375" style="815" customWidth="1"/>
    <col min="9747" max="9747" width="8" style="815" customWidth="1"/>
    <col min="9748" max="9748" width="7.5703125" style="815" customWidth="1"/>
    <col min="9749" max="9749" width="9.140625" style="815" customWidth="1"/>
    <col min="9750" max="9750" width="10.140625" style="815" customWidth="1"/>
    <col min="9751" max="9984" width="14" style="815"/>
    <col min="9985" max="9985" width="9" style="815" bestFit="1" customWidth="1"/>
    <col min="9986" max="9986" width="27" style="815" customWidth="1"/>
    <col min="9987" max="9987" width="14" style="815" customWidth="1"/>
    <col min="9988" max="9988" width="16.140625" style="815" customWidth="1"/>
    <col min="9989" max="9989" width="9.85546875" style="815" customWidth="1"/>
    <col min="9990" max="9990" width="10.5703125" style="815" customWidth="1"/>
    <col min="9991" max="9991" width="11" style="815" customWidth="1"/>
    <col min="9992" max="9992" width="14.42578125" style="815" customWidth="1"/>
    <col min="9993" max="9993" width="13" style="815" customWidth="1"/>
    <col min="9994" max="9994" width="10.140625" style="815" customWidth="1"/>
    <col min="9995" max="9995" width="9.140625" style="815" customWidth="1"/>
    <col min="9996" max="9996" width="8.140625" style="815" bestFit="1" customWidth="1"/>
    <col min="9997" max="9997" width="6.85546875" style="815" bestFit="1" customWidth="1"/>
    <col min="9998" max="9998" width="6.42578125" style="815" bestFit="1" customWidth="1"/>
    <col min="9999" max="9999" width="11.5703125" style="815" customWidth="1"/>
    <col min="10000" max="10000" width="8" style="815" customWidth="1"/>
    <col min="10001" max="10001" width="7.85546875" style="815" customWidth="1"/>
    <col min="10002" max="10002" width="8.7109375" style="815" customWidth="1"/>
    <col min="10003" max="10003" width="8" style="815" customWidth="1"/>
    <col min="10004" max="10004" width="7.5703125" style="815" customWidth="1"/>
    <col min="10005" max="10005" width="9.140625" style="815" customWidth="1"/>
    <col min="10006" max="10006" width="10.140625" style="815" customWidth="1"/>
    <col min="10007" max="10240" width="14" style="815"/>
    <col min="10241" max="10241" width="9" style="815" bestFit="1" customWidth="1"/>
    <col min="10242" max="10242" width="27" style="815" customWidth="1"/>
    <col min="10243" max="10243" width="14" style="815" customWidth="1"/>
    <col min="10244" max="10244" width="16.140625" style="815" customWidth="1"/>
    <col min="10245" max="10245" width="9.85546875" style="815" customWidth="1"/>
    <col min="10246" max="10246" width="10.5703125" style="815" customWidth="1"/>
    <col min="10247" max="10247" width="11" style="815" customWidth="1"/>
    <col min="10248" max="10248" width="14.42578125" style="815" customWidth="1"/>
    <col min="10249" max="10249" width="13" style="815" customWidth="1"/>
    <col min="10250" max="10250" width="10.140625" style="815" customWidth="1"/>
    <col min="10251" max="10251" width="9.140625" style="815" customWidth="1"/>
    <col min="10252" max="10252" width="8.140625" style="815" bestFit="1" customWidth="1"/>
    <col min="10253" max="10253" width="6.85546875" style="815" bestFit="1" customWidth="1"/>
    <col min="10254" max="10254" width="6.42578125" style="815" bestFit="1" customWidth="1"/>
    <col min="10255" max="10255" width="11.5703125" style="815" customWidth="1"/>
    <col min="10256" max="10256" width="8" style="815" customWidth="1"/>
    <col min="10257" max="10257" width="7.85546875" style="815" customWidth="1"/>
    <col min="10258" max="10258" width="8.7109375" style="815" customWidth="1"/>
    <col min="10259" max="10259" width="8" style="815" customWidth="1"/>
    <col min="10260" max="10260" width="7.5703125" style="815" customWidth="1"/>
    <col min="10261" max="10261" width="9.140625" style="815" customWidth="1"/>
    <col min="10262" max="10262" width="10.140625" style="815" customWidth="1"/>
    <col min="10263" max="10496" width="14" style="815"/>
    <col min="10497" max="10497" width="9" style="815" bestFit="1" customWidth="1"/>
    <col min="10498" max="10498" width="27" style="815" customWidth="1"/>
    <col min="10499" max="10499" width="14" style="815" customWidth="1"/>
    <col min="10500" max="10500" width="16.140625" style="815" customWidth="1"/>
    <col min="10501" max="10501" width="9.85546875" style="815" customWidth="1"/>
    <col min="10502" max="10502" width="10.5703125" style="815" customWidth="1"/>
    <col min="10503" max="10503" width="11" style="815" customWidth="1"/>
    <col min="10504" max="10504" width="14.42578125" style="815" customWidth="1"/>
    <col min="10505" max="10505" width="13" style="815" customWidth="1"/>
    <col min="10506" max="10506" width="10.140625" style="815" customWidth="1"/>
    <col min="10507" max="10507" width="9.140625" style="815" customWidth="1"/>
    <col min="10508" max="10508" width="8.140625" style="815" bestFit="1" customWidth="1"/>
    <col min="10509" max="10509" width="6.85546875" style="815" bestFit="1" customWidth="1"/>
    <col min="10510" max="10510" width="6.42578125" style="815" bestFit="1" customWidth="1"/>
    <col min="10511" max="10511" width="11.5703125" style="815" customWidth="1"/>
    <col min="10512" max="10512" width="8" style="815" customWidth="1"/>
    <col min="10513" max="10513" width="7.85546875" style="815" customWidth="1"/>
    <col min="10514" max="10514" width="8.7109375" style="815" customWidth="1"/>
    <col min="10515" max="10515" width="8" style="815" customWidth="1"/>
    <col min="10516" max="10516" width="7.5703125" style="815" customWidth="1"/>
    <col min="10517" max="10517" width="9.140625" style="815" customWidth="1"/>
    <col min="10518" max="10518" width="10.140625" style="815" customWidth="1"/>
    <col min="10519" max="10752" width="14" style="815"/>
    <col min="10753" max="10753" width="9" style="815" bestFit="1" customWidth="1"/>
    <col min="10754" max="10754" width="27" style="815" customWidth="1"/>
    <col min="10755" max="10755" width="14" style="815" customWidth="1"/>
    <col min="10756" max="10756" width="16.140625" style="815" customWidth="1"/>
    <col min="10757" max="10757" width="9.85546875" style="815" customWidth="1"/>
    <col min="10758" max="10758" width="10.5703125" style="815" customWidth="1"/>
    <col min="10759" max="10759" width="11" style="815" customWidth="1"/>
    <col min="10760" max="10760" width="14.42578125" style="815" customWidth="1"/>
    <col min="10761" max="10761" width="13" style="815" customWidth="1"/>
    <col min="10762" max="10762" width="10.140625" style="815" customWidth="1"/>
    <col min="10763" max="10763" width="9.140625" style="815" customWidth="1"/>
    <col min="10764" max="10764" width="8.140625" style="815" bestFit="1" customWidth="1"/>
    <col min="10765" max="10765" width="6.85546875" style="815" bestFit="1" customWidth="1"/>
    <col min="10766" max="10766" width="6.42578125" style="815" bestFit="1" customWidth="1"/>
    <col min="10767" max="10767" width="11.5703125" style="815" customWidth="1"/>
    <col min="10768" max="10768" width="8" style="815" customWidth="1"/>
    <col min="10769" max="10769" width="7.85546875" style="815" customWidth="1"/>
    <col min="10770" max="10770" width="8.7109375" style="815" customWidth="1"/>
    <col min="10771" max="10771" width="8" style="815" customWidth="1"/>
    <col min="10772" max="10772" width="7.5703125" style="815" customWidth="1"/>
    <col min="10773" max="10773" width="9.140625" style="815" customWidth="1"/>
    <col min="10774" max="10774" width="10.140625" style="815" customWidth="1"/>
    <col min="10775" max="11008" width="14" style="815"/>
    <col min="11009" max="11009" width="9" style="815" bestFit="1" customWidth="1"/>
    <col min="11010" max="11010" width="27" style="815" customWidth="1"/>
    <col min="11011" max="11011" width="14" style="815" customWidth="1"/>
    <col min="11012" max="11012" width="16.140625" style="815" customWidth="1"/>
    <col min="11013" max="11013" width="9.85546875" style="815" customWidth="1"/>
    <col min="11014" max="11014" width="10.5703125" style="815" customWidth="1"/>
    <col min="11015" max="11015" width="11" style="815" customWidth="1"/>
    <col min="11016" max="11016" width="14.42578125" style="815" customWidth="1"/>
    <col min="11017" max="11017" width="13" style="815" customWidth="1"/>
    <col min="11018" max="11018" width="10.140625" style="815" customWidth="1"/>
    <col min="11019" max="11019" width="9.140625" style="815" customWidth="1"/>
    <col min="11020" max="11020" width="8.140625" style="815" bestFit="1" customWidth="1"/>
    <col min="11021" max="11021" width="6.85546875" style="815" bestFit="1" customWidth="1"/>
    <col min="11022" max="11022" width="6.42578125" style="815" bestFit="1" customWidth="1"/>
    <col min="11023" max="11023" width="11.5703125" style="815" customWidth="1"/>
    <col min="11024" max="11024" width="8" style="815" customWidth="1"/>
    <col min="11025" max="11025" width="7.85546875" style="815" customWidth="1"/>
    <col min="11026" max="11026" width="8.7109375" style="815" customWidth="1"/>
    <col min="11027" max="11027" width="8" style="815" customWidth="1"/>
    <col min="11028" max="11028" width="7.5703125" style="815" customWidth="1"/>
    <col min="11029" max="11029" width="9.140625" style="815" customWidth="1"/>
    <col min="11030" max="11030" width="10.140625" style="815" customWidth="1"/>
    <col min="11031" max="11264" width="14" style="815"/>
    <col min="11265" max="11265" width="9" style="815" bestFit="1" customWidth="1"/>
    <col min="11266" max="11266" width="27" style="815" customWidth="1"/>
    <col min="11267" max="11267" width="14" style="815" customWidth="1"/>
    <col min="11268" max="11268" width="16.140625" style="815" customWidth="1"/>
    <col min="11269" max="11269" width="9.85546875" style="815" customWidth="1"/>
    <col min="11270" max="11270" width="10.5703125" style="815" customWidth="1"/>
    <col min="11271" max="11271" width="11" style="815" customWidth="1"/>
    <col min="11272" max="11272" width="14.42578125" style="815" customWidth="1"/>
    <col min="11273" max="11273" width="13" style="815" customWidth="1"/>
    <col min="11274" max="11274" width="10.140625" style="815" customWidth="1"/>
    <col min="11275" max="11275" width="9.140625" style="815" customWidth="1"/>
    <col min="11276" max="11276" width="8.140625" style="815" bestFit="1" customWidth="1"/>
    <col min="11277" max="11277" width="6.85546875" style="815" bestFit="1" customWidth="1"/>
    <col min="11278" max="11278" width="6.42578125" style="815" bestFit="1" customWidth="1"/>
    <col min="11279" max="11279" width="11.5703125" style="815" customWidth="1"/>
    <col min="11280" max="11280" width="8" style="815" customWidth="1"/>
    <col min="11281" max="11281" width="7.85546875" style="815" customWidth="1"/>
    <col min="11282" max="11282" width="8.7109375" style="815" customWidth="1"/>
    <col min="11283" max="11283" width="8" style="815" customWidth="1"/>
    <col min="11284" max="11284" width="7.5703125" style="815" customWidth="1"/>
    <col min="11285" max="11285" width="9.140625" style="815" customWidth="1"/>
    <col min="11286" max="11286" width="10.140625" style="815" customWidth="1"/>
    <col min="11287" max="11520" width="14" style="815"/>
    <col min="11521" max="11521" width="9" style="815" bestFit="1" customWidth="1"/>
    <col min="11522" max="11522" width="27" style="815" customWidth="1"/>
    <col min="11523" max="11523" width="14" style="815" customWidth="1"/>
    <col min="11524" max="11524" width="16.140625" style="815" customWidth="1"/>
    <col min="11525" max="11525" width="9.85546875" style="815" customWidth="1"/>
    <col min="11526" max="11526" width="10.5703125" style="815" customWidth="1"/>
    <col min="11527" max="11527" width="11" style="815" customWidth="1"/>
    <col min="11528" max="11528" width="14.42578125" style="815" customWidth="1"/>
    <col min="11529" max="11529" width="13" style="815" customWidth="1"/>
    <col min="11530" max="11530" width="10.140625" style="815" customWidth="1"/>
    <col min="11531" max="11531" width="9.140625" style="815" customWidth="1"/>
    <col min="11532" max="11532" width="8.140625" style="815" bestFit="1" customWidth="1"/>
    <col min="11533" max="11533" width="6.85546875" style="815" bestFit="1" customWidth="1"/>
    <col min="11534" max="11534" width="6.42578125" style="815" bestFit="1" customWidth="1"/>
    <col min="11535" max="11535" width="11.5703125" style="815" customWidth="1"/>
    <col min="11536" max="11536" width="8" style="815" customWidth="1"/>
    <col min="11537" max="11537" width="7.85546875" style="815" customWidth="1"/>
    <col min="11538" max="11538" width="8.7109375" style="815" customWidth="1"/>
    <col min="11539" max="11539" width="8" style="815" customWidth="1"/>
    <col min="11540" max="11540" width="7.5703125" style="815" customWidth="1"/>
    <col min="11541" max="11541" width="9.140625" style="815" customWidth="1"/>
    <col min="11542" max="11542" width="10.140625" style="815" customWidth="1"/>
    <col min="11543" max="11776" width="14" style="815"/>
    <col min="11777" max="11777" width="9" style="815" bestFit="1" customWidth="1"/>
    <col min="11778" max="11778" width="27" style="815" customWidth="1"/>
    <col min="11779" max="11779" width="14" style="815" customWidth="1"/>
    <col min="11780" max="11780" width="16.140625" style="815" customWidth="1"/>
    <col min="11781" max="11781" width="9.85546875" style="815" customWidth="1"/>
    <col min="11782" max="11782" width="10.5703125" style="815" customWidth="1"/>
    <col min="11783" max="11783" width="11" style="815" customWidth="1"/>
    <col min="11784" max="11784" width="14.42578125" style="815" customWidth="1"/>
    <col min="11785" max="11785" width="13" style="815" customWidth="1"/>
    <col min="11786" max="11786" width="10.140625" style="815" customWidth="1"/>
    <col min="11787" max="11787" width="9.140625" style="815" customWidth="1"/>
    <col min="11788" max="11788" width="8.140625" style="815" bestFit="1" customWidth="1"/>
    <col min="11789" max="11789" width="6.85546875" style="815" bestFit="1" customWidth="1"/>
    <col min="11790" max="11790" width="6.42578125" style="815" bestFit="1" customWidth="1"/>
    <col min="11791" max="11791" width="11.5703125" style="815" customWidth="1"/>
    <col min="11792" max="11792" width="8" style="815" customWidth="1"/>
    <col min="11793" max="11793" width="7.85546875" style="815" customWidth="1"/>
    <col min="11794" max="11794" width="8.7109375" style="815" customWidth="1"/>
    <col min="11795" max="11795" width="8" style="815" customWidth="1"/>
    <col min="11796" max="11796" width="7.5703125" style="815" customWidth="1"/>
    <col min="11797" max="11797" width="9.140625" style="815" customWidth="1"/>
    <col min="11798" max="11798" width="10.140625" style="815" customWidth="1"/>
    <col min="11799" max="12032" width="14" style="815"/>
    <col min="12033" max="12033" width="9" style="815" bestFit="1" customWidth="1"/>
    <col min="12034" max="12034" width="27" style="815" customWidth="1"/>
    <col min="12035" max="12035" width="14" style="815" customWidth="1"/>
    <col min="12036" max="12036" width="16.140625" style="815" customWidth="1"/>
    <col min="12037" max="12037" width="9.85546875" style="815" customWidth="1"/>
    <col min="12038" max="12038" width="10.5703125" style="815" customWidth="1"/>
    <col min="12039" max="12039" width="11" style="815" customWidth="1"/>
    <col min="12040" max="12040" width="14.42578125" style="815" customWidth="1"/>
    <col min="12041" max="12041" width="13" style="815" customWidth="1"/>
    <col min="12042" max="12042" width="10.140625" style="815" customWidth="1"/>
    <col min="12043" max="12043" width="9.140625" style="815" customWidth="1"/>
    <col min="12044" max="12044" width="8.140625" style="815" bestFit="1" customWidth="1"/>
    <col min="12045" max="12045" width="6.85546875" style="815" bestFit="1" customWidth="1"/>
    <col min="12046" max="12046" width="6.42578125" style="815" bestFit="1" customWidth="1"/>
    <col min="12047" max="12047" width="11.5703125" style="815" customWidth="1"/>
    <col min="12048" max="12048" width="8" style="815" customWidth="1"/>
    <col min="12049" max="12049" width="7.85546875" style="815" customWidth="1"/>
    <col min="12050" max="12050" width="8.7109375" style="815" customWidth="1"/>
    <col min="12051" max="12051" width="8" style="815" customWidth="1"/>
    <col min="12052" max="12052" width="7.5703125" style="815" customWidth="1"/>
    <col min="12053" max="12053" width="9.140625" style="815" customWidth="1"/>
    <col min="12054" max="12054" width="10.140625" style="815" customWidth="1"/>
    <col min="12055" max="12288" width="14" style="815"/>
    <col min="12289" max="12289" width="9" style="815" bestFit="1" customWidth="1"/>
    <col min="12290" max="12290" width="27" style="815" customWidth="1"/>
    <col min="12291" max="12291" width="14" style="815" customWidth="1"/>
    <col min="12292" max="12292" width="16.140625" style="815" customWidth="1"/>
    <col min="12293" max="12293" width="9.85546875" style="815" customWidth="1"/>
    <col min="12294" max="12294" width="10.5703125" style="815" customWidth="1"/>
    <col min="12295" max="12295" width="11" style="815" customWidth="1"/>
    <col min="12296" max="12296" width="14.42578125" style="815" customWidth="1"/>
    <col min="12297" max="12297" width="13" style="815" customWidth="1"/>
    <col min="12298" max="12298" width="10.140625" style="815" customWidth="1"/>
    <col min="12299" max="12299" width="9.140625" style="815" customWidth="1"/>
    <col min="12300" max="12300" width="8.140625" style="815" bestFit="1" customWidth="1"/>
    <col min="12301" max="12301" width="6.85546875" style="815" bestFit="1" customWidth="1"/>
    <col min="12302" max="12302" width="6.42578125" style="815" bestFit="1" customWidth="1"/>
    <col min="12303" max="12303" width="11.5703125" style="815" customWidth="1"/>
    <col min="12304" max="12304" width="8" style="815" customWidth="1"/>
    <col min="12305" max="12305" width="7.85546875" style="815" customWidth="1"/>
    <col min="12306" max="12306" width="8.7109375" style="815" customWidth="1"/>
    <col min="12307" max="12307" width="8" style="815" customWidth="1"/>
    <col min="12308" max="12308" width="7.5703125" style="815" customWidth="1"/>
    <col min="12309" max="12309" width="9.140625" style="815" customWidth="1"/>
    <col min="12310" max="12310" width="10.140625" style="815" customWidth="1"/>
    <col min="12311" max="12544" width="14" style="815"/>
    <col min="12545" max="12545" width="9" style="815" bestFit="1" customWidth="1"/>
    <col min="12546" max="12546" width="27" style="815" customWidth="1"/>
    <col min="12547" max="12547" width="14" style="815" customWidth="1"/>
    <col min="12548" max="12548" width="16.140625" style="815" customWidth="1"/>
    <col min="12549" max="12549" width="9.85546875" style="815" customWidth="1"/>
    <col min="12550" max="12550" width="10.5703125" style="815" customWidth="1"/>
    <col min="12551" max="12551" width="11" style="815" customWidth="1"/>
    <col min="12552" max="12552" width="14.42578125" style="815" customWidth="1"/>
    <col min="12553" max="12553" width="13" style="815" customWidth="1"/>
    <col min="12554" max="12554" width="10.140625" style="815" customWidth="1"/>
    <col min="12555" max="12555" width="9.140625" style="815" customWidth="1"/>
    <col min="12556" max="12556" width="8.140625" style="815" bestFit="1" customWidth="1"/>
    <col min="12557" max="12557" width="6.85546875" style="815" bestFit="1" customWidth="1"/>
    <col min="12558" max="12558" width="6.42578125" style="815" bestFit="1" customWidth="1"/>
    <col min="12559" max="12559" width="11.5703125" style="815" customWidth="1"/>
    <col min="12560" max="12560" width="8" style="815" customWidth="1"/>
    <col min="12561" max="12561" width="7.85546875" style="815" customWidth="1"/>
    <col min="12562" max="12562" width="8.7109375" style="815" customWidth="1"/>
    <col min="12563" max="12563" width="8" style="815" customWidth="1"/>
    <col min="12564" max="12564" width="7.5703125" style="815" customWidth="1"/>
    <col min="12565" max="12565" width="9.140625" style="815" customWidth="1"/>
    <col min="12566" max="12566" width="10.140625" style="815" customWidth="1"/>
    <col min="12567" max="12800" width="14" style="815"/>
    <col min="12801" max="12801" width="9" style="815" bestFit="1" customWidth="1"/>
    <col min="12802" max="12802" width="27" style="815" customWidth="1"/>
    <col min="12803" max="12803" width="14" style="815" customWidth="1"/>
    <col min="12804" max="12804" width="16.140625" style="815" customWidth="1"/>
    <col min="12805" max="12805" width="9.85546875" style="815" customWidth="1"/>
    <col min="12806" max="12806" width="10.5703125" style="815" customWidth="1"/>
    <col min="12807" max="12807" width="11" style="815" customWidth="1"/>
    <col min="12808" max="12808" width="14.42578125" style="815" customWidth="1"/>
    <col min="12809" max="12809" width="13" style="815" customWidth="1"/>
    <col min="12810" max="12810" width="10.140625" style="815" customWidth="1"/>
    <col min="12811" max="12811" width="9.140625" style="815" customWidth="1"/>
    <col min="12812" max="12812" width="8.140625" style="815" bestFit="1" customWidth="1"/>
    <col min="12813" max="12813" width="6.85546875" style="815" bestFit="1" customWidth="1"/>
    <col min="12814" max="12814" width="6.42578125" style="815" bestFit="1" customWidth="1"/>
    <col min="12815" max="12815" width="11.5703125" style="815" customWidth="1"/>
    <col min="12816" max="12816" width="8" style="815" customWidth="1"/>
    <col min="12817" max="12817" width="7.85546875" style="815" customWidth="1"/>
    <col min="12818" max="12818" width="8.7109375" style="815" customWidth="1"/>
    <col min="12819" max="12819" width="8" style="815" customWidth="1"/>
    <col min="12820" max="12820" width="7.5703125" style="815" customWidth="1"/>
    <col min="12821" max="12821" width="9.140625" style="815" customWidth="1"/>
    <col min="12822" max="12822" width="10.140625" style="815" customWidth="1"/>
    <col min="12823" max="13056" width="14" style="815"/>
    <col min="13057" max="13057" width="9" style="815" bestFit="1" customWidth="1"/>
    <col min="13058" max="13058" width="27" style="815" customWidth="1"/>
    <col min="13059" max="13059" width="14" style="815" customWidth="1"/>
    <col min="13060" max="13060" width="16.140625" style="815" customWidth="1"/>
    <col min="13061" max="13061" width="9.85546875" style="815" customWidth="1"/>
    <col min="13062" max="13062" width="10.5703125" style="815" customWidth="1"/>
    <col min="13063" max="13063" width="11" style="815" customWidth="1"/>
    <col min="13064" max="13064" width="14.42578125" style="815" customWidth="1"/>
    <col min="13065" max="13065" width="13" style="815" customWidth="1"/>
    <col min="13066" max="13066" width="10.140625" style="815" customWidth="1"/>
    <col min="13067" max="13067" width="9.140625" style="815" customWidth="1"/>
    <col min="13068" max="13068" width="8.140625" style="815" bestFit="1" customWidth="1"/>
    <col min="13069" max="13069" width="6.85546875" style="815" bestFit="1" customWidth="1"/>
    <col min="13070" max="13070" width="6.42578125" style="815" bestFit="1" customWidth="1"/>
    <col min="13071" max="13071" width="11.5703125" style="815" customWidth="1"/>
    <col min="13072" max="13072" width="8" style="815" customWidth="1"/>
    <col min="13073" max="13073" width="7.85546875" style="815" customWidth="1"/>
    <col min="13074" max="13074" width="8.7109375" style="815" customWidth="1"/>
    <col min="13075" max="13075" width="8" style="815" customWidth="1"/>
    <col min="13076" max="13076" width="7.5703125" style="815" customWidth="1"/>
    <col min="13077" max="13077" width="9.140625" style="815" customWidth="1"/>
    <col min="13078" max="13078" width="10.140625" style="815" customWidth="1"/>
    <col min="13079" max="13312" width="14" style="815"/>
    <col min="13313" max="13313" width="9" style="815" bestFit="1" customWidth="1"/>
    <col min="13314" max="13314" width="27" style="815" customWidth="1"/>
    <col min="13315" max="13315" width="14" style="815" customWidth="1"/>
    <col min="13316" max="13316" width="16.140625" style="815" customWidth="1"/>
    <col min="13317" max="13317" width="9.85546875" style="815" customWidth="1"/>
    <col min="13318" max="13318" width="10.5703125" style="815" customWidth="1"/>
    <col min="13319" max="13319" width="11" style="815" customWidth="1"/>
    <col min="13320" max="13320" width="14.42578125" style="815" customWidth="1"/>
    <col min="13321" max="13321" width="13" style="815" customWidth="1"/>
    <col min="13322" max="13322" width="10.140625" style="815" customWidth="1"/>
    <col min="13323" max="13323" width="9.140625" style="815" customWidth="1"/>
    <col min="13324" max="13324" width="8.140625" style="815" bestFit="1" customWidth="1"/>
    <col min="13325" max="13325" width="6.85546875" style="815" bestFit="1" customWidth="1"/>
    <col min="13326" max="13326" width="6.42578125" style="815" bestFit="1" customWidth="1"/>
    <col min="13327" max="13327" width="11.5703125" style="815" customWidth="1"/>
    <col min="13328" max="13328" width="8" style="815" customWidth="1"/>
    <col min="13329" max="13329" width="7.85546875" style="815" customWidth="1"/>
    <col min="13330" max="13330" width="8.7109375" style="815" customWidth="1"/>
    <col min="13331" max="13331" width="8" style="815" customWidth="1"/>
    <col min="13332" max="13332" width="7.5703125" style="815" customWidth="1"/>
    <col min="13333" max="13333" width="9.140625" style="815" customWidth="1"/>
    <col min="13334" max="13334" width="10.140625" style="815" customWidth="1"/>
    <col min="13335" max="13568" width="14" style="815"/>
    <col min="13569" max="13569" width="9" style="815" bestFit="1" customWidth="1"/>
    <col min="13570" max="13570" width="27" style="815" customWidth="1"/>
    <col min="13571" max="13571" width="14" style="815" customWidth="1"/>
    <col min="13572" max="13572" width="16.140625" style="815" customWidth="1"/>
    <col min="13573" max="13573" width="9.85546875" style="815" customWidth="1"/>
    <col min="13574" max="13574" width="10.5703125" style="815" customWidth="1"/>
    <col min="13575" max="13575" width="11" style="815" customWidth="1"/>
    <col min="13576" max="13576" width="14.42578125" style="815" customWidth="1"/>
    <col min="13577" max="13577" width="13" style="815" customWidth="1"/>
    <col min="13578" max="13578" width="10.140625" style="815" customWidth="1"/>
    <col min="13579" max="13579" width="9.140625" style="815" customWidth="1"/>
    <col min="13580" max="13580" width="8.140625" style="815" bestFit="1" customWidth="1"/>
    <col min="13581" max="13581" width="6.85546875" style="815" bestFit="1" customWidth="1"/>
    <col min="13582" max="13582" width="6.42578125" style="815" bestFit="1" customWidth="1"/>
    <col min="13583" max="13583" width="11.5703125" style="815" customWidth="1"/>
    <col min="13584" max="13584" width="8" style="815" customWidth="1"/>
    <col min="13585" max="13585" width="7.85546875" style="815" customWidth="1"/>
    <col min="13586" max="13586" width="8.7109375" style="815" customWidth="1"/>
    <col min="13587" max="13587" width="8" style="815" customWidth="1"/>
    <col min="13588" max="13588" width="7.5703125" style="815" customWidth="1"/>
    <col min="13589" max="13589" width="9.140625" style="815" customWidth="1"/>
    <col min="13590" max="13590" width="10.140625" style="815" customWidth="1"/>
    <col min="13591" max="13824" width="14" style="815"/>
    <col min="13825" max="13825" width="9" style="815" bestFit="1" customWidth="1"/>
    <col min="13826" max="13826" width="27" style="815" customWidth="1"/>
    <col min="13827" max="13827" width="14" style="815" customWidth="1"/>
    <col min="13828" max="13828" width="16.140625" style="815" customWidth="1"/>
    <col min="13829" max="13829" width="9.85546875" style="815" customWidth="1"/>
    <col min="13830" max="13830" width="10.5703125" style="815" customWidth="1"/>
    <col min="13831" max="13831" width="11" style="815" customWidth="1"/>
    <col min="13832" max="13832" width="14.42578125" style="815" customWidth="1"/>
    <col min="13833" max="13833" width="13" style="815" customWidth="1"/>
    <col min="13834" max="13834" width="10.140625" style="815" customWidth="1"/>
    <col min="13835" max="13835" width="9.140625" style="815" customWidth="1"/>
    <col min="13836" max="13836" width="8.140625" style="815" bestFit="1" customWidth="1"/>
    <col min="13837" max="13837" width="6.85546875" style="815" bestFit="1" customWidth="1"/>
    <col min="13838" max="13838" width="6.42578125" style="815" bestFit="1" customWidth="1"/>
    <col min="13839" max="13839" width="11.5703125" style="815" customWidth="1"/>
    <col min="13840" max="13840" width="8" style="815" customWidth="1"/>
    <col min="13841" max="13841" width="7.85546875" style="815" customWidth="1"/>
    <col min="13842" max="13842" width="8.7109375" style="815" customWidth="1"/>
    <col min="13843" max="13843" width="8" style="815" customWidth="1"/>
    <col min="13844" max="13844" width="7.5703125" style="815" customWidth="1"/>
    <col min="13845" max="13845" width="9.140625" style="815" customWidth="1"/>
    <col min="13846" max="13846" width="10.140625" style="815" customWidth="1"/>
    <col min="13847" max="14080" width="14" style="815"/>
    <col min="14081" max="14081" width="9" style="815" bestFit="1" customWidth="1"/>
    <col min="14082" max="14082" width="27" style="815" customWidth="1"/>
    <col min="14083" max="14083" width="14" style="815" customWidth="1"/>
    <col min="14084" max="14084" width="16.140625" style="815" customWidth="1"/>
    <col min="14085" max="14085" width="9.85546875" style="815" customWidth="1"/>
    <col min="14086" max="14086" width="10.5703125" style="815" customWidth="1"/>
    <col min="14087" max="14087" width="11" style="815" customWidth="1"/>
    <col min="14088" max="14088" width="14.42578125" style="815" customWidth="1"/>
    <col min="14089" max="14089" width="13" style="815" customWidth="1"/>
    <col min="14090" max="14090" width="10.140625" style="815" customWidth="1"/>
    <col min="14091" max="14091" width="9.140625" style="815" customWidth="1"/>
    <col min="14092" max="14092" width="8.140625" style="815" bestFit="1" customWidth="1"/>
    <col min="14093" max="14093" width="6.85546875" style="815" bestFit="1" customWidth="1"/>
    <col min="14094" max="14094" width="6.42578125" style="815" bestFit="1" customWidth="1"/>
    <col min="14095" max="14095" width="11.5703125" style="815" customWidth="1"/>
    <col min="14096" max="14096" width="8" style="815" customWidth="1"/>
    <col min="14097" max="14097" width="7.85546875" style="815" customWidth="1"/>
    <col min="14098" max="14098" width="8.7109375" style="815" customWidth="1"/>
    <col min="14099" max="14099" width="8" style="815" customWidth="1"/>
    <col min="14100" max="14100" width="7.5703125" style="815" customWidth="1"/>
    <col min="14101" max="14101" width="9.140625" style="815" customWidth="1"/>
    <col min="14102" max="14102" width="10.140625" style="815" customWidth="1"/>
    <col min="14103" max="14336" width="14" style="815"/>
    <col min="14337" max="14337" width="9" style="815" bestFit="1" customWidth="1"/>
    <col min="14338" max="14338" width="27" style="815" customWidth="1"/>
    <col min="14339" max="14339" width="14" style="815" customWidth="1"/>
    <col min="14340" max="14340" width="16.140625" style="815" customWidth="1"/>
    <col min="14341" max="14341" width="9.85546875" style="815" customWidth="1"/>
    <col min="14342" max="14342" width="10.5703125" style="815" customWidth="1"/>
    <col min="14343" max="14343" width="11" style="815" customWidth="1"/>
    <col min="14344" max="14344" width="14.42578125" style="815" customWidth="1"/>
    <col min="14345" max="14345" width="13" style="815" customWidth="1"/>
    <col min="14346" max="14346" width="10.140625" style="815" customWidth="1"/>
    <col min="14347" max="14347" width="9.140625" style="815" customWidth="1"/>
    <col min="14348" max="14348" width="8.140625" style="815" bestFit="1" customWidth="1"/>
    <col min="14349" max="14349" width="6.85546875" style="815" bestFit="1" customWidth="1"/>
    <col min="14350" max="14350" width="6.42578125" style="815" bestFit="1" customWidth="1"/>
    <col min="14351" max="14351" width="11.5703125" style="815" customWidth="1"/>
    <col min="14352" max="14352" width="8" style="815" customWidth="1"/>
    <col min="14353" max="14353" width="7.85546875" style="815" customWidth="1"/>
    <col min="14354" max="14354" width="8.7109375" style="815" customWidth="1"/>
    <col min="14355" max="14355" width="8" style="815" customWidth="1"/>
    <col min="14356" max="14356" width="7.5703125" style="815" customWidth="1"/>
    <col min="14357" max="14357" width="9.140625" style="815" customWidth="1"/>
    <col min="14358" max="14358" width="10.140625" style="815" customWidth="1"/>
    <col min="14359" max="14592" width="14" style="815"/>
    <col min="14593" max="14593" width="9" style="815" bestFit="1" customWidth="1"/>
    <col min="14594" max="14594" width="27" style="815" customWidth="1"/>
    <col min="14595" max="14595" width="14" style="815" customWidth="1"/>
    <col min="14596" max="14596" width="16.140625" style="815" customWidth="1"/>
    <col min="14597" max="14597" width="9.85546875" style="815" customWidth="1"/>
    <col min="14598" max="14598" width="10.5703125" style="815" customWidth="1"/>
    <col min="14599" max="14599" width="11" style="815" customWidth="1"/>
    <col min="14600" max="14600" width="14.42578125" style="815" customWidth="1"/>
    <col min="14601" max="14601" width="13" style="815" customWidth="1"/>
    <col min="14602" max="14602" width="10.140625" style="815" customWidth="1"/>
    <col min="14603" max="14603" width="9.140625" style="815" customWidth="1"/>
    <col min="14604" max="14604" width="8.140625" style="815" bestFit="1" customWidth="1"/>
    <col min="14605" max="14605" width="6.85546875" style="815" bestFit="1" customWidth="1"/>
    <col min="14606" max="14606" width="6.42578125" style="815" bestFit="1" customWidth="1"/>
    <col min="14607" max="14607" width="11.5703125" style="815" customWidth="1"/>
    <col min="14608" max="14608" width="8" style="815" customWidth="1"/>
    <col min="14609" max="14609" width="7.85546875" style="815" customWidth="1"/>
    <col min="14610" max="14610" width="8.7109375" style="815" customWidth="1"/>
    <col min="14611" max="14611" width="8" style="815" customWidth="1"/>
    <col min="14612" max="14612" width="7.5703125" style="815" customWidth="1"/>
    <col min="14613" max="14613" width="9.140625" style="815" customWidth="1"/>
    <col min="14614" max="14614" width="10.140625" style="815" customWidth="1"/>
    <col min="14615" max="14848" width="14" style="815"/>
    <col min="14849" max="14849" width="9" style="815" bestFit="1" customWidth="1"/>
    <col min="14850" max="14850" width="27" style="815" customWidth="1"/>
    <col min="14851" max="14851" width="14" style="815" customWidth="1"/>
    <col min="14852" max="14852" width="16.140625" style="815" customWidth="1"/>
    <col min="14853" max="14853" width="9.85546875" style="815" customWidth="1"/>
    <col min="14854" max="14854" width="10.5703125" style="815" customWidth="1"/>
    <col min="14855" max="14855" width="11" style="815" customWidth="1"/>
    <col min="14856" max="14856" width="14.42578125" style="815" customWidth="1"/>
    <col min="14857" max="14857" width="13" style="815" customWidth="1"/>
    <col min="14858" max="14858" width="10.140625" style="815" customWidth="1"/>
    <col min="14859" max="14859" width="9.140625" style="815" customWidth="1"/>
    <col min="14860" max="14860" width="8.140625" style="815" bestFit="1" customWidth="1"/>
    <col min="14861" max="14861" width="6.85546875" style="815" bestFit="1" customWidth="1"/>
    <col min="14862" max="14862" width="6.42578125" style="815" bestFit="1" customWidth="1"/>
    <col min="14863" max="14863" width="11.5703125" style="815" customWidth="1"/>
    <col min="14864" max="14864" width="8" style="815" customWidth="1"/>
    <col min="14865" max="14865" width="7.85546875" style="815" customWidth="1"/>
    <col min="14866" max="14866" width="8.7109375" style="815" customWidth="1"/>
    <col min="14867" max="14867" width="8" style="815" customWidth="1"/>
    <col min="14868" max="14868" width="7.5703125" style="815" customWidth="1"/>
    <col min="14869" max="14869" width="9.140625" style="815" customWidth="1"/>
    <col min="14870" max="14870" width="10.140625" style="815" customWidth="1"/>
    <col min="14871" max="15104" width="14" style="815"/>
    <col min="15105" max="15105" width="9" style="815" bestFit="1" customWidth="1"/>
    <col min="15106" max="15106" width="27" style="815" customWidth="1"/>
    <col min="15107" max="15107" width="14" style="815" customWidth="1"/>
    <col min="15108" max="15108" width="16.140625" style="815" customWidth="1"/>
    <col min="15109" max="15109" width="9.85546875" style="815" customWidth="1"/>
    <col min="15110" max="15110" width="10.5703125" style="815" customWidth="1"/>
    <col min="15111" max="15111" width="11" style="815" customWidth="1"/>
    <col min="15112" max="15112" width="14.42578125" style="815" customWidth="1"/>
    <col min="15113" max="15113" width="13" style="815" customWidth="1"/>
    <col min="15114" max="15114" width="10.140625" style="815" customWidth="1"/>
    <col min="15115" max="15115" width="9.140625" style="815" customWidth="1"/>
    <col min="15116" max="15116" width="8.140625" style="815" bestFit="1" customWidth="1"/>
    <col min="15117" max="15117" width="6.85546875" style="815" bestFit="1" customWidth="1"/>
    <col min="15118" max="15118" width="6.42578125" style="815" bestFit="1" customWidth="1"/>
    <col min="15119" max="15119" width="11.5703125" style="815" customWidth="1"/>
    <col min="15120" max="15120" width="8" style="815" customWidth="1"/>
    <col min="15121" max="15121" width="7.85546875" style="815" customWidth="1"/>
    <col min="15122" max="15122" width="8.7109375" style="815" customWidth="1"/>
    <col min="15123" max="15123" width="8" style="815" customWidth="1"/>
    <col min="15124" max="15124" width="7.5703125" style="815" customWidth="1"/>
    <col min="15125" max="15125" width="9.140625" style="815" customWidth="1"/>
    <col min="15126" max="15126" width="10.140625" style="815" customWidth="1"/>
    <col min="15127" max="15360" width="14" style="815"/>
    <col min="15361" max="15361" width="9" style="815" bestFit="1" customWidth="1"/>
    <col min="15362" max="15362" width="27" style="815" customWidth="1"/>
    <col min="15363" max="15363" width="14" style="815" customWidth="1"/>
    <col min="15364" max="15364" width="16.140625" style="815" customWidth="1"/>
    <col min="15365" max="15365" width="9.85546875" style="815" customWidth="1"/>
    <col min="15366" max="15366" width="10.5703125" style="815" customWidth="1"/>
    <col min="15367" max="15367" width="11" style="815" customWidth="1"/>
    <col min="15368" max="15368" width="14.42578125" style="815" customWidth="1"/>
    <col min="15369" max="15369" width="13" style="815" customWidth="1"/>
    <col min="15370" max="15370" width="10.140625" style="815" customWidth="1"/>
    <col min="15371" max="15371" width="9.140625" style="815" customWidth="1"/>
    <col min="15372" max="15372" width="8.140625" style="815" bestFit="1" customWidth="1"/>
    <col min="15373" max="15373" width="6.85546875" style="815" bestFit="1" customWidth="1"/>
    <col min="15374" max="15374" width="6.42578125" style="815" bestFit="1" customWidth="1"/>
    <col min="15375" max="15375" width="11.5703125" style="815" customWidth="1"/>
    <col min="15376" max="15376" width="8" style="815" customWidth="1"/>
    <col min="15377" max="15377" width="7.85546875" style="815" customWidth="1"/>
    <col min="15378" max="15378" width="8.7109375" style="815" customWidth="1"/>
    <col min="15379" max="15379" width="8" style="815" customWidth="1"/>
    <col min="15380" max="15380" width="7.5703125" style="815" customWidth="1"/>
    <col min="15381" max="15381" width="9.140625" style="815" customWidth="1"/>
    <col min="15382" max="15382" width="10.140625" style="815" customWidth="1"/>
    <col min="15383" max="15616" width="14" style="815"/>
    <col min="15617" max="15617" width="9" style="815" bestFit="1" customWidth="1"/>
    <col min="15618" max="15618" width="27" style="815" customWidth="1"/>
    <col min="15619" max="15619" width="14" style="815" customWidth="1"/>
    <col min="15620" max="15620" width="16.140625" style="815" customWidth="1"/>
    <col min="15621" max="15621" width="9.85546875" style="815" customWidth="1"/>
    <col min="15622" max="15622" width="10.5703125" style="815" customWidth="1"/>
    <col min="15623" max="15623" width="11" style="815" customWidth="1"/>
    <col min="15624" max="15624" width="14.42578125" style="815" customWidth="1"/>
    <col min="15625" max="15625" width="13" style="815" customWidth="1"/>
    <col min="15626" max="15626" width="10.140625" style="815" customWidth="1"/>
    <col min="15627" max="15627" width="9.140625" style="815" customWidth="1"/>
    <col min="15628" max="15628" width="8.140625" style="815" bestFit="1" customWidth="1"/>
    <col min="15629" max="15629" width="6.85546875" style="815" bestFit="1" customWidth="1"/>
    <col min="15630" max="15630" width="6.42578125" style="815" bestFit="1" customWidth="1"/>
    <col min="15631" max="15631" width="11.5703125" style="815" customWidth="1"/>
    <col min="15632" max="15632" width="8" style="815" customWidth="1"/>
    <col min="15633" max="15633" width="7.85546875" style="815" customWidth="1"/>
    <col min="15634" max="15634" width="8.7109375" style="815" customWidth="1"/>
    <col min="15635" max="15635" width="8" style="815" customWidth="1"/>
    <col min="15636" max="15636" width="7.5703125" style="815" customWidth="1"/>
    <col min="15637" max="15637" width="9.140625" style="815" customWidth="1"/>
    <col min="15638" max="15638" width="10.140625" style="815" customWidth="1"/>
    <col min="15639" max="15872" width="14" style="815"/>
    <col min="15873" max="15873" width="9" style="815" bestFit="1" customWidth="1"/>
    <col min="15874" max="15874" width="27" style="815" customWidth="1"/>
    <col min="15875" max="15875" width="14" style="815" customWidth="1"/>
    <col min="15876" max="15876" width="16.140625" style="815" customWidth="1"/>
    <col min="15877" max="15877" width="9.85546875" style="815" customWidth="1"/>
    <col min="15878" max="15878" width="10.5703125" style="815" customWidth="1"/>
    <col min="15879" max="15879" width="11" style="815" customWidth="1"/>
    <col min="15880" max="15880" width="14.42578125" style="815" customWidth="1"/>
    <col min="15881" max="15881" width="13" style="815" customWidth="1"/>
    <col min="15882" max="15882" width="10.140625" style="815" customWidth="1"/>
    <col min="15883" max="15883" width="9.140625" style="815" customWidth="1"/>
    <col min="15884" max="15884" width="8.140625" style="815" bestFit="1" customWidth="1"/>
    <col min="15885" max="15885" width="6.85546875" style="815" bestFit="1" customWidth="1"/>
    <col min="15886" max="15886" width="6.42578125" style="815" bestFit="1" customWidth="1"/>
    <col min="15887" max="15887" width="11.5703125" style="815" customWidth="1"/>
    <col min="15888" max="15888" width="8" style="815" customWidth="1"/>
    <col min="15889" max="15889" width="7.85546875" style="815" customWidth="1"/>
    <col min="15890" max="15890" width="8.7109375" style="815" customWidth="1"/>
    <col min="15891" max="15891" width="8" style="815" customWidth="1"/>
    <col min="15892" max="15892" width="7.5703125" style="815" customWidth="1"/>
    <col min="15893" max="15893" width="9.140625" style="815" customWidth="1"/>
    <col min="15894" max="15894" width="10.140625" style="815" customWidth="1"/>
    <col min="15895" max="16128" width="14" style="815"/>
    <col min="16129" max="16129" width="9" style="815" bestFit="1" customWidth="1"/>
    <col min="16130" max="16130" width="27" style="815" customWidth="1"/>
    <col min="16131" max="16131" width="14" style="815" customWidth="1"/>
    <col min="16132" max="16132" width="16.140625" style="815" customWidth="1"/>
    <col min="16133" max="16133" width="9.85546875" style="815" customWidth="1"/>
    <col min="16134" max="16134" width="10.5703125" style="815" customWidth="1"/>
    <col min="16135" max="16135" width="11" style="815" customWidth="1"/>
    <col min="16136" max="16136" width="14.42578125" style="815" customWidth="1"/>
    <col min="16137" max="16137" width="13" style="815" customWidth="1"/>
    <col min="16138" max="16138" width="10.140625" style="815" customWidth="1"/>
    <col min="16139" max="16139" width="9.140625" style="815" customWidth="1"/>
    <col min="16140" max="16140" width="8.140625" style="815" bestFit="1" customWidth="1"/>
    <col min="16141" max="16141" width="6.85546875" style="815" bestFit="1" customWidth="1"/>
    <col min="16142" max="16142" width="6.42578125" style="815" bestFit="1" customWidth="1"/>
    <col min="16143" max="16143" width="11.5703125" style="815" customWidth="1"/>
    <col min="16144" max="16144" width="8" style="815" customWidth="1"/>
    <col min="16145" max="16145" width="7.85546875" style="815" customWidth="1"/>
    <col min="16146" max="16146" width="8.7109375" style="815" customWidth="1"/>
    <col min="16147" max="16147" width="8" style="815" customWidth="1"/>
    <col min="16148" max="16148" width="7.5703125" style="815" customWidth="1"/>
    <col min="16149" max="16149" width="9.140625" style="815" customWidth="1"/>
    <col min="16150" max="16150" width="10.140625" style="815" customWidth="1"/>
    <col min="16151" max="16384" width="14" style="815"/>
  </cols>
  <sheetData>
    <row r="1" spans="1:38">
      <c r="A1" s="1584" t="s">
        <v>396</v>
      </c>
      <c r="B1" s="1524"/>
      <c r="E1" s="1585"/>
      <c r="F1" s="1585"/>
      <c r="G1" s="1585"/>
      <c r="H1" s="1585"/>
      <c r="I1" s="1585"/>
      <c r="J1" s="1585"/>
      <c r="K1" s="1585"/>
      <c r="L1" s="1585"/>
      <c r="M1" s="1585"/>
      <c r="N1" s="1585"/>
      <c r="O1" s="814"/>
      <c r="P1" s="1585"/>
      <c r="Q1" s="1585"/>
      <c r="R1" s="1585"/>
      <c r="S1" s="1585"/>
      <c r="T1" s="1585"/>
      <c r="U1" s="814"/>
      <c r="AL1" s="815">
        <v>1</v>
      </c>
    </row>
    <row r="2" spans="1:38">
      <c r="E2" s="1585"/>
      <c r="F2" s="1585"/>
      <c r="G2" s="1585"/>
      <c r="H2" s="1585"/>
      <c r="I2" s="1585"/>
      <c r="J2" s="1585"/>
      <c r="K2" s="1585"/>
      <c r="L2" s="1585"/>
      <c r="M2" s="1585"/>
      <c r="N2" s="1585"/>
      <c r="O2" s="814"/>
      <c r="P2" s="1585"/>
      <c r="Q2" s="1585"/>
      <c r="R2" s="1585"/>
      <c r="S2" s="1585"/>
      <c r="T2" s="1585"/>
      <c r="U2" s="814"/>
      <c r="AL2" s="815">
        <v>2</v>
      </c>
    </row>
    <row r="3" spans="1:38" ht="18" customHeight="1">
      <c r="B3" s="388" t="s">
        <v>1154</v>
      </c>
      <c r="C3" s="1802" t="s">
        <v>1135</v>
      </c>
      <c r="D3" s="1802"/>
      <c r="E3" s="1802"/>
      <c r="F3" s="1802"/>
      <c r="G3" s="1802"/>
      <c r="H3" s="1802"/>
      <c r="I3" s="1802"/>
      <c r="J3" s="1802"/>
      <c r="K3" s="1802"/>
      <c r="L3" s="1802"/>
      <c r="M3" s="1802"/>
      <c r="N3" s="1802"/>
      <c r="O3" s="1802"/>
      <c r="P3" s="1802"/>
      <c r="Q3" s="1802"/>
      <c r="R3" s="1802"/>
      <c r="S3" s="1802"/>
      <c r="T3" s="1802"/>
      <c r="U3" s="1802"/>
      <c r="V3" s="1802"/>
    </row>
    <row r="4" spans="1:38">
      <c r="B4" s="388" t="s">
        <v>255</v>
      </c>
      <c r="C4" s="388" t="s">
        <v>646</v>
      </c>
      <c r="D4" s="1518"/>
      <c r="E4" s="814"/>
      <c r="F4" s="814"/>
      <c r="G4" s="814"/>
      <c r="H4" s="814"/>
      <c r="I4" s="814"/>
      <c r="J4" s="814"/>
      <c r="K4" s="1585"/>
      <c r="L4" s="1585"/>
      <c r="M4" s="1585"/>
      <c r="N4" s="1585"/>
      <c r="O4" s="814"/>
      <c r="P4" s="1585"/>
      <c r="Q4" s="1585"/>
      <c r="R4" s="1585"/>
      <c r="S4" s="1585"/>
      <c r="T4" s="1585"/>
      <c r="U4" s="814"/>
    </row>
    <row r="5" spans="1:38" ht="32.25" customHeight="1">
      <c r="B5" s="1803" t="s">
        <v>1136</v>
      </c>
      <c r="C5" s="1803"/>
      <c r="D5" s="1803"/>
      <c r="E5" s="1803"/>
      <c r="F5" s="1803"/>
      <c r="G5" s="1803"/>
      <c r="H5" s="1803"/>
      <c r="I5" s="1803"/>
      <c r="J5" s="1803"/>
      <c r="K5" s="1803"/>
      <c r="L5" s="1803"/>
      <c r="M5" s="1803"/>
      <c r="N5" s="1803"/>
      <c r="O5" s="1803"/>
      <c r="P5" s="1803"/>
      <c r="Q5" s="1803"/>
      <c r="R5" s="1803"/>
      <c r="S5" s="1803"/>
      <c r="T5" s="1803"/>
      <c r="U5" s="1803"/>
      <c r="V5" s="1803"/>
    </row>
    <row r="6" spans="1:38">
      <c r="B6" s="1518"/>
      <c r="E6" s="1585"/>
      <c r="F6" s="1585"/>
      <c r="G6" s="1585"/>
      <c r="H6" s="1585"/>
      <c r="I6" s="1585"/>
      <c r="J6" s="1585"/>
      <c r="K6" s="1585"/>
      <c r="L6" s="1585"/>
      <c r="M6" s="1585"/>
      <c r="N6" s="1585"/>
      <c r="O6" s="814"/>
      <c r="P6" s="1585"/>
      <c r="Q6" s="1585"/>
      <c r="R6" s="1585"/>
      <c r="S6" s="1585"/>
      <c r="T6" s="1585"/>
      <c r="U6" s="814"/>
    </row>
    <row r="7" spans="1:38" ht="38.25">
      <c r="B7" s="1804" t="s">
        <v>452</v>
      </c>
      <c r="C7" s="1804" t="s">
        <v>466</v>
      </c>
      <c r="D7" s="1804" t="s">
        <v>467</v>
      </c>
      <c r="E7" s="1583" t="s">
        <v>222</v>
      </c>
      <c r="F7" s="1583" t="s">
        <v>225</v>
      </c>
      <c r="G7" s="1583" t="s">
        <v>225</v>
      </c>
      <c r="H7" s="1805" t="s">
        <v>250</v>
      </c>
      <c r="I7" s="1805"/>
      <c r="J7" s="1805" t="s">
        <v>91</v>
      </c>
      <c r="K7" s="1805"/>
      <c r="L7" s="1805"/>
      <c r="M7" s="1805"/>
      <c r="N7" s="1805"/>
      <c r="O7" s="1805"/>
      <c r="P7" s="1805" t="s">
        <v>370</v>
      </c>
      <c r="Q7" s="1805"/>
      <c r="R7" s="1805"/>
      <c r="S7" s="1805"/>
      <c r="T7" s="1805"/>
      <c r="U7" s="1583"/>
      <c r="V7" s="1804" t="s">
        <v>365</v>
      </c>
    </row>
    <row r="8" spans="1:38" ht="44.25" customHeight="1">
      <c r="B8" s="1804"/>
      <c r="C8" s="1804"/>
      <c r="D8" s="1804"/>
      <c r="E8" s="1583" t="s">
        <v>223</v>
      </c>
      <c r="F8" s="1583" t="s">
        <v>224</v>
      </c>
      <c r="G8" s="1583" t="s">
        <v>223</v>
      </c>
      <c r="H8" s="1583" t="s">
        <v>521</v>
      </c>
      <c r="I8" s="1583" t="s">
        <v>209</v>
      </c>
      <c r="J8" s="1583" t="s">
        <v>94</v>
      </c>
      <c r="K8" s="1583" t="s">
        <v>95</v>
      </c>
      <c r="L8" s="1583" t="s">
        <v>96</v>
      </c>
      <c r="M8" s="1583" t="s">
        <v>576</v>
      </c>
      <c r="N8" s="1583" t="s">
        <v>392</v>
      </c>
      <c r="O8" s="1583" t="s">
        <v>98</v>
      </c>
      <c r="P8" s="1583" t="s">
        <v>94</v>
      </c>
      <c r="Q8" s="1583" t="s">
        <v>262</v>
      </c>
      <c r="R8" s="1583" t="s">
        <v>576</v>
      </c>
      <c r="S8" s="1583" t="s">
        <v>392</v>
      </c>
      <c r="T8" s="1583" t="s">
        <v>95</v>
      </c>
      <c r="U8" s="1583" t="s">
        <v>98</v>
      </c>
      <c r="V8" s="1804"/>
    </row>
    <row r="9" spans="1:38" ht="30.75" customHeight="1">
      <c r="B9" s="1586" t="s">
        <v>453</v>
      </c>
      <c r="C9" s="1587"/>
      <c r="D9" s="1588"/>
      <c r="E9" s="1588"/>
      <c r="F9" s="1588"/>
      <c r="G9" s="1588"/>
      <c r="H9" s="1589"/>
      <c r="I9" s="1589"/>
      <c r="J9" s="1588"/>
      <c r="K9" s="1588"/>
      <c r="L9" s="1588"/>
      <c r="M9" s="1588"/>
      <c r="N9" s="1588"/>
      <c r="O9" s="1290">
        <f>SUM(J9:N9)</f>
        <v>0</v>
      </c>
      <c r="P9" s="906">
        <f>IF(I9=0,0,J9/I9*10)</f>
        <v>0</v>
      </c>
      <c r="Q9" s="906">
        <f>IF(I9=0,0,K9/I9*10)</f>
        <v>0</v>
      </c>
      <c r="R9" s="906">
        <f>IF(I9=0,0,L9/I9*10)</f>
        <v>0</v>
      </c>
      <c r="S9" s="906">
        <f>IF(I9=0,0,M9/I9*10)</f>
        <v>0</v>
      </c>
      <c r="T9" s="906">
        <f>IF(I9=0,0,N9/I9*10)</f>
        <v>0</v>
      </c>
      <c r="U9" s="906">
        <f>IF(I9=0,0,O9/I9*10)</f>
        <v>0</v>
      </c>
      <c r="V9" s="1590"/>
    </row>
    <row r="10" spans="1:38">
      <c r="B10" s="1586"/>
      <c r="C10" s="1587"/>
      <c r="D10" s="1588"/>
      <c r="E10" s="1588"/>
      <c r="F10" s="1588"/>
      <c r="G10" s="1588"/>
      <c r="H10" s="1589"/>
      <c r="I10" s="1589"/>
      <c r="J10" s="1588"/>
      <c r="K10" s="1588"/>
      <c r="L10" s="1588"/>
      <c r="M10" s="1588"/>
      <c r="N10" s="1588"/>
      <c r="O10" s="1290">
        <f t="shared" ref="O10:O41" si="0">SUM(J10:N10)</f>
        <v>0</v>
      </c>
      <c r="P10" s="906">
        <f t="shared" ref="P10:P41" si="1">IF(I10=0,0,J10/I10*10)</f>
        <v>0</v>
      </c>
      <c r="Q10" s="906">
        <f t="shared" ref="Q10:Q41" si="2">IF(I10=0,0,K10/I10*10)</f>
        <v>0</v>
      </c>
      <c r="R10" s="906">
        <f t="shared" ref="R10:R41" si="3">IF(I10=0,0,L10/I10*10)</f>
        <v>0</v>
      </c>
      <c r="S10" s="906">
        <f t="shared" ref="S10:S41" si="4">IF(I10=0,0,M10/I10*10)</f>
        <v>0</v>
      </c>
      <c r="T10" s="906">
        <f t="shared" ref="T10:T41" si="5">IF(I10=0,0,N10/I10*10)</f>
        <v>0</v>
      </c>
      <c r="U10" s="906">
        <f t="shared" ref="U10:U41" si="6">IF(I10=0,0,O10/I10*10)</f>
        <v>0</v>
      </c>
      <c r="V10" s="1590"/>
    </row>
    <row r="11" spans="1:38" s="1518" customFormat="1">
      <c r="B11" s="1586"/>
      <c r="C11" s="1587"/>
      <c r="D11" s="1588"/>
      <c r="E11" s="1588"/>
      <c r="F11" s="1588"/>
      <c r="G11" s="1588"/>
      <c r="H11" s="1589"/>
      <c r="I11" s="1589"/>
      <c r="J11" s="1589"/>
      <c r="K11" s="1589"/>
      <c r="L11" s="1588"/>
      <c r="M11" s="1588"/>
      <c r="N11" s="1588"/>
      <c r="O11" s="1290">
        <f t="shared" si="0"/>
        <v>0</v>
      </c>
      <c r="P11" s="906">
        <f t="shared" si="1"/>
        <v>0</v>
      </c>
      <c r="Q11" s="906">
        <f t="shared" si="2"/>
        <v>0</v>
      </c>
      <c r="R11" s="906">
        <f t="shared" si="3"/>
        <v>0</v>
      </c>
      <c r="S11" s="906">
        <f t="shared" si="4"/>
        <v>0</v>
      </c>
      <c r="T11" s="906">
        <f t="shared" si="5"/>
        <v>0</v>
      </c>
      <c r="U11" s="906">
        <f t="shared" si="6"/>
        <v>0</v>
      </c>
      <c r="V11" s="1590"/>
    </row>
    <row r="12" spans="1:38" s="1518" customFormat="1">
      <c r="B12" s="1586"/>
      <c r="C12" s="1587"/>
      <c r="D12" s="1588"/>
      <c r="E12" s="1588"/>
      <c r="F12" s="1588"/>
      <c r="G12" s="1588"/>
      <c r="H12" s="1589"/>
      <c r="I12" s="1589"/>
      <c r="J12" s="1589"/>
      <c r="K12" s="1589"/>
      <c r="L12" s="1588"/>
      <c r="M12" s="1588"/>
      <c r="N12" s="1588"/>
      <c r="O12" s="1290">
        <f t="shared" si="0"/>
        <v>0</v>
      </c>
      <c r="P12" s="906">
        <f t="shared" si="1"/>
        <v>0</v>
      </c>
      <c r="Q12" s="906">
        <f t="shared" si="2"/>
        <v>0</v>
      </c>
      <c r="R12" s="906">
        <f t="shared" si="3"/>
        <v>0</v>
      </c>
      <c r="S12" s="906">
        <f t="shared" si="4"/>
        <v>0</v>
      </c>
      <c r="T12" s="906">
        <f t="shared" si="5"/>
        <v>0</v>
      </c>
      <c r="U12" s="906">
        <f t="shared" si="6"/>
        <v>0</v>
      </c>
      <c r="V12" s="1590"/>
    </row>
    <row r="13" spans="1:38">
      <c r="B13" s="1586"/>
      <c r="C13" s="1587"/>
      <c r="D13" s="1588"/>
      <c r="E13" s="1588"/>
      <c r="F13" s="1588"/>
      <c r="G13" s="1588"/>
      <c r="H13" s="1589"/>
      <c r="I13" s="1589"/>
      <c r="J13" s="1589"/>
      <c r="K13" s="1589"/>
      <c r="L13" s="1588"/>
      <c r="M13" s="1588"/>
      <c r="N13" s="1588"/>
      <c r="O13" s="1290">
        <f t="shared" si="0"/>
        <v>0</v>
      </c>
      <c r="P13" s="906">
        <f t="shared" si="1"/>
        <v>0</v>
      </c>
      <c r="Q13" s="906">
        <f t="shared" si="2"/>
        <v>0</v>
      </c>
      <c r="R13" s="906">
        <f t="shared" si="3"/>
        <v>0</v>
      </c>
      <c r="S13" s="906">
        <f t="shared" si="4"/>
        <v>0</v>
      </c>
      <c r="T13" s="906">
        <f t="shared" si="5"/>
        <v>0</v>
      </c>
      <c r="U13" s="906">
        <f t="shared" si="6"/>
        <v>0</v>
      </c>
      <c r="V13" s="1590"/>
    </row>
    <row r="14" spans="1:38" s="1518" customFormat="1">
      <c r="B14" s="1586"/>
      <c r="C14" s="1587"/>
      <c r="D14" s="1588"/>
      <c r="E14" s="1588"/>
      <c r="F14" s="1588"/>
      <c r="G14" s="1588"/>
      <c r="H14" s="1589"/>
      <c r="I14" s="1589"/>
      <c r="J14" s="1589"/>
      <c r="K14" s="1589"/>
      <c r="L14" s="1588"/>
      <c r="M14" s="1588"/>
      <c r="N14" s="1588"/>
      <c r="O14" s="1290">
        <f t="shared" si="0"/>
        <v>0</v>
      </c>
      <c r="P14" s="906">
        <f t="shared" si="1"/>
        <v>0</v>
      </c>
      <c r="Q14" s="906">
        <f t="shared" si="2"/>
        <v>0</v>
      </c>
      <c r="R14" s="906">
        <f t="shared" si="3"/>
        <v>0</v>
      </c>
      <c r="S14" s="906">
        <f t="shared" si="4"/>
        <v>0</v>
      </c>
      <c r="T14" s="906">
        <f t="shared" si="5"/>
        <v>0</v>
      </c>
      <c r="U14" s="906">
        <f t="shared" si="6"/>
        <v>0</v>
      </c>
      <c r="V14" s="1590"/>
    </row>
    <row r="15" spans="1:38">
      <c r="B15" s="1586"/>
      <c r="C15" s="1587"/>
      <c r="D15" s="1588"/>
      <c r="E15" s="1588"/>
      <c r="F15" s="1588"/>
      <c r="G15" s="1588"/>
      <c r="H15" s="1589"/>
      <c r="I15" s="1589"/>
      <c r="J15" s="1589"/>
      <c r="K15" s="1589"/>
      <c r="L15" s="1588"/>
      <c r="M15" s="1588"/>
      <c r="N15" s="1588"/>
      <c r="O15" s="1290">
        <f t="shared" si="0"/>
        <v>0</v>
      </c>
      <c r="P15" s="906">
        <f t="shared" si="1"/>
        <v>0</v>
      </c>
      <c r="Q15" s="906">
        <f t="shared" si="2"/>
        <v>0</v>
      </c>
      <c r="R15" s="906">
        <f t="shared" si="3"/>
        <v>0</v>
      </c>
      <c r="S15" s="906">
        <f t="shared" si="4"/>
        <v>0</v>
      </c>
      <c r="T15" s="906">
        <f t="shared" si="5"/>
        <v>0</v>
      </c>
      <c r="U15" s="906">
        <f t="shared" si="6"/>
        <v>0</v>
      </c>
      <c r="V15" s="1590"/>
    </row>
    <row r="16" spans="1:38" s="1518" customFormat="1">
      <c r="B16" s="1586"/>
      <c r="C16" s="1587"/>
      <c r="D16" s="1588"/>
      <c r="E16" s="1588"/>
      <c r="F16" s="1588"/>
      <c r="G16" s="1588"/>
      <c r="H16" s="1589"/>
      <c r="I16" s="1589"/>
      <c r="J16" s="1589"/>
      <c r="K16" s="1589"/>
      <c r="L16" s="1588"/>
      <c r="M16" s="1588"/>
      <c r="N16" s="1588"/>
      <c r="O16" s="1290">
        <f t="shared" si="0"/>
        <v>0</v>
      </c>
      <c r="P16" s="906">
        <f t="shared" si="1"/>
        <v>0</v>
      </c>
      <c r="Q16" s="906">
        <f t="shared" si="2"/>
        <v>0</v>
      </c>
      <c r="R16" s="906">
        <f t="shared" si="3"/>
        <v>0</v>
      </c>
      <c r="S16" s="906">
        <f t="shared" si="4"/>
        <v>0</v>
      </c>
      <c r="T16" s="906">
        <f t="shared" si="5"/>
        <v>0</v>
      </c>
      <c r="U16" s="906">
        <f t="shared" si="6"/>
        <v>0</v>
      </c>
      <c r="V16" s="1590"/>
    </row>
    <row r="17" spans="2:31">
      <c r="B17" s="1591" t="s">
        <v>1137</v>
      </c>
      <c r="C17" s="1592"/>
      <c r="D17" s="1592"/>
      <c r="E17" s="1583"/>
      <c r="F17" s="1583"/>
      <c r="G17" s="1583">
        <f t="shared" ref="G17:N17" si="7">SUM(G9:G16)</f>
        <v>0</v>
      </c>
      <c r="H17" s="1583">
        <f t="shared" si="7"/>
        <v>0</v>
      </c>
      <c r="I17" s="1583">
        <f t="shared" si="7"/>
        <v>0</v>
      </c>
      <c r="J17" s="1583">
        <f t="shared" si="7"/>
        <v>0</v>
      </c>
      <c r="K17" s="1583">
        <f t="shared" si="7"/>
        <v>0</v>
      </c>
      <c r="L17" s="1583">
        <f t="shared" si="7"/>
        <v>0</v>
      </c>
      <c r="M17" s="1583">
        <f t="shared" si="7"/>
        <v>0</v>
      </c>
      <c r="N17" s="1583">
        <f t="shared" si="7"/>
        <v>0</v>
      </c>
      <c r="O17" s="1290">
        <f t="shared" si="0"/>
        <v>0</v>
      </c>
      <c r="P17" s="906">
        <f t="shared" si="1"/>
        <v>0</v>
      </c>
      <c r="Q17" s="906">
        <f t="shared" si="2"/>
        <v>0</v>
      </c>
      <c r="R17" s="906">
        <f t="shared" si="3"/>
        <v>0</v>
      </c>
      <c r="S17" s="906">
        <f t="shared" si="4"/>
        <v>0</v>
      </c>
      <c r="T17" s="906">
        <f t="shared" si="5"/>
        <v>0</v>
      </c>
      <c r="U17" s="906">
        <f t="shared" si="6"/>
        <v>0</v>
      </c>
      <c r="V17" s="1593"/>
      <c r="AE17" s="1594"/>
    </row>
    <row r="18" spans="2:31" s="1518" customFormat="1">
      <c r="B18" s="1586" t="s">
        <v>454</v>
      </c>
      <c r="C18" s="1587"/>
      <c r="D18" s="1588"/>
      <c r="E18" s="1588"/>
      <c r="F18" s="1588"/>
      <c r="G18" s="1588"/>
      <c r="H18" s="1589"/>
      <c r="I18" s="1589"/>
      <c r="J18" s="1589"/>
      <c r="K18" s="1589"/>
      <c r="L18" s="1588"/>
      <c r="M18" s="1588"/>
      <c r="N18" s="1588"/>
      <c r="O18" s="1290">
        <f t="shared" si="0"/>
        <v>0</v>
      </c>
      <c r="P18" s="906">
        <f t="shared" si="1"/>
        <v>0</v>
      </c>
      <c r="Q18" s="906">
        <f t="shared" si="2"/>
        <v>0</v>
      </c>
      <c r="R18" s="906">
        <f t="shared" si="3"/>
        <v>0</v>
      </c>
      <c r="S18" s="906">
        <f t="shared" si="4"/>
        <v>0</v>
      </c>
      <c r="T18" s="906">
        <f t="shared" si="5"/>
        <v>0</v>
      </c>
      <c r="U18" s="906">
        <f t="shared" si="6"/>
        <v>0</v>
      </c>
      <c r="V18" s="1590"/>
    </row>
    <row r="19" spans="2:31">
      <c r="B19" s="1586"/>
      <c r="C19" s="1587"/>
      <c r="D19" s="1588"/>
      <c r="E19" s="1588"/>
      <c r="F19" s="1588"/>
      <c r="G19" s="1588"/>
      <c r="H19" s="1589"/>
      <c r="I19" s="1589"/>
      <c r="J19" s="1589"/>
      <c r="K19" s="1589"/>
      <c r="L19" s="1588"/>
      <c r="M19" s="1588"/>
      <c r="N19" s="1588"/>
      <c r="O19" s="1290">
        <f t="shared" si="0"/>
        <v>0</v>
      </c>
      <c r="P19" s="906">
        <f t="shared" si="1"/>
        <v>0</v>
      </c>
      <c r="Q19" s="906">
        <f t="shared" si="2"/>
        <v>0</v>
      </c>
      <c r="R19" s="906">
        <f t="shared" si="3"/>
        <v>0</v>
      </c>
      <c r="S19" s="906">
        <f t="shared" si="4"/>
        <v>0</v>
      </c>
      <c r="T19" s="906">
        <f t="shared" si="5"/>
        <v>0</v>
      </c>
      <c r="U19" s="906">
        <f t="shared" si="6"/>
        <v>0</v>
      </c>
      <c r="V19" s="1590"/>
    </row>
    <row r="20" spans="2:31" s="1518" customFormat="1">
      <c r="B20" s="1591" t="s">
        <v>1138</v>
      </c>
      <c r="C20" s="1592"/>
      <c r="D20" s="1592"/>
      <c r="E20" s="1583"/>
      <c r="F20" s="1583"/>
      <c r="G20" s="1583">
        <f>SUM(G18:G19)</f>
        <v>0</v>
      </c>
      <c r="H20" s="1583">
        <f t="shared" ref="H20:N20" si="8">SUM(H18:H19)</f>
        <v>0</v>
      </c>
      <c r="I20" s="1583">
        <f t="shared" si="8"/>
        <v>0</v>
      </c>
      <c r="J20" s="1583">
        <f t="shared" si="8"/>
        <v>0</v>
      </c>
      <c r="K20" s="1583">
        <f t="shared" si="8"/>
        <v>0</v>
      </c>
      <c r="L20" s="1583">
        <f t="shared" si="8"/>
        <v>0</v>
      </c>
      <c r="M20" s="1583">
        <f t="shared" si="8"/>
        <v>0</v>
      </c>
      <c r="N20" s="1583">
        <f t="shared" si="8"/>
        <v>0</v>
      </c>
      <c r="O20" s="1290">
        <f t="shared" si="0"/>
        <v>0</v>
      </c>
      <c r="P20" s="906">
        <f t="shared" si="1"/>
        <v>0</v>
      </c>
      <c r="Q20" s="906">
        <f t="shared" si="2"/>
        <v>0</v>
      </c>
      <c r="R20" s="906">
        <f t="shared" si="3"/>
        <v>0</v>
      </c>
      <c r="S20" s="906">
        <f t="shared" si="4"/>
        <v>0</v>
      </c>
      <c r="T20" s="906">
        <f t="shared" si="5"/>
        <v>0</v>
      </c>
      <c r="U20" s="906">
        <f t="shared" si="6"/>
        <v>0</v>
      </c>
      <c r="V20" s="1593"/>
    </row>
    <row r="21" spans="2:31" s="1518" customFormat="1">
      <c r="B21" s="1586" t="s">
        <v>456</v>
      </c>
      <c r="C21" s="1587"/>
      <c r="D21" s="1589"/>
      <c r="E21" s="1588"/>
      <c r="F21" s="1588"/>
      <c r="G21" s="1588"/>
      <c r="H21" s="1588"/>
      <c r="I21" s="1588"/>
      <c r="J21" s="1588"/>
      <c r="K21" s="1588"/>
      <c r="L21" s="1588"/>
      <c r="M21" s="1588"/>
      <c r="N21" s="1588"/>
      <c r="O21" s="1290">
        <f t="shared" si="0"/>
        <v>0</v>
      </c>
      <c r="P21" s="906">
        <f t="shared" si="1"/>
        <v>0</v>
      </c>
      <c r="Q21" s="906">
        <f t="shared" si="2"/>
        <v>0</v>
      </c>
      <c r="R21" s="906">
        <f t="shared" si="3"/>
        <v>0</v>
      </c>
      <c r="S21" s="906">
        <f t="shared" si="4"/>
        <v>0</v>
      </c>
      <c r="T21" s="906">
        <f t="shared" si="5"/>
        <v>0</v>
      </c>
      <c r="U21" s="906">
        <f t="shared" si="6"/>
        <v>0</v>
      </c>
      <c r="V21" s="1590"/>
    </row>
    <row r="22" spans="2:31">
      <c r="B22" s="1586"/>
      <c r="C22" s="1587"/>
      <c r="D22" s="1589"/>
      <c r="E22" s="1588"/>
      <c r="F22" s="1588"/>
      <c r="G22" s="1588"/>
      <c r="H22" s="1588"/>
      <c r="I22" s="1588"/>
      <c r="J22" s="1588"/>
      <c r="K22" s="1588"/>
      <c r="L22" s="1588"/>
      <c r="M22" s="1588"/>
      <c r="N22" s="1588"/>
      <c r="O22" s="1290">
        <f t="shared" si="0"/>
        <v>0</v>
      </c>
      <c r="P22" s="906">
        <f t="shared" si="1"/>
        <v>0</v>
      </c>
      <c r="Q22" s="906">
        <f t="shared" si="2"/>
        <v>0</v>
      </c>
      <c r="R22" s="906">
        <f t="shared" si="3"/>
        <v>0</v>
      </c>
      <c r="S22" s="906">
        <f t="shared" si="4"/>
        <v>0</v>
      </c>
      <c r="T22" s="906">
        <f t="shared" si="5"/>
        <v>0</v>
      </c>
      <c r="U22" s="906">
        <f t="shared" si="6"/>
        <v>0</v>
      </c>
      <c r="V22" s="1590"/>
    </row>
    <row r="23" spans="2:31" s="1518" customFormat="1">
      <c r="B23" s="1586"/>
      <c r="C23" s="1587"/>
      <c r="D23" s="1589"/>
      <c r="E23" s="1588"/>
      <c r="F23" s="1588"/>
      <c r="G23" s="1588"/>
      <c r="H23" s="1588"/>
      <c r="I23" s="1588"/>
      <c r="J23" s="1588"/>
      <c r="K23" s="1588"/>
      <c r="L23" s="1588"/>
      <c r="M23" s="1588"/>
      <c r="N23" s="1588"/>
      <c r="O23" s="1290">
        <f t="shared" si="0"/>
        <v>0</v>
      </c>
      <c r="P23" s="906">
        <f t="shared" si="1"/>
        <v>0</v>
      </c>
      <c r="Q23" s="906">
        <f t="shared" si="2"/>
        <v>0</v>
      </c>
      <c r="R23" s="906">
        <f t="shared" si="3"/>
        <v>0</v>
      </c>
      <c r="S23" s="906">
        <f t="shared" si="4"/>
        <v>0</v>
      </c>
      <c r="T23" s="906">
        <f t="shared" si="5"/>
        <v>0</v>
      </c>
      <c r="U23" s="906">
        <f t="shared" si="6"/>
        <v>0</v>
      </c>
      <c r="V23" s="1590"/>
    </row>
    <row r="24" spans="2:31" ht="25.5">
      <c r="B24" s="1591" t="s">
        <v>1139</v>
      </c>
      <c r="C24" s="1592"/>
      <c r="D24" s="1592"/>
      <c r="E24" s="1583"/>
      <c r="F24" s="1583"/>
      <c r="G24" s="1583">
        <f>SUM(G21:G23)</f>
        <v>0</v>
      </c>
      <c r="H24" s="1583">
        <f t="shared" ref="H24:N24" si="9">SUM(H21:H23)</f>
        <v>0</v>
      </c>
      <c r="I24" s="1583">
        <f t="shared" si="9"/>
        <v>0</v>
      </c>
      <c r="J24" s="1583">
        <f t="shared" si="9"/>
        <v>0</v>
      </c>
      <c r="K24" s="1583">
        <f t="shared" si="9"/>
        <v>0</v>
      </c>
      <c r="L24" s="1583">
        <f t="shared" si="9"/>
        <v>0</v>
      </c>
      <c r="M24" s="1583">
        <f t="shared" si="9"/>
        <v>0</v>
      </c>
      <c r="N24" s="1583">
        <f t="shared" si="9"/>
        <v>0</v>
      </c>
      <c r="O24" s="1290">
        <f t="shared" si="0"/>
        <v>0</v>
      </c>
      <c r="P24" s="906">
        <f t="shared" si="1"/>
        <v>0</v>
      </c>
      <c r="Q24" s="906">
        <f t="shared" si="2"/>
        <v>0</v>
      </c>
      <c r="R24" s="906">
        <f t="shared" si="3"/>
        <v>0</v>
      </c>
      <c r="S24" s="906">
        <f t="shared" si="4"/>
        <v>0</v>
      </c>
      <c r="T24" s="906">
        <f t="shared" si="5"/>
        <v>0</v>
      </c>
      <c r="U24" s="906">
        <f t="shared" si="6"/>
        <v>0</v>
      </c>
      <c r="V24" s="1593"/>
    </row>
    <row r="25" spans="2:31" s="1518" customFormat="1" ht="25.5">
      <c r="B25" s="1586" t="s">
        <v>458</v>
      </c>
      <c r="C25" s="1589"/>
      <c r="D25" s="1588"/>
      <c r="E25" s="1588"/>
      <c r="F25" s="1588"/>
      <c r="G25" s="1588"/>
      <c r="H25" s="1589"/>
      <c r="I25" s="1589"/>
      <c r="J25" s="1588"/>
      <c r="K25" s="1588"/>
      <c r="L25" s="1588"/>
      <c r="M25" s="1588"/>
      <c r="N25" s="1588"/>
      <c r="O25" s="1290">
        <f t="shared" si="0"/>
        <v>0</v>
      </c>
      <c r="P25" s="906">
        <f t="shared" si="1"/>
        <v>0</v>
      </c>
      <c r="Q25" s="906">
        <f t="shared" si="2"/>
        <v>0</v>
      </c>
      <c r="R25" s="906">
        <f t="shared" si="3"/>
        <v>0</v>
      </c>
      <c r="S25" s="906">
        <f t="shared" si="4"/>
        <v>0</v>
      </c>
      <c r="T25" s="906">
        <f t="shared" si="5"/>
        <v>0</v>
      </c>
      <c r="U25" s="906">
        <f t="shared" si="6"/>
        <v>0</v>
      </c>
      <c r="V25" s="1590"/>
    </row>
    <row r="26" spans="2:31">
      <c r="B26" s="1591" t="s">
        <v>1140</v>
      </c>
      <c r="C26" s="1592"/>
      <c r="D26" s="1592"/>
      <c r="E26" s="1583"/>
      <c r="F26" s="1583"/>
      <c r="G26" s="1583">
        <f t="shared" ref="G26:N26" si="10">SUM(G25:G25)</f>
        <v>0</v>
      </c>
      <c r="H26" s="1583">
        <f t="shared" si="10"/>
        <v>0</v>
      </c>
      <c r="I26" s="1583">
        <f t="shared" si="10"/>
        <v>0</v>
      </c>
      <c r="J26" s="1583">
        <f t="shared" si="10"/>
        <v>0</v>
      </c>
      <c r="K26" s="1583">
        <f t="shared" si="10"/>
        <v>0</v>
      </c>
      <c r="L26" s="1583">
        <f t="shared" si="10"/>
        <v>0</v>
      </c>
      <c r="M26" s="1583">
        <f t="shared" si="10"/>
        <v>0</v>
      </c>
      <c r="N26" s="1583">
        <f t="shared" si="10"/>
        <v>0</v>
      </c>
      <c r="O26" s="1290">
        <f t="shared" si="0"/>
        <v>0</v>
      </c>
      <c r="P26" s="906">
        <f t="shared" si="1"/>
        <v>0</v>
      </c>
      <c r="Q26" s="906">
        <f t="shared" si="2"/>
        <v>0</v>
      </c>
      <c r="R26" s="906">
        <f t="shared" si="3"/>
        <v>0</v>
      </c>
      <c r="S26" s="906">
        <f t="shared" si="4"/>
        <v>0</v>
      </c>
      <c r="T26" s="906">
        <f t="shared" si="5"/>
        <v>0</v>
      </c>
      <c r="U26" s="906">
        <f t="shared" si="6"/>
        <v>0</v>
      </c>
      <c r="V26" s="1593"/>
    </row>
    <row r="27" spans="2:31" s="1518" customFormat="1">
      <c r="B27" s="1521" t="s">
        <v>460</v>
      </c>
      <c r="C27" s="1589"/>
      <c r="D27" s="1589"/>
      <c r="E27" s="1588"/>
      <c r="F27" s="1588"/>
      <c r="G27" s="1588"/>
      <c r="H27" s="1588"/>
      <c r="I27" s="1588"/>
      <c r="J27" s="1588"/>
      <c r="K27" s="1588"/>
      <c r="L27" s="1588"/>
      <c r="M27" s="1588"/>
      <c r="N27" s="1588"/>
      <c r="O27" s="1290">
        <f t="shared" si="0"/>
        <v>0</v>
      </c>
      <c r="P27" s="906">
        <f t="shared" si="1"/>
        <v>0</v>
      </c>
      <c r="Q27" s="906">
        <f t="shared" si="2"/>
        <v>0</v>
      </c>
      <c r="R27" s="906">
        <f t="shared" si="3"/>
        <v>0</v>
      </c>
      <c r="S27" s="906">
        <f t="shared" si="4"/>
        <v>0</v>
      </c>
      <c r="T27" s="906">
        <f t="shared" si="5"/>
        <v>0</v>
      </c>
      <c r="U27" s="906">
        <f t="shared" si="6"/>
        <v>0</v>
      </c>
      <c r="V27" s="1590"/>
    </row>
    <row r="28" spans="2:31">
      <c r="B28" s="1591" t="s">
        <v>1141</v>
      </c>
      <c r="C28" s="1592"/>
      <c r="D28" s="1592"/>
      <c r="E28" s="1583"/>
      <c r="F28" s="1583"/>
      <c r="G28" s="1583">
        <f t="shared" ref="G28:N28" si="11">SUM(G27:G27)</f>
        <v>0</v>
      </c>
      <c r="H28" s="1583">
        <f t="shared" si="11"/>
        <v>0</v>
      </c>
      <c r="I28" s="1583">
        <f t="shared" si="11"/>
        <v>0</v>
      </c>
      <c r="J28" s="1583">
        <f t="shared" si="11"/>
        <v>0</v>
      </c>
      <c r="K28" s="1583">
        <f t="shared" si="11"/>
        <v>0</v>
      </c>
      <c r="L28" s="1583">
        <f t="shared" si="11"/>
        <v>0</v>
      </c>
      <c r="M28" s="1583">
        <f t="shared" si="11"/>
        <v>0</v>
      </c>
      <c r="N28" s="1583">
        <f t="shared" si="11"/>
        <v>0</v>
      </c>
      <c r="O28" s="1290">
        <f t="shared" si="0"/>
        <v>0</v>
      </c>
      <c r="P28" s="906">
        <f t="shared" si="1"/>
        <v>0</v>
      </c>
      <c r="Q28" s="906">
        <f t="shared" si="2"/>
        <v>0</v>
      </c>
      <c r="R28" s="906">
        <f t="shared" si="3"/>
        <v>0</v>
      </c>
      <c r="S28" s="906">
        <f t="shared" si="4"/>
        <v>0</v>
      </c>
      <c r="T28" s="906">
        <f t="shared" si="5"/>
        <v>0</v>
      </c>
      <c r="U28" s="906">
        <f t="shared" si="6"/>
        <v>0</v>
      </c>
      <c r="V28" s="1593"/>
    </row>
    <row r="29" spans="2:31" s="1518" customFormat="1">
      <c r="B29" s="1521" t="s">
        <v>462</v>
      </c>
      <c r="C29" s="1587"/>
      <c r="D29" s="1588"/>
      <c r="E29" s="1588"/>
      <c r="F29" s="1588"/>
      <c r="G29" s="1588"/>
      <c r="H29" s="1589"/>
      <c r="I29" s="1589"/>
      <c r="J29" s="1588"/>
      <c r="K29" s="1588"/>
      <c r="L29" s="1588"/>
      <c r="M29" s="1588"/>
      <c r="N29" s="1588"/>
      <c r="O29" s="1290">
        <f t="shared" si="0"/>
        <v>0</v>
      </c>
      <c r="P29" s="906">
        <f t="shared" si="1"/>
        <v>0</v>
      </c>
      <c r="Q29" s="906">
        <f t="shared" si="2"/>
        <v>0</v>
      </c>
      <c r="R29" s="906">
        <f t="shared" si="3"/>
        <v>0</v>
      </c>
      <c r="S29" s="906">
        <f t="shared" si="4"/>
        <v>0</v>
      </c>
      <c r="T29" s="906">
        <f t="shared" si="5"/>
        <v>0</v>
      </c>
      <c r="U29" s="906">
        <f t="shared" si="6"/>
        <v>0</v>
      </c>
      <c r="V29" s="1590"/>
    </row>
    <row r="30" spans="2:31">
      <c r="B30" s="1591" t="s">
        <v>1142</v>
      </c>
      <c r="C30" s="1592"/>
      <c r="D30" s="1592"/>
      <c r="E30" s="1583"/>
      <c r="F30" s="1583"/>
      <c r="G30" s="1583">
        <f t="shared" ref="G30:N30" si="12">SUM(G29:G29)</f>
        <v>0</v>
      </c>
      <c r="H30" s="1583">
        <f t="shared" si="12"/>
        <v>0</v>
      </c>
      <c r="I30" s="1583">
        <f t="shared" si="12"/>
        <v>0</v>
      </c>
      <c r="J30" s="1583">
        <f t="shared" si="12"/>
        <v>0</v>
      </c>
      <c r="K30" s="1583">
        <f t="shared" si="12"/>
        <v>0</v>
      </c>
      <c r="L30" s="1583">
        <f t="shared" si="12"/>
        <v>0</v>
      </c>
      <c r="M30" s="1583">
        <f t="shared" si="12"/>
        <v>0</v>
      </c>
      <c r="N30" s="1583">
        <f t="shared" si="12"/>
        <v>0</v>
      </c>
      <c r="O30" s="1290">
        <f t="shared" si="0"/>
        <v>0</v>
      </c>
      <c r="P30" s="906">
        <f t="shared" si="1"/>
        <v>0</v>
      </c>
      <c r="Q30" s="906">
        <f t="shared" si="2"/>
        <v>0</v>
      </c>
      <c r="R30" s="906">
        <f t="shared" si="3"/>
        <v>0</v>
      </c>
      <c r="S30" s="906">
        <f t="shared" si="4"/>
        <v>0</v>
      </c>
      <c r="T30" s="906">
        <f t="shared" si="5"/>
        <v>0</v>
      </c>
      <c r="U30" s="906">
        <f t="shared" si="6"/>
        <v>0</v>
      </c>
      <c r="V30" s="1593"/>
    </row>
    <row r="31" spans="2:31" s="1518" customFormat="1">
      <c r="B31" s="1521" t="s">
        <v>1143</v>
      </c>
      <c r="C31" s="1521"/>
      <c r="D31" s="1588"/>
      <c r="E31" s="1588"/>
      <c r="F31" s="1588"/>
      <c r="G31" s="1588"/>
      <c r="H31" s="1588"/>
      <c r="I31" s="1588"/>
      <c r="J31" s="1588"/>
      <c r="K31" s="1588"/>
      <c r="L31" s="1588"/>
      <c r="M31" s="1588"/>
      <c r="N31" s="1588"/>
      <c r="O31" s="1290">
        <f t="shared" si="0"/>
        <v>0</v>
      </c>
      <c r="P31" s="906">
        <f t="shared" si="1"/>
        <v>0</v>
      </c>
      <c r="Q31" s="906">
        <f t="shared" si="2"/>
        <v>0</v>
      </c>
      <c r="R31" s="906">
        <f t="shared" si="3"/>
        <v>0</v>
      </c>
      <c r="S31" s="906">
        <f t="shared" si="4"/>
        <v>0</v>
      </c>
      <c r="T31" s="906">
        <f t="shared" si="5"/>
        <v>0</v>
      </c>
      <c r="U31" s="906">
        <f t="shared" si="6"/>
        <v>0</v>
      </c>
      <c r="V31" s="1590"/>
    </row>
    <row r="32" spans="2:31" s="1518" customFormat="1" ht="25.5">
      <c r="B32" s="1591" t="s">
        <v>1144</v>
      </c>
      <c r="C32" s="1595"/>
      <c r="D32" s="1595"/>
      <c r="E32" s="1583"/>
      <c r="F32" s="1583"/>
      <c r="G32" s="1583">
        <f t="shared" ref="G32:N32" si="13">SUM(G31:G31)</f>
        <v>0</v>
      </c>
      <c r="H32" s="1583">
        <f t="shared" si="13"/>
        <v>0</v>
      </c>
      <c r="I32" s="1583">
        <f t="shared" si="13"/>
        <v>0</v>
      </c>
      <c r="J32" s="1583">
        <f t="shared" si="13"/>
        <v>0</v>
      </c>
      <c r="K32" s="1583">
        <f t="shared" si="13"/>
        <v>0</v>
      </c>
      <c r="L32" s="1583">
        <f t="shared" si="13"/>
        <v>0</v>
      </c>
      <c r="M32" s="1583">
        <f t="shared" si="13"/>
        <v>0</v>
      </c>
      <c r="N32" s="1583">
        <f t="shared" si="13"/>
        <v>0</v>
      </c>
      <c r="O32" s="1290">
        <f t="shared" si="0"/>
        <v>0</v>
      </c>
      <c r="P32" s="906">
        <f t="shared" si="1"/>
        <v>0</v>
      </c>
      <c r="Q32" s="906">
        <f t="shared" si="2"/>
        <v>0</v>
      </c>
      <c r="R32" s="906">
        <f t="shared" si="3"/>
        <v>0</v>
      </c>
      <c r="S32" s="906">
        <f t="shared" si="4"/>
        <v>0</v>
      </c>
      <c r="T32" s="906">
        <f t="shared" si="5"/>
        <v>0</v>
      </c>
      <c r="U32" s="906">
        <f t="shared" si="6"/>
        <v>0</v>
      </c>
      <c r="V32" s="1593"/>
    </row>
    <row r="33" spans="2:24" s="1518" customFormat="1">
      <c r="B33" s="1586" t="s">
        <v>1145</v>
      </c>
      <c r="C33" s="1587"/>
      <c r="D33" s="1589"/>
      <c r="E33" s="1588"/>
      <c r="F33" s="1596"/>
      <c r="G33" s="1588"/>
      <c r="H33" s="1290"/>
      <c r="I33" s="1290"/>
      <c r="J33" s="1290"/>
      <c r="K33" s="1290"/>
      <c r="L33" s="1290"/>
      <c r="M33" s="1290"/>
      <c r="N33" s="1290"/>
      <c r="O33" s="1290">
        <f t="shared" si="0"/>
        <v>0</v>
      </c>
      <c r="P33" s="906">
        <f t="shared" si="1"/>
        <v>0</v>
      </c>
      <c r="Q33" s="906">
        <f t="shared" si="2"/>
        <v>0</v>
      </c>
      <c r="R33" s="906">
        <f t="shared" si="3"/>
        <v>0</v>
      </c>
      <c r="S33" s="906">
        <f t="shared" si="4"/>
        <v>0</v>
      </c>
      <c r="T33" s="906">
        <f t="shared" si="5"/>
        <v>0</v>
      </c>
      <c r="U33" s="906">
        <f t="shared" si="6"/>
        <v>0</v>
      </c>
      <c r="V33" s="1590"/>
    </row>
    <row r="34" spans="2:24">
      <c r="B34" s="1586"/>
      <c r="C34" s="1587"/>
      <c r="D34" s="1589"/>
      <c r="E34" s="1588"/>
      <c r="F34" s="1596"/>
      <c r="G34" s="1588"/>
      <c r="H34" s="1290"/>
      <c r="I34" s="1290"/>
      <c r="J34" s="1290"/>
      <c r="K34" s="1290"/>
      <c r="L34" s="1290"/>
      <c r="M34" s="1290"/>
      <c r="N34" s="1290"/>
      <c r="O34" s="1290">
        <f t="shared" si="0"/>
        <v>0</v>
      </c>
      <c r="P34" s="906">
        <f t="shared" si="1"/>
        <v>0</v>
      </c>
      <c r="Q34" s="906">
        <f t="shared" si="2"/>
        <v>0</v>
      </c>
      <c r="R34" s="906">
        <f t="shared" si="3"/>
        <v>0</v>
      </c>
      <c r="S34" s="906">
        <f t="shared" si="4"/>
        <v>0</v>
      </c>
      <c r="T34" s="906">
        <f t="shared" si="5"/>
        <v>0</v>
      </c>
      <c r="U34" s="906">
        <f t="shared" si="6"/>
        <v>0</v>
      </c>
      <c r="V34" s="1590"/>
      <c r="X34" s="815">
        <v>58.52</v>
      </c>
    </row>
    <row r="35" spans="2:24">
      <c r="B35" s="1586"/>
      <c r="C35" s="1587"/>
      <c r="D35" s="1589"/>
      <c r="E35" s="1588"/>
      <c r="F35" s="1596"/>
      <c r="G35" s="1588"/>
      <c r="H35" s="1290"/>
      <c r="I35" s="1290"/>
      <c r="J35" s="1290"/>
      <c r="K35" s="1290"/>
      <c r="L35" s="1290"/>
      <c r="M35" s="1290"/>
      <c r="N35" s="1290"/>
      <c r="O35" s="1290">
        <f t="shared" si="0"/>
        <v>0</v>
      </c>
      <c r="P35" s="906">
        <f t="shared" si="1"/>
        <v>0</v>
      </c>
      <c r="Q35" s="906">
        <f t="shared" si="2"/>
        <v>0</v>
      </c>
      <c r="R35" s="906">
        <f t="shared" si="3"/>
        <v>0</v>
      </c>
      <c r="S35" s="906">
        <f t="shared" si="4"/>
        <v>0</v>
      </c>
      <c r="T35" s="906">
        <f t="shared" si="5"/>
        <v>0</v>
      </c>
      <c r="U35" s="906">
        <f t="shared" si="6"/>
        <v>0</v>
      </c>
      <c r="V35" s="1590"/>
      <c r="X35" s="1585">
        <f>K18+K22+K35</f>
        <v>0</v>
      </c>
    </row>
    <row r="36" spans="2:24">
      <c r="B36" s="1586"/>
      <c r="C36" s="1587"/>
      <c r="D36" s="1589"/>
      <c r="E36" s="1588"/>
      <c r="F36" s="1596"/>
      <c r="G36" s="1588"/>
      <c r="H36" s="1290"/>
      <c r="I36" s="1290"/>
      <c r="J36" s="1290"/>
      <c r="K36" s="1290"/>
      <c r="L36" s="1290"/>
      <c r="M36" s="1290"/>
      <c r="N36" s="1290"/>
      <c r="O36" s="1290">
        <f t="shared" si="0"/>
        <v>0</v>
      </c>
      <c r="P36" s="906">
        <f t="shared" si="1"/>
        <v>0</v>
      </c>
      <c r="Q36" s="906">
        <f t="shared" si="2"/>
        <v>0</v>
      </c>
      <c r="R36" s="906">
        <f t="shared" si="3"/>
        <v>0</v>
      </c>
      <c r="S36" s="906">
        <f t="shared" si="4"/>
        <v>0</v>
      </c>
      <c r="T36" s="906">
        <f t="shared" si="5"/>
        <v>0</v>
      </c>
      <c r="U36" s="906">
        <f t="shared" si="6"/>
        <v>0</v>
      </c>
      <c r="V36" s="1590"/>
      <c r="X36" s="1585">
        <f>X34-X35</f>
        <v>58.52</v>
      </c>
    </row>
    <row r="37" spans="2:24">
      <c r="B37" s="1591" t="s">
        <v>1146</v>
      </c>
      <c r="C37" s="1595"/>
      <c r="D37" s="1595"/>
      <c r="E37" s="1583"/>
      <c r="F37" s="1583"/>
      <c r="G37" s="1583">
        <f>SUM(G33:G36)</f>
        <v>0</v>
      </c>
      <c r="H37" s="1583">
        <f t="shared" ref="H37:N37" si="14">SUM(H33:H36)</f>
        <v>0</v>
      </c>
      <c r="I37" s="1583">
        <f t="shared" si="14"/>
        <v>0</v>
      </c>
      <c r="J37" s="1583">
        <f t="shared" si="14"/>
        <v>0</v>
      </c>
      <c r="K37" s="1583">
        <f t="shared" si="14"/>
        <v>0</v>
      </c>
      <c r="L37" s="1583">
        <f t="shared" si="14"/>
        <v>0</v>
      </c>
      <c r="M37" s="1583">
        <f t="shared" si="14"/>
        <v>0</v>
      </c>
      <c r="N37" s="1583">
        <f t="shared" si="14"/>
        <v>0</v>
      </c>
      <c r="O37" s="1290">
        <f t="shared" si="0"/>
        <v>0</v>
      </c>
      <c r="P37" s="906">
        <f t="shared" si="1"/>
        <v>0</v>
      </c>
      <c r="Q37" s="906">
        <f t="shared" si="2"/>
        <v>0</v>
      </c>
      <c r="R37" s="906">
        <f t="shared" si="3"/>
        <v>0</v>
      </c>
      <c r="S37" s="906">
        <f t="shared" si="4"/>
        <v>0</v>
      </c>
      <c r="T37" s="906">
        <f t="shared" si="5"/>
        <v>0</v>
      </c>
      <c r="U37" s="906">
        <f t="shared" si="6"/>
        <v>0</v>
      </c>
      <c r="V37" s="1593"/>
    </row>
    <row r="38" spans="2:24">
      <c r="B38" s="1586" t="s">
        <v>273</v>
      </c>
      <c r="C38" s="1597"/>
      <c r="D38" s="1588"/>
      <c r="E38" s="1588"/>
      <c r="F38" s="1596"/>
      <c r="G38" s="1588"/>
      <c r="H38" s="1598"/>
      <c r="I38" s="1588"/>
      <c r="J38" s="1588"/>
      <c r="K38" s="1588"/>
      <c r="L38" s="1598"/>
      <c r="M38" s="1598"/>
      <c r="N38" s="1598"/>
      <c r="O38" s="1290">
        <f t="shared" si="0"/>
        <v>0</v>
      </c>
      <c r="P38" s="906">
        <f t="shared" si="1"/>
        <v>0</v>
      </c>
      <c r="Q38" s="906">
        <f t="shared" si="2"/>
        <v>0</v>
      </c>
      <c r="R38" s="906">
        <f t="shared" si="3"/>
        <v>0</v>
      </c>
      <c r="S38" s="906">
        <f t="shared" si="4"/>
        <v>0</v>
      </c>
      <c r="T38" s="906">
        <f t="shared" si="5"/>
        <v>0</v>
      </c>
      <c r="U38" s="906">
        <f t="shared" si="6"/>
        <v>0</v>
      </c>
      <c r="V38" s="1590"/>
    </row>
    <row r="39" spans="2:24">
      <c r="B39" s="1591" t="s">
        <v>1147</v>
      </c>
      <c r="C39" s="1592"/>
      <c r="D39" s="1592"/>
      <c r="E39" s="1583"/>
      <c r="F39" s="1583"/>
      <c r="G39" s="1583">
        <f>G38</f>
        <v>0</v>
      </c>
      <c r="H39" s="1583">
        <f t="shared" ref="H39:N39" si="15">H38</f>
        <v>0</v>
      </c>
      <c r="I39" s="1583">
        <f t="shared" si="15"/>
        <v>0</v>
      </c>
      <c r="J39" s="1583">
        <f t="shared" si="15"/>
        <v>0</v>
      </c>
      <c r="K39" s="1583">
        <f t="shared" si="15"/>
        <v>0</v>
      </c>
      <c r="L39" s="1583">
        <f t="shared" si="15"/>
        <v>0</v>
      </c>
      <c r="M39" s="1583">
        <f t="shared" si="15"/>
        <v>0</v>
      </c>
      <c r="N39" s="1583">
        <f t="shared" si="15"/>
        <v>0</v>
      </c>
      <c r="O39" s="1290">
        <f t="shared" si="0"/>
        <v>0</v>
      </c>
      <c r="P39" s="906">
        <f t="shared" si="1"/>
        <v>0</v>
      </c>
      <c r="Q39" s="906">
        <f t="shared" si="2"/>
        <v>0</v>
      </c>
      <c r="R39" s="906">
        <f t="shared" si="3"/>
        <v>0</v>
      </c>
      <c r="S39" s="906">
        <f t="shared" si="4"/>
        <v>0</v>
      </c>
      <c r="T39" s="906">
        <f t="shared" si="5"/>
        <v>0</v>
      </c>
      <c r="U39" s="906">
        <f t="shared" si="6"/>
        <v>0</v>
      </c>
      <c r="V39" s="1593"/>
    </row>
    <row r="40" spans="2:24">
      <c r="B40" s="1521"/>
      <c r="C40" s="1480"/>
      <c r="D40" s="1480"/>
      <c r="E40" s="1480"/>
      <c r="F40" s="1480"/>
      <c r="G40" s="1480"/>
      <c r="H40" s="1480"/>
      <c r="I40" s="1480"/>
      <c r="J40" s="1480"/>
      <c r="K40" s="1480"/>
      <c r="L40" s="1480"/>
      <c r="M40" s="1480"/>
      <c r="N40" s="1480"/>
      <c r="O40" s="1290"/>
      <c r="P40" s="906"/>
      <c r="Q40" s="906"/>
      <c r="R40" s="906"/>
      <c r="S40" s="906"/>
      <c r="T40" s="906"/>
      <c r="U40" s="906"/>
      <c r="V40" s="1590"/>
    </row>
    <row r="41" spans="2:24">
      <c r="B41" s="1591" t="s">
        <v>465</v>
      </c>
      <c r="C41" s="1599"/>
      <c r="D41" s="1599"/>
      <c r="E41" s="1583"/>
      <c r="F41" s="1599"/>
      <c r="G41" s="1583">
        <f>G37+G39</f>
        <v>0</v>
      </c>
      <c r="H41" s="1583">
        <f t="shared" ref="H41:N41" si="16">H37+H39</f>
        <v>0</v>
      </c>
      <c r="I41" s="1583">
        <f t="shared" si="16"/>
        <v>0</v>
      </c>
      <c r="J41" s="1583">
        <f t="shared" si="16"/>
        <v>0</v>
      </c>
      <c r="K41" s="1583">
        <f t="shared" si="16"/>
        <v>0</v>
      </c>
      <c r="L41" s="1583">
        <f t="shared" si="16"/>
        <v>0</v>
      </c>
      <c r="M41" s="1583">
        <f t="shared" si="16"/>
        <v>0</v>
      </c>
      <c r="N41" s="1583">
        <f t="shared" si="16"/>
        <v>0</v>
      </c>
      <c r="O41" s="1290">
        <f t="shared" si="0"/>
        <v>0</v>
      </c>
      <c r="P41" s="906">
        <f t="shared" si="1"/>
        <v>0</v>
      </c>
      <c r="Q41" s="906">
        <f t="shared" si="2"/>
        <v>0</v>
      </c>
      <c r="R41" s="906">
        <f t="shared" si="3"/>
        <v>0</v>
      </c>
      <c r="S41" s="906">
        <f t="shared" si="4"/>
        <v>0</v>
      </c>
      <c r="T41" s="906">
        <f t="shared" si="5"/>
        <v>0</v>
      </c>
      <c r="U41" s="906">
        <f t="shared" si="6"/>
        <v>0</v>
      </c>
      <c r="V41" s="1593"/>
    </row>
    <row r="43" spans="2:24">
      <c r="I43" s="1585"/>
      <c r="K43" s="1585"/>
    </row>
  </sheetData>
  <mergeCells count="9">
    <mergeCell ref="C3:V3"/>
    <mergeCell ref="B5:V5"/>
    <mergeCell ref="B7:B8"/>
    <mergeCell ref="C7:C8"/>
    <mergeCell ref="D7:D8"/>
    <mergeCell ref="H7:I7"/>
    <mergeCell ref="J7:O7"/>
    <mergeCell ref="P7:T7"/>
    <mergeCell ref="V7:V8"/>
  </mergeCells>
  <conditionalFormatting sqref="C40:C41">
    <cfRule type="colorScale" priority="1">
      <colorScale>
        <cfvo type="min" val="0"/>
        <cfvo type="percentile" val="50"/>
        <cfvo type="max" val="0"/>
        <color rgb="FFF8696B"/>
        <color rgb="FFFFEB84"/>
        <color rgb="FF63BE7B"/>
      </colorScale>
    </cfRule>
  </conditionalFormatting>
  <dataValidations count="1">
    <dataValidation type="decimal" allowBlank="1" showInputMessage="1" showErrorMessage="1" sqref="R1:R8 L8:L363 I37:K363 J10:K36 I8:I36 J8:J9 K8 S1:U1048576 E6:G65535 N1:Q1048576 I1:L7 H1:H2 H4:H8 I364:L1048576 M10:M65535 H10:H65535 E1:G4 R10:R65535 M1:M8">
      <formula1>-999999999999999000000</formula1>
      <formula2>9.99999999999999E+29</formula2>
    </dataValidation>
  </dataValidations>
  <hyperlinks>
    <hyperlink ref="A1" location="Index!A1" display="Index sheet"/>
  </hyperlinks>
  <printOptions horizontalCentered="1"/>
  <pageMargins left="0.51181102362204722" right="0.51181102362204722" top="0.51181102362204722" bottom="0.51181102362204722" header="0.23622047244094491" footer="0.23622047244094491"/>
  <pageSetup paperSize="9" scale="80" fitToHeight="8" orientation="landscape" blackAndWhite="1" r:id="rId1"/>
  <headerFooter alignWithMargins="0"/>
  <rowBreaks count="1" manualBreakCount="1">
    <brk id="58" min="1" max="21" man="1"/>
  </rowBreaks>
</worksheet>
</file>

<file path=xl/worksheets/sheet10.xml><?xml version="1.0" encoding="utf-8"?>
<worksheet xmlns="http://schemas.openxmlformats.org/spreadsheetml/2006/main" xmlns:r="http://schemas.openxmlformats.org/officeDocument/2006/relationships">
  <sheetPr codeName="Sheet9">
    <pageSetUpPr fitToPage="1"/>
  </sheetPr>
  <dimension ref="A1:AL43"/>
  <sheetViews>
    <sheetView view="pageBreakPreview" topLeftCell="A4" zoomScaleSheetLayoutView="100" workbookViewId="0">
      <selection activeCell="C18" sqref="C18:G18"/>
    </sheetView>
  </sheetViews>
  <sheetFormatPr defaultColWidth="14" defaultRowHeight="12.75"/>
  <cols>
    <col min="1" max="1" width="1.5703125" style="815" customWidth="1"/>
    <col min="2" max="2" width="24.28515625" style="815" bestFit="1" customWidth="1"/>
    <col min="3" max="3" width="17" style="815" customWidth="1"/>
    <col min="4" max="5" width="7.7109375" style="815" bestFit="1" customWidth="1"/>
    <col min="6" max="7" width="8.28515625" style="815" bestFit="1" customWidth="1"/>
    <col min="8" max="8" width="9.85546875" style="815" bestFit="1" customWidth="1"/>
    <col min="9" max="9" width="7.85546875" style="815" bestFit="1" customWidth="1"/>
    <col min="10" max="10" width="5.140625" style="815" bestFit="1" customWidth="1"/>
    <col min="11" max="11" width="7.7109375" style="815" bestFit="1" customWidth="1"/>
    <col min="12" max="12" width="8" style="815" bestFit="1" customWidth="1"/>
    <col min="13" max="13" width="4.85546875" style="815" bestFit="1" customWidth="1"/>
    <col min="14" max="14" width="6.5703125" style="815" bestFit="1" customWidth="1"/>
    <col min="15" max="15" width="5.42578125" style="815" bestFit="1" customWidth="1"/>
    <col min="16" max="16" width="5.140625" style="815" bestFit="1" customWidth="1"/>
    <col min="17" max="17" width="8.85546875" style="815" bestFit="1" customWidth="1"/>
    <col min="18" max="18" width="4.42578125" style="815" bestFit="1" customWidth="1"/>
    <col min="19" max="19" width="6.5703125" style="815" bestFit="1" customWidth="1"/>
    <col min="20" max="20" width="7.7109375" style="815" bestFit="1" customWidth="1"/>
    <col min="21" max="21" width="5.42578125" style="815" bestFit="1" customWidth="1"/>
    <col min="22" max="22" width="8.28515625" style="815" bestFit="1" customWidth="1"/>
    <col min="23" max="23" width="14" style="815"/>
    <col min="24" max="24" width="0" style="815" hidden="1" customWidth="1"/>
    <col min="25" max="256" width="14" style="815"/>
    <col min="257" max="257" width="9" style="815" bestFit="1" customWidth="1"/>
    <col min="258" max="258" width="27" style="815" customWidth="1"/>
    <col min="259" max="259" width="14" style="815" customWidth="1"/>
    <col min="260" max="260" width="16.140625" style="815" customWidth="1"/>
    <col min="261" max="261" width="9.85546875" style="815" customWidth="1"/>
    <col min="262" max="262" width="10.5703125" style="815" customWidth="1"/>
    <col min="263" max="263" width="11" style="815" customWidth="1"/>
    <col min="264" max="264" width="14.42578125" style="815" customWidth="1"/>
    <col min="265" max="265" width="13" style="815" customWidth="1"/>
    <col min="266" max="266" width="10.140625" style="815" customWidth="1"/>
    <col min="267" max="267" width="9.140625" style="815" customWidth="1"/>
    <col min="268" max="268" width="8.140625" style="815" bestFit="1" customWidth="1"/>
    <col min="269" max="269" width="6.85546875" style="815" bestFit="1" customWidth="1"/>
    <col min="270" max="270" width="6.42578125" style="815" bestFit="1" customWidth="1"/>
    <col min="271" max="271" width="11.5703125" style="815" customWidth="1"/>
    <col min="272" max="272" width="8" style="815" customWidth="1"/>
    <col min="273" max="273" width="7.85546875" style="815" customWidth="1"/>
    <col min="274" max="274" width="8.7109375" style="815" customWidth="1"/>
    <col min="275" max="275" width="8" style="815" customWidth="1"/>
    <col min="276" max="276" width="7.5703125" style="815" customWidth="1"/>
    <col min="277" max="277" width="9.140625" style="815" customWidth="1"/>
    <col min="278" max="278" width="10.140625" style="815" customWidth="1"/>
    <col min="279" max="512" width="14" style="815"/>
    <col min="513" max="513" width="9" style="815" bestFit="1" customWidth="1"/>
    <col min="514" max="514" width="27" style="815" customWidth="1"/>
    <col min="515" max="515" width="14" style="815" customWidth="1"/>
    <col min="516" max="516" width="16.140625" style="815" customWidth="1"/>
    <col min="517" max="517" width="9.85546875" style="815" customWidth="1"/>
    <col min="518" max="518" width="10.5703125" style="815" customWidth="1"/>
    <col min="519" max="519" width="11" style="815" customWidth="1"/>
    <col min="520" max="520" width="14.42578125" style="815" customWidth="1"/>
    <col min="521" max="521" width="13" style="815" customWidth="1"/>
    <col min="522" max="522" width="10.140625" style="815" customWidth="1"/>
    <col min="523" max="523" width="9.140625" style="815" customWidth="1"/>
    <col min="524" max="524" width="8.140625" style="815" bestFit="1" customWidth="1"/>
    <col min="525" max="525" width="6.85546875" style="815" bestFit="1" customWidth="1"/>
    <col min="526" max="526" width="6.42578125" style="815" bestFit="1" customWidth="1"/>
    <col min="527" max="527" width="11.5703125" style="815" customWidth="1"/>
    <col min="528" max="528" width="8" style="815" customWidth="1"/>
    <col min="529" max="529" width="7.85546875" style="815" customWidth="1"/>
    <col min="530" max="530" width="8.7109375" style="815" customWidth="1"/>
    <col min="531" max="531" width="8" style="815" customWidth="1"/>
    <col min="532" max="532" width="7.5703125" style="815" customWidth="1"/>
    <col min="533" max="533" width="9.140625" style="815" customWidth="1"/>
    <col min="534" max="534" width="10.140625" style="815" customWidth="1"/>
    <col min="535" max="768" width="14" style="815"/>
    <col min="769" max="769" width="9" style="815" bestFit="1" customWidth="1"/>
    <col min="770" max="770" width="27" style="815" customWidth="1"/>
    <col min="771" max="771" width="14" style="815" customWidth="1"/>
    <col min="772" max="772" width="16.140625" style="815" customWidth="1"/>
    <col min="773" max="773" width="9.85546875" style="815" customWidth="1"/>
    <col min="774" max="774" width="10.5703125" style="815" customWidth="1"/>
    <col min="775" max="775" width="11" style="815" customWidth="1"/>
    <col min="776" max="776" width="14.42578125" style="815" customWidth="1"/>
    <col min="777" max="777" width="13" style="815" customWidth="1"/>
    <col min="778" max="778" width="10.140625" style="815" customWidth="1"/>
    <col min="779" max="779" width="9.140625" style="815" customWidth="1"/>
    <col min="780" max="780" width="8.140625" style="815" bestFit="1" customWidth="1"/>
    <col min="781" max="781" width="6.85546875" style="815" bestFit="1" customWidth="1"/>
    <col min="782" max="782" width="6.42578125" style="815" bestFit="1" customWidth="1"/>
    <col min="783" max="783" width="11.5703125" style="815" customWidth="1"/>
    <col min="784" max="784" width="8" style="815" customWidth="1"/>
    <col min="785" max="785" width="7.85546875" style="815" customWidth="1"/>
    <col min="786" max="786" width="8.7109375" style="815" customWidth="1"/>
    <col min="787" max="787" width="8" style="815" customWidth="1"/>
    <col min="788" max="788" width="7.5703125" style="815" customWidth="1"/>
    <col min="789" max="789" width="9.140625" style="815" customWidth="1"/>
    <col min="790" max="790" width="10.140625" style="815" customWidth="1"/>
    <col min="791" max="1024" width="14" style="815"/>
    <col min="1025" max="1025" width="9" style="815" bestFit="1" customWidth="1"/>
    <col min="1026" max="1026" width="27" style="815" customWidth="1"/>
    <col min="1027" max="1027" width="14" style="815" customWidth="1"/>
    <col min="1028" max="1028" width="16.140625" style="815" customWidth="1"/>
    <col min="1029" max="1029" width="9.85546875" style="815" customWidth="1"/>
    <col min="1030" max="1030" width="10.5703125" style="815" customWidth="1"/>
    <col min="1031" max="1031" width="11" style="815" customWidth="1"/>
    <col min="1032" max="1032" width="14.42578125" style="815" customWidth="1"/>
    <col min="1033" max="1033" width="13" style="815" customWidth="1"/>
    <col min="1034" max="1034" width="10.140625" style="815" customWidth="1"/>
    <col min="1035" max="1035" width="9.140625" style="815" customWidth="1"/>
    <col min="1036" max="1036" width="8.140625" style="815" bestFit="1" customWidth="1"/>
    <col min="1037" max="1037" width="6.85546875" style="815" bestFit="1" customWidth="1"/>
    <col min="1038" max="1038" width="6.42578125" style="815" bestFit="1" customWidth="1"/>
    <col min="1039" max="1039" width="11.5703125" style="815" customWidth="1"/>
    <col min="1040" max="1040" width="8" style="815" customWidth="1"/>
    <col min="1041" max="1041" width="7.85546875" style="815" customWidth="1"/>
    <col min="1042" max="1042" width="8.7109375" style="815" customWidth="1"/>
    <col min="1043" max="1043" width="8" style="815" customWidth="1"/>
    <col min="1044" max="1044" width="7.5703125" style="815" customWidth="1"/>
    <col min="1045" max="1045" width="9.140625" style="815" customWidth="1"/>
    <col min="1046" max="1046" width="10.140625" style="815" customWidth="1"/>
    <col min="1047" max="1280" width="14" style="815"/>
    <col min="1281" max="1281" width="9" style="815" bestFit="1" customWidth="1"/>
    <col min="1282" max="1282" width="27" style="815" customWidth="1"/>
    <col min="1283" max="1283" width="14" style="815" customWidth="1"/>
    <col min="1284" max="1284" width="16.140625" style="815" customWidth="1"/>
    <col min="1285" max="1285" width="9.85546875" style="815" customWidth="1"/>
    <col min="1286" max="1286" width="10.5703125" style="815" customWidth="1"/>
    <col min="1287" max="1287" width="11" style="815" customWidth="1"/>
    <col min="1288" max="1288" width="14.42578125" style="815" customWidth="1"/>
    <col min="1289" max="1289" width="13" style="815" customWidth="1"/>
    <col min="1290" max="1290" width="10.140625" style="815" customWidth="1"/>
    <col min="1291" max="1291" width="9.140625" style="815" customWidth="1"/>
    <col min="1292" max="1292" width="8.140625" style="815" bestFit="1" customWidth="1"/>
    <col min="1293" max="1293" width="6.85546875" style="815" bestFit="1" customWidth="1"/>
    <col min="1294" max="1294" width="6.42578125" style="815" bestFit="1" customWidth="1"/>
    <col min="1295" max="1295" width="11.5703125" style="815" customWidth="1"/>
    <col min="1296" max="1296" width="8" style="815" customWidth="1"/>
    <col min="1297" max="1297" width="7.85546875" style="815" customWidth="1"/>
    <col min="1298" max="1298" width="8.7109375" style="815" customWidth="1"/>
    <col min="1299" max="1299" width="8" style="815" customWidth="1"/>
    <col min="1300" max="1300" width="7.5703125" style="815" customWidth="1"/>
    <col min="1301" max="1301" width="9.140625" style="815" customWidth="1"/>
    <col min="1302" max="1302" width="10.140625" style="815" customWidth="1"/>
    <col min="1303" max="1536" width="14" style="815"/>
    <col min="1537" max="1537" width="9" style="815" bestFit="1" customWidth="1"/>
    <col min="1538" max="1538" width="27" style="815" customWidth="1"/>
    <col min="1539" max="1539" width="14" style="815" customWidth="1"/>
    <col min="1540" max="1540" width="16.140625" style="815" customWidth="1"/>
    <col min="1541" max="1541" width="9.85546875" style="815" customWidth="1"/>
    <col min="1542" max="1542" width="10.5703125" style="815" customWidth="1"/>
    <col min="1543" max="1543" width="11" style="815" customWidth="1"/>
    <col min="1544" max="1544" width="14.42578125" style="815" customWidth="1"/>
    <col min="1545" max="1545" width="13" style="815" customWidth="1"/>
    <col min="1546" max="1546" width="10.140625" style="815" customWidth="1"/>
    <col min="1547" max="1547" width="9.140625" style="815" customWidth="1"/>
    <col min="1548" max="1548" width="8.140625" style="815" bestFit="1" customWidth="1"/>
    <col min="1549" max="1549" width="6.85546875" style="815" bestFit="1" customWidth="1"/>
    <col min="1550" max="1550" width="6.42578125" style="815" bestFit="1" customWidth="1"/>
    <col min="1551" max="1551" width="11.5703125" style="815" customWidth="1"/>
    <col min="1552" max="1552" width="8" style="815" customWidth="1"/>
    <col min="1553" max="1553" width="7.85546875" style="815" customWidth="1"/>
    <col min="1554" max="1554" width="8.7109375" style="815" customWidth="1"/>
    <col min="1555" max="1555" width="8" style="815" customWidth="1"/>
    <col min="1556" max="1556" width="7.5703125" style="815" customWidth="1"/>
    <col min="1557" max="1557" width="9.140625" style="815" customWidth="1"/>
    <col min="1558" max="1558" width="10.140625" style="815" customWidth="1"/>
    <col min="1559" max="1792" width="14" style="815"/>
    <col min="1793" max="1793" width="9" style="815" bestFit="1" customWidth="1"/>
    <col min="1794" max="1794" width="27" style="815" customWidth="1"/>
    <col min="1795" max="1795" width="14" style="815" customWidth="1"/>
    <col min="1796" max="1796" width="16.140625" style="815" customWidth="1"/>
    <col min="1797" max="1797" width="9.85546875" style="815" customWidth="1"/>
    <col min="1798" max="1798" width="10.5703125" style="815" customWidth="1"/>
    <col min="1799" max="1799" width="11" style="815" customWidth="1"/>
    <col min="1800" max="1800" width="14.42578125" style="815" customWidth="1"/>
    <col min="1801" max="1801" width="13" style="815" customWidth="1"/>
    <col min="1802" max="1802" width="10.140625" style="815" customWidth="1"/>
    <col min="1803" max="1803" width="9.140625" style="815" customWidth="1"/>
    <col min="1804" max="1804" width="8.140625" style="815" bestFit="1" customWidth="1"/>
    <col min="1805" max="1805" width="6.85546875" style="815" bestFit="1" customWidth="1"/>
    <col min="1806" max="1806" width="6.42578125" style="815" bestFit="1" customWidth="1"/>
    <col min="1807" max="1807" width="11.5703125" style="815" customWidth="1"/>
    <col min="1808" max="1808" width="8" style="815" customWidth="1"/>
    <col min="1809" max="1809" width="7.85546875" style="815" customWidth="1"/>
    <col min="1810" max="1810" width="8.7109375" style="815" customWidth="1"/>
    <col min="1811" max="1811" width="8" style="815" customWidth="1"/>
    <col min="1812" max="1812" width="7.5703125" style="815" customWidth="1"/>
    <col min="1813" max="1813" width="9.140625" style="815" customWidth="1"/>
    <col min="1814" max="1814" width="10.140625" style="815" customWidth="1"/>
    <col min="1815" max="2048" width="14" style="815"/>
    <col min="2049" max="2049" width="9" style="815" bestFit="1" customWidth="1"/>
    <col min="2050" max="2050" width="27" style="815" customWidth="1"/>
    <col min="2051" max="2051" width="14" style="815" customWidth="1"/>
    <col min="2052" max="2052" width="16.140625" style="815" customWidth="1"/>
    <col min="2053" max="2053" width="9.85546875" style="815" customWidth="1"/>
    <col min="2054" max="2054" width="10.5703125" style="815" customWidth="1"/>
    <col min="2055" max="2055" width="11" style="815" customWidth="1"/>
    <col min="2056" max="2056" width="14.42578125" style="815" customWidth="1"/>
    <col min="2057" max="2057" width="13" style="815" customWidth="1"/>
    <col min="2058" max="2058" width="10.140625" style="815" customWidth="1"/>
    <col min="2059" max="2059" width="9.140625" style="815" customWidth="1"/>
    <col min="2060" max="2060" width="8.140625" style="815" bestFit="1" customWidth="1"/>
    <col min="2061" max="2061" width="6.85546875" style="815" bestFit="1" customWidth="1"/>
    <col min="2062" max="2062" width="6.42578125" style="815" bestFit="1" customWidth="1"/>
    <col min="2063" max="2063" width="11.5703125" style="815" customWidth="1"/>
    <col min="2064" max="2064" width="8" style="815" customWidth="1"/>
    <col min="2065" max="2065" width="7.85546875" style="815" customWidth="1"/>
    <col min="2066" max="2066" width="8.7109375" style="815" customWidth="1"/>
    <col min="2067" max="2067" width="8" style="815" customWidth="1"/>
    <col min="2068" max="2068" width="7.5703125" style="815" customWidth="1"/>
    <col min="2069" max="2069" width="9.140625" style="815" customWidth="1"/>
    <col min="2070" max="2070" width="10.140625" style="815" customWidth="1"/>
    <col min="2071" max="2304" width="14" style="815"/>
    <col min="2305" max="2305" width="9" style="815" bestFit="1" customWidth="1"/>
    <col min="2306" max="2306" width="27" style="815" customWidth="1"/>
    <col min="2307" max="2307" width="14" style="815" customWidth="1"/>
    <col min="2308" max="2308" width="16.140625" style="815" customWidth="1"/>
    <col min="2309" max="2309" width="9.85546875" style="815" customWidth="1"/>
    <col min="2310" max="2310" width="10.5703125" style="815" customWidth="1"/>
    <col min="2311" max="2311" width="11" style="815" customWidth="1"/>
    <col min="2312" max="2312" width="14.42578125" style="815" customWidth="1"/>
    <col min="2313" max="2313" width="13" style="815" customWidth="1"/>
    <col min="2314" max="2314" width="10.140625" style="815" customWidth="1"/>
    <col min="2315" max="2315" width="9.140625" style="815" customWidth="1"/>
    <col min="2316" max="2316" width="8.140625" style="815" bestFit="1" customWidth="1"/>
    <col min="2317" max="2317" width="6.85546875" style="815" bestFit="1" customWidth="1"/>
    <col min="2318" max="2318" width="6.42578125" style="815" bestFit="1" customWidth="1"/>
    <col min="2319" max="2319" width="11.5703125" style="815" customWidth="1"/>
    <col min="2320" max="2320" width="8" style="815" customWidth="1"/>
    <col min="2321" max="2321" width="7.85546875" style="815" customWidth="1"/>
    <col min="2322" max="2322" width="8.7109375" style="815" customWidth="1"/>
    <col min="2323" max="2323" width="8" style="815" customWidth="1"/>
    <col min="2324" max="2324" width="7.5703125" style="815" customWidth="1"/>
    <col min="2325" max="2325" width="9.140625" style="815" customWidth="1"/>
    <col min="2326" max="2326" width="10.140625" style="815" customWidth="1"/>
    <col min="2327" max="2560" width="14" style="815"/>
    <col min="2561" max="2561" width="9" style="815" bestFit="1" customWidth="1"/>
    <col min="2562" max="2562" width="27" style="815" customWidth="1"/>
    <col min="2563" max="2563" width="14" style="815" customWidth="1"/>
    <col min="2564" max="2564" width="16.140625" style="815" customWidth="1"/>
    <col min="2565" max="2565" width="9.85546875" style="815" customWidth="1"/>
    <col min="2566" max="2566" width="10.5703125" style="815" customWidth="1"/>
    <col min="2567" max="2567" width="11" style="815" customWidth="1"/>
    <col min="2568" max="2568" width="14.42578125" style="815" customWidth="1"/>
    <col min="2569" max="2569" width="13" style="815" customWidth="1"/>
    <col min="2570" max="2570" width="10.140625" style="815" customWidth="1"/>
    <col min="2571" max="2571" width="9.140625" style="815" customWidth="1"/>
    <col min="2572" max="2572" width="8.140625" style="815" bestFit="1" customWidth="1"/>
    <col min="2573" max="2573" width="6.85546875" style="815" bestFit="1" customWidth="1"/>
    <col min="2574" max="2574" width="6.42578125" style="815" bestFit="1" customWidth="1"/>
    <col min="2575" max="2575" width="11.5703125" style="815" customWidth="1"/>
    <col min="2576" max="2576" width="8" style="815" customWidth="1"/>
    <col min="2577" max="2577" width="7.85546875" style="815" customWidth="1"/>
    <col min="2578" max="2578" width="8.7109375" style="815" customWidth="1"/>
    <col min="2579" max="2579" width="8" style="815" customWidth="1"/>
    <col min="2580" max="2580" width="7.5703125" style="815" customWidth="1"/>
    <col min="2581" max="2581" width="9.140625" style="815" customWidth="1"/>
    <col min="2582" max="2582" width="10.140625" style="815" customWidth="1"/>
    <col min="2583" max="2816" width="14" style="815"/>
    <col min="2817" max="2817" width="9" style="815" bestFit="1" customWidth="1"/>
    <col min="2818" max="2818" width="27" style="815" customWidth="1"/>
    <col min="2819" max="2819" width="14" style="815" customWidth="1"/>
    <col min="2820" max="2820" width="16.140625" style="815" customWidth="1"/>
    <col min="2821" max="2821" width="9.85546875" style="815" customWidth="1"/>
    <col min="2822" max="2822" width="10.5703125" style="815" customWidth="1"/>
    <col min="2823" max="2823" width="11" style="815" customWidth="1"/>
    <col min="2824" max="2824" width="14.42578125" style="815" customWidth="1"/>
    <col min="2825" max="2825" width="13" style="815" customWidth="1"/>
    <col min="2826" max="2826" width="10.140625" style="815" customWidth="1"/>
    <col min="2827" max="2827" width="9.140625" style="815" customWidth="1"/>
    <col min="2828" max="2828" width="8.140625" style="815" bestFit="1" customWidth="1"/>
    <col min="2829" max="2829" width="6.85546875" style="815" bestFit="1" customWidth="1"/>
    <col min="2830" max="2830" width="6.42578125" style="815" bestFit="1" customWidth="1"/>
    <col min="2831" max="2831" width="11.5703125" style="815" customWidth="1"/>
    <col min="2832" max="2832" width="8" style="815" customWidth="1"/>
    <col min="2833" max="2833" width="7.85546875" style="815" customWidth="1"/>
    <col min="2834" max="2834" width="8.7109375" style="815" customWidth="1"/>
    <col min="2835" max="2835" width="8" style="815" customWidth="1"/>
    <col min="2836" max="2836" width="7.5703125" style="815" customWidth="1"/>
    <col min="2837" max="2837" width="9.140625" style="815" customWidth="1"/>
    <col min="2838" max="2838" width="10.140625" style="815" customWidth="1"/>
    <col min="2839" max="3072" width="14" style="815"/>
    <col min="3073" max="3073" width="9" style="815" bestFit="1" customWidth="1"/>
    <col min="3074" max="3074" width="27" style="815" customWidth="1"/>
    <col min="3075" max="3075" width="14" style="815" customWidth="1"/>
    <col min="3076" max="3076" width="16.140625" style="815" customWidth="1"/>
    <col min="3077" max="3077" width="9.85546875" style="815" customWidth="1"/>
    <col min="3078" max="3078" width="10.5703125" style="815" customWidth="1"/>
    <col min="3079" max="3079" width="11" style="815" customWidth="1"/>
    <col min="3080" max="3080" width="14.42578125" style="815" customWidth="1"/>
    <col min="3081" max="3081" width="13" style="815" customWidth="1"/>
    <col min="3082" max="3082" width="10.140625" style="815" customWidth="1"/>
    <col min="3083" max="3083" width="9.140625" style="815" customWidth="1"/>
    <col min="3084" max="3084" width="8.140625" style="815" bestFit="1" customWidth="1"/>
    <col min="3085" max="3085" width="6.85546875" style="815" bestFit="1" customWidth="1"/>
    <col min="3086" max="3086" width="6.42578125" style="815" bestFit="1" customWidth="1"/>
    <col min="3087" max="3087" width="11.5703125" style="815" customWidth="1"/>
    <col min="3088" max="3088" width="8" style="815" customWidth="1"/>
    <col min="3089" max="3089" width="7.85546875" style="815" customWidth="1"/>
    <col min="3090" max="3090" width="8.7109375" style="815" customWidth="1"/>
    <col min="3091" max="3091" width="8" style="815" customWidth="1"/>
    <col min="3092" max="3092" width="7.5703125" style="815" customWidth="1"/>
    <col min="3093" max="3093" width="9.140625" style="815" customWidth="1"/>
    <col min="3094" max="3094" width="10.140625" style="815" customWidth="1"/>
    <col min="3095" max="3328" width="14" style="815"/>
    <col min="3329" max="3329" width="9" style="815" bestFit="1" customWidth="1"/>
    <col min="3330" max="3330" width="27" style="815" customWidth="1"/>
    <col min="3331" max="3331" width="14" style="815" customWidth="1"/>
    <col min="3332" max="3332" width="16.140625" style="815" customWidth="1"/>
    <col min="3333" max="3333" width="9.85546875" style="815" customWidth="1"/>
    <col min="3334" max="3334" width="10.5703125" style="815" customWidth="1"/>
    <col min="3335" max="3335" width="11" style="815" customWidth="1"/>
    <col min="3336" max="3336" width="14.42578125" style="815" customWidth="1"/>
    <col min="3337" max="3337" width="13" style="815" customWidth="1"/>
    <col min="3338" max="3338" width="10.140625" style="815" customWidth="1"/>
    <col min="3339" max="3339" width="9.140625" style="815" customWidth="1"/>
    <col min="3340" max="3340" width="8.140625" style="815" bestFit="1" customWidth="1"/>
    <col min="3341" max="3341" width="6.85546875" style="815" bestFit="1" customWidth="1"/>
    <col min="3342" max="3342" width="6.42578125" style="815" bestFit="1" customWidth="1"/>
    <col min="3343" max="3343" width="11.5703125" style="815" customWidth="1"/>
    <col min="3344" max="3344" width="8" style="815" customWidth="1"/>
    <col min="3345" max="3345" width="7.85546875" style="815" customWidth="1"/>
    <col min="3346" max="3346" width="8.7109375" style="815" customWidth="1"/>
    <col min="3347" max="3347" width="8" style="815" customWidth="1"/>
    <col min="3348" max="3348" width="7.5703125" style="815" customWidth="1"/>
    <col min="3349" max="3349" width="9.140625" style="815" customWidth="1"/>
    <col min="3350" max="3350" width="10.140625" style="815" customWidth="1"/>
    <col min="3351" max="3584" width="14" style="815"/>
    <col min="3585" max="3585" width="9" style="815" bestFit="1" customWidth="1"/>
    <col min="3586" max="3586" width="27" style="815" customWidth="1"/>
    <col min="3587" max="3587" width="14" style="815" customWidth="1"/>
    <col min="3588" max="3588" width="16.140625" style="815" customWidth="1"/>
    <col min="3589" max="3589" width="9.85546875" style="815" customWidth="1"/>
    <col min="3590" max="3590" width="10.5703125" style="815" customWidth="1"/>
    <col min="3591" max="3591" width="11" style="815" customWidth="1"/>
    <col min="3592" max="3592" width="14.42578125" style="815" customWidth="1"/>
    <col min="3593" max="3593" width="13" style="815" customWidth="1"/>
    <col min="3594" max="3594" width="10.140625" style="815" customWidth="1"/>
    <col min="3595" max="3595" width="9.140625" style="815" customWidth="1"/>
    <col min="3596" max="3596" width="8.140625" style="815" bestFit="1" customWidth="1"/>
    <col min="3597" max="3597" width="6.85546875" style="815" bestFit="1" customWidth="1"/>
    <col min="3598" max="3598" width="6.42578125" style="815" bestFit="1" customWidth="1"/>
    <col min="3599" max="3599" width="11.5703125" style="815" customWidth="1"/>
    <col min="3600" max="3600" width="8" style="815" customWidth="1"/>
    <col min="3601" max="3601" width="7.85546875" style="815" customWidth="1"/>
    <col min="3602" max="3602" width="8.7109375" style="815" customWidth="1"/>
    <col min="3603" max="3603" width="8" style="815" customWidth="1"/>
    <col min="3604" max="3604" width="7.5703125" style="815" customWidth="1"/>
    <col min="3605" max="3605" width="9.140625" style="815" customWidth="1"/>
    <col min="3606" max="3606" width="10.140625" style="815" customWidth="1"/>
    <col min="3607" max="3840" width="14" style="815"/>
    <col min="3841" max="3841" width="9" style="815" bestFit="1" customWidth="1"/>
    <col min="3842" max="3842" width="27" style="815" customWidth="1"/>
    <col min="3843" max="3843" width="14" style="815" customWidth="1"/>
    <col min="3844" max="3844" width="16.140625" style="815" customWidth="1"/>
    <col min="3845" max="3845" width="9.85546875" style="815" customWidth="1"/>
    <col min="3846" max="3846" width="10.5703125" style="815" customWidth="1"/>
    <col min="3847" max="3847" width="11" style="815" customWidth="1"/>
    <col min="3848" max="3848" width="14.42578125" style="815" customWidth="1"/>
    <col min="3849" max="3849" width="13" style="815" customWidth="1"/>
    <col min="3850" max="3850" width="10.140625" style="815" customWidth="1"/>
    <col min="3851" max="3851" width="9.140625" style="815" customWidth="1"/>
    <col min="3852" max="3852" width="8.140625" style="815" bestFit="1" customWidth="1"/>
    <col min="3853" max="3853" width="6.85546875" style="815" bestFit="1" customWidth="1"/>
    <col min="3854" max="3854" width="6.42578125" style="815" bestFit="1" customWidth="1"/>
    <col min="3855" max="3855" width="11.5703125" style="815" customWidth="1"/>
    <col min="3856" max="3856" width="8" style="815" customWidth="1"/>
    <col min="3857" max="3857" width="7.85546875" style="815" customWidth="1"/>
    <col min="3858" max="3858" width="8.7109375" style="815" customWidth="1"/>
    <col min="3859" max="3859" width="8" style="815" customWidth="1"/>
    <col min="3860" max="3860" width="7.5703125" style="815" customWidth="1"/>
    <col min="3861" max="3861" width="9.140625" style="815" customWidth="1"/>
    <col min="3862" max="3862" width="10.140625" style="815" customWidth="1"/>
    <col min="3863" max="4096" width="14" style="815"/>
    <col min="4097" max="4097" width="9" style="815" bestFit="1" customWidth="1"/>
    <col min="4098" max="4098" width="27" style="815" customWidth="1"/>
    <col min="4099" max="4099" width="14" style="815" customWidth="1"/>
    <col min="4100" max="4100" width="16.140625" style="815" customWidth="1"/>
    <col min="4101" max="4101" width="9.85546875" style="815" customWidth="1"/>
    <col min="4102" max="4102" width="10.5703125" style="815" customWidth="1"/>
    <col min="4103" max="4103" width="11" style="815" customWidth="1"/>
    <col min="4104" max="4104" width="14.42578125" style="815" customWidth="1"/>
    <col min="4105" max="4105" width="13" style="815" customWidth="1"/>
    <col min="4106" max="4106" width="10.140625" style="815" customWidth="1"/>
    <col min="4107" max="4107" width="9.140625" style="815" customWidth="1"/>
    <col min="4108" max="4108" width="8.140625" style="815" bestFit="1" customWidth="1"/>
    <col min="4109" max="4109" width="6.85546875" style="815" bestFit="1" customWidth="1"/>
    <col min="4110" max="4110" width="6.42578125" style="815" bestFit="1" customWidth="1"/>
    <col min="4111" max="4111" width="11.5703125" style="815" customWidth="1"/>
    <col min="4112" max="4112" width="8" style="815" customWidth="1"/>
    <col min="4113" max="4113" width="7.85546875" style="815" customWidth="1"/>
    <col min="4114" max="4114" width="8.7109375" style="815" customWidth="1"/>
    <col min="4115" max="4115" width="8" style="815" customWidth="1"/>
    <col min="4116" max="4116" width="7.5703125" style="815" customWidth="1"/>
    <col min="4117" max="4117" width="9.140625" style="815" customWidth="1"/>
    <col min="4118" max="4118" width="10.140625" style="815" customWidth="1"/>
    <col min="4119" max="4352" width="14" style="815"/>
    <col min="4353" max="4353" width="9" style="815" bestFit="1" customWidth="1"/>
    <col min="4354" max="4354" width="27" style="815" customWidth="1"/>
    <col min="4355" max="4355" width="14" style="815" customWidth="1"/>
    <col min="4356" max="4356" width="16.140625" style="815" customWidth="1"/>
    <col min="4357" max="4357" width="9.85546875" style="815" customWidth="1"/>
    <col min="4358" max="4358" width="10.5703125" style="815" customWidth="1"/>
    <col min="4359" max="4359" width="11" style="815" customWidth="1"/>
    <col min="4360" max="4360" width="14.42578125" style="815" customWidth="1"/>
    <col min="4361" max="4361" width="13" style="815" customWidth="1"/>
    <col min="4362" max="4362" width="10.140625" style="815" customWidth="1"/>
    <col min="4363" max="4363" width="9.140625" style="815" customWidth="1"/>
    <col min="4364" max="4364" width="8.140625" style="815" bestFit="1" customWidth="1"/>
    <col min="4365" max="4365" width="6.85546875" style="815" bestFit="1" customWidth="1"/>
    <col min="4366" max="4366" width="6.42578125" style="815" bestFit="1" customWidth="1"/>
    <col min="4367" max="4367" width="11.5703125" style="815" customWidth="1"/>
    <col min="4368" max="4368" width="8" style="815" customWidth="1"/>
    <col min="4369" max="4369" width="7.85546875" style="815" customWidth="1"/>
    <col min="4370" max="4370" width="8.7109375" style="815" customWidth="1"/>
    <col min="4371" max="4371" width="8" style="815" customWidth="1"/>
    <col min="4372" max="4372" width="7.5703125" style="815" customWidth="1"/>
    <col min="4373" max="4373" width="9.140625" style="815" customWidth="1"/>
    <col min="4374" max="4374" width="10.140625" style="815" customWidth="1"/>
    <col min="4375" max="4608" width="14" style="815"/>
    <col min="4609" max="4609" width="9" style="815" bestFit="1" customWidth="1"/>
    <col min="4610" max="4610" width="27" style="815" customWidth="1"/>
    <col min="4611" max="4611" width="14" style="815" customWidth="1"/>
    <col min="4612" max="4612" width="16.140625" style="815" customWidth="1"/>
    <col min="4613" max="4613" width="9.85546875" style="815" customWidth="1"/>
    <col min="4614" max="4614" width="10.5703125" style="815" customWidth="1"/>
    <col min="4615" max="4615" width="11" style="815" customWidth="1"/>
    <col min="4616" max="4616" width="14.42578125" style="815" customWidth="1"/>
    <col min="4617" max="4617" width="13" style="815" customWidth="1"/>
    <col min="4618" max="4618" width="10.140625" style="815" customWidth="1"/>
    <col min="4619" max="4619" width="9.140625" style="815" customWidth="1"/>
    <col min="4620" max="4620" width="8.140625" style="815" bestFit="1" customWidth="1"/>
    <col min="4621" max="4621" width="6.85546875" style="815" bestFit="1" customWidth="1"/>
    <col min="4622" max="4622" width="6.42578125" style="815" bestFit="1" customWidth="1"/>
    <col min="4623" max="4623" width="11.5703125" style="815" customWidth="1"/>
    <col min="4624" max="4624" width="8" style="815" customWidth="1"/>
    <col min="4625" max="4625" width="7.85546875" style="815" customWidth="1"/>
    <col min="4626" max="4626" width="8.7109375" style="815" customWidth="1"/>
    <col min="4627" max="4627" width="8" style="815" customWidth="1"/>
    <col min="4628" max="4628" width="7.5703125" style="815" customWidth="1"/>
    <col min="4629" max="4629" width="9.140625" style="815" customWidth="1"/>
    <col min="4630" max="4630" width="10.140625" style="815" customWidth="1"/>
    <col min="4631" max="4864" width="14" style="815"/>
    <col min="4865" max="4865" width="9" style="815" bestFit="1" customWidth="1"/>
    <col min="4866" max="4866" width="27" style="815" customWidth="1"/>
    <col min="4867" max="4867" width="14" style="815" customWidth="1"/>
    <col min="4868" max="4868" width="16.140625" style="815" customWidth="1"/>
    <col min="4869" max="4869" width="9.85546875" style="815" customWidth="1"/>
    <col min="4870" max="4870" width="10.5703125" style="815" customWidth="1"/>
    <col min="4871" max="4871" width="11" style="815" customWidth="1"/>
    <col min="4872" max="4872" width="14.42578125" style="815" customWidth="1"/>
    <col min="4873" max="4873" width="13" style="815" customWidth="1"/>
    <col min="4874" max="4874" width="10.140625" style="815" customWidth="1"/>
    <col min="4875" max="4875" width="9.140625" style="815" customWidth="1"/>
    <col min="4876" max="4876" width="8.140625" style="815" bestFit="1" customWidth="1"/>
    <col min="4877" max="4877" width="6.85546875" style="815" bestFit="1" customWidth="1"/>
    <col min="4878" max="4878" width="6.42578125" style="815" bestFit="1" customWidth="1"/>
    <col min="4879" max="4879" width="11.5703125" style="815" customWidth="1"/>
    <col min="4880" max="4880" width="8" style="815" customWidth="1"/>
    <col min="4881" max="4881" width="7.85546875" style="815" customWidth="1"/>
    <col min="4882" max="4882" width="8.7109375" style="815" customWidth="1"/>
    <col min="4883" max="4883" width="8" style="815" customWidth="1"/>
    <col min="4884" max="4884" width="7.5703125" style="815" customWidth="1"/>
    <col min="4885" max="4885" width="9.140625" style="815" customWidth="1"/>
    <col min="4886" max="4886" width="10.140625" style="815" customWidth="1"/>
    <col min="4887" max="5120" width="14" style="815"/>
    <col min="5121" max="5121" width="9" style="815" bestFit="1" customWidth="1"/>
    <col min="5122" max="5122" width="27" style="815" customWidth="1"/>
    <col min="5123" max="5123" width="14" style="815" customWidth="1"/>
    <col min="5124" max="5124" width="16.140625" style="815" customWidth="1"/>
    <col min="5125" max="5125" width="9.85546875" style="815" customWidth="1"/>
    <col min="5126" max="5126" width="10.5703125" style="815" customWidth="1"/>
    <col min="5127" max="5127" width="11" style="815" customWidth="1"/>
    <col min="5128" max="5128" width="14.42578125" style="815" customWidth="1"/>
    <col min="5129" max="5129" width="13" style="815" customWidth="1"/>
    <col min="5130" max="5130" width="10.140625" style="815" customWidth="1"/>
    <col min="5131" max="5131" width="9.140625" style="815" customWidth="1"/>
    <col min="5132" max="5132" width="8.140625" style="815" bestFit="1" customWidth="1"/>
    <col min="5133" max="5133" width="6.85546875" style="815" bestFit="1" customWidth="1"/>
    <col min="5134" max="5134" width="6.42578125" style="815" bestFit="1" customWidth="1"/>
    <col min="5135" max="5135" width="11.5703125" style="815" customWidth="1"/>
    <col min="5136" max="5136" width="8" style="815" customWidth="1"/>
    <col min="5137" max="5137" width="7.85546875" style="815" customWidth="1"/>
    <col min="5138" max="5138" width="8.7109375" style="815" customWidth="1"/>
    <col min="5139" max="5139" width="8" style="815" customWidth="1"/>
    <col min="5140" max="5140" width="7.5703125" style="815" customWidth="1"/>
    <col min="5141" max="5141" width="9.140625" style="815" customWidth="1"/>
    <col min="5142" max="5142" width="10.140625" style="815" customWidth="1"/>
    <col min="5143" max="5376" width="14" style="815"/>
    <col min="5377" max="5377" width="9" style="815" bestFit="1" customWidth="1"/>
    <col min="5378" max="5378" width="27" style="815" customWidth="1"/>
    <col min="5379" max="5379" width="14" style="815" customWidth="1"/>
    <col min="5380" max="5380" width="16.140625" style="815" customWidth="1"/>
    <col min="5381" max="5381" width="9.85546875" style="815" customWidth="1"/>
    <col min="5382" max="5382" width="10.5703125" style="815" customWidth="1"/>
    <col min="5383" max="5383" width="11" style="815" customWidth="1"/>
    <col min="5384" max="5384" width="14.42578125" style="815" customWidth="1"/>
    <col min="5385" max="5385" width="13" style="815" customWidth="1"/>
    <col min="5386" max="5386" width="10.140625" style="815" customWidth="1"/>
    <col min="5387" max="5387" width="9.140625" style="815" customWidth="1"/>
    <col min="5388" max="5388" width="8.140625" style="815" bestFit="1" customWidth="1"/>
    <col min="5389" max="5389" width="6.85546875" style="815" bestFit="1" customWidth="1"/>
    <col min="5390" max="5390" width="6.42578125" style="815" bestFit="1" customWidth="1"/>
    <col min="5391" max="5391" width="11.5703125" style="815" customWidth="1"/>
    <col min="5392" max="5392" width="8" style="815" customWidth="1"/>
    <col min="5393" max="5393" width="7.85546875" style="815" customWidth="1"/>
    <col min="5394" max="5394" width="8.7109375" style="815" customWidth="1"/>
    <col min="5395" max="5395" width="8" style="815" customWidth="1"/>
    <col min="5396" max="5396" width="7.5703125" style="815" customWidth="1"/>
    <col min="5397" max="5397" width="9.140625" style="815" customWidth="1"/>
    <col min="5398" max="5398" width="10.140625" style="815" customWidth="1"/>
    <col min="5399" max="5632" width="14" style="815"/>
    <col min="5633" max="5633" width="9" style="815" bestFit="1" customWidth="1"/>
    <col min="5634" max="5634" width="27" style="815" customWidth="1"/>
    <col min="5635" max="5635" width="14" style="815" customWidth="1"/>
    <col min="5636" max="5636" width="16.140625" style="815" customWidth="1"/>
    <col min="5637" max="5637" width="9.85546875" style="815" customWidth="1"/>
    <col min="5638" max="5638" width="10.5703125" style="815" customWidth="1"/>
    <col min="5639" max="5639" width="11" style="815" customWidth="1"/>
    <col min="5640" max="5640" width="14.42578125" style="815" customWidth="1"/>
    <col min="5641" max="5641" width="13" style="815" customWidth="1"/>
    <col min="5642" max="5642" width="10.140625" style="815" customWidth="1"/>
    <col min="5643" max="5643" width="9.140625" style="815" customWidth="1"/>
    <col min="5644" max="5644" width="8.140625" style="815" bestFit="1" customWidth="1"/>
    <col min="5645" max="5645" width="6.85546875" style="815" bestFit="1" customWidth="1"/>
    <col min="5646" max="5646" width="6.42578125" style="815" bestFit="1" customWidth="1"/>
    <col min="5647" max="5647" width="11.5703125" style="815" customWidth="1"/>
    <col min="5648" max="5648" width="8" style="815" customWidth="1"/>
    <col min="5649" max="5649" width="7.85546875" style="815" customWidth="1"/>
    <col min="5650" max="5650" width="8.7109375" style="815" customWidth="1"/>
    <col min="5651" max="5651" width="8" style="815" customWidth="1"/>
    <col min="5652" max="5652" width="7.5703125" style="815" customWidth="1"/>
    <col min="5653" max="5653" width="9.140625" style="815" customWidth="1"/>
    <col min="5654" max="5654" width="10.140625" style="815" customWidth="1"/>
    <col min="5655" max="5888" width="14" style="815"/>
    <col min="5889" max="5889" width="9" style="815" bestFit="1" customWidth="1"/>
    <col min="5890" max="5890" width="27" style="815" customWidth="1"/>
    <col min="5891" max="5891" width="14" style="815" customWidth="1"/>
    <col min="5892" max="5892" width="16.140625" style="815" customWidth="1"/>
    <col min="5893" max="5893" width="9.85546875" style="815" customWidth="1"/>
    <col min="5894" max="5894" width="10.5703125" style="815" customWidth="1"/>
    <col min="5895" max="5895" width="11" style="815" customWidth="1"/>
    <col min="5896" max="5896" width="14.42578125" style="815" customWidth="1"/>
    <col min="5897" max="5897" width="13" style="815" customWidth="1"/>
    <col min="5898" max="5898" width="10.140625" style="815" customWidth="1"/>
    <col min="5899" max="5899" width="9.140625" style="815" customWidth="1"/>
    <col min="5900" max="5900" width="8.140625" style="815" bestFit="1" customWidth="1"/>
    <col min="5901" max="5901" width="6.85546875" style="815" bestFit="1" customWidth="1"/>
    <col min="5902" max="5902" width="6.42578125" style="815" bestFit="1" customWidth="1"/>
    <col min="5903" max="5903" width="11.5703125" style="815" customWidth="1"/>
    <col min="5904" max="5904" width="8" style="815" customWidth="1"/>
    <col min="5905" max="5905" width="7.85546875" style="815" customWidth="1"/>
    <col min="5906" max="5906" width="8.7109375" style="815" customWidth="1"/>
    <col min="5907" max="5907" width="8" style="815" customWidth="1"/>
    <col min="5908" max="5908" width="7.5703125" style="815" customWidth="1"/>
    <col min="5909" max="5909" width="9.140625" style="815" customWidth="1"/>
    <col min="5910" max="5910" width="10.140625" style="815" customWidth="1"/>
    <col min="5911" max="6144" width="14" style="815"/>
    <col min="6145" max="6145" width="9" style="815" bestFit="1" customWidth="1"/>
    <col min="6146" max="6146" width="27" style="815" customWidth="1"/>
    <col min="6147" max="6147" width="14" style="815" customWidth="1"/>
    <col min="6148" max="6148" width="16.140625" style="815" customWidth="1"/>
    <col min="6149" max="6149" width="9.85546875" style="815" customWidth="1"/>
    <col min="6150" max="6150" width="10.5703125" style="815" customWidth="1"/>
    <col min="6151" max="6151" width="11" style="815" customWidth="1"/>
    <col min="6152" max="6152" width="14.42578125" style="815" customWidth="1"/>
    <col min="6153" max="6153" width="13" style="815" customWidth="1"/>
    <col min="6154" max="6154" width="10.140625" style="815" customWidth="1"/>
    <col min="6155" max="6155" width="9.140625" style="815" customWidth="1"/>
    <col min="6156" max="6156" width="8.140625" style="815" bestFit="1" customWidth="1"/>
    <col min="6157" max="6157" width="6.85546875" style="815" bestFit="1" customWidth="1"/>
    <col min="6158" max="6158" width="6.42578125" style="815" bestFit="1" customWidth="1"/>
    <col min="6159" max="6159" width="11.5703125" style="815" customWidth="1"/>
    <col min="6160" max="6160" width="8" style="815" customWidth="1"/>
    <col min="6161" max="6161" width="7.85546875" style="815" customWidth="1"/>
    <col min="6162" max="6162" width="8.7109375" style="815" customWidth="1"/>
    <col min="6163" max="6163" width="8" style="815" customWidth="1"/>
    <col min="6164" max="6164" width="7.5703125" style="815" customWidth="1"/>
    <col min="6165" max="6165" width="9.140625" style="815" customWidth="1"/>
    <col min="6166" max="6166" width="10.140625" style="815" customWidth="1"/>
    <col min="6167" max="6400" width="14" style="815"/>
    <col min="6401" max="6401" width="9" style="815" bestFit="1" customWidth="1"/>
    <col min="6402" max="6402" width="27" style="815" customWidth="1"/>
    <col min="6403" max="6403" width="14" style="815" customWidth="1"/>
    <col min="6404" max="6404" width="16.140625" style="815" customWidth="1"/>
    <col min="6405" max="6405" width="9.85546875" style="815" customWidth="1"/>
    <col min="6406" max="6406" width="10.5703125" style="815" customWidth="1"/>
    <col min="6407" max="6407" width="11" style="815" customWidth="1"/>
    <col min="6408" max="6408" width="14.42578125" style="815" customWidth="1"/>
    <col min="6409" max="6409" width="13" style="815" customWidth="1"/>
    <col min="6410" max="6410" width="10.140625" style="815" customWidth="1"/>
    <col min="6411" max="6411" width="9.140625" style="815" customWidth="1"/>
    <col min="6412" max="6412" width="8.140625" style="815" bestFit="1" customWidth="1"/>
    <col min="6413" max="6413" width="6.85546875" style="815" bestFit="1" customWidth="1"/>
    <col min="6414" max="6414" width="6.42578125" style="815" bestFit="1" customWidth="1"/>
    <col min="6415" max="6415" width="11.5703125" style="815" customWidth="1"/>
    <col min="6416" max="6416" width="8" style="815" customWidth="1"/>
    <col min="6417" max="6417" width="7.85546875" style="815" customWidth="1"/>
    <col min="6418" max="6418" width="8.7109375" style="815" customWidth="1"/>
    <col min="6419" max="6419" width="8" style="815" customWidth="1"/>
    <col min="6420" max="6420" width="7.5703125" style="815" customWidth="1"/>
    <col min="6421" max="6421" width="9.140625" style="815" customWidth="1"/>
    <col min="6422" max="6422" width="10.140625" style="815" customWidth="1"/>
    <col min="6423" max="6656" width="14" style="815"/>
    <col min="6657" max="6657" width="9" style="815" bestFit="1" customWidth="1"/>
    <col min="6658" max="6658" width="27" style="815" customWidth="1"/>
    <col min="6659" max="6659" width="14" style="815" customWidth="1"/>
    <col min="6660" max="6660" width="16.140625" style="815" customWidth="1"/>
    <col min="6661" max="6661" width="9.85546875" style="815" customWidth="1"/>
    <col min="6662" max="6662" width="10.5703125" style="815" customWidth="1"/>
    <col min="6663" max="6663" width="11" style="815" customWidth="1"/>
    <col min="6664" max="6664" width="14.42578125" style="815" customWidth="1"/>
    <col min="6665" max="6665" width="13" style="815" customWidth="1"/>
    <col min="6666" max="6666" width="10.140625" style="815" customWidth="1"/>
    <col min="6667" max="6667" width="9.140625" style="815" customWidth="1"/>
    <col min="6668" max="6668" width="8.140625" style="815" bestFit="1" customWidth="1"/>
    <col min="6669" max="6669" width="6.85546875" style="815" bestFit="1" customWidth="1"/>
    <col min="6670" max="6670" width="6.42578125" style="815" bestFit="1" customWidth="1"/>
    <col min="6671" max="6671" width="11.5703125" style="815" customWidth="1"/>
    <col min="6672" max="6672" width="8" style="815" customWidth="1"/>
    <col min="6673" max="6673" width="7.85546875" style="815" customWidth="1"/>
    <col min="6674" max="6674" width="8.7109375" style="815" customWidth="1"/>
    <col min="6675" max="6675" width="8" style="815" customWidth="1"/>
    <col min="6676" max="6676" width="7.5703125" style="815" customWidth="1"/>
    <col min="6677" max="6677" width="9.140625" style="815" customWidth="1"/>
    <col min="6678" max="6678" width="10.140625" style="815" customWidth="1"/>
    <col min="6679" max="6912" width="14" style="815"/>
    <col min="6913" max="6913" width="9" style="815" bestFit="1" customWidth="1"/>
    <col min="6914" max="6914" width="27" style="815" customWidth="1"/>
    <col min="6915" max="6915" width="14" style="815" customWidth="1"/>
    <col min="6916" max="6916" width="16.140625" style="815" customWidth="1"/>
    <col min="6917" max="6917" width="9.85546875" style="815" customWidth="1"/>
    <col min="6918" max="6918" width="10.5703125" style="815" customWidth="1"/>
    <col min="6919" max="6919" width="11" style="815" customWidth="1"/>
    <col min="6920" max="6920" width="14.42578125" style="815" customWidth="1"/>
    <col min="6921" max="6921" width="13" style="815" customWidth="1"/>
    <col min="6922" max="6922" width="10.140625" style="815" customWidth="1"/>
    <col min="6923" max="6923" width="9.140625" style="815" customWidth="1"/>
    <col min="6924" max="6924" width="8.140625" style="815" bestFit="1" customWidth="1"/>
    <col min="6925" max="6925" width="6.85546875" style="815" bestFit="1" customWidth="1"/>
    <col min="6926" max="6926" width="6.42578125" style="815" bestFit="1" customWidth="1"/>
    <col min="6927" max="6927" width="11.5703125" style="815" customWidth="1"/>
    <col min="6928" max="6928" width="8" style="815" customWidth="1"/>
    <col min="6929" max="6929" width="7.85546875" style="815" customWidth="1"/>
    <col min="6930" max="6930" width="8.7109375" style="815" customWidth="1"/>
    <col min="6931" max="6931" width="8" style="815" customWidth="1"/>
    <col min="6932" max="6932" width="7.5703125" style="815" customWidth="1"/>
    <col min="6933" max="6933" width="9.140625" style="815" customWidth="1"/>
    <col min="6934" max="6934" width="10.140625" style="815" customWidth="1"/>
    <col min="6935" max="7168" width="14" style="815"/>
    <col min="7169" max="7169" width="9" style="815" bestFit="1" customWidth="1"/>
    <col min="7170" max="7170" width="27" style="815" customWidth="1"/>
    <col min="7171" max="7171" width="14" style="815" customWidth="1"/>
    <col min="7172" max="7172" width="16.140625" style="815" customWidth="1"/>
    <col min="7173" max="7173" width="9.85546875" style="815" customWidth="1"/>
    <col min="7174" max="7174" width="10.5703125" style="815" customWidth="1"/>
    <col min="7175" max="7175" width="11" style="815" customWidth="1"/>
    <col min="7176" max="7176" width="14.42578125" style="815" customWidth="1"/>
    <col min="7177" max="7177" width="13" style="815" customWidth="1"/>
    <col min="7178" max="7178" width="10.140625" style="815" customWidth="1"/>
    <col min="7179" max="7179" width="9.140625" style="815" customWidth="1"/>
    <col min="7180" max="7180" width="8.140625" style="815" bestFit="1" customWidth="1"/>
    <col min="7181" max="7181" width="6.85546875" style="815" bestFit="1" customWidth="1"/>
    <col min="7182" max="7182" width="6.42578125" style="815" bestFit="1" customWidth="1"/>
    <col min="7183" max="7183" width="11.5703125" style="815" customWidth="1"/>
    <col min="7184" max="7184" width="8" style="815" customWidth="1"/>
    <col min="7185" max="7185" width="7.85546875" style="815" customWidth="1"/>
    <col min="7186" max="7186" width="8.7109375" style="815" customWidth="1"/>
    <col min="7187" max="7187" width="8" style="815" customWidth="1"/>
    <col min="7188" max="7188" width="7.5703125" style="815" customWidth="1"/>
    <col min="7189" max="7189" width="9.140625" style="815" customWidth="1"/>
    <col min="7190" max="7190" width="10.140625" style="815" customWidth="1"/>
    <col min="7191" max="7424" width="14" style="815"/>
    <col min="7425" max="7425" width="9" style="815" bestFit="1" customWidth="1"/>
    <col min="7426" max="7426" width="27" style="815" customWidth="1"/>
    <col min="7427" max="7427" width="14" style="815" customWidth="1"/>
    <col min="7428" max="7428" width="16.140625" style="815" customWidth="1"/>
    <col min="7429" max="7429" width="9.85546875" style="815" customWidth="1"/>
    <col min="7430" max="7430" width="10.5703125" style="815" customWidth="1"/>
    <col min="7431" max="7431" width="11" style="815" customWidth="1"/>
    <col min="7432" max="7432" width="14.42578125" style="815" customWidth="1"/>
    <col min="7433" max="7433" width="13" style="815" customWidth="1"/>
    <col min="7434" max="7434" width="10.140625" style="815" customWidth="1"/>
    <col min="7435" max="7435" width="9.140625" style="815" customWidth="1"/>
    <col min="7436" max="7436" width="8.140625" style="815" bestFit="1" customWidth="1"/>
    <col min="7437" max="7437" width="6.85546875" style="815" bestFit="1" customWidth="1"/>
    <col min="7438" max="7438" width="6.42578125" style="815" bestFit="1" customWidth="1"/>
    <col min="7439" max="7439" width="11.5703125" style="815" customWidth="1"/>
    <col min="7440" max="7440" width="8" style="815" customWidth="1"/>
    <col min="7441" max="7441" width="7.85546875" style="815" customWidth="1"/>
    <col min="7442" max="7442" width="8.7109375" style="815" customWidth="1"/>
    <col min="7443" max="7443" width="8" style="815" customWidth="1"/>
    <col min="7444" max="7444" width="7.5703125" style="815" customWidth="1"/>
    <col min="7445" max="7445" width="9.140625" style="815" customWidth="1"/>
    <col min="7446" max="7446" width="10.140625" style="815" customWidth="1"/>
    <col min="7447" max="7680" width="14" style="815"/>
    <col min="7681" max="7681" width="9" style="815" bestFit="1" customWidth="1"/>
    <col min="7682" max="7682" width="27" style="815" customWidth="1"/>
    <col min="7683" max="7683" width="14" style="815" customWidth="1"/>
    <col min="7684" max="7684" width="16.140625" style="815" customWidth="1"/>
    <col min="7685" max="7685" width="9.85546875" style="815" customWidth="1"/>
    <col min="7686" max="7686" width="10.5703125" style="815" customWidth="1"/>
    <col min="7687" max="7687" width="11" style="815" customWidth="1"/>
    <col min="7688" max="7688" width="14.42578125" style="815" customWidth="1"/>
    <col min="7689" max="7689" width="13" style="815" customWidth="1"/>
    <col min="7690" max="7690" width="10.140625" style="815" customWidth="1"/>
    <col min="7691" max="7691" width="9.140625" style="815" customWidth="1"/>
    <col min="7692" max="7692" width="8.140625" style="815" bestFit="1" customWidth="1"/>
    <col min="7693" max="7693" width="6.85546875" style="815" bestFit="1" customWidth="1"/>
    <col min="7694" max="7694" width="6.42578125" style="815" bestFit="1" customWidth="1"/>
    <col min="7695" max="7695" width="11.5703125" style="815" customWidth="1"/>
    <col min="7696" max="7696" width="8" style="815" customWidth="1"/>
    <col min="7697" max="7697" width="7.85546875" style="815" customWidth="1"/>
    <col min="7698" max="7698" width="8.7109375" style="815" customWidth="1"/>
    <col min="7699" max="7699" width="8" style="815" customWidth="1"/>
    <col min="7700" max="7700" width="7.5703125" style="815" customWidth="1"/>
    <col min="7701" max="7701" width="9.140625" style="815" customWidth="1"/>
    <col min="7702" max="7702" width="10.140625" style="815" customWidth="1"/>
    <col min="7703" max="7936" width="14" style="815"/>
    <col min="7937" max="7937" width="9" style="815" bestFit="1" customWidth="1"/>
    <col min="7938" max="7938" width="27" style="815" customWidth="1"/>
    <col min="7939" max="7939" width="14" style="815" customWidth="1"/>
    <col min="7940" max="7940" width="16.140625" style="815" customWidth="1"/>
    <col min="7941" max="7941" width="9.85546875" style="815" customWidth="1"/>
    <col min="7942" max="7942" width="10.5703125" style="815" customWidth="1"/>
    <col min="7943" max="7943" width="11" style="815" customWidth="1"/>
    <col min="7944" max="7944" width="14.42578125" style="815" customWidth="1"/>
    <col min="7945" max="7945" width="13" style="815" customWidth="1"/>
    <col min="7946" max="7946" width="10.140625" style="815" customWidth="1"/>
    <col min="7947" max="7947" width="9.140625" style="815" customWidth="1"/>
    <col min="7948" max="7948" width="8.140625" style="815" bestFit="1" customWidth="1"/>
    <col min="7949" max="7949" width="6.85546875" style="815" bestFit="1" customWidth="1"/>
    <col min="7950" max="7950" width="6.42578125" style="815" bestFit="1" customWidth="1"/>
    <col min="7951" max="7951" width="11.5703125" style="815" customWidth="1"/>
    <col min="7952" max="7952" width="8" style="815" customWidth="1"/>
    <col min="7953" max="7953" width="7.85546875" style="815" customWidth="1"/>
    <col min="7954" max="7954" width="8.7109375" style="815" customWidth="1"/>
    <col min="7955" max="7955" width="8" style="815" customWidth="1"/>
    <col min="7956" max="7956" width="7.5703125" style="815" customWidth="1"/>
    <col min="7957" max="7957" width="9.140625" style="815" customWidth="1"/>
    <col min="7958" max="7958" width="10.140625" style="815" customWidth="1"/>
    <col min="7959" max="8192" width="14" style="815"/>
    <col min="8193" max="8193" width="9" style="815" bestFit="1" customWidth="1"/>
    <col min="8194" max="8194" width="27" style="815" customWidth="1"/>
    <col min="8195" max="8195" width="14" style="815" customWidth="1"/>
    <col min="8196" max="8196" width="16.140625" style="815" customWidth="1"/>
    <col min="8197" max="8197" width="9.85546875" style="815" customWidth="1"/>
    <col min="8198" max="8198" width="10.5703125" style="815" customWidth="1"/>
    <col min="8199" max="8199" width="11" style="815" customWidth="1"/>
    <col min="8200" max="8200" width="14.42578125" style="815" customWidth="1"/>
    <col min="8201" max="8201" width="13" style="815" customWidth="1"/>
    <col min="8202" max="8202" width="10.140625" style="815" customWidth="1"/>
    <col min="8203" max="8203" width="9.140625" style="815" customWidth="1"/>
    <col min="8204" max="8204" width="8.140625" style="815" bestFit="1" customWidth="1"/>
    <col min="8205" max="8205" width="6.85546875" style="815" bestFit="1" customWidth="1"/>
    <col min="8206" max="8206" width="6.42578125" style="815" bestFit="1" customWidth="1"/>
    <col min="8207" max="8207" width="11.5703125" style="815" customWidth="1"/>
    <col min="8208" max="8208" width="8" style="815" customWidth="1"/>
    <col min="8209" max="8209" width="7.85546875" style="815" customWidth="1"/>
    <col min="8210" max="8210" width="8.7109375" style="815" customWidth="1"/>
    <col min="8211" max="8211" width="8" style="815" customWidth="1"/>
    <col min="8212" max="8212" width="7.5703125" style="815" customWidth="1"/>
    <col min="8213" max="8213" width="9.140625" style="815" customWidth="1"/>
    <col min="8214" max="8214" width="10.140625" style="815" customWidth="1"/>
    <col min="8215" max="8448" width="14" style="815"/>
    <col min="8449" max="8449" width="9" style="815" bestFit="1" customWidth="1"/>
    <col min="8450" max="8450" width="27" style="815" customWidth="1"/>
    <col min="8451" max="8451" width="14" style="815" customWidth="1"/>
    <col min="8452" max="8452" width="16.140625" style="815" customWidth="1"/>
    <col min="8453" max="8453" width="9.85546875" style="815" customWidth="1"/>
    <col min="8454" max="8454" width="10.5703125" style="815" customWidth="1"/>
    <col min="8455" max="8455" width="11" style="815" customWidth="1"/>
    <col min="8456" max="8456" width="14.42578125" style="815" customWidth="1"/>
    <col min="8457" max="8457" width="13" style="815" customWidth="1"/>
    <col min="8458" max="8458" width="10.140625" style="815" customWidth="1"/>
    <col min="8459" max="8459" width="9.140625" style="815" customWidth="1"/>
    <col min="8460" max="8460" width="8.140625" style="815" bestFit="1" customWidth="1"/>
    <col min="8461" max="8461" width="6.85546875" style="815" bestFit="1" customWidth="1"/>
    <col min="8462" max="8462" width="6.42578125" style="815" bestFit="1" customWidth="1"/>
    <col min="8463" max="8463" width="11.5703125" style="815" customWidth="1"/>
    <col min="8464" max="8464" width="8" style="815" customWidth="1"/>
    <col min="8465" max="8465" width="7.85546875" style="815" customWidth="1"/>
    <col min="8466" max="8466" width="8.7109375" style="815" customWidth="1"/>
    <col min="8467" max="8467" width="8" style="815" customWidth="1"/>
    <col min="8468" max="8468" width="7.5703125" style="815" customWidth="1"/>
    <col min="8469" max="8469" width="9.140625" style="815" customWidth="1"/>
    <col min="8470" max="8470" width="10.140625" style="815" customWidth="1"/>
    <col min="8471" max="8704" width="14" style="815"/>
    <col min="8705" max="8705" width="9" style="815" bestFit="1" customWidth="1"/>
    <col min="8706" max="8706" width="27" style="815" customWidth="1"/>
    <col min="8707" max="8707" width="14" style="815" customWidth="1"/>
    <col min="8708" max="8708" width="16.140625" style="815" customWidth="1"/>
    <col min="8709" max="8709" width="9.85546875" style="815" customWidth="1"/>
    <col min="8710" max="8710" width="10.5703125" style="815" customWidth="1"/>
    <col min="8711" max="8711" width="11" style="815" customWidth="1"/>
    <col min="8712" max="8712" width="14.42578125" style="815" customWidth="1"/>
    <col min="8713" max="8713" width="13" style="815" customWidth="1"/>
    <col min="8714" max="8714" width="10.140625" style="815" customWidth="1"/>
    <col min="8715" max="8715" width="9.140625" style="815" customWidth="1"/>
    <col min="8716" max="8716" width="8.140625" style="815" bestFit="1" customWidth="1"/>
    <col min="8717" max="8717" width="6.85546875" style="815" bestFit="1" customWidth="1"/>
    <col min="8718" max="8718" width="6.42578125" style="815" bestFit="1" customWidth="1"/>
    <col min="8719" max="8719" width="11.5703125" style="815" customWidth="1"/>
    <col min="8720" max="8720" width="8" style="815" customWidth="1"/>
    <col min="8721" max="8721" width="7.85546875" style="815" customWidth="1"/>
    <col min="8722" max="8722" width="8.7109375" style="815" customWidth="1"/>
    <col min="8723" max="8723" width="8" style="815" customWidth="1"/>
    <col min="8724" max="8724" width="7.5703125" style="815" customWidth="1"/>
    <col min="8725" max="8725" width="9.140625" style="815" customWidth="1"/>
    <col min="8726" max="8726" width="10.140625" style="815" customWidth="1"/>
    <col min="8727" max="8960" width="14" style="815"/>
    <col min="8961" max="8961" width="9" style="815" bestFit="1" customWidth="1"/>
    <col min="8962" max="8962" width="27" style="815" customWidth="1"/>
    <col min="8963" max="8963" width="14" style="815" customWidth="1"/>
    <col min="8964" max="8964" width="16.140625" style="815" customWidth="1"/>
    <col min="8965" max="8965" width="9.85546875" style="815" customWidth="1"/>
    <col min="8966" max="8966" width="10.5703125" style="815" customWidth="1"/>
    <col min="8967" max="8967" width="11" style="815" customWidth="1"/>
    <col min="8968" max="8968" width="14.42578125" style="815" customWidth="1"/>
    <col min="8969" max="8969" width="13" style="815" customWidth="1"/>
    <col min="8970" max="8970" width="10.140625" style="815" customWidth="1"/>
    <col min="8971" max="8971" width="9.140625" style="815" customWidth="1"/>
    <col min="8972" max="8972" width="8.140625" style="815" bestFit="1" customWidth="1"/>
    <col min="8973" max="8973" width="6.85546875" style="815" bestFit="1" customWidth="1"/>
    <col min="8974" max="8974" width="6.42578125" style="815" bestFit="1" customWidth="1"/>
    <col min="8975" max="8975" width="11.5703125" style="815" customWidth="1"/>
    <col min="8976" max="8976" width="8" style="815" customWidth="1"/>
    <col min="8977" max="8977" width="7.85546875" style="815" customWidth="1"/>
    <col min="8978" max="8978" width="8.7109375" style="815" customWidth="1"/>
    <col min="8979" max="8979" width="8" style="815" customWidth="1"/>
    <col min="8980" max="8980" width="7.5703125" style="815" customWidth="1"/>
    <col min="8981" max="8981" width="9.140625" style="815" customWidth="1"/>
    <col min="8982" max="8982" width="10.140625" style="815" customWidth="1"/>
    <col min="8983" max="9216" width="14" style="815"/>
    <col min="9217" max="9217" width="9" style="815" bestFit="1" customWidth="1"/>
    <col min="9218" max="9218" width="27" style="815" customWidth="1"/>
    <col min="9219" max="9219" width="14" style="815" customWidth="1"/>
    <col min="9220" max="9220" width="16.140625" style="815" customWidth="1"/>
    <col min="9221" max="9221" width="9.85546875" style="815" customWidth="1"/>
    <col min="9222" max="9222" width="10.5703125" style="815" customWidth="1"/>
    <col min="9223" max="9223" width="11" style="815" customWidth="1"/>
    <col min="9224" max="9224" width="14.42578125" style="815" customWidth="1"/>
    <col min="9225" max="9225" width="13" style="815" customWidth="1"/>
    <col min="9226" max="9226" width="10.140625" style="815" customWidth="1"/>
    <col min="9227" max="9227" width="9.140625" style="815" customWidth="1"/>
    <col min="9228" max="9228" width="8.140625" style="815" bestFit="1" customWidth="1"/>
    <col min="9229" max="9229" width="6.85546875" style="815" bestFit="1" customWidth="1"/>
    <col min="9230" max="9230" width="6.42578125" style="815" bestFit="1" customWidth="1"/>
    <col min="9231" max="9231" width="11.5703125" style="815" customWidth="1"/>
    <col min="9232" max="9232" width="8" style="815" customWidth="1"/>
    <col min="9233" max="9233" width="7.85546875" style="815" customWidth="1"/>
    <col min="9234" max="9234" width="8.7109375" style="815" customWidth="1"/>
    <col min="9235" max="9235" width="8" style="815" customWidth="1"/>
    <col min="9236" max="9236" width="7.5703125" style="815" customWidth="1"/>
    <col min="9237" max="9237" width="9.140625" style="815" customWidth="1"/>
    <col min="9238" max="9238" width="10.140625" style="815" customWidth="1"/>
    <col min="9239" max="9472" width="14" style="815"/>
    <col min="9473" max="9473" width="9" style="815" bestFit="1" customWidth="1"/>
    <col min="9474" max="9474" width="27" style="815" customWidth="1"/>
    <col min="9475" max="9475" width="14" style="815" customWidth="1"/>
    <col min="9476" max="9476" width="16.140625" style="815" customWidth="1"/>
    <col min="9477" max="9477" width="9.85546875" style="815" customWidth="1"/>
    <col min="9478" max="9478" width="10.5703125" style="815" customWidth="1"/>
    <col min="9479" max="9479" width="11" style="815" customWidth="1"/>
    <col min="9480" max="9480" width="14.42578125" style="815" customWidth="1"/>
    <col min="9481" max="9481" width="13" style="815" customWidth="1"/>
    <col min="9482" max="9482" width="10.140625" style="815" customWidth="1"/>
    <col min="9483" max="9483" width="9.140625" style="815" customWidth="1"/>
    <col min="9484" max="9484" width="8.140625" style="815" bestFit="1" customWidth="1"/>
    <col min="9485" max="9485" width="6.85546875" style="815" bestFit="1" customWidth="1"/>
    <col min="9486" max="9486" width="6.42578125" style="815" bestFit="1" customWidth="1"/>
    <col min="9487" max="9487" width="11.5703125" style="815" customWidth="1"/>
    <col min="9488" max="9488" width="8" style="815" customWidth="1"/>
    <col min="9489" max="9489" width="7.85546875" style="815" customWidth="1"/>
    <col min="9490" max="9490" width="8.7109375" style="815" customWidth="1"/>
    <col min="9491" max="9491" width="8" style="815" customWidth="1"/>
    <col min="9492" max="9492" width="7.5703125" style="815" customWidth="1"/>
    <col min="9493" max="9493" width="9.140625" style="815" customWidth="1"/>
    <col min="9494" max="9494" width="10.140625" style="815" customWidth="1"/>
    <col min="9495" max="9728" width="14" style="815"/>
    <col min="9729" max="9729" width="9" style="815" bestFit="1" customWidth="1"/>
    <col min="9730" max="9730" width="27" style="815" customWidth="1"/>
    <col min="9731" max="9731" width="14" style="815" customWidth="1"/>
    <col min="9732" max="9732" width="16.140625" style="815" customWidth="1"/>
    <col min="9733" max="9733" width="9.85546875" style="815" customWidth="1"/>
    <col min="9734" max="9734" width="10.5703125" style="815" customWidth="1"/>
    <col min="9735" max="9735" width="11" style="815" customWidth="1"/>
    <col min="9736" max="9736" width="14.42578125" style="815" customWidth="1"/>
    <col min="9737" max="9737" width="13" style="815" customWidth="1"/>
    <col min="9738" max="9738" width="10.140625" style="815" customWidth="1"/>
    <col min="9739" max="9739" width="9.140625" style="815" customWidth="1"/>
    <col min="9740" max="9740" width="8.140625" style="815" bestFit="1" customWidth="1"/>
    <col min="9741" max="9741" width="6.85546875" style="815" bestFit="1" customWidth="1"/>
    <col min="9742" max="9742" width="6.42578125" style="815" bestFit="1" customWidth="1"/>
    <col min="9743" max="9743" width="11.5703125" style="815" customWidth="1"/>
    <col min="9744" max="9744" width="8" style="815" customWidth="1"/>
    <col min="9745" max="9745" width="7.85546875" style="815" customWidth="1"/>
    <col min="9746" max="9746" width="8.7109375" style="815" customWidth="1"/>
    <col min="9747" max="9747" width="8" style="815" customWidth="1"/>
    <col min="9748" max="9748" width="7.5703125" style="815" customWidth="1"/>
    <col min="9749" max="9749" width="9.140625" style="815" customWidth="1"/>
    <col min="9750" max="9750" width="10.140625" style="815" customWidth="1"/>
    <col min="9751" max="9984" width="14" style="815"/>
    <col min="9985" max="9985" width="9" style="815" bestFit="1" customWidth="1"/>
    <col min="9986" max="9986" width="27" style="815" customWidth="1"/>
    <col min="9987" max="9987" width="14" style="815" customWidth="1"/>
    <col min="9988" max="9988" width="16.140625" style="815" customWidth="1"/>
    <col min="9989" max="9989" width="9.85546875" style="815" customWidth="1"/>
    <col min="9990" max="9990" width="10.5703125" style="815" customWidth="1"/>
    <col min="9991" max="9991" width="11" style="815" customWidth="1"/>
    <col min="9992" max="9992" width="14.42578125" style="815" customWidth="1"/>
    <col min="9993" max="9993" width="13" style="815" customWidth="1"/>
    <col min="9994" max="9994" width="10.140625" style="815" customWidth="1"/>
    <col min="9995" max="9995" width="9.140625" style="815" customWidth="1"/>
    <col min="9996" max="9996" width="8.140625" style="815" bestFit="1" customWidth="1"/>
    <col min="9997" max="9997" width="6.85546875" style="815" bestFit="1" customWidth="1"/>
    <col min="9998" max="9998" width="6.42578125" style="815" bestFit="1" customWidth="1"/>
    <col min="9999" max="9999" width="11.5703125" style="815" customWidth="1"/>
    <col min="10000" max="10000" width="8" style="815" customWidth="1"/>
    <col min="10001" max="10001" width="7.85546875" style="815" customWidth="1"/>
    <col min="10002" max="10002" width="8.7109375" style="815" customWidth="1"/>
    <col min="10003" max="10003" width="8" style="815" customWidth="1"/>
    <col min="10004" max="10004" width="7.5703125" style="815" customWidth="1"/>
    <col min="10005" max="10005" width="9.140625" style="815" customWidth="1"/>
    <col min="10006" max="10006" width="10.140625" style="815" customWidth="1"/>
    <col min="10007" max="10240" width="14" style="815"/>
    <col min="10241" max="10241" width="9" style="815" bestFit="1" customWidth="1"/>
    <col min="10242" max="10242" width="27" style="815" customWidth="1"/>
    <col min="10243" max="10243" width="14" style="815" customWidth="1"/>
    <col min="10244" max="10244" width="16.140625" style="815" customWidth="1"/>
    <col min="10245" max="10245" width="9.85546875" style="815" customWidth="1"/>
    <col min="10246" max="10246" width="10.5703125" style="815" customWidth="1"/>
    <col min="10247" max="10247" width="11" style="815" customWidth="1"/>
    <col min="10248" max="10248" width="14.42578125" style="815" customWidth="1"/>
    <col min="10249" max="10249" width="13" style="815" customWidth="1"/>
    <col min="10250" max="10250" width="10.140625" style="815" customWidth="1"/>
    <col min="10251" max="10251" width="9.140625" style="815" customWidth="1"/>
    <col min="10252" max="10252" width="8.140625" style="815" bestFit="1" customWidth="1"/>
    <col min="10253" max="10253" width="6.85546875" style="815" bestFit="1" customWidth="1"/>
    <col min="10254" max="10254" width="6.42578125" style="815" bestFit="1" customWidth="1"/>
    <col min="10255" max="10255" width="11.5703125" style="815" customWidth="1"/>
    <col min="10256" max="10256" width="8" style="815" customWidth="1"/>
    <col min="10257" max="10257" width="7.85546875" style="815" customWidth="1"/>
    <col min="10258" max="10258" width="8.7109375" style="815" customWidth="1"/>
    <col min="10259" max="10259" width="8" style="815" customWidth="1"/>
    <col min="10260" max="10260" width="7.5703125" style="815" customWidth="1"/>
    <col min="10261" max="10261" width="9.140625" style="815" customWidth="1"/>
    <col min="10262" max="10262" width="10.140625" style="815" customWidth="1"/>
    <col min="10263" max="10496" width="14" style="815"/>
    <col min="10497" max="10497" width="9" style="815" bestFit="1" customWidth="1"/>
    <col min="10498" max="10498" width="27" style="815" customWidth="1"/>
    <col min="10499" max="10499" width="14" style="815" customWidth="1"/>
    <col min="10500" max="10500" width="16.140625" style="815" customWidth="1"/>
    <col min="10501" max="10501" width="9.85546875" style="815" customWidth="1"/>
    <col min="10502" max="10502" width="10.5703125" style="815" customWidth="1"/>
    <col min="10503" max="10503" width="11" style="815" customWidth="1"/>
    <col min="10504" max="10504" width="14.42578125" style="815" customWidth="1"/>
    <col min="10505" max="10505" width="13" style="815" customWidth="1"/>
    <col min="10506" max="10506" width="10.140625" style="815" customWidth="1"/>
    <col min="10507" max="10507" width="9.140625" style="815" customWidth="1"/>
    <col min="10508" max="10508" width="8.140625" style="815" bestFit="1" customWidth="1"/>
    <col min="10509" max="10509" width="6.85546875" style="815" bestFit="1" customWidth="1"/>
    <col min="10510" max="10510" width="6.42578125" style="815" bestFit="1" customWidth="1"/>
    <col min="10511" max="10511" width="11.5703125" style="815" customWidth="1"/>
    <col min="10512" max="10512" width="8" style="815" customWidth="1"/>
    <col min="10513" max="10513" width="7.85546875" style="815" customWidth="1"/>
    <col min="10514" max="10514" width="8.7109375" style="815" customWidth="1"/>
    <col min="10515" max="10515" width="8" style="815" customWidth="1"/>
    <col min="10516" max="10516" width="7.5703125" style="815" customWidth="1"/>
    <col min="10517" max="10517" width="9.140625" style="815" customWidth="1"/>
    <col min="10518" max="10518" width="10.140625" style="815" customWidth="1"/>
    <col min="10519" max="10752" width="14" style="815"/>
    <col min="10753" max="10753" width="9" style="815" bestFit="1" customWidth="1"/>
    <col min="10754" max="10754" width="27" style="815" customWidth="1"/>
    <col min="10755" max="10755" width="14" style="815" customWidth="1"/>
    <col min="10756" max="10756" width="16.140625" style="815" customWidth="1"/>
    <col min="10757" max="10757" width="9.85546875" style="815" customWidth="1"/>
    <col min="10758" max="10758" width="10.5703125" style="815" customWidth="1"/>
    <col min="10759" max="10759" width="11" style="815" customWidth="1"/>
    <col min="10760" max="10760" width="14.42578125" style="815" customWidth="1"/>
    <col min="10761" max="10761" width="13" style="815" customWidth="1"/>
    <col min="10762" max="10762" width="10.140625" style="815" customWidth="1"/>
    <col min="10763" max="10763" width="9.140625" style="815" customWidth="1"/>
    <col min="10764" max="10764" width="8.140625" style="815" bestFit="1" customWidth="1"/>
    <col min="10765" max="10765" width="6.85546875" style="815" bestFit="1" customWidth="1"/>
    <col min="10766" max="10766" width="6.42578125" style="815" bestFit="1" customWidth="1"/>
    <col min="10767" max="10767" width="11.5703125" style="815" customWidth="1"/>
    <col min="10768" max="10768" width="8" style="815" customWidth="1"/>
    <col min="10769" max="10769" width="7.85546875" style="815" customWidth="1"/>
    <col min="10770" max="10770" width="8.7109375" style="815" customWidth="1"/>
    <col min="10771" max="10771" width="8" style="815" customWidth="1"/>
    <col min="10772" max="10772" width="7.5703125" style="815" customWidth="1"/>
    <col min="10773" max="10773" width="9.140625" style="815" customWidth="1"/>
    <col min="10774" max="10774" width="10.140625" style="815" customWidth="1"/>
    <col min="10775" max="11008" width="14" style="815"/>
    <col min="11009" max="11009" width="9" style="815" bestFit="1" customWidth="1"/>
    <col min="11010" max="11010" width="27" style="815" customWidth="1"/>
    <col min="11011" max="11011" width="14" style="815" customWidth="1"/>
    <col min="11012" max="11012" width="16.140625" style="815" customWidth="1"/>
    <col min="11013" max="11013" width="9.85546875" style="815" customWidth="1"/>
    <col min="11014" max="11014" width="10.5703125" style="815" customWidth="1"/>
    <col min="11015" max="11015" width="11" style="815" customWidth="1"/>
    <col min="11016" max="11016" width="14.42578125" style="815" customWidth="1"/>
    <col min="11017" max="11017" width="13" style="815" customWidth="1"/>
    <col min="11018" max="11018" width="10.140625" style="815" customWidth="1"/>
    <col min="11019" max="11019" width="9.140625" style="815" customWidth="1"/>
    <col min="11020" max="11020" width="8.140625" style="815" bestFit="1" customWidth="1"/>
    <col min="11021" max="11021" width="6.85546875" style="815" bestFit="1" customWidth="1"/>
    <col min="11022" max="11022" width="6.42578125" style="815" bestFit="1" customWidth="1"/>
    <col min="11023" max="11023" width="11.5703125" style="815" customWidth="1"/>
    <col min="11024" max="11024" width="8" style="815" customWidth="1"/>
    <col min="11025" max="11025" width="7.85546875" style="815" customWidth="1"/>
    <col min="11026" max="11026" width="8.7109375" style="815" customWidth="1"/>
    <col min="11027" max="11027" width="8" style="815" customWidth="1"/>
    <col min="11028" max="11028" width="7.5703125" style="815" customWidth="1"/>
    <col min="11029" max="11029" width="9.140625" style="815" customWidth="1"/>
    <col min="11030" max="11030" width="10.140625" style="815" customWidth="1"/>
    <col min="11031" max="11264" width="14" style="815"/>
    <col min="11265" max="11265" width="9" style="815" bestFit="1" customWidth="1"/>
    <col min="11266" max="11266" width="27" style="815" customWidth="1"/>
    <col min="11267" max="11267" width="14" style="815" customWidth="1"/>
    <col min="11268" max="11268" width="16.140625" style="815" customWidth="1"/>
    <col min="11269" max="11269" width="9.85546875" style="815" customWidth="1"/>
    <col min="11270" max="11270" width="10.5703125" style="815" customWidth="1"/>
    <col min="11271" max="11271" width="11" style="815" customWidth="1"/>
    <col min="11272" max="11272" width="14.42578125" style="815" customWidth="1"/>
    <col min="11273" max="11273" width="13" style="815" customWidth="1"/>
    <col min="11274" max="11274" width="10.140625" style="815" customWidth="1"/>
    <col min="11275" max="11275" width="9.140625" style="815" customWidth="1"/>
    <col min="11276" max="11276" width="8.140625" style="815" bestFit="1" customWidth="1"/>
    <col min="11277" max="11277" width="6.85546875" style="815" bestFit="1" customWidth="1"/>
    <col min="11278" max="11278" width="6.42578125" style="815" bestFit="1" customWidth="1"/>
    <col min="11279" max="11279" width="11.5703125" style="815" customWidth="1"/>
    <col min="11280" max="11280" width="8" style="815" customWidth="1"/>
    <col min="11281" max="11281" width="7.85546875" style="815" customWidth="1"/>
    <col min="11282" max="11282" width="8.7109375" style="815" customWidth="1"/>
    <col min="11283" max="11283" width="8" style="815" customWidth="1"/>
    <col min="11284" max="11284" width="7.5703125" style="815" customWidth="1"/>
    <col min="11285" max="11285" width="9.140625" style="815" customWidth="1"/>
    <col min="11286" max="11286" width="10.140625" style="815" customWidth="1"/>
    <col min="11287" max="11520" width="14" style="815"/>
    <col min="11521" max="11521" width="9" style="815" bestFit="1" customWidth="1"/>
    <col min="11522" max="11522" width="27" style="815" customWidth="1"/>
    <col min="11523" max="11523" width="14" style="815" customWidth="1"/>
    <col min="11524" max="11524" width="16.140625" style="815" customWidth="1"/>
    <col min="11525" max="11525" width="9.85546875" style="815" customWidth="1"/>
    <col min="11526" max="11526" width="10.5703125" style="815" customWidth="1"/>
    <col min="11527" max="11527" width="11" style="815" customWidth="1"/>
    <col min="11528" max="11528" width="14.42578125" style="815" customWidth="1"/>
    <col min="11529" max="11529" width="13" style="815" customWidth="1"/>
    <col min="11530" max="11530" width="10.140625" style="815" customWidth="1"/>
    <col min="11531" max="11531" width="9.140625" style="815" customWidth="1"/>
    <col min="11532" max="11532" width="8.140625" style="815" bestFit="1" customWidth="1"/>
    <col min="11533" max="11533" width="6.85546875" style="815" bestFit="1" customWidth="1"/>
    <col min="11534" max="11534" width="6.42578125" style="815" bestFit="1" customWidth="1"/>
    <col min="11535" max="11535" width="11.5703125" style="815" customWidth="1"/>
    <col min="11536" max="11536" width="8" style="815" customWidth="1"/>
    <col min="11537" max="11537" width="7.85546875" style="815" customWidth="1"/>
    <col min="11538" max="11538" width="8.7109375" style="815" customWidth="1"/>
    <col min="11539" max="11539" width="8" style="815" customWidth="1"/>
    <col min="11540" max="11540" width="7.5703125" style="815" customWidth="1"/>
    <col min="11541" max="11541" width="9.140625" style="815" customWidth="1"/>
    <col min="11542" max="11542" width="10.140625" style="815" customWidth="1"/>
    <col min="11543" max="11776" width="14" style="815"/>
    <col min="11777" max="11777" width="9" style="815" bestFit="1" customWidth="1"/>
    <col min="11778" max="11778" width="27" style="815" customWidth="1"/>
    <col min="11779" max="11779" width="14" style="815" customWidth="1"/>
    <col min="11780" max="11780" width="16.140625" style="815" customWidth="1"/>
    <col min="11781" max="11781" width="9.85546875" style="815" customWidth="1"/>
    <col min="11782" max="11782" width="10.5703125" style="815" customWidth="1"/>
    <col min="11783" max="11783" width="11" style="815" customWidth="1"/>
    <col min="11784" max="11784" width="14.42578125" style="815" customWidth="1"/>
    <col min="11785" max="11785" width="13" style="815" customWidth="1"/>
    <col min="11786" max="11786" width="10.140625" style="815" customWidth="1"/>
    <col min="11787" max="11787" width="9.140625" style="815" customWidth="1"/>
    <col min="11788" max="11788" width="8.140625" style="815" bestFit="1" customWidth="1"/>
    <col min="11789" max="11789" width="6.85546875" style="815" bestFit="1" customWidth="1"/>
    <col min="11790" max="11790" width="6.42578125" style="815" bestFit="1" customWidth="1"/>
    <col min="11791" max="11791" width="11.5703125" style="815" customWidth="1"/>
    <col min="11792" max="11792" width="8" style="815" customWidth="1"/>
    <col min="11793" max="11793" width="7.85546875" style="815" customWidth="1"/>
    <col min="11794" max="11794" width="8.7109375" style="815" customWidth="1"/>
    <col min="11795" max="11795" width="8" style="815" customWidth="1"/>
    <col min="11796" max="11796" width="7.5703125" style="815" customWidth="1"/>
    <col min="11797" max="11797" width="9.140625" style="815" customWidth="1"/>
    <col min="11798" max="11798" width="10.140625" style="815" customWidth="1"/>
    <col min="11799" max="12032" width="14" style="815"/>
    <col min="12033" max="12033" width="9" style="815" bestFit="1" customWidth="1"/>
    <col min="12034" max="12034" width="27" style="815" customWidth="1"/>
    <col min="12035" max="12035" width="14" style="815" customWidth="1"/>
    <col min="12036" max="12036" width="16.140625" style="815" customWidth="1"/>
    <col min="12037" max="12037" width="9.85546875" style="815" customWidth="1"/>
    <col min="12038" max="12038" width="10.5703125" style="815" customWidth="1"/>
    <col min="12039" max="12039" width="11" style="815" customWidth="1"/>
    <col min="12040" max="12040" width="14.42578125" style="815" customWidth="1"/>
    <col min="12041" max="12041" width="13" style="815" customWidth="1"/>
    <col min="12042" max="12042" width="10.140625" style="815" customWidth="1"/>
    <col min="12043" max="12043" width="9.140625" style="815" customWidth="1"/>
    <col min="12044" max="12044" width="8.140625" style="815" bestFit="1" customWidth="1"/>
    <col min="12045" max="12045" width="6.85546875" style="815" bestFit="1" customWidth="1"/>
    <col min="12046" max="12046" width="6.42578125" style="815" bestFit="1" customWidth="1"/>
    <col min="12047" max="12047" width="11.5703125" style="815" customWidth="1"/>
    <col min="12048" max="12048" width="8" style="815" customWidth="1"/>
    <col min="12049" max="12049" width="7.85546875" style="815" customWidth="1"/>
    <col min="12050" max="12050" width="8.7109375" style="815" customWidth="1"/>
    <col min="12051" max="12051" width="8" style="815" customWidth="1"/>
    <col min="12052" max="12052" width="7.5703125" style="815" customWidth="1"/>
    <col min="12053" max="12053" width="9.140625" style="815" customWidth="1"/>
    <col min="12054" max="12054" width="10.140625" style="815" customWidth="1"/>
    <col min="12055" max="12288" width="14" style="815"/>
    <col min="12289" max="12289" width="9" style="815" bestFit="1" customWidth="1"/>
    <col min="12290" max="12290" width="27" style="815" customWidth="1"/>
    <col min="12291" max="12291" width="14" style="815" customWidth="1"/>
    <col min="12292" max="12292" width="16.140625" style="815" customWidth="1"/>
    <col min="12293" max="12293" width="9.85546875" style="815" customWidth="1"/>
    <col min="12294" max="12294" width="10.5703125" style="815" customWidth="1"/>
    <col min="12295" max="12295" width="11" style="815" customWidth="1"/>
    <col min="12296" max="12296" width="14.42578125" style="815" customWidth="1"/>
    <col min="12297" max="12297" width="13" style="815" customWidth="1"/>
    <col min="12298" max="12298" width="10.140625" style="815" customWidth="1"/>
    <col min="12299" max="12299" width="9.140625" style="815" customWidth="1"/>
    <col min="12300" max="12300" width="8.140625" style="815" bestFit="1" customWidth="1"/>
    <col min="12301" max="12301" width="6.85546875" style="815" bestFit="1" customWidth="1"/>
    <col min="12302" max="12302" width="6.42578125" style="815" bestFit="1" customWidth="1"/>
    <col min="12303" max="12303" width="11.5703125" style="815" customWidth="1"/>
    <col min="12304" max="12304" width="8" style="815" customWidth="1"/>
    <col min="12305" max="12305" width="7.85546875" style="815" customWidth="1"/>
    <col min="12306" max="12306" width="8.7109375" style="815" customWidth="1"/>
    <col min="12307" max="12307" width="8" style="815" customWidth="1"/>
    <col min="12308" max="12308" width="7.5703125" style="815" customWidth="1"/>
    <col min="12309" max="12309" width="9.140625" style="815" customWidth="1"/>
    <col min="12310" max="12310" width="10.140625" style="815" customWidth="1"/>
    <col min="12311" max="12544" width="14" style="815"/>
    <col min="12545" max="12545" width="9" style="815" bestFit="1" customWidth="1"/>
    <col min="12546" max="12546" width="27" style="815" customWidth="1"/>
    <col min="12547" max="12547" width="14" style="815" customWidth="1"/>
    <col min="12548" max="12548" width="16.140625" style="815" customWidth="1"/>
    <col min="12549" max="12549" width="9.85546875" style="815" customWidth="1"/>
    <col min="12550" max="12550" width="10.5703125" style="815" customWidth="1"/>
    <col min="12551" max="12551" width="11" style="815" customWidth="1"/>
    <col min="12552" max="12552" width="14.42578125" style="815" customWidth="1"/>
    <col min="12553" max="12553" width="13" style="815" customWidth="1"/>
    <col min="12554" max="12554" width="10.140625" style="815" customWidth="1"/>
    <col min="12555" max="12555" width="9.140625" style="815" customWidth="1"/>
    <col min="12556" max="12556" width="8.140625" style="815" bestFit="1" customWidth="1"/>
    <col min="12557" max="12557" width="6.85546875" style="815" bestFit="1" customWidth="1"/>
    <col min="12558" max="12558" width="6.42578125" style="815" bestFit="1" customWidth="1"/>
    <col min="12559" max="12559" width="11.5703125" style="815" customWidth="1"/>
    <col min="12560" max="12560" width="8" style="815" customWidth="1"/>
    <col min="12561" max="12561" width="7.85546875" style="815" customWidth="1"/>
    <col min="12562" max="12562" width="8.7109375" style="815" customWidth="1"/>
    <col min="12563" max="12563" width="8" style="815" customWidth="1"/>
    <col min="12564" max="12564" width="7.5703125" style="815" customWidth="1"/>
    <col min="12565" max="12565" width="9.140625" style="815" customWidth="1"/>
    <col min="12566" max="12566" width="10.140625" style="815" customWidth="1"/>
    <col min="12567" max="12800" width="14" style="815"/>
    <col min="12801" max="12801" width="9" style="815" bestFit="1" customWidth="1"/>
    <col min="12802" max="12802" width="27" style="815" customWidth="1"/>
    <col min="12803" max="12803" width="14" style="815" customWidth="1"/>
    <col min="12804" max="12804" width="16.140625" style="815" customWidth="1"/>
    <col min="12805" max="12805" width="9.85546875" style="815" customWidth="1"/>
    <col min="12806" max="12806" width="10.5703125" style="815" customWidth="1"/>
    <col min="12807" max="12807" width="11" style="815" customWidth="1"/>
    <col min="12808" max="12808" width="14.42578125" style="815" customWidth="1"/>
    <col min="12809" max="12809" width="13" style="815" customWidth="1"/>
    <col min="12810" max="12810" width="10.140625" style="815" customWidth="1"/>
    <col min="12811" max="12811" width="9.140625" style="815" customWidth="1"/>
    <col min="12812" max="12812" width="8.140625" style="815" bestFit="1" customWidth="1"/>
    <col min="12813" max="12813" width="6.85546875" style="815" bestFit="1" customWidth="1"/>
    <col min="12814" max="12814" width="6.42578125" style="815" bestFit="1" customWidth="1"/>
    <col min="12815" max="12815" width="11.5703125" style="815" customWidth="1"/>
    <col min="12816" max="12816" width="8" style="815" customWidth="1"/>
    <col min="12817" max="12817" width="7.85546875" style="815" customWidth="1"/>
    <col min="12818" max="12818" width="8.7109375" style="815" customWidth="1"/>
    <col min="12819" max="12819" width="8" style="815" customWidth="1"/>
    <col min="12820" max="12820" width="7.5703125" style="815" customWidth="1"/>
    <col min="12821" max="12821" width="9.140625" style="815" customWidth="1"/>
    <col min="12822" max="12822" width="10.140625" style="815" customWidth="1"/>
    <col min="12823" max="13056" width="14" style="815"/>
    <col min="13057" max="13057" width="9" style="815" bestFit="1" customWidth="1"/>
    <col min="13058" max="13058" width="27" style="815" customWidth="1"/>
    <col min="13059" max="13059" width="14" style="815" customWidth="1"/>
    <col min="13060" max="13060" width="16.140625" style="815" customWidth="1"/>
    <col min="13061" max="13061" width="9.85546875" style="815" customWidth="1"/>
    <col min="13062" max="13062" width="10.5703125" style="815" customWidth="1"/>
    <col min="13063" max="13063" width="11" style="815" customWidth="1"/>
    <col min="13064" max="13064" width="14.42578125" style="815" customWidth="1"/>
    <col min="13065" max="13065" width="13" style="815" customWidth="1"/>
    <col min="13066" max="13066" width="10.140625" style="815" customWidth="1"/>
    <col min="13067" max="13067" width="9.140625" style="815" customWidth="1"/>
    <col min="13068" max="13068" width="8.140625" style="815" bestFit="1" customWidth="1"/>
    <col min="13069" max="13069" width="6.85546875" style="815" bestFit="1" customWidth="1"/>
    <col min="13070" max="13070" width="6.42578125" style="815" bestFit="1" customWidth="1"/>
    <col min="13071" max="13071" width="11.5703125" style="815" customWidth="1"/>
    <col min="13072" max="13072" width="8" style="815" customWidth="1"/>
    <col min="13073" max="13073" width="7.85546875" style="815" customWidth="1"/>
    <col min="13074" max="13074" width="8.7109375" style="815" customWidth="1"/>
    <col min="13075" max="13075" width="8" style="815" customWidth="1"/>
    <col min="13076" max="13076" width="7.5703125" style="815" customWidth="1"/>
    <col min="13077" max="13077" width="9.140625" style="815" customWidth="1"/>
    <col min="13078" max="13078" width="10.140625" style="815" customWidth="1"/>
    <col min="13079" max="13312" width="14" style="815"/>
    <col min="13313" max="13313" width="9" style="815" bestFit="1" customWidth="1"/>
    <col min="13314" max="13314" width="27" style="815" customWidth="1"/>
    <col min="13315" max="13315" width="14" style="815" customWidth="1"/>
    <col min="13316" max="13316" width="16.140625" style="815" customWidth="1"/>
    <col min="13317" max="13317" width="9.85546875" style="815" customWidth="1"/>
    <col min="13318" max="13318" width="10.5703125" style="815" customWidth="1"/>
    <col min="13319" max="13319" width="11" style="815" customWidth="1"/>
    <col min="13320" max="13320" width="14.42578125" style="815" customWidth="1"/>
    <col min="13321" max="13321" width="13" style="815" customWidth="1"/>
    <col min="13322" max="13322" width="10.140625" style="815" customWidth="1"/>
    <col min="13323" max="13323" width="9.140625" style="815" customWidth="1"/>
    <col min="13324" max="13324" width="8.140625" style="815" bestFit="1" customWidth="1"/>
    <col min="13325" max="13325" width="6.85546875" style="815" bestFit="1" customWidth="1"/>
    <col min="13326" max="13326" width="6.42578125" style="815" bestFit="1" customWidth="1"/>
    <col min="13327" max="13327" width="11.5703125" style="815" customWidth="1"/>
    <col min="13328" max="13328" width="8" style="815" customWidth="1"/>
    <col min="13329" max="13329" width="7.85546875" style="815" customWidth="1"/>
    <col min="13330" max="13330" width="8.7109375" style="815" customWidth="1"/>
    <col min="13331" max="13331" width="8" style="815" customWidth="1"/>
    <col min="13332" max="13332" width="7.5703125" style="815" customWidth="1"/>
    <col min="13333" max="13333" width="9.140625" style="815" customWidth="1"/>
    <col min="13334" max="13334" width="10.140625" style="815" customWidth="1"/>
    <col min="13335" max="13568" width="14" style="815"/>
    <col min="13569" max="13569" width="9" style="815" bestFit="1" customWidth="1"/>
    <col min="13570" max="13570" width="27" style="815" customWidth="1"/>
    <col min="13571" max="13571" width="14" style="815" customWidth="1"/>
    <col min="13572" max="13572" width="16.140625" style="815" customWidth="1"/>
    <col min="13573" max="13573" width="9.85546875" style="815" customWidth="1"/>
    <col min="13574" max="13574" width="10.5703125" style="815" customWidth="1"/>
    <col min="13575" max="13575" width="11" style="815" customWidth="1"/>
    <col min="13576" max="13576" width="14.42578125" style="815" customWidth="1"/>
    <col min="13577" max="13577" width="13" style="815" customWidth="1"/>
    <col min="13578" max="13578" width="10.140625" style="815" customWidth="1"/>
    <col min="13579" max="13579" width="9.140625" style="815" customWidth="1"/>
    <col min="13580" max="13580" width="8.140625" style="815" bestFit="1" customWidth="1"/>
    <col min="13581" max="13581" width="6.85546875" style="815" bestFit="1" customWidth="1"/>
    <col min="13582" max="13582" width="6.42578125" style="815" bestFit="1" customWidth="1"/>
    <col min="13583" max="13583" width="11.5703125" style="815" customWidth="1"/>
    <col min="13584" max="13584" width="8" style="815" customWidth="1"/>
    <col min="13585" max="13585" width="7.85546875" style="815" customWidth="1"/>
    <col min="13586" max="13586" width="8.7109375" style="815" customWidth="1"/>
    <col min="13587" max="13587" width="8" style="815" customWidth="1"/>
    <col min="13588" max="13588" width="7.5703125" style="815" customWidth="1"/>
    <col min="13589" max="13589" width="9.140625" style="815" customWidth="1"/>
    <col min="13590" max="13590" width="10.140625" style="815" customWidth="1"/>
    <col min="13591" max="13824" width="14" style="815"/>
    <col min="13825" max="13825" width="9" style="815" bestFit="1" customWidth="1"/>
    <col min="13826" max="13826" width="27" style="815" customWidth="1"/>
    <col min="13827" max="13827" width="14" style="815" customWidth="1"/>
    <col min="13828" max="13828" width="16.140625" style="815" customWidth="1"/>
    <col min="13829" max="13829" width="9.85546875" style="815" customWidth="1"/>
    <col min="13830" max="13830" width="10.5703125" style="815" customWidth="1"/>
    <col min="13831" max="13831" width="11" style="815" customWidth="1"/>
    <col min="13832" max="13832" width="14.42578125" style="815" customWidth="1"/>
    <col min="13833" max="13833" width="13" style="815" customWidth="1"/>
    <col min="13834" max="13834" width="10.140625" style="815" customWidth="1"/>
    <col min="13835" max="13835" width="9.140625" style="815" customWidth="1"/>
    <col min="13836" max="13836" width="8.140625" style="815" bestFit="1" customWidth="1"/>
    <col min="13837" max="13837" width="6.85546875" style="815" bestFit="1" customWidth="1"/>
    <col min="13838" max="13838" width="6.42578125" style="815" bestFit="1" customWidth="1"/>
    <col min="13839" max="13839" width="11.5703125" style="815" customWidth="1"/>
    <col min="13840" max="13840" width="8" style="815" customWidth="1"/>
    <col min="13841" max="13841" width="7.85546875" style="815" customWidth="1"/>
    <col min="13842" max="13842" width="8.7109375" style="815" customWidth="1"/>
    <col min="13843" max="13843" width="8" style="815" customWidth="1"/>
    <col min="13844" max="13844" width="7.5703125" style="815" customWidth="1"/>
    <col min="13845" max="13845" width="9.140625" style="815" customWidth="1"/>
    <col min="13846" max="13846" width="10.140625" style="815" customWidth="1"/>
    <col min="13847" max="14080" width="14" style="815"/>
    <col min="14081" max="14081" width="9" style="815" bestFit="1" customWidth="1"/>
    <col min="14082" max="14082" width="27" style="815" customWidth="1"/>
    <col min="14083" max="14083" width="14" style="815" customWidth="1"/>
    <col min="14084" max="14084" width="16.140625" style="815" customWidth="1"/>
    <col min="14085" max="14085" width="9.85546875" style="815" customWidth="1"/>
    <col min="14086" max="14086" width="10.5703125" style="815" customWidth="1"/>
    <col min="14087" max="14087" width="11" style="815" customWidth="1"/>
    <col min="14088" max="14088" width="14.42578125" style="815" customWidth="1"/>
    <col min="14089" max="14089" width="13" style="815" customWidth="1"/>
    <col min="14090" max="14090" width="10.140625" style="815" customWidth="1"/>
    <col min="14091" max="14091" width="9.140625" style="815" customWidth="1"/>
    <col min="14092" max="14092" width="8.140625" style="815" bestFit="1" customWidth="1"/>
    <col min="14093" max="14093" width="6.85546875" style="815" bestFit="1" customWidth="1"/>
    <col min="14094" max="14094" width="6.42578125" style="815" bestFit="1" customWidth="1"/>
    <col min="14095" max="14095" width="11.5703125" style="815" customWidth="1"/>
    <col min="14096" max="14096" width="8" style="815" customWidth="1"/>
    <col min="14097" max="14097" width="7.85546875" style="815" customWidth="1"/>
    <col min="14098" max="14098" width="8.7109375" style="815" customWidth="1"/>
    <col min="14099" max="14099" width="8" style="815" customWidth="1"/>
    <col min="14100" max="14100" width="7.5703125" style="815" customWidth="1"/>
    <col min="14101" max="14101" width="9.140625" style="815" customWidth="1"/>
    <col min="14102" max="14102" width="10.140625" style="815" customWidth="1"/>
    <col min="14103" max="14336" width="14" style="815"/>
    <col min="14337" max="14337" width="9" style="815" bestFit="1" customWidth="1"/>
    <col min="14338" max="14338" width="27" style="815" customWidth="1"/>
    <col min="14339" max="14339" width="14" style="815" customWidth="1"/>
    <col min="14340" max="14340" width="16.140625" style="815" customWidth="1"/>
    <col min="14341" max="14341" width="9.85546875" style="815" customWidth="1"/>
    <col min="14342" max="14342" width="10.5703125" style="815" customWidth="1"/>
    <col min="14343" max="14343" width="11" style="815" customWidth="1"/>
    <col min="14344" max="14344" width="14.42578125" style="815" customWidth="1"/>
    <col min="14345" max="14345" width="13" style="815" customWidth="1"/>
    <col min="14346" max="14346" width="10.140625" style="815" customWidth="1"/>
    <col min="14347" max="14347" width="9.140625" style="815" customWidth="1"/>
    <col min="14348" max="14348" width="8.140625" style="815" bestFit="1" customWidth="1"/>
    <col min="14349" max="14349" width="6.85546875" style="815" bestFit="1" customWidth="1"/>
    <col min="14350" max="14350" width="6.42578125" style="815" bestFit="1" customWidth="1"/>
    <col min="14351" max="14351" width="11.5703125" style="815" customWidth="1"/>
    <col min="14352" max="14352" width="8" style="815" customWidth="1"/>
    <col min="14353" max="14353" width="7.85546875" style="815" customWidth="1"/>
    <col min="14354" max="14354" width="8.7109375" style="815" customWidth="1"/>
    <col min="14355" max="14355" width="8" style="815" customWidth="1"/>
    <col min="14356" max="14356" width="7.5703125" style="815" customWidth="1"/>
    <col min="14357" max="14357" width="9.140625" style="815" customWidth="1"/>
    <col min="14358" max="14358" width="10.140625" style="815" customWidth="1"/>
    <col min="14359" max="14592" width="14" style="815"/>
    <col min="14593" max="14593" width="9" style="815" bestFit="1" customWidth="1"/>
    <col min="14594" max="14594" width="27" style="815" customWidth="1"/>
    <col min="14595" max="14595" width="14" style="815" customWidth="1"/>
    <col min="14596" max="14596" width="16.140625" style="815" customWidth="1"/>
    <col min="14597" max="14597" width="9.85546875" style="815" customWidth="1"/>
    <col min="14598" max="14598" width="10.5703125" style="815" customWidth="1"/>
    <col min="14599" max="14599" width="11" style="815" customWidth="1"/>
    <col min="14600" max="14600" width="14.42578125" style="815" customWidth="1"/>
    <col min="14601" max="14601" width="13" style="815" customWidth="1"/>
    <col min="14602" max="14602" width="10.140625" style="815" customWidth="1"/>
    <col min="14603" max="14603" width="9.140625" style="815" customWidth="1"/>
    <col min="14604" max="14604" width="8.140625" style="815" bestFit="1" customWidth="1"/>
    <col min="14605" max="14605" width="6.85546875" style="815" bestFit="1" customWidth="1"/>
    <col min="14606" max="14606" width="6.42578125" style="815" bestFit="1" customWidth="1"/>
    <col min="14607" max="14607" width="11.5703125" style="815" customWidth="1"/>
    <col min="14608" max="14608" width="8" style="815" customWidth="1"/>
    <col min="14609" max="14609" width="7.85546875" style="815" customWidth="1"/>
    <col min="14610" max="14610" width="8.7109375" style="815" customWidth="1"/>
    <col min="14611" max="14611" width="8" style="815" customWidth="1"/>
    <col min="14612" max="14612" width="7.5703125" style="815" customWidth="1"/>
    <col min="14613" max="14613" width="9.140625" style="815" customWidth="1"/>
    <col min="14614" max="14614" width="10.140625" style="815" customWidth="1"/>
    <col min="14615" max="14848" width="14" style="815"/>
    <col min="14849" max="14849" width="9" style="815" bestFit="1" customWidth="1"/>
    <col min="14850" max="14850" width="27" style="815" customWidth="1"/>
    <col min="14851" max="14851" width="14" style="815" customWidth="1"/>
    <col min="14852" max="14852" width="16.140625" style="815" customWidth="1"/>
    <col min="14853" max="14853" width="9.85546875" style="815" customWidth="1"/>
    <col min="14854" max="14854" width="10.5703125" style="815" customWidth="1"/>
    <col min="14855" max="14855" width="11" style="815" customWidth="1"/>
    <col min="14856" max="14856" width="14.42578125" style="815" customWidth="1"/>
    <col min="14857" max="14857" width="13" style="815" customWidth="1"/>
    <col min="14858" max="14858" width="10.140625" style="815" customWidth="1"/>
    <col min="14859" max="14859" width="9.140625" style="815" customWidth="1"/>
    <col min="14860" max="14860" width="8.140625" style="815" bestFit="1" customWidth="1"/>
    <col min="14861" max="14861" width="6.85546875" style="815" bestFit="1" customWidth="1"/>
    <col min="14862" max="14862" width="6.42578125" style="815" bestFit="1" customWidth="1"/>
    <col min="14863" max="14863" width="11.5703125" style="815" customWidth="1"/>
    <col min="14864" max="14864" width="8" style="815" customWidth="1"/>
    <col min="14865" max="14865" width="7.85546875" style="815" customWidth="1"/>
    <col min="14866" max="14866" width="8.7109375" style="815" customWidth="1"/>
    <col min="14867" max="14867" width="8" style="815" customWidth="1"/>
    <col min="14868" max="14868" width="7.5703125" style="815" customWidth="1"/>
    <col min="14869" max="14869" width="9.140625" style="815" customWidth="1"/>
    <col min="14870" max="14870" width="10.140625" style="815" customWidth="1"/>
    <col min="14871" max="15104" width="14" style="815"/>
    <col min="15105" max="15105" width="9" style="815" bestFit="1" customWidth="1"/>
    <col min="15106" max="15106" width="27" style="815" customWidth="1"/>
    <col min="15107" max="15107" width="14" style="815" customWidth="1"/>
    <col min="15108" max="15108" width="16.140625" style="815" customWidth="1"/>
    <col min="15109" max="15109" width="9.85546875" style="815" customWidth="1"/>
    <col min="15110" max="15110" width="10.5703125" style="815" customWidth="1"/>
    <col min="15111" max="15111" width="11" style="815" customWidth="1"/>
    <col min="15112" max="15112" width="14.42578125" style="815" customWidth="1"/>
    <col min="15113" max="15113" width="13" style="815" customWidth="1"/>
    <col min="15114" max="15114" width="10.140625" style="815" customWidth="1"/>
    <col min="15115" max="15115" width="9.140625" style="815" customWidth="1"/>
    <col min="15116" max="15116" width="8.140625" style="815" bestFit="1" customWidth="1"/>
    <col min="15117" max="15117" width="6.85546875" style="815" bestFit="1" customWidth="1"/>
    <col min="15118" max="15118" width="6.42578125" style="815" bestFit="1" customWidth="1"/>
    <col min="15119" max="15119" width="11.5703125" style="815" customWidth="1"/>
    <col min="15120" max="15120" width="8" style="815" customWidth="1"/>
    <col min="15121" max="15121" width="7.85546875" style="815" customWidth="1"/>
    <col min="15122" max="15122" width="8.7109375" style="815" customWidth="1"/>
    <col min="15123" max="15123" width="8" style="815" customWidth="1"/>
    <col min="15124" max="15124" width="7.5703125" style="815" customWidth="1"/>
    <col min="15125" max="15125" width="9.140625" style="815" customWidth="1"/>
    <col min="15126" max="15126" width="10.140625" style="815" customWidth="1"/>
    <col min="15127" max="15360" width="14" style="815"/>
    <col min="15361" max="15361" width="9" style="815" bestFit="1" customWidth="1"/>
    <col min="15362" max="15362" width="27" style="815" customWidth="1"/>
    <col min="15363" max="15363" width="14" style="815" customWidth="1"/>
    <col min="15364" max="15364" width="16.140625" style="815" customWidth="1"/>
    <col min="15365" max="15365" width="9.85546875" style="815" customWidth="1"/>
    <col min="15366" max="15366" width="10.5703125" style="815" customWidth="1"/>
    <col min="15367" max="15367" width="11" style="815" customWidth="1"/>
    <col min="15368" max="15368" width="14.42578125" style="815" customWidth="1"/>
    <col min="15369" max="15369" width="13" style="815" customWidth="1"/>
    <col min="15370" max="15370" width="10.140625" style="815" customWidth="1"/>
    <col min="15371" max="15371" width="9.140625" style="815" customWidth="1"/>
    <col min="15372" max="15372" width="8.140625" style="815" bestFit="1" customWidth="1"/>
    <col min="15373" max="15373" width="6.85546875" style="815" bestFit="1" customWidth="1"/>
    <col min="15374" max="15374" width="6.42578125" style="815" bestFit="1" customWidth="1"/>
    <col min="15375" max="15375" width="11.5703125" style="815" customWidth="1"/>
    <col min="15376" max="15376" width="8" style="815" customWidth="1"/>
    <col min="15377" max="15377" width="7.85546875" style="815" customWidth="1"/>
    <col min="15378" max="15378" width="8.7109375" style="815" customWidth="1"/>
    <col min="15379" max="15379" width="8" style="815" customWidth="1"/>
    <col min="15380" max="15380" width="7.5703125" style="815" customWidth="1"/>
    <col min="15381" max="15381" width="9.140625" style="815" customWidth="1"/>
    <col min="15382" max="15382" width="10.140625" style="815" customWidth="1"/>
    <col min="15383" max="15616" width="14" style="815"/>
    <col min="15617" max="15617" width="9" style="815" bestFit="1" customWidth="1"/>
    <col min="15618" max="15618" width="27" style="815" customWidth="1"/>
    <col min="15619" max="15619" width="14" style="815" customWidth="1"/>
    <col min="15620" max="15620" width="16.140625" style="815" customWidth="1"/>
    <col min="15621" max="15621" width="9.85546875" style="815" customWidth="1"/>
    <col min="15622" max="15622" width="10.5703125" style="815" customWidth="1"/>
    <col min="15623" max="15623" width="11" style="815" customWidth="1"/>
    <col min="15624" max="15624" width="14.42578125" style="815" customWidth="1"/>
    <col min="15625" max="15625" width="13" style="815" customWidth="1"/>
    <col min="15626" max="15626" width="10.140625" style="815" customWidth="1"/>
    <col min="15627" max="15627" width="9.140625" style="815" customWidth="1"/>
    <col min="15628" max="15628" width="8.140625" style="815" bestFit="1" customWidth="1"/>
    <col min="15629" max="15629" width="6.85546875" style="815" bestFit="1" customWidth="1"/>
    <col min="15630" max="15630" width="6.42578125" style="815" bestFit="1" customWidth="1"/>
    <col min="15631" max="15631" width="11.5703125" style="815" customWidth="1"/>
    <col min="15632" max="15632" width="8" style="815" customWidth="1"/>
    <col min="15633" max="15633" width="7.85546875" style="815" customWidth="1"/>
    <col min="15634" max="15634" width="8.7109375" style="815" customWidth="1"/>
    <col min="15635" max="15635" width="8" style="815" customWidth="1"/>
    <col min="15636" max="15636" width="7.5703125" style="815" customWidth="1"/>
    <col min="15637" max="15637" width="9.140625" style="815" customWidth="1"/>
    <col min="15638" max="15638" width="10.140625" style="815" customWidth="1"/>
    <col min="15639" max="15872" width="14" style="815"/>
    <col min="15873" max="15873" width="9" style="815" bestFit="1" customWidth="1"/>
    <col min="15874" max="15874" width="27" style="815" customWidth="1"/>
    <col min="15875" max="15875" width="14" style="815" customWidth="1"/>
    <col min="15876" max="15876" width="16.140625" style="815" customWidth="1"/>
    <col min="15877" max="15877" width="9.85546875" style="815" customWidth="1"/>
    <col min="15878" max="15878" width="10.5703125" style="815" customWidth="1"/>
    <col min="15879" max="15879" width="11" style="815" customWidth="1"/>
    <col min="15880" max="15880" width="14.42578125" style="815" customWidth="1"/>
    <col min="15881" max="15881" width="13" style="815" customWidth="1"/>
    <col min="15882" max="15882" width="10.140625" style="815" customWidth="1"/>
    <col min="15883" max="15883" width="9.140625" style="815" customWidth="1"/>
    <col min="15884" max="15884" width="8.140625" style="815" bestFit="1" customWidth="1"/>
    <col min="15885" max="15885" width="6.85546875" style="815" bestFit="1" customWidth="1"/>
    <col min="15886" max="15886" width="6.42578125" style="815" bestFit="1" customWidth="1"/>
    <col min="15887" max="15887" width="11.5703125" style="815" customWidth="1"/>
    <col min="15888" max="15888" width="8" style="815" customWidth="1"/>
    <col min="15889" max="15889" width="7.85546875" style="815" customWidth="1"/>
    <col min="15890" max="15890" width="8.7109375" style="815" customWidth="1"/>
    <col min="15891" max="15891" width="8" style="815" customWidth="1"/>
    <col min="15892" max="15892" width="7.5703125" style="815" customWidth="1"/>
    <col min="15893" max="15893" width="9.140625" style="815" customWidth="1"/>
    <col min="15894" max="15894" width="10.140625" style="815" customWidth="1"/>
    <col min="15895" max="16128" width="14" style="815"/>
    <col min="16129" max="16129" width="9" style="815" bestFit="1" customWidth="1"/>
    <col min="16130" max="16130" width="27" style="815" customWidth="1"/>
    <col min="16131" max="16131" width="14" style="815" customWidth="1"/>
    <col min="16132" max="16132" width="16.140625" style="815" customWidth="1"/>
    <col min="16133" max="16133" width="9.85546875" style="815" customWidth="1"/>
    <col min="16134" max="16134" width="10.5703125" style="815" customWidth="1"/>
    <col min="16135" max="16135" width="11" style="815" customWidth="1"/>
    <col min="16136" max="16136" width="14.42578125" style="815" customWidth="1"/>
    <col min="16137" max="16137" width="13" style="815" customWidth="1"/>
    <col min="16138" max="16138" width="10.140625" style="815" customWidth="1"/>
    <col min="16139" max="16139" width="9.140625" style="815" customWidth="1"/>
    <col min="16140" max="16140" width="8.140625" style="815" bestFit="1" customWidth="1"/>
    <col min="16141" max="16141" width="6.85546875" style="815" bestFit="1" customWidth="1"/>
    <col min="16142" max="16142" width="6.42578125" style="815" bestFit="1" customWidth="1"/>
    <col min="16143" max="16143" width="11.5703125" style="815" customWidth="1"/>
    <col min="16144" max="16144" width="8" style="815" customWidth="1"/>
    <col min="16145" max="16145" width="7.85546875" style="815" customWidth="1"/>
    <col min="16146" max="16146" width="8.7109375" style="815" customWidth="1"/>
    <col min="16147" max="16147" width="8" style="815" customWidth="1"/>
    <col min="16148" max="16148" width="7.5703125" style="815" customWidth="1"/>
    <col min="16149" max="16149" width="9.140625" style="815" customWidth="1"/>
    <col min="16150" max="16150" width="10.140625" style="815" customWidth="1"/>
    <col min="16151" max="16384" width="14" style="815"/>
  </cols>
  <sheetData>
    <row r="1" spans="1:38">
      <c r="A1" s="1584" t="s">
        <v>396</v>
      </c>
      <c r="B1" s="1524"/>
      <c r="E1" s="1585"/>
      <c r="F1" s="1585"/>
      <c r="G1" s="1585"/>
      <c r="H1" s="1585"/>
      <c r="I1" s="1585"/>
      <c r="J1" s="1585"/>
      <c r="K1" s="1585"/>
      <c r="L1" s="1585"/>
      <c r="M1" s="1585"/>
      <c r="N1" s="1585"/>
      <c r="O1" s="1585"/>
      <c r="P1" s="1585"/>
      <c r="Q1" s="1585"/>
      <c r="R1" s="1585"/>
      <c r="S1" s="1585"/>
      <c r="T1" s="1585"/>
      <c r="U1" s="1585"/>
      <c r="AL1" s="815">
        <v>1</v>
      </c>
    </row>
    <row r="2" spans="1:38">
      <c r="E2" s="1585"/>
      <c r="F2" s="1585"/>
      <c r="G2" s="1585"/>
      <c r="H2" s="1585"/>
      <c r="I2" s="1585"/>
      <c r="J2" s="1585"/>
      <c r="K2" s="1585"/>
      <c r="L2" s="1585"/>
      <c r="M2" s="1585"/>
      <c r="N2" s="1585"/>
      <c r="O2" s="1585"/>
      <c r="P2" s="1585"/>
      <c r="Q2" s="1585"/>
      <c r="R2" s="1585"/>
      <c r="S2" s="1585"/>
      <c r="T2" s="1585"/>
      <c r="U2" s="1585"/>
      <c r="AL2" s="815">
        <v>2</v>
      </c>
    </row>
    <row r="3" spans="1:38">
      <c r="B3" s="388" t="s">
        <v>472</v>
      </c>
      <c r="C3" s="1802" t="s">
        <v>1135</v>
      </c>
      <c r="D3" s="1802"/>
      <c r="E3" s="1802"/>
      <c r="F3" s="1802"/>
      <c r="G3" s="1802"/>
      <c r="H3" s="1802"/>
      <c r="I3" s="1802"/>
      <c r="J3" s="1802"/>
      <c r="K3" s="1802"/>
      <c r="L3" s="1802"/>
      <c r="M3" s="1802"/>
      <c r="N3" s="1802"/>
      <c r="O3" s="1802"/>
      <c r="P3" s="1802"/>
      <c r="Q3" s="1802"/>
      <c r="R3" s="1802"/>
      <c r="S3" s="1802"/>
      <c r="T3" s="1802"/>
      <c r="U3" s="1802"/>
      <c r="V3" s="1802"/>
    </row>
    <row r="4" spans="1:38">
      <c r="B4" s="388" t="s">
        <v>60</v>
      </c>
      <c r="C4" s="388" t="s">
        <v>974</v>
      </c>
      <c r="D4" s="1518"/>
      <c r="E4" s="814"/>
      <c r="F4" s="814"/>
      <c r="G4" s="814"/>
      <c r="H4" s="814"/>
      <c r="I4" s="814"/>
      <c r="J4" s="814"/>
      <c r="K4" s="1585"/>
      <c r="L4" s="1585"/>
      <c r="M4" s="1585"/>
      <c r="N4" s="1585"/>
      <c r="O4" s="1585"/>
      <c r="P4" s="1585"/>
      <c r="Q4" s="1585"/>
      <c r="R4" s="1585"/>
      <c r="S4" s="1585"/>
      <c r="T4" s="1585"/>
      <c r="U4" s="1585"/>
    </row>
    <row r="5" spans="1:38">
      <c r="B5" s="1803" t="s">
        <v>1136</v>
      </c>
      <c r="C5" s="1803"/>
      <c r="D5" s="1803"/>
      <c r="E5" s="1803"/>
      <c r="F5" s="1803"/>
      <c r="G5" s="1803"/>
      <c r="H5" s="1803"/>
      <c r="I5" s="1803"/>
      <c r="J5" s="1803"/>
      <c r="K5" s="1803"/>
      <c r="L5" s="1803"/>
      <c r="M5" s="1803"/>
      <c r="N5" s="1803"/>
      <c r="O5" s="1803"/>
      <c r="P5" s="1803"/>
      <c r="Q5" s="1803"/>
      <c r="R5" s="1803"/>
      <c r="S5" s="1803"/>
      <c r="T5" s="1803"/>
      <c r="U5" s="1803"/>
      <c r="V5" s="1803"/>
    </row>
    <row r="6" spans="1:38">
      <c r="B6" s="1518"/>
      <c r="E6" s="1585"/>
      <c r="F6" s="1585"/>
      <c r="G6" s="1585"/>
      <c r="H6" s="1585"/>
      <c r="I6" s="1585"/>
      <c r="J6" s="1585"/>
      <c r="K6" s="1585"/>
      <c r="L6" s="1585"/>
      <c r="M6" s="1585"/>
      <c r="N6" s="1585"/>
      <c r="O6" s="1585"/>
      <c r="P6" s="1585"/>
      <c r="Q6" s="1585"/>
      <c r="R6" s="1585"/>
      <c r="S6" s="1585"/>
      <c r="T6" s="1585"/>
      <c r="U6" s="1585"/>
    </row>
    <row r="7" spans="1:38" ht="38.25">
      <c r="B7" s="1804" t="s">
        <v>452</v>
      </c>
      <c r="C7" s="1804" t="s">
        <v>466</v>
      </c>
      <c r="D7" s="1804" t="s">
        <v>467</v>
      </c>
      <c r="E7" s="1583" t="s">
        <v>222</v>
      </c>
      <c r="F7" s="1583" t="s">
        <v>225</v>
      </c>
      <c r="G7" s="1583" t="s">
        <v>225</v>
      </c>
      <c r="H7" s="1805" t="s">
        <v>250</v>
      </c>
      <c r="I7" s="1805"/>
      <c r="J7" s="1805" t="s">
        <v>91</v>
      </c>
      <c r="K7" s="1805"/>
      <c r="L7" s="1805"/>
      <c r="M7" s="1805"/>
      <c r="N7" s="1805"/>
      <c r="O7" s="1805"/>
      <c r="P7" s="1805" t="s">
        <v>370</v>
      </c>
      <c r="Q7" s="1805"/>
      <c r="R7" s="1805"/>
      <c r="S7" s="1805"/>
      <c r="T7" s="1805"/>
      <c r="U7" s="1583"/>
      <c r="V7" s="1804" t="s">
        <v>365</v>
      </c>
    </row>
    <row r="8" spans="1:38" ht="38.25">
      <c r="B8" s="1804"/>
      <c r="C8" s="1804"/>
      <c r="D8" s="1804"/>
      <c r="E8" s="1583" t="s">
        <v>223</v>
      </c>
      <c r="F8" s="1583" t="s">
        <v>224</v>
      </c>
      <c r="G8" s="1583" t="s">
        <v>223</v>
      </c>
      <c r="H8" s="1583" t="s">
        <v>521</v>
      </c>
      <c r="I8" s="1583" t="s">
        <v>209</v>
      </c>
      <c r="J8" s="1583" t="s">
        <v>94</v>
      </c>
      <c r="K8" s="1583" t="s">
        <v>95</v>
      </c>
      <c r="L8" s="1583" t="s">
        <v>96</v>
      </c>
      <c r="M8" s="1583" t="s">
        <v>576</v>
      </c>
      <c r="N8" s="1583" t="s">
        <v>392</v>
      </c>
      <c r="O8" s="1583" t="s">
        <v>98</v>
      </c>
      <c r="P8" s="1583" t="s">
        <v>94</v>
      </c>
      <c r="Q8" s="1583" t="s">
        <v>262</v>
      </c>
      <c r="R8" s="1583" t="s">
        <v>576</v>
      </c>
      <c r="S8" s="1583" t="s">
        <v>392</v>
      </c>
      <c r="T8" s="1583" t="s">
        <v>95</v>
      </c>
      <c r="U8" s="1583" t="s">
        <v>98</v>
      </c>
      <c r="V8" s="1804"/>
    </row>
    <row r="9" spans="1:38" ht="17.100000000000001" customHeight="1">
      <c r="B9" s="1586" t="s">
        <v>453</v>
      </c>
      <c r="C9" s="1587"/>
      <c r="D9" s="1588"/>
      <c r="E9" s="1588"/>
      <c r="F9" s="1588"/>
      <c r="G9" s="1588"/>
      <c r="H9" s="1589"/>
      <c r="I9" s="1589"/>
      <c r="J9" s="1588"/>
      <c r="K9" s="1588"/>
      <c r="L9" s="1588"/>
      <c r="M9" s="1588"/>
      <c r="N9" s="1588"/>
      <c r="O9" s="1290">
        <f>SUM(J9:N9)</f>
        <v>0</v>
      </c>
      <c r="P9" s="906">
        <f>IF(I9=0,0,J9/I9*10)</f>
        <v>0</v>
      </c>
      <c r="Q9" s="906">
        <f>IF(I9=0,0,K9/I9*10)</f>
        <v>0</v>
      </c>
      <c r="R9" s="906">
        <f>IF(I9=0,0,L9/I9*10)</f>
        <v>0</v>
      </c>
      <c r="S9" s="906">
        <f>IF(I9=0,0,M9/I9*10)</f>
        <v>0</v>
      </c>
      <c r="T9" s="906">
        <f>IF(I9=0,0,N9/I9*10)</f>
        <v>0</v>
      </c>
      <c r="U9" s="906">
        <f>IF(I9=0,0,O9/I9*10)</f>
        <v>0</v>
      </c>
      <c r="V9" s="1590"/>
    </row>
    <row r="10" spans="1:38" ht="17.100000000000001" customHeight="1">
      <c r="B10" s="1586"/>
      <c r="C10" s="1587"/>
      <c r="D10" s="1588"/>
      <c r="E10" s="1588"/>
      <c r="F10" s="1588"/>
      <c r="G10" s="1588"/>
      <c r="H10" s="1589"/>
      <c r="I10" s="1589"/>
      <c r="J10" s="1588"/>
      <c r="K10" s="1588"/>
      <c r="L10" s="1588"/>
      <c r="M10" s="1588"/>
      <c r="N10" s="1588"/>
      <c r="O10" s="1290">
        <f t="shared" ref="O10:O41" si="0">SUM(J10:N10)</f>
        <v>0</v>
      </c>
      <c r="P10" s="906">
        <f t="shared" ref="P10:P41" si="1">IF(I10=0,0,J10/I10*10)</f>
        <v>0</v>
      </c>
      <c r="Q10" s="906">
        <f t="shared" ref="Q10:Q41" si="2">IF(I10=0,0,K10/I10*10)</f>
        <v>0</v>
      </c>
      <c r="R10" s="906">
        <f t="shared" ref="R10:R41" si="3">IF(I10=0,0,L10/I10*10)</f>
        <v>0</v>
      </c>
      <c r="S10" s="906">
        <f t="shared" ref="S10:S41" si="4">IF(I10=0,0,M10/I10*10)</f>
        <v>0</v>
      </c>
      <c r="T10" s="906">
        <f t="shared" ref="T10:T41" si="5">IF(I10=0,0,N10/I10*10)</f>
        <v>0</v>
      </c>
      <c r="U10" s="906">
        <f t="shared" ref="U10:U41" si="6">IF(I10=0,0,O10/I10*10)</f>
        <v>0</v>
      </c>
      <c r="V10" s="1590"/>
    </row>
    <row r="11" spans="1:38" s="1518" customFormat="1" ht="17.100000000000001" customHeight="1">
      <c r="B11" s="1586"/>
      <c r="C11" s="1587"/>
      <c r="D11" s="1588"/>
      <c r="E11" s="1588"/>
      <c r="F11" s="1588"/>
      <c r="G11" s="1588"/>
      <c r="H11" s="1589"/>
      <c r="I11" s="1589"/>
      <c r="J11" s="1589"/>
      <c r="K11" s="1589"/>
      <c r="L11" s="1588"/>
      <c r="M11" s="1588"/>
      <c r="N11" s="1588"/>
      <c r="O11" s="1290">
        <f t="shared" si="0"/>
        <v>0</v>
      </c>
      <c r="P11" s="906">
        <f t="shared" si="1"/>
        <v>0</v>
      </c>
      <c r="Q11" s="906">
        <f t="shared" si="2"/>
        <v>0</v>
      </c>
      <c r="R11" s="906">
        <f t="shared" si="3"/>
        <v>0</v>
      </c>
      <c r="S11" s="906">
        <f t="shared" si="4"/>
        <v>0</v>
      </c>
      <c r="T11" s="906">
        <f t="shared" si="5"/>
        <v>0</v>
      </c>
      <c r="U11" s="906">
        <f t="shared" si="6"/>
        <v>0</v>
      </c>
      <c r="V11" s="1590"/>
    </row>
    <row r="12" spans="1:38" s="1518" customFormat="1" ht="17.100000000000001" customHeight="1">
      <c r="B12" s="1586"/>
      <c r="C12" s="1587"/>
      <c r="D12" s="1588"/>
      <c r="E12" s="1588"/>
      <c r="F12" s="1588"/>
      <c r="G12" s="1588"/>
      <c r="H12" s="1589"/>
      <c r="I12" s="1589"/>
      <c r="J12" s="1589"/>
      <c r="K12" s="1589"/>
      <c r="L12" s="1588"/>
      <c r="M12" s="1588"/>
      <c r="N12" s="1588"/>
      <c r="O12" s="1290">
        <f t="shared" si="0"/>
        <v>0</v>
      </c>
      <c r="P12" s="906">
        <f t="shared" si="1"/>
        <v>0</v>
      </c>
      <c r="Q12" s="906">
        <f t="shared" si="2"/>
        <v>0</v>
      </c>
      <c r="R12" s="906">
        <f t="shared" si="3"/>
        <v>0</v>
      </c>
      <c r="S12" s="906">
        <f t="shared" si="4"/>
        <v>0</v>
      </c>
      <c r="T12" s="906">
        <f t="shared" si="5"/>
        <v>0</v>
      </c>
      <c r="U12" s="906">
        <f t="shared" si="6"/>
        <v>0</v>
      </c>
      <c r="V12" s="1590"/>
    </row>
    <row r="13" spans="1:38" ht="17.100000000000001" customHeight="1">
      <c r="B13" s="1586"/>
      <c r="C13" s="1587"/>
      <c r="D13" s="1588"/>
      <c r="E13" s="1588"/>
      <c r="F13" s="1588"/>
      <c r="G13" s="1588"/>
      <c r="H13" s="1589"/>
      <c r="I13" s="1589"/>
      <c r="J13" s="1589"/>
      <c r="K13" s="1589"/>
      <c r="L13" s="1588"/>
      <c r="M13" s="1588"/>
      <c r="N13" s="1588"/>
      <c r="O13" s="1290">
        <f t="shared" si="0"/>
        <v>0</v>
      </c>
      <c r="P13" s="906">
        <f t="shared" si="1"/>
        <v>0</v>
      </c>
      <c r="Q13" s="906">
        <f t="shared" si="2"/>
        <v>0</v>
      </c>
      <c r="R13" s="906">
        <f t="shared" si="3"/>
        <v>0</v>
      </c>
      <c r="S13" s="906">
        <f t="shared" si="4"/>
        <v>0</v>
      </c>
      <c r="T13" s="906">
        <f t="shared" si="5"/>
        <v>0</v>
      </c>
      <c r="U13" s="906">
        <f t="shared" si="6"/>
        <v>0</v>
      </c>
      <c r="V13" s="1590"/>
    </row>
    <row r="14" spans="1:38" s="1518" customFormat="1" ht="17.100000000000001" customHeight="1">
      <c r="B14" s="1586"/>
      <c r="C14" s="1587"/>
      <c r="D14" s="1588"/>
      <c r="E14" s="1588"/>
      <c r="F14" s="1588"/>
      <c r="G14" s="1588"/>
      <c r="H14" s="1589"/>
      <c r="I14" s="1589"/>
      <c r="J14" s="1589"/>
      <c r="K14" s="1589"/>
      <c r="L14" s="1588"/>
      <c r="M14" s="1588"/>
      <c r="N14" s="1588"/>
      <c r="O14" s="1290">
        <f t="shared" si="0"/>
        <v>0</v>
      </c>
      <c r="P14" s="906">
        <f t="shared" si="1"/>
        <v>0</v>
      </c>
      <c r="Q14" s="906">
        <f t="shared" si="2"/>
        <v>0</v>
      </c>
      <c r="R14" s="906">
        <f t="shared" si="3"/>
        <v>0</v>
      </c>
      <c r="S14" s="906">
        <f t="shared" si="4"/>
        <v>0</v>
      </c>
      <c r="T14" s="906">
        <f t="shared" si="5"/>
        <v>0</v>
      </c>
      <c r="U14" s="906">
        <f t="shared" si="6"/>
        <v>0</v>
      </c>
      <c r="V14" s="1590"/>
    </row>
    <row r="15" spans="1:38" ht="17.100000000000001" customHeight="1">
      <c r="B15" s="1586"/>
      <c r="C15" s="1587"/>
      <c r="D15" s="1588"/>
      <c r="E15" s="1588"/>
      <c r="F15" s="1588"/>
      <c r="G15" s="1588"/>
      <c r="H15" s="1589"/>
      <c r="I15" s="1589"/>
      <c r="J15" s="1589"/>
      <c r="K15" s="1589"/>
      <c r="L15" s="1588"/>
      <c r="M15" s="1588"/>
      <c r="N15" s="1588"/>
      <c r="O15" s="1290">
        <f t="shared" si="0"/>
        <v>0</v>
      </c>
      <c r="P15" s="906">
        <f t="shared" si="1"/>
        <v>0</v>
      </c>
      <c r="Q15" s="906">
        <f t="shared" si="2"/>
        <v>0</v>
      </c>
      <c r="R15" s="906">
        <f t="shared" si="3"/>
        <v>0</v>
      </c>
      <c r="S15" s="906">
        <f t="shared" si="4"/>
        <v>0</v>
      </c>
      <c r="T15" s="906">
        <f t="shared" si="5"/>
        <v>0</v>
      </c>
      <c r="U15" s="906">
        <f t="shared" si="6"/>
        <v>0</v>
      </c>
      <c r="V15" s="1590"/>
    </row>
    <row r="16" spans="1:38" s="1518" customFormat="1">
      <c r="B16" s="1586"/>
      <c r="C16" s="1587"/>
      <c r="D16" s="1588"/>
      <c r="E16" s="1588"/>
      <c r="F16" s="1588"/>
      <c r="G16" s="1588"/>
      <c r="H16" s="1589"/>
      <c r="I16" s="1589"/>
      <c r="J16" s="1589"/>
      <c r="K16" s="1589"/>
      <c r="L16" s="1588"/>
      <c r="M16" s="1588"/>
      <c r="N16" s="1588"/>
      <c r="O16" s="1290">
        <f t="shared" si="0"/>
        <v>0</v>
      </c>
      <c r="P16" s="906">
        <f t="shared" si="1"/>
        <v>0</v>
      </c>
      <c r="Q16" s="906">
        <f t="shared" si="2"/>
        <v>0</v>
      </c>
      <c r="R16" s="906">
        <f t="shared" si="3"/>
        <v>0</v>
      </c>
      <c r="S16" s="906">
        <f t="shared" si="4"/>
        <v>0</v>
      </c>
      <c r="T16" s="906">
        <f t="shared" si="5"/>
        <v>0</v>
      </c>
      <c r="U16" s="906">
        <f t="shared" si="6"/>
        <v>0</v>
      </c>
      <c r="V16" s="1590"/>
    </row>
    <row r="17" spans="2:31" ht="17.100000000000001" customHeight="1">
      <c r="B17" s="1591" t="s">
        <v>1137</v>
      </c>
      <c r="C17" s="1592"/>
      <c r="D17" s="1592"/>
      <c r="E17" s="1583"/>
      <c r="F17" s="1583"/>
      <c r="G17" s="1583">
        <f t="shared" ref="G17:N17" si="7">SUM(G9:G16)</f>
        <v>0</v>
      </c>
      <c r="H17" s="1583">
        <f t="shared" si="7"/>
        <v>0</v>
      </c>
      <c r="I17" s="1583">
        <f t="shared" si="7"/>
        <v>0</v>
      </c>
      <c r="J17" s="1583">
        <f t="shared" si="7"/>
        <v>0</v>
      </c>
      <c r="K17" s="1583">
        <f t="shared" si="7"/>
        <v>0</v>
      </c>
      <c r="L17" s="1583">
        <f t="shared" si="7"/>
        <v>0</v>
      </c>
      <c r="M17" s="1583">
        <f t="shared" si="7"/>
        <v>0</v>
      </c>
      <c r="N17" s="1583">
        <f t="shared" si="7"/>
        <v>0</v>
      </c>
      <c r="O17" s="1290">
        <f t="shared" si="0"/>
        <v>0</v>
      </c>
      <c r="P17" s="906">
        <f t="shared" si="1"/>
        <v>0</v>
      </c>
      <c r="Q17" s="906">
        <f t="shared" si="2"/>
        <v>0</v>
      </c>
      <c r="R17" s="906">
        <f t="shared" si="3"/>
        <v>0</v>
      </c>
      <c r="S17" s="906">
        <f t="shared" si="4"/>
        <v>0</v>
      </c>
      <c r="T17" s="906">
        <f t="shared" si="5"/>
        <v>0</v>
      </c>
      <c r="U17" s="906">
        <f t="shared" si="6"/>
        <v>0</v>
      </c>
      <c r="V17" s="1593"/>
      <c r="AE17" s="1594"/>
    </row>
    <row r="18" spans="2:31" s="1518" customFormat="1" ht="17.100000000000001" customHeight="1">
      <c r="B18" s="1586" t="s">
        <v>454</v>
      </c>
      <c r="C18" s="1587"/>
      <c r="D18" s="1588"/>
      <c r="E18" s="1588"/>
      <c r="F18" s="1588"/>
      <c r="G18" s="1588"/>
      <c r="H18" s="1589"/>
      <c r="I18" s="1589"/>
      <c r="J18" s="1589"/>
      <c r="K18" s="1589"/>
      <c r="L18" s="1588"/>
      <c r="M18" s="1588"/>
      <c r="N18" s="1588"/>
      <c r="O18" s="1290">
        <f t="shared" si="0"/>
        <v>0</v>
      </c>
      <c r="P18" s="906">
        <f t="shared" si="1"/>
        <v>0</v>
      </c>
      <c r="Q18" s="906">
        <f t="shared" si="2"/>
        <v>0</v>
      </c>
      <c r="R18" s="906">
        <f t="shared" si="3"/>
        <v>0</v>
      </c>
      <c r="S18" s="906">
        <f t="shared" si="4"/>
        <v>0</v>
      </c>
      <c r="T18" s="906">
        <f t="shared" si="5"/>
        <v>0</v>
      </c>
      <c r="U18" s="906">
        <f t="shared" si="6"/>
        <v>0</v>
      </c>
      <c r="V18" s="1590"/>
    </row>
    <row r="19" spans="2:31" ht="17.100000000000001" customHeight="1">
      <c r="B19" s="1586"/>
      <c r="C19" s="1587"/>
      <c r="D19" s="1588"/>
      <c r="E19" s="1588"/>
      <c r="F19" s="1588"/>
      <c r="G19" s="1588"/>
      <c r="H19" s="1589"/>
      <c r="I19" s="1589"/>
      <c r="J19" s="1589"/>
      <c r="K19" s="1589"/>
      <c r="L19" s="1588"/>
      <c r="M19" s="1588"/>
      <c r="N19" s="1588"/>
      <c r="O19" s="1290">
        <f t="shared" si="0"/>
        <v>0</v>
      </c>
      <c r="P19" s="906">
        <f t="shared" si="1"/>
        <v>0</v>
      </c>
      <c r="Q19" s="906">
        <f t="shared" si="2"/>
        <v>0</v>
      </c>
      <c r="R19" s="906">
        <f t="shared" si="3"/>
        <v>0</v>
      </c>
      <c r="S19" s="906">
        <f t="shared" si="4"/>
        <v>0</v>
      </c>
      <c r="T19" s="906">
        <f t="shared" si="5"/>
        <v>0</v>
      </c>
      <c r="U19" s="906">
        <f t="shared" si="6"/>
        <v>0</v>
      </c>
      <c r="V19" s="1590"/>
    </row>
    <row r="20" spans="2:31" s="1518" customFormat="1" ht="17.100000000000001" customHeight="1">
      <c r="B20" s="1591" t="s">
        <v>1138</v>
      </c>
      <c r="C20" s="1592"/>
      <c r="D20" s="1592"/>
      <c r="E20" s="1583"/>
      <c r="F20" s="1583"/>
      <c r="G20" s="1583">
        <f>SUM(G18:G19)</f>
        <v>0</v>
      </c>
      <c r="H20" s="1583">
        <f t="shared" ref="H20:N20" si="8">SUM(H18:H19)</f>
        <v>0</v>
      </c>
      <c r="I20" s="1583">
        <f t="shared" si="8"/>
        <v>0</v>
      </c>
      <c r="J20" s="1583">
        <f t="shared" si="8"/>
        <v>0</v>
      </c>
      <c r="K20" s="1583">
        <f t="shared" si="8"/>
        <v>0</v>
      </c>
      <c r="L20" s="1583">
        <f t="shared" si="8"/>
        <v>0</v>
      </c>
      <c r="M20" s="1583">
        <f t="shared" si="8"/>
        <v>0</v>
      </c>
      <c r="N20" s="1583">
        <f t="shared" si="8"/>
        <v>0</v>
      </c>
      <c r="O20" s="1290">
        <f t="shared" si="0"/>
        <v>0</v>
      </c>
      <c r="P20" s="906">
        <f t="shared" si="1"/>
        <v>0</v>
      </c>
      <c r="Q20" s="906">
        <f t="shared" si="2"/>
        <v>0</v>
      </c>
      <c r="R20" s="906">
        <f t="shared" si="3"/>
        <v>0</v>
      </c>
      <c r="S20" s="906">
        <f t="shared" si="4"/>
        <v>0</v>
      </c>
      <c r="T20" s="906">
        <f t="shared" si="5"/>
        <v>0</v>
      </c>
      <c r="U20" s="906">
        <f t="shared" si="6"/>
        <v>0</v>
      </c>
      <c r="V20" s="1593"/>
    </row>
    <row r="21" spans="2:31" s="1518" customFormat="1" ht="17.100000000000001" customHeight="1">
      <c r="B21" s="1586" t="s">
        <v>456</v>
      </c>
      <c r="C21" s="1587"/>
      <c r="D21" s="1589"/>
      <c r="E21" s="1588"/>
      <c r="F21" s="1588"/>
      <c r="G21" s="1588"/>
      <c r="H21" s="1588"/>
      <c r="I21" s="1588"/>
      <c r="J21" s="1588"/>
      <c r="K21" s="1588"/>
      <c r="L21" s="1588"/>
      <c r="M21" s="1588"/>
      <c r="N21" s="1588"/>
      <c r="O21" s="1290">
        <f t="shared" si="0"/>
        <v>0</v>
      </c>
      <c r="P21" s="906">
        <f t="shared" si="1"/>
        <v>0</v>
      </c>
      <c r="Q21" s="906">
        <f t="shared" si="2"/>
        <v>0</v>
      </c>
      <c r="R21" s="906">
        <f t="shared" si="3"/>
        <v>0</v>
      </c>
      <c r="S21" s="906">
        <f t="shared" si="4"/>
        <v>0</v>
      </c>
      <c r="T21" s="906">
        <f t="shared" si="5"/>
        <v>0</v>
      </c>
      <c r="U21" s="906">
        <f t="shared" si="6"/>
        <v>0</v>
      </c>
      <c r="V21" s="1590"/>
    </row>
    <row r="22" spans="2:31" ht="17.100000000000001" customHeight="1">
      <c r="B22" s="1586"/>
      <c r="C22" s="1587"/>
      <c r="D22" s="1589"/>
      <c r="E22" s="1588"/>
      <c r="F22" s="1588"/>
      <c r="G22" s="1588"/>
      <c r="H22" s="1588"/>
      <c r="I22" s="1588"/>
      <c r="J22" s="1588"/>
      <c r="K22" s="1588"/>
      <c r="L22" s="1588"/>
      <c r="M22" s="1588"/>
      <c r="N22" s="1588"/>
      <c r="O22" s="1290">
        <f t="shared" si="0"/>
        <v>0</v>
      </c>
      <c r="P22" s="906">
        <f t="shared" si="1"/>
        <v>0</v>
      </c>
      <c r="Q22" s="906">
        <f t="shared" si="2"/>
        <v>0</v>
      </c>
      <c r="R22" s="906">
        <f t="shared" si="3"/>
        <v>0</v>
      </c>
      <c r="S22" s="906">
        <f t="shared" si="4"/>
        <v>0</v>
      </c>
      <c r="T22" s="906">
        <f t="shared" si="5"/>
        <v>0</v>
      </c>
      <c r="U22" s="906">
        <f t="shared" si="6"/>
        <v>0</v>
      </c>
      <c r="V22" s="1590"/>
    </row>
    <row r="23" spans="2:31" s="1518" customFormat="1" ht="17.100000000000001" customHeight="1">
      <c r="B23" s="1586"/>
      <c r="C23" s="1587"/>
      <c r="D23" s="1589"/>
      <c r="E23" s="1588"/>
      <c r="F23" s="1588"/>
      <c r="G23" s="1588"/>
      <c r="H23" s="1588"/>
      <c r="I23" s="1588"/>
      <c r="J23" s="1588"/>
      <c r="K23" s="1588"/>
      <c r="L23" s="1588"/>
      <c r="M23" s="1588"/>
      <c r="N23" s="1588"/>
      <c r="O23" s="1290">
        <f t="shared" si="0"/>
        <v>0</v>
      </c>
      <c r="P23" s="906">
        <f t="shared" si="1"/>
        <v>0</v>
      </c>
      <c r="Q23" s="906">
        <f t="shared" si="2"/>
        <v>0</v>
      </c>
      <c r="R23" s="906">
        <f t="shared" si="3"/>
        <v>0</v>
      </c>
      <c r="S23" s="906">
        <f t="shared" si="4"/>
        <v>0</v>
      </c>
      <c r="T23" s="906">
        <f t="shared" si="5"/>
        <v>0</v>
      </c>
      <c r="U23" s="906">
        <f t="shared" si="6"/>
        <v>0</v>
      </c>
      <c r="V23" s="1590"/>
    </row>
    <row r="24" spans="2:31" ht="17.100000000000001" customHeight="1">
      <c r="B24" s="1591" t="s">
        <v>1139</v>
      </c>
      <c r="C24" s="1592"/>
      <c r="D24" s="1592"/>
      <c r="E24" s="1583"/>
      <c r="F24" s="1583"/>
      <c r="G24" s="1583">
        <f>SUM(G21:G23)</f>
        <v>0</v>
      </c>
      <c r="H24" s="1583">
        <f t="shared" ref="H24:N24" si="9">SUM(H21:H23)</f>
        <v>0</v>
      </c>
      <c r="I24" s="1583">
        <f t="shared" si="9"/>
        <v>0</v>
      </c>
      <c r="J24" s="1583">
        <f t="shared" si="9"/>
        <v>0</v>
      </c>
      <c r="K24" s="1583">
        <f t="shared" si="9"/>
        <v>0</v>
      </c>
      <c r="L24" s="1583">
        <f t="shared" si="9"/>
        <v>0</v>
      </c>
      <c r="M24" s="1583">
        <f t="shared" si="9"/>
        <v>0</v>
      </c>
      <c r="N24" s="1583">
        <f t="shared" si="9"/>
        <v>0</v>
      </c>
      <c r="O24" s="1290">
        <f t="shared" si="0"/>
        <v>0</v>
      </c>
      <c r="P24" s="906">
        <f t="shared" si="1"/>
        <v>0</v>
      </c>
      <c r="Q24" s="906">
        <f t="shared" si="2"/>
        <v>0</v>
      </c>
      <c r="R24" s="906">
        <f t="shared" si="3"/>
        <v>0</v>
      </c>
      <c r="S24" s="906">
        <f t="shared" si="4"/>
        <v>0</v>
      </c>
      <c r="T24" s="906">
        <f t="shared" si="5"/>
        <v>0</v>
      </c>
      <c r="U24" s="906">
        <f t="shared" si="6"/>
        <v>0</v>
      </c>
      <c r="V24" s="1593"/>
    </row>
    <row r="25" spans="2:31" s="1518" customFormat="1" ht="17.100000000000001" customHeight="1">
      <c r="B25" s="1586" t="s">
        <v>458</v>
      </c>
      <c r="C25" s="1589"/>
      <c r="D25" s="1588"/>
      <c r="E25" s="1588"/>
      <c r="F25" s="1588"/>
      <c r="G25" s="1588"/>
      <c r="H25" s="1589"/>
      <c r="I25" s="1589"/>
      <c r="J25" s="1588"/>
      <c r="K25" s="1588"/>
      <c r="L25" s="1588"/>
      <c r="M25" s="1588"/>
      <c r="N25" s="1588"/>
      <c r="O25" s="1290">
        <f t="shared" si="0"/>
        <v>0</v>
      </c>
      <c r="P25" s="906">
        <f t="shared" si="1"/>
        <v>0</v>
      </c>
      <c r="Q25" s="906">
        <f t="shared" si="2"/>
        <v>0</v>
      </c>
      <c r="R25" s="906">
        <f t="shared" si="3"/>
        <v>0</v>
      </c>
      <c r="S25" s="906">
        <f t="shared" si="4"/>
        <v>0</v>
      </c>
      <c r="T25" s="906">
        <f t="shared" si="5"/>
        <v>0</v>
      </c>
      <c r="U25" s="906">
        <f t="shared" si="6"/>
        <v>0</v>
      </c>
      <c r="V25" s="1590"/>
    </row>
    <row r="26" spans="2:31">
      <c r="B26" s="1591" t="s">
        <v>1140</v>
      </c>
      <c r="C26" s="1592"/>
      <c r="D26" s="1592"/>
      <c r="E26" s="1583"/>
      <c r="F26" s="1583"/>
      <c r="G26" s="1583">
        <f t="shared" ref="G26:N26" si="10">SUM(G25:G25)</f>
        <v>0</v>
      </c>
      <c r="H26" s="1583">
        <f t="shared" si="10"/>
        <v>0</v>
      </c>
      <c r="I26" s="1583">
        <f t="shared" si="10"/>
        <v>0</v>
      </c>
      <c r="J26" s="1583">
        <f t="shared" si="10"/>
        <v>0</v>
      </c>
      <c r="K26" s="1583">
        <f t="shared" si="10"/>
        <v>0</v>
      </c>
      <c r="L26" s="1583">
        <f t="shared" si="10"/>
        <v>0</v>
      </c>
      <c r="M26" s="1583">
        <f t="shared" si="10"/>
        <v>0</v>
      </c>
      <c r="N26" s="1583">
        <f t="shared" si="10"/>
        <v>0</v>
      </c>
      <c r="O26" s="1290">
        <f t="shared" si="0"/>
        <v>0</v>
      </c>
      <c r="P26" s="906">
        <f t="shared" si="1"/>
        <v>0</v>
      </c>
      <c r="Q26" s="906">
        <f t="shared" si="2"/>
        <v>0</v>
      </c>
      <c r="R26" s="906">
        <f t="shared" si="3"/>
        <v>0</v>
      </c>
      <c r="S26" s="906">
        <f t="shared" si="4"/>
        <v>0</v>
      </c>
      <c r="T26" s="906">
        <f t="shared" si="5"/>
        <v>0</v>
      </c>
      <c r="U26" s="906">
        <f t="shared" si="6"/>
        <v>0</v>
      </c>
      <c r="V26" s="1593"/>
    </row>
    <row r="27" spans="2:31" s="1518" customFormat="1">
      <c r="B27" s="1521" t="s">
        <v>460</v>
      </c>
      <c r="C27" s="1589"/>
      <c r="D27" s="1589"/>
      <c r="E27" s="1588"/>
      <c r="F27" s="1588"/>
      <c r="G27" s="1588"/>
      <c r="H27" s="1588"/>
      <c r="I27" s="1588"/>
      <c r="J27" s="1588"/>
      <c r="K27" s="1588"/>
      <c r="L27" s="1588"/>
      <c r="M27" s="1588"/>
      <c r="N27" s="1588"/>
      <c r="O27" s="1290">
        <f t="shared" si="0"/>
        <v>0</v>
      </c>
      <c r="P27" s="906">
        <f t="shared" si="1"/>
        <v>0</v>
      </c>
      <c r="Q27" s="906">
        <f t="shared" si="2"/>
        <v>0</v>
      </c>
      <c r="R27" s="906">
        <f t="shared" si="3"/>
        <v>0</v>
      </c>
      <c r="S27" s="906">
        <f t="shared" si="4"/>
        <v>0</v>
      </c>
      <c r="T27" s="906">
        <f t="shared" si="5"/>
        <v>0</v>
      </c>
      <c r="U27" s="906">
        <f t="shared" si="6"/>
        <v>0</v>
      </c>
      <c r="V27" s="1590"/>
    </row>
    <row r="28" spans="2:31" ht="17.100000000000001" customHeight="1">
      <c r="B28" s="1591" t="s">
        <v>1141</v>
      </c>
      <c r="C28" s="1592"/>
      <c r="D28" s="1592"/>
      <c r="E28" s="1583"/>
      <c r="F28" s="1583"/>
      <c r="G28" s="1583">
        <f t="shared" ref="G28:N28" si="11">SUM(G27:G27)</f>
        <v>0</v>
      </c>
      <c r="H28" s="1583">
        <f t="shared" si="11"/>
        <v>0</v>
      </c>
      <c r="I28" s="1583">
        <f t="shared" si="11"/>
        <v>0</v>
      </c>
      <c r="J28" s="1583">
        <f t="shared" si="11"/>
        <v>0</v>
      </c>
      <c r="K28" s="1583">
        <f t="shared" si="11"/>
        <v>0</v>
      </c>
      <c r="L28" s="1583">
        <f t="shared" si="11"/>
        <v>0</v>
      </c>
      <c r="M28" s="1583">
        <f t="shared" si="11"/>
        <v>0</v>
      </c>
      <c r="N28" s="1583">
        <f t="shared" si="11"/>
        <v>0</v>
      </c>
      <c r="O28" s="1290">
        <f t="shared" si="0"/>
        <v>0</v>
      </c>
      <c r="P28" s="906">
        <f t="shared" si="1"/>
        <v>0</v>
      </c>
      <c r="Q28" s="906">
        <f t="shared" si="2"/>
        <v>0</v>
      </c>
      <c r="R28" s="906">
        <f t="shared" si="3"/>
        <v>0</v>
      </c>
      <c r="S28" s="906">
        <f t="shared" si="4"/>
        <v>0</v>
      </c>
      <c r="T28" s="906">
        <f t="shared" si="5"/>
        <v>0</v>
      </c>
      <c r="U28" s="906">
        <f t="shared" si="6"/>
        <v>0</v>
      </c>
      <c r="V28" s="1593"/>
    </row>
    <row r="29" spans="2:31" s="1518" customFormat="1" ht="17.100000000000001" customHeight="1">
      <c r="B29" s="1521" t="s">
        <v>462</v>
      </c>
      <c r="C29" s="1587"/>
      <c r="D29" s="1588"/>
      <c r="E29" s="1588"/>
      <c r="F29" s="1588"/>
      <c r="G29" s="1588"/>
      <c r="H29" s="1589"/>
      <c r="I29" s="1589"/>
      <c r="J29" s="1588"/>
      <c r="K29" s="1588"/>
      <c r="L29" s="1588"/>
      <c r="M29" s="1588"/>
      <c r="N29" s="1588"/>
      <c r="O29" s="1290">
        <f t="shared" si="0"/>
        <v>0</v>
      </c>
      <c r="P29" s="906">
        <f t="shared" si="1"/>
        <v>0</v>
      </c>
      <c r="Q29" s="906">
        <f t="shared" si="2"/>
        <v>0</v>
      </c>
      <c r="R29" s="906">
        <f t="shared" si="3"/>
        <v>0</v>
      </c>
      <c r="S29" s="906">
        <f t="shared" si="4"/>
        <v>0</v>
      </c>
      <c r="T29" s="906">
        <f t="shared" si="5"/>
        <v>0</v>
      </c>
      <c r="U29" s="906">
        <f t="shared" si="6"/>
        <v>0</v>
      </c>
      <c r="V29" s="1590"/>
    </row>
    <row r="30" spans="2:31" ht="17.100000000000001" customHeight="1">
      <c r="B30" s="1591" t="s">
        <v>1142</v>
      </c>
      <c r="C30" s="1592"/>
      <c r="D30" s="1592"/>
      <c r="E30" s="1583"/>
      <c r="F30" s="1583"/>
      <c r="G30" s="1583">
        <f t="shared" ref="G30:N30" si="12">SUM(G29:G29)</f>
        <v>0</v>
      </c>
      <c r="H30" s="1583">
        <f t="shared" si="12"/>
        <v>0</v>
      </c>
      <c r="I30" s="1583">
        <f t="shared" si="12"/>
        <v>0</v>
      </c>
      <c r="J30" s="1583">
        <f t="shared" si="12"/>
        <v>0</v>
      </c>
      <c r="K30" s="1583">
        <f t="shared" si="12"/>
        <v>0</v>
      </c>
      <c r="L30" s="1583">
        <f t="shared" si="12"/>
        <v>0</v>
      </c>
      <c r="M30" s="1583">
        <f t="shared" si="12"/>
        <v>0</v>
      </c>
      <c r="N30" s="1583">
        <f t="shared" si="12"/>
        <v>0</v>
      </c>
      <c r="O30" s="1290">
        <f t="shared" si="0"/>
        <v>0</v>
      </c>
      <c r="P30" s="906">
        <f t="shared" si="1"/>
        <v>0</v>
      </c>
      <c r="Q30" s="906">
        <f t="shared" si="2"/>
        <v>0</v>
      </c>
      <c r="R30" s="906">
        <f t="shared" si="3"/>
        <v>0</v>
      </c>
      <c r="S30" s="906">
        <f t="shared" si="4"/>
        <v>0</v>
      </c>
      <c r="T30" s="906">
        <f t="shared" si="5"/>
        <v>0</v>
      </c>
      <c r="U30" s="906">
        <f t="shared" si="6"/>
        <v>0</v>
      </c>
      <c r="V30" s="1593"/>
    </row>
    <row r="31" spans="2:31" s="1518" customFormat="1" ht="17.100000000000001" customHeight="1">
      <c r="B31" s="1521" t="s">
        <v>1143</v>
      </c>
      <c r="C31" s="1521"/>
      <c r="D31" s="1588"/>
      <c r="E31" s="1588"/>
      <c r="F31" s="1588"/>
      <c r="G31" s="1588"/>
      <c r="H31" s="1588"/>
      <c r="I31" s="1588"/>
      <c r="J31" s="1588"/>
      <c r="K31" s="1588"/>
      <c r="L31" s="1588"/>
      <c r="M31" s="1588"/>
      <c r="N31" s="1588"/>
      <c r="O31" s="1290">
        <f t="shared" si="0"/>
        <v>0</v>
      </c>
      <c r="P31" s="906">
        <f t="shared" si="1"/>
        <v>0</v>
      </c>
      <c r="Q31" s="906">
        <f t="shared" si="2"/>
        <v>0</v>
      </c>
      <c r="R31" s="906">
        <f t="shared" si="3"/>
        <v>0</v>
      </c>
      <c r="S31" s="906">
        <f t="shared" si="4"/>
        <v>0</v>
      </c>
      <c r="T31" s="906">
        <f t="shared" si="5"/>
        <v>0</v>
      </c>
      <c r="U31" s="906">
        <f t="shared" si="6"/>
        <v>0</v>
      </c>
      <c r="V31" s="1590"/>
    </row>
    <row r="32" spans="2:31" s="1518" customFormat="1" ht="17.100000000000001" customHeight="1">
      <c r="B32" s="1591" t="s">
        <v>1144</v>
      </c>
      <c r="C32" s="1595"/>
      <c r="D32" s="1595"/>
      <c r="E32" s="1583"/>
      <c r="F32" s="1583"/>
      <c r="G32" s="1583">
        <f t="shared" ref="G32:N32" si="13">SUM(G31:G31)</f>
        <v>0</v>
      </c>
      <c r="H32" s="1583">
        <f t="shared" si="13"/>
        <v>0</v>
      </c>
      <c r="I32" s="1583">
        <f t="shared" si="13"/>
        <v>0</v>
      </c>
      <c r="J32" s="1583">
        <f t="shared" si="13"/>
        <v>0</v>
      </c>
      <c r="K32" s="1583">
        <f t="shared" si="13"/>
        <v>0</v>
      </c>
      <c r="L32" s="1583">
        <f t="shared" si="13"/>
        <v>0</v>
      </c>
      <c r="M32" s="1583">
        <f t="shared" si="13"/>
        <v>0</v>
      </c>
      <c r="N32" s="1583">
        <f t="shared" si="13"/>
        <v>0</v>
      </c>
      <c r="O32" s="1290">
        <f t="shared" si="0"/>
        <v>0</v>
      </c>
      <c r="P32" s="906">
        <f t="shared" si="1"/>
        <v>0</v>
      </c>
      <c r="Q32" s="906">
        <f t="shared" si="2"/>
        <v>0</v>
      </c>
      <c r="R32" s="906">
        <f t="shared" si="3"/>
        <v>0</v>
      </c>
      <c r="S32" s="906">
        <f t="shared" si="4"/>
        <v>0</v>
      </c>
      <c r="T32" s="906">
        <f t="shared" si="5"/>
        <v>0</v>
      </c>
      <c r="U32" s="906">
        <f t="shared" si="6"/>
        <v>0</v>
      </c>
      <c r="V32" s="1593"/>
    </row>
    <row r="33" spans="2:24" s="1518" customFormat="1" ht="17.100000000000001" customHeight="1">
      <c r="B33" s="1586" t="s">
        <v>1145</v>
      </c>
      <c r="C33" s="1587"/>
      <c r="D33" s="1589"/>
      <c r="E33" s="1588"/>
      <c r="F33" s="1596"/>
      <c r="G33" s="1588"/>
      <c r="H33" s="1290"/>
      <c r="I33" s="1290"/>
      <c r="J33" s="1290"/>
      <c r="K33" s="1290"/>
      <c r="L33" s="1290"/>
      <c r="M33" s="1290"/>
      <c r="N33" s="1290"/>
      <c r="O33" s="1290">
        <f t="shared" si="0"/>
        <v>0</v>
      </c>
      <c r="P33" s="906">
        <f t="shared" si="1"/>
        <v>0</v>
      </c>
      <c r="Q33" s="906">
        <f t="shared" si="2"/>
        <v>0</v>
      </c>
      <c r="R33" s="906">
        <f t="shared" si="3"/>
        <v>0</v>
      </c>
      <c r="S33" s="906">
        <f t="shared" si="4"/>
        <v>0</v>
      </c>
      <c r="T33" s="906">
        <f t="shared" si="5"/>
        <v>0</v>
      </c>
      <c r="U33" s="906">
        <f t="shared" si="6"/>
        <v>0</v>
      </c>
      <c r="V33" s="1590"/>
    </row>
    <row r="34" spans="2:24" ht="17.100000000000001" customHeight="1">
      <c r="B34" s="1586"/>
      <c r="C34" s="1587"/>
      <c r="D34" s="1589"/>
      <c r="E34" s="1588"/>
      <c r="F34" s="1596"/>
      <c r="G34" s="1588"/>
      <c r="H34" s="1290"/>
      <c r="I34" s="1290"/>
      <c r="J34" s="1290"/>
      <c r="K34" s="1290"/>
      <c r="L34" s="1290"/>
      <c r="M34" s="1290"/>
      <c r="N34" s="1290"/>
      <c r="O34" s="1290">
        <f t="shared" si="0"/>
        <v>0</v>
      </c>
      <c r="P34" s="906">
        <f t="shared" si="1"/>
        <v>0</v>
      </c>
      <c r="Q34" s="906">
        <f t="shared" si="2"/>
        <v>0</v>
      </c>
      <c r="R34" s="906">
        <f t="shared" si="3"/>
        <v>0</v>
      </c>
      <c r="S34" s="906">
        <f t="shared" si="4"/>
        <v>0</v>
      </c>
      <c r="T34" s="906">
        <f t="shared" si="5"/>
        <v>0</v>
      </c>
      <c r="U34" s="906">
        <f t="shared" si="6"/>
        <v>0</v>
      </c>
      <c r="V34" s="1590"/>
      <c r="X34" s="815">
        <v>58.52</v>
      </c>
    </row>
    <row r="35" spans="2:24" ht="17.100000000000001" customHeight="1">
      <c r="B35" s="1586"/>
      <c r="C35" s="1587"/>
      <c r="D35" s="1589"/>
      <c r="E35" s="1588"/>
      <c r="F35" s="1596"/>
      <c r="G35" s="1588"/>
      <c r="H35" s="1290"/>
      <c r="I35" s="1290"/>
      <c r="J35" s="1290"/>
      <c r="K35" s="1290"/>
      <c r="L35" s="1290"/>
      <c r="M35" s="1290"/>
      <c r="N35" s="1290"/>
      <c r="O35" s="1290">
        <f t="shared" si="0"/>
        <v>0</v>
      </c>
      <c r="P35" s="906">
        <f t="shared" si="1"/>
        <v>0</v>
      </c>
      <c r="Q35" s="906">
        <f t="shared" si="2"/>
        <v>0</v>
      </c>
      <c r="R35" s="906">
        <f t="shared" si="3"/>
        <v>0</v>
      </c>
      <c r="S35" s="906">
        <f t="shared" si="4"/>
        <v>0</v>
      </c>
      <c r="T35" s="906">
        <f t="shared" si="5"/>
        <v>0</v>
      </c>
      <c r="U35" s="906">
        <f t="shared" si="6"/>
        <v>0</v>
      </c>
      <c r="V35" s="1590"/>
      <c r="X35" s="1585">
        <f>K18+K22+K35</f>
        <v>0</v>
      </c>
    </row>
    <row r="36" spans="2:24" ht="17.100000000000001" customHeight="1">
      <c r="B36" s="1586"/>
      <c r="C36" s="1587"/>
      <c r="D36" s="1589"/>
      <c r="E36" s="1588"/>
      <c r="F36" s="1596"/>
      <c r="G36" s="1588"/>
      <c r="H36" s="1290"/>
      <c r="I36" s="1290"/>
      <c r="J36" s="1290"/>
      <c r="K36" s="1290"/>
      <c r="L36" s="1290"/>
      <c r="M36" s="1290"/>
      <c r="N36" s="1290"/>
      <c r="O36" s="1290">
        <f t="shared" si="0"/>
        <v>0</v>
      </c>
      <c r="P36" s="906">
        <f t="shared" si="1"/>
        <v>0</v>
      </c>
      <c r="Q36" s="906">
        <f t="shared" si="2"/>
        <v>0</v>
      </c>
      <c r="R36" s="906">
        <f t="shared" si="3"/>
        <v>0</v>
      </c>
      <c r="S36" s="906">
        <f t="shared" si="4"/>
        <v>0</v>
      </c>
      <c r="T36" s="906">
        <f t="shared" si="5"/>
        <v>0</v>
      </c>
      <c r="U36" s="906">
        <f t="shared" si="6"/>
        <v>0</v>
      </c>
      <c r="V36" s="1590"/>
      <c r="X36" s="1585">
        <f>X34-X35</f>
        <v>58.52</v>
      </c>
    </row>
    <row r="37" spans="2:24" ht="17.100000000000001" customHeight="1">
      <c r="B37" s="1591" t="s">
        <v>1146</v>
      </c>
      <c r="C37" s="1595"/>
      <c r="D37" s="1595"/>
      <c r="E37" s="1583"/>
      <c r="F37" s="1583"/>
      <c r="G37" s="1583">
        <f>SUM(G33:G36)</f>
        <v>0</v>
      </c>
      <c r="H37" s="1583">
        <f t="shared" ref="H37:N37" si="14">SUM(H33:H36)</f>
        <v>0</v>
      </c>
      <c r="I37" s="1583">
        <f t="shared" si="14"/>
        <v>0</v>
      </c>
      <c r="J37" s="1583">
        <f t="shared" si="14"/>
        <v>0</v>
      </c>
      <c r="K37" s="1583">
        <f t="shared" si="14"/>
        <v>0</v>
      </c>
      <c r="L37" s="1583">
        <f t="shared" si="14"/>
        <v>0</v>
      </c>
      <c r="M37" s="1583">
        <f t="shared" si="14"/>
        <v>0</v>
      </c>
      <c r="N37" s="1583">
        <f t="shared" si="14"/>
        <v>0</v>
      </c>
      <c r="O37" s="1290">
        <f t="shared" si="0"/>
        <v>0</v>
      </c>
      <c r="P37" s="906">
        <f t="shared" si="1"/>
        <v>0</v>
      </c>
      <c r="Q37" s="906">
        <f t="shared" si="2"/>
        <v>0</v>
      </c>
      <c r="R37" s="906">
        <f t="shared" si="3"/>
        <v>0</v>
      </c>
      <c r="S37" s="906">
        <f t="shared" si="4"/>
        <v>0</v>
      </c>
      <c r="T37" s="906">
        <f t="shared" si="5"/>
        <v>0</v>
      </c>
      <c r="U37" s="906">
        <f t="shared" si="6"/>
        <v>0</v>
      </c>
      <c r="V37" s="1593"/>
    </row>
    <row r="38" spans="2:24" ht="17.100000000000001" customHeight="1">
      <c r="B38" s="1586" t="s">
        <v>273</v>
      </c>
      <c r="C38" s="1597"/>
      <c r="D38" s="1588"/>
      <c r="E38" s="1588"/>
      <c r="F38" s="1596"/>
      <c r="G38" s="1588"/>
      <c r="H38" s="1598"/>
      <c r="I38" s="1588"/>
      <c r="J38" s="1588"/>
      <c r="K38" s="1588"/>
      <c r="L38" s="1598"/>
      <c r="M38" s="1598"/>
      <c r="N38" s="1598"/>
      <c r="O38" s="1290">
        <f t="shared" si="0"/>
        <v>0</v>
      </c>
      <c r="P38" s="906">
        <f t="shared" si="1"/>
        <v>0</v>
      </c>
      <c r="Q38" s="906">
        <f t="shared" si="2"/>
        <v>0</v>
      </c>
      <c r="R38" s="906">
        <f t="shared" si="3"/>
        <v>0</v>
      </c>
      <c r="S38" s="906">
        <f t="shared" si="4"/>
        <v>0</v>
      </c>
      <c r="T38" s="906">
        <f t="shared" si="5"/>
        <v>0</v>
      </c>
      <c r="U38" s="906">
        <f t="shared" si="6"/>
        <v>0</v>
      </c>
      <c r="V38" s="1590"/>
    </row>
    <row r="39" spans="2:24" ht="17.100000000000001" customHeight="1">
      <c r="B39" s="1591" t="s">
        <v>1147</v>
      </c>
      <c r="C39" s="1592"/>
      <c r="D39" s="1592"/>
      <c r="E39" s="1583"/>
      <c r="F39" s="1583"/>
      <c r="G39" s="1583">
        <f>G38</f>
        <v>0</v>
      </c>
      <c r="H39" s="1583">
        <f t="shared" ref="H39:N39" si="15">H38</f>
        <v>0</v>
      </c>
      <c r="I39" s="1583">
        <f t="shared" si="15"/>
        <v>0</v>
      </c>
      <c r="J39" s="1583">
        <f t="shared" si="15"/>
        <v>0</v>
      </c>
      <c r="K39" s="1583">
        <f t="shared" si="15"/>
        <v>0</v>
      </c>
      <c r="L39" s="1583">
        <f t="shared" si="15"/>
        <v>0</v>
      </c>
      <c r="M39" s="1583">
        <f t="shared" si="15"/>
        <v>0</v>
      </c>
      <c r="N39" s="1583">
        <f t="shared" si="15"/>
        <v>0</v>
      </c>
      <c r="O39" s="1290">
        <f t="shared" si="0"/>
        <v>0</v>
      </c>
      <c r="P39" s="906">
        <f t="shared" si="1"/>
        <v>0</v>
      </c>
      <c r="Q39" s="906">
        <f t="shared" si="2"/>
        <v>0</v>
      </c>
      <c r="R39" s="906">
        <f t="shared" si="3"/>
        <v>0</v>
      </c>
      <c r="S39" s="906">
        <f t="shared" si="4"/>
        <v>0</v>
      </c>
      <c r="T39" s="906">
        <f t="shared" si="5"/>
        <v>0</v>
      </c>
      <c r="U39" s="906">
        <f t="shared" si="6"/>
        <v>0</v>
      </c>
      <c r="V39" s="1593"/>
    </row>
    <row r="40" spans="2:24" ht="17.100000000000001" customHeight="1">
      <c r="B40" s="1521"/>
      <c r="C40" s="1480"/>
      <c r="D40" s="1480"/>
      <c r="E40" s="1480"/>
      <c r="F40" s="1480"/>
      <c r="G40" s="1480"/>
      <c r="H40" s="1480"/>
      <c r="I40" s="1480"/>
      <c r="J40" s="1480"/>
      <c r="K40" s="1480"/>
      <c r="L40" s="1480"/>
      <c r="M40" s="1480"/>
      <c r="N40" s="1480"/>
      <c r="O40" s="1290"/>
      <c r="P40" s="906"/>
      <c r="Q40" s="906"/>
      <c r="R40" s="906"/>
      <c r="S40" s="906"/>
      <c r="T40" s="906"/>
      <c r="U40" s="906"/>
      <c r="V40" s="1590"/>
    </row>
    <row r="41" spans="2:24" ht="17.100000000000001" customHeight="1">
      <c r="B41" s="1591" t="s">
        <v>465</v>
      </c>
      <c r="C41" s="1599"/>
      <c r="D41" s="1599"/>
      <c r="E41" s="1583"/>
      <c r="F41" s="1599"/>
      <c r="G41" s="1583">
        <f>G37+G39</f>
        <v>0</v>
      </c>
      <c r="H41" s="1583">
        <f t="shared" ref="H41:N41" si="16">H37+H39</f>
        <v>0</v>
      </c>
      <c r="I41" s="1583">
        <f t="shared" si="16"/>
        <v>0</v>
      </c>
      <c r="J41" s="1583">
        <f t="shared" si="16"/>
        <v>0</v>
      </c>
      <c r="K41" s="1583">
        <f t="shared" si="16"/>
        <v>0</v>
      </c>
      <c r="L41" s="1583">
        <f t="shared" si="16"/>
        <v>0</v>
      </c>
      <c r="M41" s="1583">
        <f t="shared" si="16"/>
        <v>0</v>
      </c>
      <c r="N41" s="1583">
        <f t="shared" si="16"/>
        <v>0</v>
      </c>
      <c r="O41" s="1290">
        <f t="shared" si="0"/>
        <v>0</v>
      </c>
      <c r="P41" s="906">
        <f t="shared" si="1"/>
        <v>0</v>
      </c>
      <c r="Q41" s="906">
        <f t="shared" si="2"/>
        <v>0</v>
      </c>
      <c r="R41" s="906">
        <f t="shared" si="3"/>
        <v>0</v>
      </c>
      <c r="S41" s="906">
        <f t="shared" si="4"/>
        <v>0</v>
      </c>
      <c r="T41" s="906">
        <f t="shared" si="5"/>
        <v>0</v>
      </c>
      <c r="U41" s="906">
        <f t="shared" si="6"/>
        <v>0</v>
      </c>
      <c r="V41" s="1593"/>
    </row>
    <row r="43" spans="2:24">
      <c r="I43" s="1585"/>
      <c r="K43" s="1585"/>
    </row>
  </sheetData>
  <mergeCells count="9">
    <mergeCell ref="C3:V3"/>
    <mergeCell ref="B5:V5"/>
    <mergeCell ref="B7:B8"/>
    <mergeCell ref="C7:C8"/>
    <mergeCell ref="D7:D8"/>
    <mergeCell ref="H7:I7"/>
    <mergeCell ref="J7:O7"/>
    <mergeCell ref="P7:T7"/>
    <mergeCell ref="V7:V8"/>
  </mergeCells>
  <phoneticPr fontId="11" type="noConversion"/>
  <conditionalFormatting sqref="C34:C35">
    <cfRule type="colorScale" priority="1">
      <colorScale>
        <cfvo type="min" val="0"/>
        <cfvo type="percentile" val="50"/>
        <cfvo type="max" val="0"/>
        <color rgb="FFF8696B"/>
        <color rgb="FFFFEB84"/>
        <color rgb="FF63BE7B"/>
      </colorScale>
    </cfRule>
  </conditionalFormatting>
  <dataValidations count="1">
    <dataValidation type="decimal" allowBlank="1" showInputMessage="1" showErrorMessage="1" sqref="I69:U1048576 J26:J55 H10:H58 I1:U9 E6:G58 K10:U55 J10:J24 E69:H64475 H6:H8 E1:H4 I10:I67 E59:H67 J56:U67">
      <formula1>-999999999999999000000</formula1>
      <formula2>9.99999999999999E+29</formula2>
    </dataValidation>
  </dataValidations>
  <hyperlinks>
    <hyperlink ref="A1" location="Index!A1" display="Index sheet"/>
  </hyperlinks>
  <printOptions horizontalCentered="1"/>
  <pageMargins left="0.51181102362204722" right="0.51181102362204722" top="0.51181102362204722" bottom="0.51181102362204722" header="0.23622047244094491" footer="0.23622047244094491"/>
  <pageSetup paperSize="9" scale="79" orientation="landscape" blackAndWhite="1" r:id="rId1"/>
  <headerFooter alignWithMargins="0"/>
  <colBreaks count="1" manualBreakCount="1">
    <brk id="22" max="1048575" man="1"/>
  </colBreaks>
</worksheet>
</file>

<file path=xl/worksheets/sheet11.xml><?xml version="1.0" encoding="utf-8"?>
<worksheet xmlns="http://schemas.openxmlformats.org/spreadsheetml/2006/main" xmlns:r="http://schemas.openxmlformats.org/officeDocument/2006/relationships">
  <sheetPr>
    <tabColor rgb="FFFFC000"/>
    <pageSetUpPr fitToPage="1"/>
  </sheetPr>
  <dimension ref="A1:AL1114"/>
  <sheetViews>
    <sheetView view="pageBreakPreview" zoomScale="110" zoomScaleSheetLayoutView="110" workbookViewId="0">
      <pane xSplit="2" ySplit="9" topLeftCell="C10" activePane="bottomRight" state="frozen"/>
      <selection activeCell="S44" sqref="S44"/>
      <selection pane="topRight" activeCell="S44" sqref="S44"/>
      <selection pane="bottomLeft" activeCell="S44" sqref="S44"/>
      <selection pane="bottomRight" activeCell="S44" sqref="S44"/>
    </sheetView>
  </sheetViews>
  <sheetFormatPr defaultColWidth="14" defaultRowHeight="12.75"/>
  <cols>
    <col min="1" max="1" width="2.85546875" style="35" customWidth="1"/>
    <col min="2" max="2" width="31.7109375" style="34" bestFit="1" customWidth="1"/>
    <col min="3" max="3" width="19.85546875" style="34" customWidth="1"/>
    <col min="4" max="4" width="14" style="34" customWidth="1"/>
    <col min="5" max="5" width="9.85546875" style="35" customWidth="1"/>
    <col min="6" max="6" width="10.5703125" style="35" customWidth="1"/>
    <col min="7" max="7" width="11" style="35" customWidth="1"/>
    <col min="8" max="8" width="12.28515625" style="35" bestFit="1" customWidth="1"/>
    <col min="9" max="9" width="7.7109375" style="35" bestFit="1" customWidth="1"/>
    <col min="10" max="10" width="5.140625" style="35" bestFit="1" customWidth="1"/>
    <col min="11" max="11" width="7.42578125" style="35" bestFit="1" customWidth="1"/>
    <col min="12" max="12" width="8.140625" style="35" bestFit="1" customWidth="1"/>
    <col min="13" max="13" width="6.85546875" style="35" bestFit="1" customWidth="1"/>
    <col min="14" max="14" width="6.42578125" style="35" bestFit="1" customWidth="1"/>
    <col min="15" max="15" width="5.5703125" style="35" bestFit="1" customWidth="1"/>
    <col min="16" max="16" width="5.140625" style="35" bestFit="1" customWidth="1"/>
    <col min="17" max="17" width="9.140625" style="35" bestFit="1" customWidth="1"/>
    <col min="18" max="18" width="6.85546875" style="35" bestFit="1" customWidth="1"/>
    <col min="19" max="19" width="6.42578125" style="35" bestFit="1" customWidth="1"/>
    <col min="20" max="20" width="7.42578125" style="35" bestFit="1" customWidth="1"/>
    <col min="21" max="21" width="5" style="35" bestFit="1" customWidth="1"/>
    <col min="22" max="22" width="8.140625" style="35" bestFit="1" customWidth="1"/>
    <col min="23" max="16384" width="14" style="35"/>
  </cols>
  <sheetData>
    <row r="1" spans="1:38" s="50" customFormat="1" ht="11.25">
      <c r="A1" s="49" t="s">
        <v>396</v>
      </c>
      <c r="B1" s="58"/>
      <c r="C1" s="58"/>
      <c r="D1" s="58"/>
      <c r="E1" s="51"/>
      <c r="F1" s="51"/>
      <c r="G1" s="51"/>
      <c r="H1" s="51"/>
      <c r="I1" s="51"/>
      <c r="J1" s="51"/>
      <c r="K1" s="51"/>
      <c r="L1" s="51"/>
      <c r="M1" s="51"/>
      <c r="N1" s="51"/>
      <c r="O1" s="51"/>
      <c r="P1" s="51"/>
      <c r="Q1" s="51"/>
      <c r="R1" s="51"/>
      <c r="S1" s="51"/>
      <c r="T1" s="51"/>
      <c r="U1" s="51"/>
      <c r="AL1" s="50">
        <v>1</v>
      </c>
    </row>
    <row r="2" spans="1:38" s="50" customFormat="1" ht="11.25">
      <c r="B2" s="58"/>
      <c r="C2" s="58"/>
      <c r="D2" s="58"/>
      <c r="E2" s="51"/>
      <c r="F2" s="51"/>
      <c r="G2" s="51"/>
      <c r="H2" s="51"/>
      <c r="I2" s="51"/>
      <c r="J2" s="51"/>
      <c r="K2" s="51"/>
      <c r="L2" s="51"/>
      <c r="M2" s="51"/>
      <c r="N2" s="51"/>
      <c r="O2" s="51"/>
      <c r="P2" s="51"/>
      <c r="Q2" s="51"/>
      <c r="R2" s="51"/>
      <c r="S2" s="51"/>
      <c r="T2" s="51"/>
      <c r="U2" s="51"/>
      <c r="AL2" s="50">
        <v>2</v>
      </c>
    </row>
    <row r="3" spans="1:38" s="50" customFormat="1">
      <c r="B3" s="59" t="s">
        <v>473</v>
      </c>
      <c r="C3" s="60" t="s">
        <v>478</v>
      </c>
      <c r="D3" s="59"/>
      <c r="E3" s="61"/>
      <c r="F3" s="61"/>
      <c r="G3" s="61"/>
      <c r="H3" s="61"/>
      <c r="I3" s="61"/>
      <c r="J3" s="61"/>
      <c r="K3" s="62"/>
      <c r="L3" s="62"/>
      <c r="M3" s="62"/>
      <c r="N3" s="62"/>
      <c r="O3" s="62"/>
      <c r="P3" s="62"/>
      <c r="Q3" s="62"/>
      <c r="R3" s="62"/>
      <c r="S3" s="62"/>
      <c r="T3" s="62"/>
      <c r="U3" s="62"/>
      <c r="V3" s="63"/>
    </row>
    <row r="4" spans="1:38" s="50" customFormat="1" ht="11.25">
      <c r="B4" s="64"/>
      <c r="C4" s="64"/>
      <c r="D4" s="64"/>
      <c r="E4" s="65"/>
      <c r="F4" s="65"/>
      <c r="G4" s="65"/>
      <c r="H4" s="65"/>
      <c r="I4" s="65"/>
      <c r="J4" s="65"/>
      <c r="K4" s="51"/>
      <c r="L4" s="51"/>
      <c r="M4" s="51"/>
      <c r="N4" s="51"/>
      <c r="O4" s="51"/>
      <c r="P4" s="51"/>
      <c r="Q4" s="51"/>
      <c r="R4" s="51"/>
      <c r="S4" s="51"/>
      <c r="T4" s="51"/>
      <c r="U4" s="51"/>
    </row>
    <row r="5" spans="1:38" s="50" customFormat="1" ht="21.75" customHeight="1">
      <c r="B5" s="1810" t="s">
        <v>554</v>
      </c>
      <c r="C5" s="1811"/>
      <c r="D5" s="1811"/>
      <c r="E5" s="1811"/>
      <c r="F5" s="1811"/>
      <c r="G5" s="1812"/>
      <c r="H5" s="66"/>
      <c r="I5" s="66"/>
      <c r="J5" s="66"/>
      <c r="K5" s="51"/>
      <c r="L5" s="51"/>
      <c r="M5" s="51"/>
      <c r="N5" s="51"/>
      <c r="O5" s="51"/>
      <c r="P5" s="51"/>
      <c r="Q5" s="51"/>
      <c r="R5" s="51"/>
      <c r="S5" s="51"/>
      <c r="T5" s="51"/>
      <c r="U5" s="51"/>
    </row>
    <row r="6" spans="1:38" s="50" customFormat="1" ht="11.25">
      <c r="B6" s="58"/>
      <c r="C6" s="58"/>
      <c r="D6" s="58"/>
      <c r="E6" s="66"/>
      <c r="F6" s="66"/>
      <c r="G6" s="66"/>
      <c r="H6" s="66"/>
      <c r="I6" s="66"/>
      <c r="J6" s="66"/>
      <c r="K6" s="51"/>
      <c r="L6" s="51"/>
      <c r="M6" s="51"/>
      <c r="N6" s="51"/>
      <c r="O6" s="51"/>
      <c r="P6" s="51"/>
      <c r="Q6" s="51"/>
      <c r="R6" s="51"/>
      <c r="S6" s="51"/>
      <c r="T6" s="51"/>
      <c r="U6" s="51"/>
    </row>
    <row r="7" spans="1:38" s="50" customFormat="1" ht="12" thickBot="1">
      <c r="B7" s="64"/>
      <c r="C7" s="58"/>
      <c r="D7" s="58"/>
      <c r="E7" s="51"/>
      <c r="F7" s="51"/>
      <c r="G7" s="51"/>
      <c r="H7" s="51"/>
      <c r="I7" s="52"/>
      <c r="J7" s="51"/>
      <c r="K7" s="51"/>
      <c r="L7" s="51"/>
      <c r="M7" s="52"/>
      <c r="N7" s="51"/>
      <c r="O7" s="51"/>
      <c r="P7" s="51"/>
      <c r="Q7" s="51"/>
      <c r="R7" s="51"/>
      <c r="S7" s="51"/>
      <c r="T7" s="51"/>
      <c r="U7" s="51"/>
    </row>
    <row r="8" spans="1:38" s="53" customFormat="1" ht="23.25" customHeight="1">
      <c r="B8" s="1813" t="s">
        <v>452</v>
      </c>
      <c r="C8" s="1815" t="s">
        <v>466</v>
      </c>
      <c r="D8" s="1817" t="s">
        <v>467</v>
      </c>
      <c r="E8" s="67" t="s">
        <v>222</v>
      </c>
      <c r="F8" s="67" t="s">
        <v>225</v>
      </c>
      <c r="G8" s="67" t="s">
        <v>225</v>
      </c>
      <c r="H8" s="1819" t="s">
        <v>250</v>
      </c>
      <c r="I8" s="1819"/>
      <c r="J8" s="1819" t="s">
        <v>91</v>
      </c>
      <c r="K8" s="1819"/>
      <c r="L8" s="1819"/>
      <c r="M8" s="1819"/>
      <c r="N8" s="1819"/>
      <c r="O8" s="1819"/>
      <c r="P8" s="1806" t="s">
        <v>370</v>
      </c>
      <c r="Q8" s="1807"/>
      <c r="R8" s="1807"/>
      <c r="S8" s="1807"/>
      <c r="T8" s="1807"/>
      <c r="U8" s="54"/>
      <c r="V8" s="1808" t="s">
        <v>365</v>
      </c>
    </row>
    <row r="9" spans="1:38" s="57" customFormat="1" ht="13.5" customHeight="1" thickBot="1">
      <c r="B9" s="1814"/>
      <c r="C9" s="1816"/>
      <c r="D9" s="1818"/>
      <c r="E9" s="68" t="s">
        <v>223</v>
      </c>
      <c r="F9" s="68" t="s">
        <v>224</v>
      </c>
      <c r="G9" s="68" t="s">
        <v>223</v>
      </c>
      <c r="H9" s="81" t="s">
        <v>521</v>
      </c>
      <c r="I9" s="81" t="s">
        <v>209</v>
      </c>
      <c r="J9" s="81" t="s">
        <v>94</v>
      </c>
      <c r="K9" s="81" t="s">
        <v>95</v>
      </c>
      <c r="L9" s="81" t="s">
        <v>96</v>
      </c>
      <c r="M9" s="81" t="s">
        <v>576</v>
      </c>
      <c r="N9" s="81" t="s">
        <v>392</v>
      </c>
      <c r="O9" s="81" t="s">
        <v>98</v>
      </c>
      <c r="P9" s="81" t="s">
        <v>94</v>
      </c>
      <c r="Q9" s="81" t="s">
        <v>262</v>
      </c>
      <c r="R9" s="81" t="s">
        <v>576</v>
      </c>
      <c r="S9" s="81" t="s">
        <v>392</v>
      </c>
      <c r="T9" s="81" t="s">
        <v>95</v>
      </c>
      <c r="U9" s="81" t="s">
        <v>98</v>
      </c>
      <c r="V9" s="1809"/>
    </row>
    <row r="10" spans="1:38" s="50" customFormat="1" ht="11.25">
      <c r="B10" s="69" t="s">
        <v>453</v>
      </c>
      <c r="C10" s="82"/>
      <c r="D10" s="28"/>
      <c r="E10" s="5"/>
      <c r="F10" s="5"/>
      <c r="G10" s="5"/>
      <c r="H10" s="5"/>
      <c r="I10" s="5">
        <f>H10</f>
        <v>0</v>
      </c>
      <c r="J10" s="29"/>
      <c r="K10" s="29"/>
      <c r="L10" s="22"/>
      <c r="M10" s="22"/>
      <c r="N10" s="22"/>
      <c r="O10" s="70">
        <f t="shared" ref="O10:O73" si="0">SUM(J10:N10)</f>
        <v>0</v>
      </c>
      <c r="P10" s="38">
        <f t="shared" ref="P10:P73" si="1">IF(I10=0,0,J10/I10*10)</f>
        <v>0</v>
      </c>
      <c r="Q10" s="38">
        <f t="shared" ref="Q10:Q73" si="2">IF(I10=0,0,L10/I10*10)</f>
        <v>0</v>
      </c>
      <c r="R10" s="38">
        <f t="shared" ref="R10:R73" si="3">IF(I10=0,0,M10/I10*10)</f>
        <v>0</v>
      </c>
      <c r="S10" s="38">
        <f t="shared" ref="S10:S73" si="4">IF(I10=0,0,N10/I10*10)</f>
        <v>0</v>
      </c>
      <c r="T10" s="38">
        <f t="shared" ref="T10:T73" si="5">IF(I10=0,0,K10/I10*10)</f>
        <v>0</v>
      </c>
      <c r="U10" s="38">
        <f t="shared" ref="U10:U73" si="6">IF(I10=0,0,O10/I10*10)</f>
        <v>0</v>
      </c>
      <c r="V10" s="55"/>
    </row>
    <row r="11" spans="1:38" s="50" customFormat="1" ht="11.25">
      <c r="B11" s="69" t="s">
        <v>453</v>
      </c>
      <c r="C11" s="82"/>
      <c r="D11" s="28"/>
      <c r="E11" s="5"/>
      <c r="F11" s="5"/>
      <c r="G11" s="5"/>
      <c r="H11" s="5"/>
      <c r="I11" s="5">
        <f>H11</f>
        <v>0</v>
      </c>
      <c r="J11" s="29"/>
      <c r="K11" s="29"/>
      <c r="L11" s="22"/>
      <c r="M11" s="22"/>
      <c r="N11" s="22"/>
      <c r="O11" s="70">
        <f t="shared" si="0"/>
        <v>0</v>
      </c>
      <c r="P11" s="38">
        <f t="shared" si="1"/>
        <v>0</v>
      </c>
      <c r="Q11" s="38">
        <f t="shared" si="2"/>
        <v>0</v>
      </c>
      <c r="R11" s="38">
        <f t="shared" si="3"/>
        <v>0</v>
      </c>
      <c r="S11" s="38">
        <f t="shared" si="4"/>
        <v>0</v>
      </c>
      <c r="T11" s="38">
        <f t="shared" si="5"/>
        <v>0</v>
      </c>
      <c r="U11" s="38">
        <f t="shared" si="6"/>
        <v>0</v>
      </c>
      <c r="V11" s="55"/>
    </row>
    <row r="12" spans="1:38" s="50" customFormat="1" ht="11.25">
      <c r="B12" s="69" t="s">
        <v>453</v>
      </c>
      <c r="C12" s="82"/>
      <c r="D12" s="28"/>
      <c r="E12" s="5"/>
      <c r="F12" s="5"/>
      <c r="G12" s="5"/>
      <c r="H12" s="5"/>
      <c r="I12" s="5">
        <f>H12</f>
        <v>0</v>
      </c>
      <c r="J12" s="29"/>
      <c r="K12" s="29"/>
      <c r="L12" s="22"/>
      <c r="M12" s="22"/>
      <c r="N12" s="22"/>
      <c r="O12" s="70">
        <f t="shared" si="0"/>
        <v>0</v>
      </c>
      <c r="P12" s="38">
        <f t="shared" si="1"/>
        <v>0</v>
      </c>
      <c r="Q12" s="38">
        <f t="shared" si="2"/>
        <v>0</v>
      </c>
      <c r="R12" s="38">
        <f t="shared" si="3"/>
        <v>0</v>
      </c>
      <c r="S12" s="38">
        <f t="shared" si="4"/>
        <v>0</v>
      </c>
      <c r="T12" s="38">
        <f t="shared" si="5"/>
        <v>0</v>
      </c>
      <c r="U12" s="38">
        <f t="shared" si="6"/>
        <v>0</v>
      </c>
      <c r="V12" s="55"/>
    </row>
    <row r="13" spans="1:38" s="50" customFormat="1" ht="11.25">
      <c r="B13" s="69" t="s">
        <v>453</v>
      </c>
      <c r="C13" s="82"/>
      <c r="D13" s="28"/>
      <c r="E13" s="5"/>
      <c r="F13" s="5"/>
      <c r="G13" s="5"/>
      <c r="H13" s="5"/>
      <c r="I13" s="5">
        <f>H13</f>
        <v>0</v>
      </c>
      <c r="J13" s="29"/>
      <c r="K13" s="29"/>
      <c r="L13" s="22"/>
      <c r="M13" s="22"/>
      <c r="N13" s="22"/>
      <c r="O13" s="70">
        <f t="shared" si="0"/>
        <v>0</v>
      </c>
      <c r="P13" s="38">
        <f t="shared" si="1"/>
        <v>0</v>
      </c>
      <c r="Q13" s="38">
        <f t="shared" si="2"/>
        <v>0</v>
      </c>
      <c r="R13" s="38">
        <f t="shared" si="3"/>
        <v>0</v>
      </c>
      <c r="S13" s="38">
        <f t="shared" si="4"/>
        <v>0</v>
      </c>
      <c r="T13" s="38">
        <f t="shared" si="5"/>
        <v>0</v>
      </c>
      <c r="U13" s="38">
        <f t="shared" si="6"/>
        <v>0</v>
      </c>
      <c r="V13" s="55"/>
    </row>
    <row r="14" spans="1:38" s="50" customFormat="1" ht="11.25">
      <c r="B14" s="69" t="s">
        <v>453</v>
      </c>
      <c r="C14" s="82"/>
      <c r="D14" s="28"/>
      <c r="E14" s="5"/>
      <c r="F14" s="5"/>
      <c r="G14" s="5"/>
      <c r="H14" s="5"/>
      <c r="I14" s="5">
        <f>H14</f>
        <v>0</v>
      </c>
      <c r="J14" s="29"/>
      <c r="K14" s="29"/>
      <c r="L14" s="22"/>
      <c r="M14" s="22"/>
      <c r="N14" s="22"/>
      <c r="O14" s="70">
        <f t="shared" si="0"/>
        <v>0</v>
      </c>
      <c r="P14" s="38">
        <f t="shared" si="1"/>
        <v>0</v>
      </c>
      <c r="Q14" s="38">
        <f t="shared" si="2"/>
        <v>0</v>
      </c>
      <c r="R14" s="38">
        <f t="shared" si="3"/>
        <v>0</v>
      </c>
      <c r="S14" s="38">
        <f t="shared" si="4"/>
        <v>0</v>
      </c>
      <c r="T14" s="38">
        <f t="shared" si="5"/>
        <v>0</v>
      </c>
      <c r="U14" s="38">
        <f t="shared" si="6"/>
        <v>0</v>
      </c>
      <c r="V14" s="55"/>
    </row>
    <row r="15" spans="1:38" s="50" customFormat="1" ht="11.25">
      <c r="B15" s="69" t="s">
        <v>453</v>
      </c>
      <c r="C15" s="82"/>
      <c r="D15" s="28"/>
      <c r="E15" s="5"/>
      <c r="F15" s="5"/>
      <c r="G15" s="5"/>
      <c r="H15" s="5"/>
      <c r="I15" s="5"/>
      <c r="J15" s="29"/>
      <c r="K15" s="22"/>
      <c r="L15" s="22"/>
      <c r="M15" s="22"/>
      <c r="N15" s="22"/>
      <c r="O15" s="70">
        <f t="shared" si="0"/>
        <v>0</v>
      </c>
      <c r="P15" s="38">
        <f t="shared" si="1"/>
        <v>0</v>
      </c>
      <c r="Q15" s="38">
        <f t="shared" si="2"/>
        <v>0</v>
      </c>
      <c r="R15" s="38">
        <f t="shared" si="3"/>
        <v>0</v>
      </c>
      <c r="S15" s="38">
        <f t="shared" si="4"/>
        <v>0</v>
      </c>
      <c r="T15" s="38">
        <f t="shared" si="5"/>
        <v>0</v>
      </c>
      <c r="U15" s="38">
        <f t="shared" si="6"/>
        <v>0</v>
      </c>
      <c r="V15" s="55"/>
    </row>
    <row r="16" spans="1:38" s="50" customFormat="1" ht="11.25">
      <c r="B16" s="69" t="s">
        <v>453</v>
      </c>
      <c r="C16" s="82"/>
      <c r="D16" s="28"/>
      <c r="E16" s="5"/>
      <c r="F16" s="5"/>
      <c r="G16" s="5"/>
      <c r="H16" s="5"/>
      <c r="I16" s="5"/>
      <c r="J16" s="29"/>
      <c r="K16" s="22"/>
      <c r="L16" s="22"/>
      <c r="M16" s="22"/>
      <c r="N16" s="22"/>
      <c r="O16" s="70">
        <f t="shared" si="0"/>
        <v>0</v>
      </c>
      <c r="P16" s="38">
        <f t="shared" si="1"/>
        <v>0</v>
      </c>
      <c r="Q16" s="38">
        <f t="shared" si="2"/>
        <v>0</v>
      </c>
      <c r="R16" s="38">
        <f t="shared" si="3"/>
        <v>0</v>
      </c>
      <c r="S16" s="38">
        <f t="shared" si="4"/>
        <v>0</v>
      </c>
      <c r="T16" s="38">
        <f t="shared" si="5"/>
        <v>0</v>
      </c>
      <c r="U16" s="38">
        <f t="shared" si="6"/>
        <v>0</v>
      </c>
      <c r="V16" s="55"/>
    </row>
    <row r="17" spans="2:22" s="50" customFormat="1" ht="11.25" hidden="1">
      <c r="B17" s="69" t="s">
        <v>453</v>
      </c>
      <c r="C17" s="82"/>
      <c r="D17" s="28"/>
      <c r="E17" s="5"/>
      <c r="F17" s="5"/>
      <c r="G17" s="5"/>
      <c r="H17" s="5"/>
      <c r="I17" s="5"/>
      <c r="J17" s="29"/>
      <c r="K17" s="29"/>
      <c r="L17" s="22"/>
      <c r="M17" s="22"/>
      <c r="N17" s="22"/>
      <c r="O17" s="38">
        <f t="shared" si="0"/>
        <v>0</v>
      </c>
      <c r="P17" s="38">
        <f t="shared" si="1"/>
        <v>0</v>
      </c>
      <c r="Q17" s="38">
        <f t="shared" si="2"/>
        <v>0</v>
      </c>
      <c r="R17" s="38">
        <f t="shared" si="3"/>
        <v>0</v>
      </c>
      <c r="S17" s="38">
        <f t="shared" si="4"/>
        <v>0</v>
      </c>
      <c r="T17" s="38">
        <f t="shared" si="5"/>
        <v>0</v>
      </c>
      <c r="U17" s="38">
        <f t="shared" si="6"/>
        <v>0</v>
      </c>
      <c r="V17" s="55"/>
    </row>
    <row r="18" spans="2:22" s="50" customFormat="1" ht="11.25" hidden="1">
      <c r="B18" s="69" t="s">
        <v>453</v>
      </c>
      <c r="C18" s="82"/>
      <c r="D18" s="28"/>
      <c r="E18" s="5"/>
      <c r="F18" s="5"/>
      <c r="G18" s="5"/>
      <c r="H18" s="5"/>
      <c r="I18" s="5"/>
      <c r="J18" s="29"/>
      <c r="K18" s="29"/>
      <c r="L18" s="22"/>
      <c r="M18" s="22"/>
      <c r="N18" s="22"/>
      <c r="O18" s="38">
        <f t="shared" si="0"/>
        <v>0</v>
      </c>
      <c r="P18" s="38">
        <f t="shared" si="1"/>
        <v>0</v>
      </c>
      <c r="Q18" s="38">
        <f t="shared" si="2"/>
        <v>0</v>
      </c>
      <c r="R18" s="38">
        <f t="shared" si="3"/>
        <v>0</v>
      </c>
      <c r="S18" s="38">
        <f t="shared" si="4"/>
        <v>0</v>
      </c>
      <c r="T18" s="38">
        <f t="shared" si="5"/>
        <v>0</v>
      </c>
      <c r="U18" s="38">
        <f t="shared" si="6"/>
        <v>0</v>
      </c>
      <c r="V18" s="55"/>
    </row>
    <row r="19" spans="2:22" s="50" customFormat="1" ht="11.25" hidden="1">
      <c r="B19" s="69" t="s">
        <v>453</v>
      </c>
      <c r="C19" s="82"/>
      <c r="D19" s="28"/>
      <c r="E19" s="5"/>
      <c r="F19" s="5"/>
      <c r="G19" s="5"/>
      <c r="H19" s="5"/>
      <c r="I19" s="5"/>
      <c r="J19" s="29"/>
      <c r="K19" s="29"/>
      <c r="L19" s="22"/>
      <c r="M19" s="22"/>
      <c r="N19" s="22"/>
      <c r="O19" s="38">
        <f t="shared" si="0"/>
        <v>0</v>
      </c>
      <c r="P19" s="38">
        <f t="shared" si="1"/>
        <v>0</v>
      </c>
      <c r="Q19" s="38">
        <f t="shared" si="2"/>
        <v>0</v>
      </c>
      <c r="R19" s="38">
        <f t="shared" si="3"/>
        <v>0</v>
      </c>
      <c r="S19" s="38">
        <f t="shared" si="4"/>
        <v>0</v>
      </c>
      <c r="T19" s="38">
        <f t="shared" si="5"/>
        <v>0</v>
      </c>
      <c r="U19" s="38">
        <f t="shared" si="6"/>
        <v>0</v>
      </c>
      <c r="V19" s="55"/>
    </row>
    <row r="20" spans="2:22" s="50" customFormat="1" ht="11.25" hidden="1">
      <c r="B20" s="69" t="s">
        <v>453</v>
      </c>
      <c r="C20" s="82"/>
      <c r="D20" s="28"/>
      <c r="E20" s="5"/>
      <c r="F20" s="5"/>
      <c r="G20" s="5"/>
      <c r="H20" s="5"/>
      <c r="I20" s="5"/>
      <c r="J20" s="29"/>
      <c r="K20" s="29"/>
      <c r="L20" s="22"/>
      <c r="M20" s="22"/>
      <c r="N20" s="22"/>
      <c r="O20" s="38">
        <f t="shared" si="0"/>
        <v>0</v>
      </c>
      <c r="P20" s="38">
        <f t="shared" si="1"/>
        <v>0</v>
      </c>
      <c r="Q20" s="38">
        <f t="shared" si="2"/>
        <v>0</v>
      </c>
      <c r="R20" s="38">
        <f t="shared" si="3"/>
        <v>0</v>
      </c>
      <c r="S20" s="38">
        <f t="shared" si="4"/>
        <v>0</v>
      </c>
      <c r="T20" s="38">
        <f t="shared" si="5"/>
        <v>0</v>
      </c>
      <c r="U20" s="38">
        <f t="shared" si="6"/>
        <v>0</v>
      </c>
      <c r="V20" s="55"/>
    </row>
    <row r="21" spans="2:22" s="50" customFormat="1" ht="11.25" hidden="1">
      <c r="B21" s="69" t="s">
        <v>453</v>
      </c>
      <c r="C21" s="82"/>
      <c r="D21" s="28"/>
      <c r="E21" s="5"/>
      <c r="F21" s="5"/>
      <c r="G21" s="5"/>
      <c r="H21" s="5"/>
      <c r="I21" s="5"/>
      <c r="J21" s="29"/>
      <c r="K21" s="29"/>
      <c r="L21" s="22"/>
      <c r="M21" s="22"/>
      <c r="N21" s="22"/>
      <c r="O21" s="38">
        <f t="shared" si="0"/>
        <v>0</v>
      </c>
      <c r="P21" s="38">
        <f t="shared" si="1"/>
        <v>0</v>
      </c>
      <c r="Q21" s="38">
        <f t="shared" si="2"/>
        <v>0</v>
      </c>
      <c r="R21" s="38">
        <f t="shared" si="3"/>
        <v>0</v>
      </c>
      <c r="S21" s="38">
        <f t="shared" si="4"/>
        <v>0</v>
      </c>
      <c r="T21" s="38">
        <f t="shared" si="5"/>
        <v>0</v>
      </c>
      <c r="U21" s="38">
        <f t="shared" si="6"/>
        <v>0</v>
      </c>
      <c r="V21" s="55"/>
    </row>
    <row r="22" spans="2:22" s="50" customFormat="1" ht="11.25" hidden="1">
      <c r="B22" s="69" t="s">
        <v>453</v>
      </c>
      <c r="C22" s="82"/>
      <c r="D22" s="28"/>
      <c r="E22" s="5"/>
      <c r="F22" s="5"/>
      <c r="G22" s="5"/>
      <c r="H22" s="5"/>
      <c r="I22" s="5"/>
      <c r="J22" s="29"/>
      <c r="K22" s="29"/>
      <c r="L22" s="22"/>
      <c r="M22" s="22"/>
      <c r="N22" s="22"/>
      <c r="O22" s="38">
        <f t="shared" si="0"/>
        <v>0</v>
      </c>
      <c r="P22" s="38">
        <f t="shared" si="1"/>
        <v>0</v>
      </c>
      <c r="Q22" s="38">
        <f t="shared" si="2"/>
        <v>0</v>
      </c>
      <c r="R22" s="38">
        <f t="shared" si="3"/>
        <v>0</v>
      </c>
      <c r="S22" s="38">
        <f t="shared" si="4"/>
        <v>0</v>
      </c>
      <c r="T22" s="38">
        <f t="shared" si="5"/>
        <v>0</v>
      </c>
      <c r="U22" s="38">
        <f t="shared" si="6"/>
        <v>0</v>
      </c>
      <c r="V22" s="55"/>
    </row>
    <row r="23" spans="2:22" s="50" customFormat="1" ht="11.25" hidden="1">
      <c r="B23" s="69" t="s">
        <v>453</v>
      </c>
      <c r="C23" s="82"/>
      <c r="D23" s="28"/>
      <c r="E23" s="5"/>
      <c r="F23" s="5"/>
      <c r="G23" s="5"/>
      <c r="H23" s="5"/>
      <c r="I23" s="5"/>
      <c r="J23" s="29"/>
      <c r="K23" s="29"/>
      <c r="L23" s="22"/>
      <c r="M23" s="22"/>
      <c r="N23" s="22"/>
      <c r="O23" s="38">
        <f t="shared" si="0"/>
        <v>0</v>
      </c>
      <c r="P23" s="38">
        <f t="shared" si="1"/>
        <v>0</v>
      </c>
      <c r="Q23" s="38">
        <f t="shared" si="2"/>
        <v>0</v>
      </c>
      <c r="R23" s="38">
        <f t="shared" si="3"/>
        <v>0</v>
      </c>
      <c r="S23" s="38">
        <f t="shared" si="4"/>
        <v>0</v>
      </c>
      <c r="T23" s="38">
        <f t="shared" si="5"/>
        <v>0</v>
      </c>
      <c r="U23" s="38">
        <f t="shared" si="6"/>
        <v>0</v>
      </c>
      <c r="V23" s="55"/>
    </row>
    <row r="24" spans="2:22" s="50" customFormat="1" ht="11.25" hidden="1">
      <c r="B24" s="69" t="s">
        <v>453</v>
      </c>
      <c r="C24" s="82"/>
      <c r="D24" s="28"/>
      <c r="E24" s="5"/>
      <c r="F24" s="5"/>
      <c r="G24" s="5"/>
      <c r="H24" s="5"/>
      <c r="I24" s="5"/>
      <c r="J24" s="29"/>
      <c r="K24" s="29"/>
      <c r="L24" s="22"/>
      <c r="M24" s="22"/>
      <c r="N24" s="22"/>
      <c r="O24" s="38">
        <f t="shared" si="0"/>
        <v>0</v>
      </c>
      <c r="P24" s="38">
        <f t="shared" si="1"/>
        <v>0</v>
      </c>
      <c r="Q24" s="38">
        <f t="shared" si="2"/>
        <v>0</v>
      </c>
      <c r="R24" s="38">
        <f t="shared" si="3"/>
        <v>0</v>
      </c>
      <c r="S24" s="38">
        <f t="shared" si="4"/>
        <v>0</v>
      </c>
      <c r="T24" s="38">
        <f t="shared" si="5"/>
        <v>0</v>
      </c>
      <c r="U24" s="38">
        <f t="shared" si="6"/>
        <v>0</v>
      </c>
      <c r="V24" s="55"/>
    </row>
    <row r="25" spans="2:22" s="50" customFormat="1" ht="11.25" hidden="1">
      <c r="B25" s="69" t="s">
        <v>453</v>
      </c>
      <c r="C25" s="82"/>
      <c r="D25" s="28"/>
      <c r="E25" s="5"/>
      <c r="F25" s="5"/>
      <c r="G25" s="5"/>
      <c r="H25" s="5"/>
      <c r="I25" s="5"/>
      <c r="J25" s="29"/>
      <c r="K25" s="29"/>
      <c r="L25" s="22"/>
      <c r="M25" s="22"/>
      <c r="N25" s="22"/>
      <c r="O25" s="38">
        <f t="shared" si="0"/>
        <v>0</v>
      </c>
      <c r="P25" s="38">
        <f t="shared" si="1"/>
        <v>0</v>
      </c>
      <c r="Q25" s="38">
        <f t="shared" si="2"/>
        <v>0</v>
      </c>
      <c r="R25" s="38">
        <f t="shared" si="3"/>
        <v>0</v>
      </c>
      <c r="S25" s="38">
        <f t="shared" si="4"/>
        <v>0</v>
      </c>
      <c r="T25" s="38">
        <f t="shared" si="5"/>
        <v>0</v>
      </c>
      <c r="U25" s="38">
        <f t="shared" si="6"/>
        <v>0</v>
      </c>
      <c r="V25" s="55"/>
    </row>
    <row r="26" spans="2:22" s="50" customFormat="1" ht="11.25" hidden="1">
      <c r="B26" s="69" t="s">
        <v>453</v>
      </c>
      <c r="C26" s="82"/>
      <c r="D26" s="28"/>
      <c r="E26" s="5"/>
      <c r="F26" s="5"/>
      <c r="G26" s="5"/>
      <c r="H26" s="5"/>
      <c r="I26" s="5"/>
      <c r="J26" s="29"/>
      <c r="K26" s="29"/>
      <c r="L26" s="22"/>
      <c r="M26" s="22"/>
      <c r="N26" s="22"/>
      <c r="O26" s="38">
        <f t="shared" si="0"/>
        <v>0</v>
      </c>
      <c r="P26" s="38">
        <f t="shared" si="1"/>
        <v>0</v>
      </c>
      <c r="Q26" s="38">
        <f t="shared" si="2"/>
        <v>0</v>
      </c>
      <c r="R26" s="38">
        <f t="shared" si="3"/>
        <v>0</v>
      </c>
      <c r="S26" s="38">
        <f t="shared" si="4"/>
        <v>0</v>
      </c>
      <c r="T26" s="38">
        <f t="shared" si="5"/>
        <v>0</v>
      </c>
      <c r="U26" s="38">
        <f t="shared" si="6"/>
        <v>0</v>
      </c>
      <c r="V26" s="55"/>
    </row>
    <row r="27" spans="2:22" s="50" customFormat="1" ht="11.25" hidden="1">
      <c r="B27" s="69" t="s">
        <v>453</v>
      </c>
      <c r="C27" s="82"/>
      <c r="D27" s="28"/>
      <c r="E27" s="5"/>
      <c r="F27" s="5"/>
      <c r="G27" s="5"/>
      <c r="H27" s="5"/>
      <c r="I27" s="5"/>
      <c r="J27" s="29"/>
      <c r="K27" s="29"/>
      <c r="L27" s="22"/>
      <c r="M27" s="22"/>
      <c r="N27" s="22"/>
      <c r="O27" s="38">
        <f t="shared" si="0"/>
        <v>0</v>
      </c>
      <c r="P27" s="38">
        <f t="shared" si="1"/>
        <v>0</v>
      </c>
      <c r="Q27" s="38">
        <f t="shared" si="2"/>
        <v>0</v>
      </c>
      <c r="R27" s="38">
        <f t="shared" si="3"/>
        <v>0</v>
      </c>
      <c r="S27" s="38">
        <f t="shared" si="4"/>
        <v>0</v>
      </c>
      <c r="T27" s="38">
        <f t="shared" si="5"/>
        <v>0</v>
      </c>
      <c r="U27" s="38">
        <f t="shared" si="6"/>
        <v>0</v>
      </c>
      <c r="V27" s="55"/>
    </row>
    <row r="28" spans="2:22" s="50" customFormat="1" ht="11.25" hidden="1">
      <c r="B28" s="69" t="s">
        <v>453</v>
      </c>
      <c r="C28" s="82"/>
      <c r="D28" s="28"/>
      <c r="E28" s="5"/>
      <c r="F28" s="5"/>
      <c r="G28" s="5"/>
      <c r="H28" s="5"/>
      <c r="I28" s="5"/>
      <c r="J28" s="29"/>
      <c r="K28" s="29"/>
      <c r="L28" s="22"/>
      <c r="M28" s="22"/>
      <c r="N28" s="22"/>
      <c r="O28" s="38">
        <f t="shared" si="0"/>
        <v>0</v>
      </c>
      <c r="P28" s="38">
        <f t="shared" si="1"/>
        <v>0</v>
      </c>
      <c r="Q28" s="38">
        <f t="shared" si="2"/>
        <v>0</v>
      </c>
      <c r="R28" s="38">
        <f t="shared" si="3"/>
        <v>0</v>
      </c>
      <c r="S28" s="38">
        <f t="shared" si="4"/>
        <v>0</v>
      </c>
      <c r="T28" s="38">
        <f t="shared" si="5"/>
        <v>0</v>
      </c>
      <c r="U28" s="38">
        <f t="shared" si="6"/>
        <v>0</v>
      </c>
      <c r="V28" s="55"/>
    </row>
    <row r="29" spans="2:22" s="50" customFormat="1" ht="11.25" hidden="1">
      <c r="B29" s="69" t="s">
        <v>453</v>
      </c>
      <c r="C29" s="82"/>
      <c r="D29" s="28"/>
      <c r="E29" s="5"/>
      <c r="F29" s="5"/>
      <c r="G29" s="5"/>
      <c r="H29" s="5"/>
      <c r="I29" s="5"/>
      <c r="J29" s="29"/>
      <c r="K29" s="29"/>
      <c r="L29" s="22"/>
      <c r="M29" s="22"/>
      <c r="N29" s="22"/>
      <c r="O29" s="38">
        <f t="shared" si="0"/>
        <v>0</v>
      </c>
      <c r="P29" s="38">
        <f t="shared" si="1"/>
        <v>0</v>
      </c>
      <c r="Q29" s="38">
        <f t="shared" si="2"/>
        <v>0</v>
      </c>
      <c r="R29" s="38">
        <f t="shared" si="3"/>
        <v>0</v>
      </c>
      <c r="S29" s="38">
        <f t="shared" si="4"/>
        <v>0</v>
      </c>
      <c r="T29" s="38">
        <f t="shared" si="5"/>
        <v>0</v>
      </c>
      <c r="U29" s="38">
        <f t="shared" si="6"/>
        <v>0</v>
      </c>
      <c r="V29" s="55"/>
    </row>
    <row r="30" spans="2:22" s="50" customFormat="1" ht="11.25" hidden="1">
      <c r="B30" s="69" t="s">
        <v>453</v>
      </c>
      <c r="C30" s="82"/>
      <c r="D30" s="28"/>
      <c r="E30" s="5"/>
      <c r="F30" s="5"/>
      <c r="G30" s="5"/>
      <c r="H30" s="5"/>
      <c r="I30" s="5"/>
      <c r="J30" s="29"/>
      <c r="K30" s="29"/>
      <c r="L30" s="22"/>
      <c r="M30" s="22"/>
      <c r="N30" s="22"/>
      <c r="O30" s="38">
        <f t="shared" si="0"/>
        <v>0</v>
      </c>
      <c r="P30" s="38">
        <f t="shared" si="1"/>
        <v>0</v>
      </c>
      <c r="Q30" s="38">
        <f t="shared" si="2"/>
        <v>0</v>
      </c>
      <c r="R30" s="38">
        <f t="shared" si="3"/>
        <v>0</v>
      </c>
      <c r="S30" s="38">
        <f t="shared" si="4"/>
        <v>0</v>
      </c>
      <c r="T30" s="38">
        <f t="shared" si="5"/>
        <v>0</v>
      </c>
      <c r="U30" s="38">
        <f t="shared" si="6"/>
        <v>0</v>
      </c>
      <c r="V30" s="55"/>
    </row>
    <row r="31" spans="2:22" s="50" customFormat="1" ht="11.25" hidden="1">
      <c r="B31" s="69" t="s">
        <v>453</v>
      </c>
      <c r="C31" s="82"/>
      <c r="D31" s="28"/>
      <c r="E31" s="5"/>
      <c r="F31" s="5"/>
      <c r="G31" s="5"/>
      <c r="H31" s="5"/>
      <c r="I31" s="5"/>
      <c r="J31" s="29"/>
      <c r="K31" s="29"/>
      <c r="L31" s="22"/>
      <c r="M31" s="22"/>
      <c r="N31" s="22"/>
      <c r="O31" s="38">
        <f t="shared" si="0"/>
        <v>0</v>
      </c>
      <c r="P31" s="38">
        <f t="shared" si="1"/>
        <v>0</v>
      </c>
      <c r="Q31" s="38">
        <f t="shared" si="2"/>
        <v>0</v>
      </c>
      <c r="R31" s="38">
        <f t="shared" si="3"/>
        <v>0</v>
      </c>
      <c r="S31" s="38">
        <f t="shared" si="4"/>
        <v>0</v>
      </c>
      <c r="T31" s="38">
        <f t="shared" si="5"/>
        <v>0</v>
      </c>
      <c r="U31" s="38">
        <f t="shared" si="6"/>
        <v>0</v>
      </c>
      <c r="V31" s="55"/>
    </row>
    <row r="32" spans="2:22" s="50" customFormat="1" ht="11.25" hidden="1">
      <c r="B32" s="69" t="s">
        <v>453</v>
      </c>
      <c r="C32" s="82"/>
      <c r="D32" s="28"/>
      <c r="E32" s="5"/>
      <c r="F32" s="5"/>
      <c r="G32" s="5"/>
      <c r="H32" s="5"/>
      <c r="I32" s="5"/>
      <c r="J32" s="29"/>
      <c r="K32" s="29"/>
      <c r="L32" s="22"/>
      <c r="M32" s="22"/>
      <c r="N32" s="22"/>
      <c r="O32" s="38">
        <f t="shared" si="0"/>
        <v>0</v>
      </c>
      <c r="P32" s="38">
        <f t="shared" si="1"/>
        <v>0</v>
      </c>
      <c r="Q32" s="38">
        <f t="shared" si="2"/>
        <v>0</v>
      </c>
      <c r="R32" s="38">
        <f t="shared" si="3"/>
        <v>0</v>
      </c>
      <c r="S32" s="38">
        <f t="shared" si="4"/>
        <v>0</v>
      </c>
      <c r="T32" s="38">
        <f t="shared" si="5"/>
        <v>0</v>
      </c>
      <c r="U32" s="38">
        <f t="shared" si="6"/>
        <v>0</v>
      </c>
      <c r="V32" s="55"/>
    </row>
    <row r="33" spans="2:22" s="50" customFormat="1" ht="11.25" hidden="1">
      <c r="B33" s="69" t="s">
        <v>453</v>
      </c>
      <c r="C33" s="82"/>
      <c r="D33" s="28"/>
      <c r="E33" s="5"/>
      <c r="F33" s="5"/>
      <c r="G33" s="5"/>
      <c r="H33" s="5"/>
      <c r="I33" s="5"/>
      <c r="J33" s="29"/>
      <c r="K33" s="29"/>
      <c r="L33" s="22"/>
      <c r="M33" s="22"/>
      <c r="N33" s="22"/>
      <c r="O33" s="38">
        <f t="shared" si="0"/>
        <v>0</v>
      </c>
      <c r="P33" s="38">
        <f t="shared" si="1"/>
        <v>0</v>
      </c>
      <c r="Q33" s="38">
        <f t="shared" si="2"/>
        <v>0</v>
      </c>
      <c r="R33" s="38">
        <f t="shared" si="3"/>
        <v>0</v>
      </c>
      <c r="S33" s="38">
        <f t="shared" si="4"/>
        <v>0</v>
      </c>
      <c r="T33" s="38">
        <f t="shared" si="5"/>
        <v>0</v>
      </c>
      <c r="U33" s="38">
        <f t="shared" si="6"/>
        <v>0</v>
      </c>
      <c r="V33" s="55"/>
    </row>
    <row r="34" spans="2:22" s="50" customFormat="1" ht="11.25" hidden="1">
      <c r="B34" s="69" t="s">
        <v>453</v>
      </c>
      <c r="C34" s="82"/>
      <c r="D34" s="28"/>
      <c r="E34" s="5"/>
      <c r="F34" s="5"/>
      <c r="G34" s="5"/>
      <c r="H34" s="5"/>
      <c r="I34" s="5"/>
      <c r="J34" s="29"/>
      <c r="K34" s="29"/>
      <c r="L34" s="22"/>
      <c r="M34" s="22"/>
      <c r="N34" s="22"/>
      <c r="O34" s="38">
        <f t="shared" si="0"/>
        <v>0</v>
      </c>
      <c r="P34" s="38">
        <f t="shared" si="1"/>
        <v>0</v>
      </c>
      <c r="Q34" s="38">
        <f t="shared" si="2"/>
        <v>0</v>
      </c>
      <c r="R34" s="38">
        <f t="shared" si="3"/>
        <v>0</v>
      </c>
      <c r="S34" s="38">
        <f t="shared" si="4"/>
        <v>0</v>
      </c>
      <c r="T34" s="38">
        <f t="shared" si="5"/>
        <v>0</v>
      </c>
      <c r="U34" s="38">
        <f t="shared" si="6"/>
        <v>0</v>
      </c>
      <c r="V34" s="55"/>
    </row>
    <row r="35" spans="2:22" s="50" customFormat="1" ht="11.25" hidden="1">
      <c r="B35" s="69" t="s">
        <v>453</v>
      </c>
      <c r="C35" s="82"/>
      <c r="D35" s="28"/>
      <c r="E35" s="5"/>
      <c r="F35" s="5"/>
      <c r="G35" s="5"/>
      <c r="H35" s="5"/>
      <c r="I35" s="5"/>
      <c r="J35" s="29"/>
      <c r="K35" s="29"/>
      <c r="L35" s="22"/>
      <c r="M35" s="22"/>
      <c r="N35" s="22"/>
      <c r="O35" s="38">
        <f t="shared" si="0"/>
        <v>0</v>
      </c>
      <c r="P35" s="38">
        <f t="shared" si="1"/>
        <v>0</v>
      </c>
      <c r="Q35" s="38">
        <f t="shared" si="2"/>
        <v>0</v>
      </c>
      <c r="R35" s="38">
        <f t="shared" si="3"/>
        <v>0</v>
      </c>
      <c r="S35" s="38">
        <f t="shared" si="4"/>
        <v>0</v>
      </c>
      <c r="T35" s="38">
        <f t="shared" si="5"/>
        <v>0</v>
      </c>
      <c r="U35" s="38">
        <f t="shared" si="6"/>
        <v>0</v>
      </c>
      <c r="V35" s="55"/>
    </row>
    <row r="36" spans="2:22" s="50" customFormat="1" ht="11.25" hidden="1">
      <c r="B36" s="69" t="s">
        <v>453</v>
      </c>
      <c r="C36" s="82"/>
      <c r="D36" s="28"/>
      <c r="E36" s="5"/>
      <c r="F36" s="5"/>
      <c r="G36" s="5"/>
      <c r="H36" s="5"/>
      <c r="I36" s="5"/>
      <c r="J36" s="29"/>
      <c r="K36" s="29"/>
      <c r="L36" s="22"/>
      <c r="M36" s="22"/>
      <c r="N36" s="22"/>
      <c r="O36" s="38">
        <f t="shared" si="0"/>
        <v>0</v>
      </c>
      <c r="P36" s="38">
        <f t="shared" si="1"/>
        <v>0</v>
      </c>
      <c r="Q36" s="38">
        <f t="shared" si="2"/>
        <v>0</v>
      </c>
      <c r="R36" s="38">
        <f t="shared" si="3"/>
        <v>0</v>
      </c>
      <c r="S36" s="38">
        <f t="shared" si="4"/>
        <v>0</v>
      </c>
      <c r="T36" s="38">
        <f t="shared" si="5"/>
        <v>0</v>
      </c>
      <c r="U36" s="38">
        <f t="shared" si="6"/>
        <v>0</v>
      </c>
      <c r="V36" s="55"/>
    </row>
    <row r="37" spans="2:22" s="50" customFormat="1" ht="11.25" hidden="1">
      <c r="B37" s="69" t="s">
        <v>453</v>
      </c>
      <c r="C37" s="82"/>
      <c r="D37" s="28"/>
      <c r="E37" s="5"/>
      <c r="F37" s="5"/>
      <c r="G37" s="5"/>
      <c r="H37" s="5"/>
      <c r="I37" s="5"/>
      <c r="J37" s="29"/>
      <c r="K37" s="29"/>
      <c r="L37" s="22"/>
      <c r="M37" s="22"/>
      <c r="N37" s="22"/>
      <c r="O37" s="38">
        <f t="shared" si="0"/>
        <v>0</v>
      </c>
      <c r="P37" s="38">
        <f t="shared" si="1"/>
        <v>0</v>
      </c>
      <c r="Q37" s="38">
        <f t="shared" si="2"/>
        <v>0</v>
      </c>
      <c r="R37" s="38">
        <f t="shared" si="3"/>
        <v>0</v>
      </c>
      <c r="S37" s="38">
        <f t="shared" si="4"/>
        <v>0</v>
      </c>
      <c r="T37" s="38">
        <f t="shared" si="5"/>
        <v>0</v>
      </c>
      <c r="U37" s="38">
        <f t="shared" si="6"/>
        <v>0</v>
      </c>
      <c r="V37" s="55"/>
    </row>
    <row r="38" spans="2:22" s="50" customFormat="1" ht="11.25" hidden="1">
      <c r="B38" s="69" t="s">
        <v>453</v>
      </c>
      <c r="C38" s="82"/>
      <c r="D38" s="28"/>
      <c r="E38" s="5"/>
      <c r="F38" s="5"/>
      <c r="G38" s="5"/>
      <c r="H38" s="5"/>
      <c r="I38" s="5"/>
      <c r="J38" s="29"/>
      <c r="K38" s="29"/>
      <c r="L38" s="22"/>
      <c r="M38" s="22"/>
      <c r="N38" s="22"/>
      <c r="O38" s="38">
        <f t="shared" si="0"/>
        <v>0</v>
      </c>
      <c r="P38" s="38">
        <f t="shared" si="1"/>
        <v>0</v>
      </c>
      <c r="Q38" s="38">
        <f t="shared" si="2"/>
        <v>0</v>
      </c>
      <c r="R38" s="38">
        <f t="shared" si="3"/>
        <v>0</v>
      </c>
      <c r="S38" s="38">
        <f t="shared" si="4"/>
        <v>0</v>
      </c>
      <c r="T38" s="38">
        <f t="shared" si="5"/>
        <v>0</v>
      </c>
      <c r="U38" s="38">
        <f t="shared" si="6"/>
        <v>0</v>
      </c>
      <c r="V38" s="55"/>
    </row>
    <row r="39" spans="2:22" s="50" customFormat="1" ht="11.25" hidden="1">
      <c r="B39" s="69" t="s">
        <v>453</v>
      </c>
      <c r="C39" s="82"/>
      <c r="D39" s="28"/>
      <c r="E39" s="5"/>
      <c r="F39" s="5"/>
      <c r="G39" s="5"/>
      <c r="H39" s="5"/>
      <c r="I39" s="5"/>
      <c r="J39" s="29"/>
      <c r="K39" s="29"/>
      <c r="L39" s="22"/>
      <c r="M39" s="22"/>
      <c r="N39" s="22"/>
      <c r="O39" s="38">
        <f t="shared" si="0"/>
        <v>0</v>
      </c>
      <c r="P39" s="38">
        <f t="shared" si="1"/>
        <v>0</v>
      </c>
      <c r="Q39" s="38">
        <f t="shared" si="2"/>
        <v>0</v>
      </c>
      <c r="R39" s="38">
        <f t="shared" si="3"/>
        <v>0</v>
      </c>
      <c r="S39" s="38">
        <f t="shared" si="4"/>
        <v>0</v>
      </c>
      <c r="T39" s="38">
        <f t="shared" si="5"/>
        <v>0</v>
      </c>
      <c r="U39" s="38">
        <f t="shared" si="6"/>
        <v>0</v>
      </c>
      <c r="V39" s="55"/>
    </row>
    <row r="40" spans="2:22" s="50" customFormat="1" ht="11.25" hidden="1">
      <c r="B40" s="69" t="s">
        <v>453</v>
      </c>
      <c r="C40" s="82"/>
      <c r="D40" s="28"/>
      <c r="E40" s="5"/>
      <c r="F40" s="5"/>
      <c r="G40" s="5"/>
      <c r="H40" s="5"/>
      <c r="I40" s="5"/>
      <c r="J40" s="29"/>
      <c r="K40" s="29"/>
      <c r="L40" s="22"/>
      <c r="M40" s="22"/>
      <c r="N40" s="22"/>
      <c r="O40" s="38">
        <f t="shared" si="0"/>
        <v>0</v>
      </c>
      <c r="P40" s="38">
        <f t="shared" si="1"/>
        <v>0</v>
      </c>
      <c r="Q40" s="38">
        <f t="shared" si="2"/>
        <v>0</v>
      </c>
      <c r="R40" s="38">
        <f t="shared" si="3"/>
        <v>0</v>
      </c>
      <c r="S40" s="38">
        <f t="shared" si="4"/>
        <v>0</v>
      </c>
      <c r="T40" s="38">
        <f t="shared" si="5"/>
        <v>0</v>
      </c>
      <c r="U40" s="38">
        <f t="shared" si="6"/>
        <v>0</v>
      </c>
      <c r="V40" s="55"/>
    </row>
    <row r="41" spans="2:22" s="50" customFormat="1" ht="11.25" hidden="1">
      <c r="B41" s="69" t="s">
        <v>453</v>
      </c>
      <c r="C41" s="82"/>
      <c r="D41" s="28"/>
      <c r="E41" s="5"/>
      <c r="F41" s="5"/>
      <c r="G41" s="5"/>
      <c r="H41" s="5"/>
      <c r="I41" s="5"/>
      <c r="J41" s="29"/>
      <c r="K41" s="29"/>
      <c r="L41" s="22"/>
      <c r="M41" s="22"/>
      <c r="N41" s="22"/>
      <c r="O41" s="38">
        <f t="shared" si="0"/>
        <v>0</v>
      </c>
      <c r="P41" s="38">
        <f t="shared" si="1"/>
        <v>0</v>
      </c>
      <c r="Q41" s="38">
        <f t="shared" si="2"/>
        <v>0</v>
      </c>
      <c r="R41" s="38">
        <f t="shared" si="3"/>
        <v>0</v>
      </c>
      <c r="S41" s="38">
        <f t="shared" si="4"/>
        <v>0</v>
      </c>
      <c r="T41" s="38">
        <f t="shared" si="5"/>
        <v>0</v>
      </c>
      <c r="U41" s="38">
        <f t="shared" si="6"/>
        <v>0</v>
      </c>
      <c r="V41" s="55"/>
    </row>
    <row r="42" spans="2:22" s="50" customFormat="1" ht="11.25" hidden="1">
      <c r="B42" s="69" t="s">
        <v>453</v>
      </c>
      <c r="C42" s="82"/>
      <c r="D42" s="28"/>
      <c r="E42" s="5"/>
      <c r="F42" s="5"/>
      <c r="G42" s="5"/>
      <c r="H42" s="5"/>
      <c r="I42" s="5"/>
      <c r="J42" s="29"/>
      <c r="K42" s="29"/>
      <c r="L42" s="22"/>
      <c r="M42" s="22"/>
      <c r="N42" s="22"/>
      <c r="O42" s="38">
        <f t="shared" si="0"/>
        <v>0</v>
      </c>
      <c r="P42" s="38">
        <f t="shared" si="1"/>
        <v>0</v>
      </c>
      <c r="Q42" s="38">
        <f t="shared" si="2"/>
        <v>0</v>
      </c>
      <c r="R42" s="38">
        <f t="shared" si="3"/>
        <v>0</v>
      </c>
      <c r="S42" s="38">
        <f t="shared" si="4"/>
        <v>0</v>
      </c>
      <c r="T42" s="38">
        <f t="shared" si="5"/>
        <v>0</v>
      </c>
      <c r="U42" s="38">
        <f t="shared" si="6"/>
        <v>0</v>
      </c>
      <c r="V42" s="55"/>
    </row>
    <row r="43" spans="2:22" s="50" customFormat="1" ht="11.25" hidden="1">
      <c r="B43" s="69" t="s">
        <v>453</v>
      </c>
      <c r="C43" s="82"/>
      <c r="D43" s="28"/>
      <c r="E43" s="5"/>
      <c r="F43" s="5"/>
      <c r="G43" s="5"/>
      <c r="H43" s="5"/>
      <c r="I43" s="5"/>
      <c r="J43" s="29"/>
      <c r="K43" s="29"/>
      <c r="L43" s="22"/>
      <c r="M43" s="22"/>
      <c r="N43" s="22"/>
      <c r="O43" s="38">
        <f t="shared" si="0"/>
        <v>0</v>
      </c>
      <c r="P43" s="38">
        <f t="shared" si="1"/>
        <v>0</v>
      </c>
      <c r="Q43" s="38">
        <f t="shared" si="2"/>
        <v>0</v>
      </c>
      <c r="R43" s="38">
        <f t="shared" si="3"/>
        <v>0</v>
      </c>
      <c r="S43" s="38">
        <f t="shared" si="4"/>
        <v>0</v>
      </c>
      <c r="T43" s="38">
        <f t="shared" si="5"/>
        <v>0</v>
      </c>
      <c r="U43" s="38">
        <f t="shared" si="6"/>
        <v>0</v>
      </c>
      <c r="V43" s="55"/>
    </row>
    <row r="44" spans="2:22" s="50" customFormat="1" ht="11.25" hidden="1">
      <c r="B44" s="69" t="s">
        <v>453</v>
      </c>
      <c r="C44" s="85"/>
      <c r="D44" s="28"/>
      <c r="E44" s="5"/>
      <c r="F44" s="5"/>
      <c r="G44" s="5"/>
      <c r="H44" s="5"/>
      <c r="I44" s="29"/>
      <c r="J44" s="29"/>
      <c r="K44" s="29"/>
      <c r="L44" s="29"/>
      <c r="M44" s="29"/>
      <c r="N44" s="29"/>
      <c r="O44" s="38">
        <f t="shared" si="0"/>
        <v>0</v>
      </c>
      <c r="P44" s="38">
        <f t="shared" si="1"/>
        <v>0</v>
      </c>
      <c r="Q44" s="38">
        <f t="shared" si="2"/>
        <v>0</v>
      </c>
      <c r="R44" s="38">
        <f t="shared" si="3"/>
        <v>0</v>
      </c>
      <c r="S44" s="38">
        <f t="shared" si="4"/>
        <v>0</v>
      </c>
      <c r="T44" s="38">
        <f t="shared" si="5"/>
        <v>0</v>
      </c>
      <c r="U44" s="38">
        <f t="shared" si="6"/>
        <v>0</v>
      </c>
      <c r="V44" s="55"/>
    </row>
    <row r="45" spans="2:22" s="50" customFormat="1" ht="11.25" hidden="1">
      <c r="B45" s="69" t="s">
        <v>453</v>
      </c>
      <c r="C45" s="85"/>
      <c r="D45" s="28"/>
      <c r="E45" s="5"/>
      <c r="F45" s="5"/>
      <c r="G45" s="5"/>
      <c r="H45" s="5"/>
      <c r="I45" s="29"/>
      <c r="J45" s="29"/>
      <c r="K45" s="29"/>
      <c r="L45" s="29"/>
      <c r="M45" s="29"/>
      <c r="N45" s="29"/>
      <c r="O45" s="38">
        <f t="shared" si="0"/>
        <v>0</v>
      </c>
      <c r="P45" s="38">
        <f t="shared" si="1"/>
        <v>0</v>
      </c>
      <c r="Q45" s="38">
        <f t="shared" si="2"/>
        <v>0</v>
      </c>
      <c r="R45" s="38">
        <f t="shared" si="3"/>
        <v>0</v>
      </c>
      <c r="S45" s="38">
        <f t="shared" si="4"/>
        <v>0</v>
      </c>
      <c r="T45" s="38">
        <f t="shared" si="5"/>
        <v>0</v>
      </c>
      <c r="U45" s="38">
        <f t="shared" si="6"/>
        <v>0</v>
      </c>
      <c r="V45" s="55"/>
    </row>
    <row r="46" spans="2:22" s="50" customFormat="1" ht="11.25" hidden="1">
      <c r="B46" s="69" t="s">
        <v>453</v>
      </c>
      <c r="C46" s="85"/>
      <c r="D46" s="28"/>
      <c r="E46" s="5"/>
      <c r="F46" s="5"/>
      <c r="G46" s="5"/>
      <c r="H46" s="5"/>
      <c r="I46" s="29"/>
      <c r="J46" s="29"/>
      <c r="K46" s="29"/>
      <c r="L46" s="29"/>
      <c r="M46" s="29"/>
      <c r="N46" s="29"/>
      <c r="O46" s="38">
        <f t="shared" si="0"/>
        <v>0</v>
      </c>
      <c r="P46" s="38">
        <f t="shared" si="1"/>
        <v>0</v>
      </c>
      <c r="Q46" s="38">
        <f t="shared" si="2"/>
        <v>0</v>
      </c>
      <c r="R46" s="38">
        <f t="shared" si="3"/>
        <v>0</v>
      </c>
      <c r="S46" s="38">
        <f t="shared" si="4"/>
        <v>0</v>
      </c>
      <c r="T46" s="38">
        <f t="shared" si="5"/>
        <v>0</v>
      </c>
      <c r="U46" s="38">
        <f t="shared" si="6"/>
        <v>0</v>
      </c>
      <c r="V46" s="55"/>
    </row>
    <row r="47" spans="2:22" s="50" customFormat="1" ht="11.25" hidden="1">
      <c r="B47" s="69" t="s">
        <v>453</v>
      </c>
      <c r="C47" s="85"/>
      <c r="D47" s="28"/>
      <c r="E47" s="5"/>
      <c r="F47" s="5"/>
      <c r="G47" s="5"/>
      <c r="H47" s="5"/>
      <c r="I47" s="29"/>
      <c r="J47" s="29"/>
      <c r="K47" s="29"/>
      <c r="L47" s="29"/>
      <c r="M47" s="29"/>
      <c r="N47" s="29"/>
      <c r="O47" s="38">
        <f t="shared" si="0"/>
        <v>0</v>
      </c>
      <c r="P47" s="38">
        <f t="shared" si="1"/>
        <v>0</v>
      </c>
      <c r="Q47" s="38">
        <f t="shared" si="2"/>
        <v>0</v>
      </c>
      <c r="R47" s="38">
        <f t="shared" si="3"/>
        <v>0</v>
      </c>
      <c r="S47" s="38">
        <f t="shared" si="4"/>
        <v>0</v>
      </c>
      <c r="T47" s="38">
        <f t="shared" si="5"/>
        <v>0</v>
      </c>
      <c r="U47" s="38">
        <f t="shared" si="6"/>
        <v>0</v>
      </c>
      <c r="V47" s="55"/>
    </row>
    <row r="48" spans="2:22" s="50" customFormat="1" ht="11.25" hidden="1">
      <c r="B48" s="69" t="s">
        <v>453</v>
      </c>
      <c r="C48" s="85"/>
      <c r="D48" s="28"/>
      <c r="E48" s="5"/>
      <c r="F48" s="5"/>
      <c r="G48" s="5"/>
      <c r="H48" s="5"/>
      <c r="I48" s="29"/>
      <c r="J48" s="29"/>
      <c r="K48" s="29"/>
      <c r="L48" s="29"/>
      <c r="M48" s="29"/>
      <c r="N48" s="29"/>
      <c r="O48" s="38">
        <f t="shared" si="0"/>
        <v>0</v>
      </c>
      <c r="P48" s="38">
        <f t="shared" si="1"/>
        <v>0</v>
      </c>
      <c r="Q48" s="38">
        <f t="shared" si="2"/>
        <v>0</v>
      </c>
      <c r="R48" s="38">
        <f t="shared" si="3"/>
        <v>0</v>
      </c>
      <c r="S48" s="38">
        <f t="shared" si="4"/>
        <v>0</v>
      </c>
      <c r="T48" s="38">
        <f t="shared" si="5"/>
        <v>0</v>
      </c>
      <c r="U48" s="38">
        <f t="shared" si="6"/>
        <v>0</v>
      </c>
      <c r="V48" s="55"/>
    </row>
    <row r="49" spans="2:22" s="50" customFormat="1" ht="11.25" hidden="1">
      <c r="B49" s="69" t="s">
        <v>453</v>
      </c>
      <c r="C49" s="85"/>
      <c r="D49" s="28"/>
      <c r="E49" s="5"/>
      <c r="F49" s="5"/>
      <c r="G49" s="5"/>
      <c r="H49" s="5"/>
      <c r="I49" s="29"/>
      <c r="J49" s="29"/>
      <c r="K49" s="29"/>
      <c r="L49" s="29"/>
      <c r="M49" s="29"/>
      <c r="N49" s="29"/>
      <c r="O49" s="38">
        <f t="shared" si="0"/>
        <v>0</v>
      </c>
      <c r="P49" s="38">
        <f t="shared" si="1"/>
        <v>0</v>
      </c>
      <c r="Q49" s="38">
        <f t="shared" si="2"/>
        <v>0</v>
      </c>
      <c r="R49" s="38">
        <f t="shared" si="3"/>
        <v>0</v>
      </c>
      <c r="S49" s="38">
        <f t="shared" si="4"/>
        <v>0</v>
      </c>
      <c r="T49" s="38">
        <f t="shared" si="5"/>
        <v>0</v>
      </c>
      <c r="U49" s="38">
        <f t="shared" si="6"/>
        <v>0</v>
      </c>
      <c r="V49" s="55"/>
    </row>
    <row r="50" spans="2:22" s="50" customFormat="1" ht="11.25" hidden="1">
      <c r="B50" s="69" t="s">
        <v>453</v>
      </c>
      <c r="C50" s="85"/>
      <c r="D50" s="28"/>
      <c r="E50" s="5"/>
      <c r="F50" s="5"/>
      <c r="G50" s="5"/>
      <c r="H50" s="5"/>
      <c r="I50" s="29"/>
      <c r="J50" s="29"/>
      <c r="K50" s="29"/>
      <c r="L50" s="29"/>
      <c r="M50" s="29"/>
      <c r="N50" s="29"/>
      <c r="O50" s="38">
        <f t="shared" si="0"/>
        <v>0</v>
      </c>
      <c r="P50" s="38">
        <f t="shared" si="1"/>
        <v>0</v>
      </c>
      <c r="Q50" s="38">
        <f t="shared" si="2"/>
        <v>0</v>
      </c>
      <c r="R50" s="38">
        <f t="shared" si="3"/>
        <v>0</v>
      </c>
      <c r="S50" s="38">
        <f t="shared" si="4"/>
        <v>0</v>
      </c>
      <c r="T50" s="38">
        <f t="shared" si="5"/>
        <v>0</v>
      </c>
      <c r="U50" s="38">
        <f t="shared" si="6"/>
        <v>0</v>
      </c>
      <c r="V50" s="55"/>
    </row>
    <row r="51" spans="2:22" s="50" customFormat="1" ht="11.25" hidden="1">
      <c r="B51" s="69" t="s">
        <v>453</v>
      </c>
      <c r="C51" s="85"/>
      <c r="D51" s="28"/>
      <c r="E51" s="5"/>
      <c r="F51" s="5"/>
      <c r="G51" s="5"/>
      <c r="H51" s="5"/>
      <c r="I51" s="29"/>
      <c r="J51" s="29"/>
      <c r="K51" s="29"/>
      <c r="L51" s="29"/>
      <c r="M51" s="29"/>
      <c r="N51" s="29"/>
      <c r="O51" s="38">
        <f t="shared" si="0"/>
        <v>0</v>
      </c>
      <c r="P51" s="38">
        <f t="shared" si="1"/>
        <v>0</v>
      </c>
      <c r="Q51" s="38">
        <f t="shared" si="2"/>
        <v>0</v>
      </c>
      <c r="R51" s="38">
        <f t="shared" si="3"/>
        <v>0</v>
      </c>
      <c r="S51" s="38">
        <f t="shared" si="4"/>
        <v>0</v>
      </c>
      <c r="T51" s="38">
        <f t="shared" si="5"/>
        <v>0</v>
      </c>
      <c r="U51" s="38">
        <f t="shared" si="6"/>
        <v>0</v>
      </c>
      <c r="V51" s="55"/>
    </row>
    <row r="52" spans="2:22" s="50" customFormat="1" ht="11.25" hidden="1">
      <c r="B52" s="69" t="s">
        <v>453</v>
      </c>
      <c r="C52" s="85"/>
      <c r="D52" s="28"/>
      <c r="E52" s="5"/>
      <c r="F52" s="5"/>
      <c r="G52" s="5"/>
      <c r="H52" s="5"/>
      <c r="I52" s="29"/>
      <c r="J52" s="29"/>
      <c r="K52" s="29"/>
      <c r="L52" s="29"/>
      <c r="M52" s="29"/>
      <c r="N52" s="29"/>
      <c r="O52" s="38">
        <f t="shared" si="0"/>
        <v>0</v>
      </c>
      <c r="P52" s="38">
        <f t="shared" si="1"/>
        <v>0</v>
      </c>
      <c r="Q52" s="38">
        <f t="shared" si="2"/>
        <v>0</v>
      </c>
      <c r="R52" s="38">
        <f t="shared" si="3"/>
        <v>0</v>
      </c>
      <c r="S52" s="38">
        <f t="shared" si="4"/>
        <v>0</v>
      </c>
      <c r="T52" s="38">
        <f t="shared" si="5"/>
        <v>0</v>
      </c>
      <c r="U52" s="38">
        <f t="shared" si="6"/>
        <v>0</v>
      </c>
      <c r="V52" s="55"/>
    </row>
    <row r="53" spans="2:22" s="50" customFormat="1" ht="11.25" hidden="1">
      <c r="B53" s="69" t="s">
        <v>453</v>
      </c>
      <c r="C53" s="85"/>
      <c r="D53" s="28"/>
      <c r="E53" s="5"/>
      <c r="F53" s="5"/>
      <c r="G53" s="5"/>
      <c r="H53" s="5"/>
      <c r="I53" s="29"/>
      <c r="J53" s="29"/>
      <c r="K53" s="29"/>
      <c r="L53" s="29"/>
      <c r="M53" s="29"/>
      <c r="N53" s="29"/>
      <c r="O53" s="38">
        <f t="shared" si="0"/>
        <v>0</v>
      </c>
      <c r="P53" s="38">
        <f t="shared" si="1"/>
        <v>0</v>
      </c>
      <c r="Q53" s="38">
        <f t="shared" si="2"/>
        <v>0</v>
      </c>
      <c r="R53" s="38">
        <f t="shared" si="3"/>
        <v>0</v>
      </c>
      <c r="S53" s="38">
        <f t="shared" si="4"/>
        <v>0</v>
      </c>
      <c r="T53" s="38">
        <f t="shared" si="5"/>
        <v>0</v>
      </c>
      <c r="U53" s="38">
        <f t="shared" si="6"/>
        <v>0</v>
      </c>
      <c r="V53" s="55"/>
    </row>
    <row r="54" spans="2:22" s="50" customFormat="1" ht="11.25" hidden="1">
      <c r="B54" s="69" t="s">
        <v>453</v>
      </c>
      <c r="C54" s="85"/>
      <c r="D54" s="28"/>
      <c r="E54" s="5"/>
      <c r="F54" s="5"/>
      <c r="G54" s="5"/>
      <c r="H54" s="5"/>
      <c r="I54" s="29"/>
      <c r="J54" s="29"/>
      <c r="K54" s="29"/>
      <c r="L54" s="29"/>
      <c r="M54" s="29"/>
      <c r="N54" s="29"/>
      <c r="O54" s="38">
        <f t="shared" si="0"/>
        <v>0</v>
      </c>
      <c r="P54" s="38">
        <f t="shared" si="1"/>
        <v>0</v>
      </c>
      <c r="Q54" s="38">
        <f t="shared" si="2"/>
        <v>0</v>
      </c>
      <c r="R54" s="38">
        <f t="shared" si="3"/>
        <v>0</v>
      </c>
      <c r="S54" s="38">
        <f t="shared" si="4"/>
        <v>0</v>
      </c>
      <c r="T54" s="38">
        <f t="shared" si="5"/>
        <v>0</v>
      </c>
      <c r="U54" s="38">
        <f t="shared" si="6"/>
        <v>0</v>
      </c>
      <c r="V54" s="55"/>
    </row>
    <row r="55" spans="2:22" s="50" customFormat="1" ht="11.25" hidden="1">
      <c r="B55" s="69" t="s">
        <v>453</v>
      </c>
      <c r="C55" s="85"/>
      <c r="D55" s="28"/>
      <c r="E55" s="5"/>
      <c r="F55" s="5"/>
      <c r="G55" s="5"/>
      <c r="H55" s="5"/>
      <c r="I55" s="29"/>
      <c r="J55" s="29"/>
      <c r="K55" s="29"/>
      <c r="L55" s="29"/>
      <c r="M55" s="29"/>
      <c r="N55" s="29"/>
      <c r="O55" s="38">
        <f t="shared" si="0"/>
        <v>0</v>
      </c>
      <c r="P55" s="38">
        <f t="shared" si="1"/>
        <v>0</v>
      </c>
      <c r="Q55" s="38">
        <f t="shared" si="2"/>
        <v>0</v>
      </c>
      <c r="R55" s="38">
        <f t="shared" si="3"/>
        <v>0</v>
      </c>
      <c r="S55" s="38">
        <f t="shared" si="4"/>
        <v>0</v>
      </c>
      <c r="T55" s="38">
        <f t="shared" si="5"/>
        <v>0</v>
      </c>
      <c r="U55" s="38">
        <f t="shared" si="6"/>
        <v>0</v>
      </c>
      <c r="V55" s="55"/>
    </row>
    <row r="56" spans="2:22" s="50" customFormat="1" ht="11.25" hidden="1">
      <c r="B56" s="69" t="s">
        <v>453</v>
      </c>
      <c r="C56" s="85"/>
      <c r="D56" s="28"/>
      <c r="E56" s="5"/>
      <c r="F56" s="5"/>
      <c r="G56" s="5"/>
      <c r="H56" s="5"/>
      <c r="I56" s="29"/>
      <c r="J56" s="29"/>
      <c r="K56" s="29"/>
      <c r="L56" s="29"/>
      <c r="M56" s="29"/>
      <c r="N56" s="29"/>
      <c r="O56" s="38">
        <f t="shared" si="0"/>
        <v>0</v>
      </c>
      <c r="P56" s="38">
        <f t="shared" si="1"/>
        <v>0</v>
      </c>
      <c r="Q56" s="38">
        <f t="shared" si="2"/>
        <v>0</v>
      </c>
      <c r="R56" s="38">
        <f t="shared" si="3"/>
        <v>0</v>
      </c>
      <c r="S56" s="38">
        <f t="shared" si="4"/>
        <v>0</v>
      </c>
      <c r="T56" s="38">
        <f t="shared" si="5"/>
        <v>0</v>
      </c>
      <c r="U56" s="38">
        <f t="shared" si="6"/>
        <v>0</v>
      </c>
      <c r="V56" s="55"/>
    </row>
    <row r="57" spans="2:22" s="50" customFormat="1" ht="11.25" hidden="1">
      <c r="B57" s="69" t="s">
        <v>453</v>
      </c>
      <c r="C57" s="85"/>
      <c r="D57" s="28"/>
      <c r="E57" s="5"/>
      <c r="F57" s="5"/>
      <c r="G57" s="5"/>
      <c r="H57" s="5"/>
      <c r="I57" s="29"/>
      <c r="J57" s="29"/>
      <c r="K57" s="29"/>
      <c r="L57" s="29"/>
      <c r="M57" s="29"/>
      <c r="N57" s="29"/>
      <c r="O57" s="38">
        <f t="shared" si="0"/>
        <v>0</v>
      </c>
      <c r="P57" s="38">
        <f t="shared" si="1"/>
        <v>0</v>
      </c>
      <c r="Q57" s="38">
        <f t="shared" si="2"/>
        <v>0</v>
      </c>
      <c r="R57" s="38">
        <f t="shared" si="3"/>
        <v>0</v>
      </c>
      <c r="S57" s="38">
        <f t="shared" si="4"/>
        <v>0</v>
      </c>
      <c r="T57" s="38">
        <f t="shared" si="5"/>
        <v>0</v>
      </c>
      <c r="U57" s="38">
        <f t="shared" si="6"/>
        <v>0</v>
      </c>
      <c r="V57" s="55"/>
    </row>
    <row r="58" spans="2:22" s="50" customFormat="1" ht="11.25" hidden="1">
      <c r="B58" s="69" t="s">
        <v>453</v>
      </c>
      <c r="C58" s="85"/>
      <c r="D58" s="28"/>
      <c r="E58" s="5"/>
      <c r="F58" s="5"/>
      <c r="G58" s="5"/>
      <c r="H58" s="5"/>
      <c r="I58" s="29"/>
      <c r="J58" s="29"/>
      <c r="K58" s="29"/>
      <c r="L58" s="29"/>
      <c r="M58" s="29"/>
      <c r="N58" s="29"/>
      <c r="O58" s="38">
        <f t="shared" si="0"/>
        <v>0</v>
      </c>
      <c r="P58" s="38">
        <f t="shared" si="1"/>
        <v>0</v>
      </c>
      <c r="Q58" s="38">
        <f t="shared" si="2"/>
        <v>0</v>
      </c>
      <c r="R58" s="38">
        <f t="shared" si="3"/>
        <v>0</v>
      </c>
      <c r="S58" s="38">
        <f t="shared" si="4"/>
        <v>0</v>
      </c>
      <c r="T58" s="38">
        <f t="shared" si="5"/>
        <v>0</v>
      </c>
      <c r="U58" s="38">
        <f t="shared" si="6"/>
        <v>0</v>
      </c>
      <c r="V58" s="55"/>
    </row>
    <row r="59" spans="2:22" s="50" customFormat="1" ht="11.25" hidden="1">
      <c r="B59" s="69" t="s">
        <v>453</v>
      </c>
      <c r="C59" s="85"/>
      <c r="D59" s="28"/>
      <c r="E59" s="5"/>
      <c r="F59" s="5"/>
      <c r="G59" s="5"/>
      <c r="H59" s="5"/>
      <c r="I59" s="29"/>
      <c r="J59" s="29"/>
      <c r="K59" s="29"/>
      <c r="L59" s="29"/>
      <c r="M59" s="29"/>
      <c r="N59" s="29"/>
      <c r="O59" s="38">
        <f t="shared" si="0"/>
        <v>0</v>
      </c>
      <c r="P59" s="38">
        <f t="shared" si="1"/>
        <v>0</v>
      </c>
      <c r="Q59" s="38">
        <f t="shared" si="2"/>
        <v>0</v>
      </c>
      <c r="R59" s="38">
        <f t="shared" si="3"/>
        <v>0</v>
      </c>
      <c r="S59" s="38">
        <f t="shared" si="4"/>
        <v>0</v>
      </c>
      <c r="T59" s="38">
        <f t="shared" si="5"/>
        <v>0</v>
      </c>
      <c r="U59" s="38">
        <f t="shared" si="6"/>
        <v>0</v>
      </c>
      <c r="V59" s="55"/>
    </row>
    <row r="60" spans="2:22" s="50" customFormat="1" ht="11.25" hidden="1">
      <c r="B60" s="69" t="s">
        <v>453</v>
      </c>
      <c r="C60" s="85"/>
      <c r="D60" s="28"/>
      <c r="E60" s="5"/>
      <c r="F60" s="5"/>
      <c r="G60" s="5"/>
      <c r="H60" s="5"/>
      <c r="I60" s="29"/>
      <c r="J60" s="29"/>
      <c r="K60" s="29"/>
      <c r="L60" s="29"/>
      <c r="M60" s="29"/>
      <c r="N60" s="29"/>
      <c r="O60" s="38">
        <f t="shared" si="0"/>
        <v>0</v>
      </c>
      <c r="P60" s="38">
        <f t="shared" si="1"/>
        <v>0</v>
      </c>
      <c r="Q60" s="38">
        <f t="shared" si="2"/>
        <v>0</v>
      </c>
      <c r="R60" s="38">
        <f t="shared" si="3"/>
        <v>0</v>
      </c>
      <c r="S60" s="38">
        <f t="shared" si="4"/>
        <v>0</v>
      </c>
      <c r="T60" s="38">
        <f t="shared" si="5"/>
        <v>0</v>
      </c>
      <c r="U60" s="38">
        <f t="shared" si="6"/>
        <v>0</v>
      </c>
      <c r="V60" s="55"/>
    </row>
    <row r="61" spans="2:22" s="50" customFormat="1" ht="11.25" hidden="1">
      <c r="B61" s="69" t="s">
        <v>453</v>
      </c>
      <c r="C61" s="85"/>
      <c r="D61" s="28"/>
      <c r="E61" s="5"/>
      <c r="F61" s="5"/>
      <c r="G61" s="5"/>
      <c r="H61" s="5"/>
      <c r="I61" s="29"/>
      <c r="J61" s="29"/>
      <c r="K61" s="29"/>
      <c r="L61" s="29"/>
      <c r="M61" s="29"/>
      <c r="N61" s="29"/>
      <c r="O61" s="38">
        <f t="shared" si="0"/>
        <v>0</v>
      </c>
      <c r="P61" s="38">
        <f t="shared" si="1"/>
        <v>0</v>
      </c>
      <c r="Q61" s="38">
        <f t="shared" si="2"/>
        <v>0</v>
      </c>
      <c r="R61" s="38">
        <f t="shared" si="3"/>
        <v>0</v>
      </c>
      <c r="S61" s="38">
        <f t="shared" si="4"/>
        <v>0</v>
      </c>
      <c r="T61" s="38">
        <f t="shared" si="5"/>
        <v>0</v>
      </c>
      <c r="U61" s="38">
        <f t="shared" si="6"/>
        <v>0</v>
      </c>
      <c r="V61" s="55"/>
    </row>
    <row r="62" spans="2:22" s="50" customFormat="1" ht="11.25" hidden="1">
      <c r="B62" s="69" t="s">
        <v>453</v>
      </c>
      <c r="C62" s="85"/>
      <c r="D62" s="28"/>
      <c r="E62" s="5"/>
      <c r="F62" s="5"/>
      <c r="G62" s="5"/>
      <c r="H62" s="5"/>
      <c r="I62" s="29"/>
      <c r="J62" s="29"/>
      <c r="K62" s="29"/>
      <c r="L62" s="29"/>
      <c r="M62" s="29"/>
      <c r="N62" s="29"/>
      <c r="O62" s="38">
        <f t="shared" si="0"/>
        <v>0</v>
      </c>
      <c r="P62" s="38">
        <f t="shared" si="1"/>
        <v>0</v>
      </c>
      <c r="Q62" s="38">
        <f t="shared" si="2"/>
        <v>0</v>
      </c>
      <c r="R62" s="38">
        <f t="shared" si="3"/>
        <v>0</v>
      </c>
      <c r="S62" s="38">
        <f t="shared" si="4"/>
        <v>0</v>
      </c>
      <c r="T62" s="38">
        <f t="shared" si="5"/>
        <v>0</v>
      </c>
      <c r="U62" s="38">
        <f t="shared" si="6"/>
        <v>0</v>
      </c>
      <c r="V62" s="55"/>
    </row>
    <row r="63" spans="2:22" s="50" customFormat="1" ht="11.25" hidden="1">
      <c r="B63" s="69" t="s">
        <v>453</v>
      </c>
      <c r="C63" s="85"/>
      <c r="D63" s="28"/>
      <c r="E63" s="5"/>
      <c r="F63" s="5"/>
      <c r="G63" s="5"/>
      <c r="H63" s="5"/>
      <c r="I63" s="29"/>
      <c r="J63" s="29"/>
      <c r="K63" s="29"/>
      <c r="L63" s="29"/>
      <c r="M63" s="29"/>
      <c r="N63" s="29"/>
      <c r="O63" s="38">
        <f t="shared" si="0"/>
        <v>0</v>
      </c>
      <c r="P63" s="38">
        <f t="shared" si="1"/>
        <v>0</v>
      </c>
      <c r="Q63" s="38">
        <f t="shared" si="2"/>
        <v>0</v>
      </c>
      <c r="R63" s="38">
        <f t="shared" si="3"/>
        <v>0</v>
      </c>
      <c r="S63" s="38">
        <f t="shared" si="4"/>
        <v>0</v>
      </c>
      <c r="T63" s="38">
        <f t="shared" si="5"/>
        <v>0</v>
      </c>
      <c r="U63" s="38">
        <f t="shared" si="6"/>
        <v>0</v>
      </c>
      <c r="V63" s="55"/>
    </row>
    <row r="64" spans="2:22" s="50" customFormat="1" ht="11.25" hidden="1">
      <c r="B64" s="69" t="s">
        <v>453</v>
      </c>
      <c r="C64" s="85"/>
      <c r="D64" s="28"/>
      <c r="E64" s="5"/>
      <c r="F64" s="5"/>
      <c r="G64" s="5"/>
      <c r="H64" s="5"/>
      <c r="I64" s="29"/>
      <c r="J64" s="29"/>
      <c r="K64" s="29"/>
      <c r="L64" s="29"/>
      <c r="M64" s="29"/>
      <c r="N64" s="29"/>
      <c r="O64" s="38">
        <f t="shared" si="0"/>
        <v>0</v>
      </c>
      <c r="P64" s="38">
        <f t="shared" si="1"/>
        <v>0</v>
      </c>
      <c r="Q64" s="38">
        <f t="shared" si="2"/>
        <v>0</v>
      </c>
      <c r="R64" s="38">
        <f t="shared" si="3"/>
        <v>0</v>
      </c>
      <c r="S64" s="38">
        <f t="shared" si="4"/>
        <v>0</v>
      </c>
      <c r="T64" s="38">
        <f t="shared" si="5"/>
        <v>0</v>
      </c>
      <c r="U64" s="38">
        <f t="shared" si="6"/>
        <v>0</v>
      </c>
      <c r="V64" s="55"/>
    </row>
    <row r="65" spans="2:22" s="50" customFormat="1" ht="11.25" hidden="1">
      <c r="B65" s="69" t="s">
        <v>453</v>
      </c>
      <c r="C65" s="85"/>
      <c r="D65" s="28"/>
      <c r="E65" s="5"/>
      <c r="F65" s="5"/>
      <c r="G65" s="5"/>
      <c r="H65" s="5"/>
      <c r="I65" s="29"/>
      <c r="J65" s="29"/>
      <c r="K65" s="29"/>
      <c r="L65" s="29"/>
      <c r="M65" s="29"/>
      <c r="N65" s="29"/>
      <c r="O65" s="38">
        <f t="shared" si="0"/>
        <v>0</v>
      </c>
      <c r="P65" s="38">
        <f t="shared" si="1"/>
        <v>0</v>
      </c>
      <c r="Q65" s="38">
        <f t="shared" si="2"/>
        <v>0</v>
      </c>
      <c r="R65" s="38">
        <f t="shared" si="3"/>
        <v>0</v>
      </c>
      <c r="S65" s="38">
        <f t="shared" si="4"/>
        <v>0</v>
      </c>
      <c r="T65" s="38">
        <f t="shared" si="5"/>
        <v>0</v>
      </c>
      <c r="U65" s="38">
        <f t="shared" si="6"/>
        <v>0</v>
      </c>
      <c r="V65" s="55"/>
    </row>
    <row r="66" spans="2:22" s="50" customFormat="1" ht="11.25" hidden="1">
      <c r="B66" s="69" t="s">
        <v>453</v>
      </c>
      <c r="C66" s="85"/>
      <c r="D66" s="28"/>
      <c r="E66" s="5"/>
      <c r="F66" s="5"/>
      <c r="G66" s="5"/>
      <c r="H66" s="5"/>
      <c r="I66" s="29"/>
      <c r="J66" s="29"/>
      <c r="K66" s="29"/>
      <c r="L66" s="29"/>
      <c r="M66" s="29"/>
      <c r="N66" s="29"/>
      <c r="O66" s="38">
        <f t="shared" si="0"/>
        <v>0</v>
      </c>
      <c r="P66" s="38">
        <f t="shared" si="1"/>
        <v>0</v>
      </c>
      <c r="Q66" s="38">
        <f t="shared" si="2"/>
        <v>0</v>
      </c>
      <c r="R66" s="38">
        <f t="shared" si="3"/>
        <v>0</v>
      </c>
      <c r="S66" s="38">
        <f t="shared" si="4"/>
        <v>0</v>
      </c>
      <c r="T66" s="38">
        <f t="shared" si="5"/>
        <v>0</v>
      </c>
      <c r="U66" s="38">
        <f t="shared" si="6"/>
        <v>0</v>
      </c>
      <c r="V66" s="55"/>
    </row>
    <row r="67" spans="2:22" s="50" customFormat="1" ht="11.25" hidden="1">
      <c r="B67" s="69" t="s">
        <v>453</v>
      </c>
      <c r="C67" s="85"/>
      <c r="D67" s="28"/>
      <c r="E67" s="5"/>
      <c r="F67" s="5"/>
      <c r="G67" s="5"/>
      <c r="H67" s="5"/>
      <c r="I67" s="29"/>
      <c r="J67" s="29"/>
      <c r="K67" s="29"/>
      <c r="L67" s="29"/>
      <c r="M67" s="29"/>
      <c r="N67" s="29"/>
      <c r="O67" s="38">
        <f t="shared" si="0"/>
        <v>0</v>
      </c>
      <c r="P67" s="38">
        <f t="shared" si="1"/>
        <v>0</v>
      </c>
      <c r="Q67" s="38">
        <f t="shared" si="2"/>
        <v>0</v>
      </c>
      <c r="R67" s="38">
        <f t="shared" si="3"/>
        <v>0</v>
      </c>
      <c r="S67" s="38">
        <f t="shared" si="4"/>
        <v>0</v>
      </c>
      <c r="T67" s="38">
        <f t="shared" si="5"/>
        <v>0</v>
      </c>
      <c r="U67" s="38">
        <f t="shared" si="6"/>
        <v>0</v>
      </c>
      <c r="V67" s="55"/>
    </row>
    <row r="68" spans="2:22" s="50" customFormat="1" ht="11.25" hidden="1">
      <c r="B68" s="69" t="s">
        <v>453</v>
      </c>
      <c r="C68" s="85"/>
      <c r="D68" s="28"/>
      <c r="E68" s="5"/>
      <c r="F68" s="5"/>
      <c r="G68" s="5"/>
      <c r="H68" s="5"/>
      <c r="I68" s="29"/>
      <c r="J68" s="29"/>
      <c r="K68" s="29"/>
      <c r="L68" s="29"/>
      <c r="M68" s="29"/>
      <c r="N68" s="29"/>
      <c r="O68" s="38">
        <f t="shared" si="0"/>
        <v>0</v>
      </c>
      <c r="P68" s="38">
        <f t="shared" si="1"/>
        <v>0</v>
      </c>
      <c r="Q68" s="38">
        <f t="shared" si="2"/>
        <v>0</v>
      </c>
      <c r="R68" s="38">
        <f t="shared" si="3"/>
        <v>0</v>
      </c>
      <c r="S68" s="38">
        <f t="shared" si="4"/>
        <v>0</v>
      </c>
      <c r="T68" s="38">
        <f t="shared" si="5"/>
        <v>0</v>
      </c>
      <c r="U68" s="38">
        <f t="shared" si="6"/>
        <v>0</v>
      </c>
      <c r="V68" s="55"/>
    </row>
    <row r="69" spans="2:22" s="50" customFormat="1" ht="11.25" hidden="1">
      <c r="B69" s="69" t="s">
        <v>453</v>
      </c>
      <c r="C69" s="85"/>
      <c r="D69" s="28"/>
      <c r="E69" s="5"/>
      <c r="F69" s="5"/>
      <c r="G69" s="5"/>
      <c r="H69" s="5"/>
      <c r="I69" s="29"/>
      <c r="J69" s="29"/>
      <c r="K69" s="29"/>
      <c r="L69" s="29"/>
      <c r="M69" s="29"/>
      <c r="N69" s="29"/>
      <c r="O69" s="38">
        <f t="shared" si="0"/>
        <v>0</v>
      </c>
      <c r="P69" s="38">
        <f t="shared" si="1"/>
        <v>0</v>
      </c>
      <c r="Q69" s="38">
        <f t="shared" si="2"/>
        <v>0</v>
      </c>
      <c r="R69" s="38">
        <f t="shared" si="3"/>
        <v>0</v>
      </c>
      <c r="S69" s="38">
        <f t="shared" si="4"/>
        <v>0</v>
      </c>
      <c r="T69" s="38">
        <f t="shared" si="5"/>
        <v>0</v>
      </c>
      <c r="U69" s="38">
        <f t="shared" si="6"/>
        <v>0</v>
      </c>
      <c r="V69" s="55"/>
    </row>
    <row r="70" spans="2:22" s="50" customFormat="1" ht="11.25" hidden="1">
      <c r="B70" s="69" t="s">
        <v>453</v>
      </c>
      <c r="C70" s="85"/>
      <c r="D70" s="28"/>
      <c r="E70" s="5"/>
      <c r="F70" s="5"/>
      <c r="G70" s="5"/>
      <c r="H70" s="5"/>
      <c r="I70" s="29"/>
      <c r="J70" s="29"/>
      <c r="K70" s="29"/>
      <c r="L70" s="29"/>
      <c r="M70" s="29"/>
      <c r="N70" s="29"/>
      <c r="O70" s="38">
        <f t="shared" si="0"/>
        <v>0</v>
      </c>
      <c r="P70" s="38">
        <f t="shared" si="1"/>
        <v>0</v>
      </c>
      <c r="Q70" s="38">
        <f t="shared" si="2"/>
        <v>0</v>
      </c>
      <c r="R70" s="38">
        <f t="shared" si="3"/>
        <v>0</v>
      </c>
      <c r="S70" s="38">
        <f t="shared" si="4"/>
        <v>0</v>
      </c>
      <c r="T70" s="38">
        <f t="shared" si="5"/>
        <v>0</v>
      </c>
      <c r="U70" s="38">
        <f t="shared" si="6"/>
        <v>0</v>
      </c>
      <c r="V70" s="55"/>
    </row>
    <row r="71" spans="2:22" s="50" customFormat="1" ht="11.25" hidden="1">
      <c r="B71" s="69" t="s">
        <v>453</v>
      </c>
      <c r="C71" s="85"/>
      <c r="D71" s="28"/>
      <c r="E71" s="5"/>
      <c r="F71" s="5"/>
      <c r="G71" s="5"/>
      <c r="H71" s="5"/>
      <c r="I71" s="29"/>
      <c r="J71" s="29"/>
      <c r="K71" s="29"/>
      <c r="L71" s="29"/>
      <c r="M71" s="29"/>
      <c r="N71" s="29"/>
      <c r="O71" s="38">
        <f t="shared" si="0"/>
        <v>0</v>
      </c>
      <c r="P71" s="38">
        <f t="shared" si="1"/>
        <v>0</v>
      </c>
      <c r="Q71" s="38">
        <f t="shared" si="2"/>
        <v>0</v>
      </c>
      <c r="R71" s="38">
        <f t="shared" si="3"/>
        <v>0</v>
      </c>
      <c r="S71" s="38">
        <f t="shared" si="4"/>
        <v>0</v>
      </c>
      <c r="T71" s="38">
        <f t="shared" si="5"/>
        <v>0</v>
      </c>
      <c r="U71" s="38">
        <f t="shared" si="6"/>
        <v>0</v>
      </c>
      <c r="V71" s="55"/>
    </row>
    <row r="72" spans="2:22" s="50" customFormat="1" ht="11.25" hidden="1">
      <c r="B72" s="69" t="s">
        <v>453</v>
      </c>
      <c r="C72" s="85"/>
      <c r="D72" s="28"/>
      <c r="E72" s="5"/>
      <c r="F72" s="5"/>
      <c r="G72" s="5"/>
      <c r="H72" s="5"/>
      <c r="I72" s="29"/>
      <c r="J72" s="29"/>
      <c r="K72" s="29"/>
      <c r="L72" s="29"/>
      <c r="M72" s="29"/>
      <c r="N72" s="29"/>
      <c r="O72" s="38">
        <f t="shared" si="0"/>
        <v>0</v>
      </c>
      <c r="P72" s="38">
        <f t="shared" si="1"/>
        <v>0</v>
      </c>
      <c r="Q72" s="38">
        <f t="shared" si="2"/>
        <v>0</v>
      </c>
      <c r="R72" s="38">
        <f t="shared" si="3"/>
        <v>0</v>
      </c>
      <c r="S72" s="38">
        <f t="shared" si="4"/>
        <v>0</v>
      </c>
      <c r="T72" s="38">
        <f t="shared" si="5"/>
        <v>0</v>
      </c>
      <c r="U72" s="38">
        <f t="shared" si="6"/>
        <v>0</v>
      </c>
      <c r="V72" s="55"/>
    </row>
    <row r="73" spans="2:22" s="50" customFormat="1" ht="11.25" hidden="1">
      <c r="B73" s="69" t="s">
        <v>453</v>
      </c>
      <c r="C73" s="85"/>
      <c r="D73" s="28"/>
      <c r="E73" s="5"/>
      <c r="F73" s="5"/>
      <c r="G73" s="5"/>
      <c r="H73" s="5"/>
      <c r="I73" s="29"/>
      <c r="J73" s="29"/>
      <c r="K73" s="29"/>
      <c r="L73" s="29"/>
      <c r="M73" s="29"/>
      <c r="N73" s="29"/>
      <c r="O73" s="38">
        <f t="shared" si="0"/>
        <v>0</v>
      </c>
      <c r="P73" s="38">
        <f t="shared" si="1"/>
        <v>0</v>
      </c>
      <c r="Q73" s="38">
        <f t="shared" si="2"/>
        <v>0</v>
      </c>
      <c r="R73" s="38">
        <f t="shared" si="3"/>
        <v>0</v>
      </c>
      <c r="S73" s="38">
        <f t="shared" si="4"/>
        <v>0</v>
      </c>
      <c r="T73" s="38">
        <f t="shared" si="5"/>
        <v>0</v>
      </c>
      <c r="U73" s="38">
        <f t="shared" si="6"/>
        <v>0</v>
      </c>
      <c r="V73" s="55"/>
    </row>
    <row r="74" spans="2:22" s="50" customFormat="1" ht="11.25" hidden="1">
      <c r="B74" s="69" t="s">
        <v>453</v>
      </c>
      <c r="C74" s="85"/>
      <c r="D74" s="28"/>
      <c r="E74" s="5"/>
      <c r="F74" s="5"/>
      <c r="G74" s="5"/>
      <c r="H74" s="5"/>
      <c r="I74" s="29"/>
      <c r="J74" s="29"/>
      <c r="K74" s="29"/>
      <c r="L74" s="29"/>
      <c r="M74" s="29"/>
      <c r="N74" s="29"/>
      <c r="O74" s="38">
        <f t="shared" ref="O74:O137" si="7">SUM(J74:N74)</f>
        <v>0</v>
      </c>
      <c r="P74" s="38">
        <f t="shared" ref="P74:P137" si="8">IF(I74=0,0,J74/I74*10)</f>
        <v>0</v>
      </c>
      <c r="Q74" s="38">
        <f t="shared" ref="Q74:Q137" si="9">IF(I74=0,0,L74/I74*10)</f>
        <v>0</v>
      </c>
      <c r="R74" s="38">
        <f t="shared" ref="R74:R137" si="10">IF(I74=0,0,M74/I74*10)</f>
        <v>0</v>
      </c>
      <c r="S74" s="38">
        <f t="shared" ref="S74:S137" si="11">IF(I74=0,0,N74/I74*10)</f>
        <v>0</v>
      </c>
      <c r="T74" s="38">
        <f t="shared" ref="T74:T137" si="12">IF(I74=0,0,K74/I74*10)</f>
        <v>0</v>
      </c>
      <c r="U74" s="38">
        <f t="shared" ref="U74:U137" si="13">IF(I74=0,0,O74/I74*10)</f>
        <v>0</v>
      </c>
      <c r="V74" s="55"/>
    </row>
    <row r="75" spans="2:22" s="50" customFormat="1" ht="11.25" hidden="1">
      <c r="B75" s="69" t="s">
        <v>453</v>
      </c>
      <c r="C75" s="85"/>
      <c r="D75" s="28"/>
      <c r="E75" s="5"/>
      <c r="F75" s="5"/>
      <c r="G75" s="5"/>
      <c r="H75" s="5"/>
      <c r="I75" s="29"/>
      <c r="J75" s="29"/>
      <c r="K75" s="29"/>
      <c r="L75" s="29"/>
      <c r="M75" s="29"/>
      <c r="N75" s="29"/>
      <c r="O75" s="38">
        <f t="shared" si="7"/>
        <v>0</v>
      </c>
      <c r="P75" s="38">
        <f t="shared" si="8"/>
        <v>0</v>
      </c>
      <c r="Q75" s="38">
        <f t="shared" si="9"/>
        <v>0</v>
      </c>
      <c r="R75" s="38">
        <f t="shared" si="10"/>
        <v>0</v>
      </c>
      <c r="S75" s="38">
        <f t="shared" si="11"/>
        <v>0</v>
      </c>
      <c r="T75" s="38">
        <f t="shared" si="12"/>
        <v>0</v>
      </c>
      <c r="U75" s="38">
        <f t="shared" si="13"/>
        <v>0</v>
      </c>
      <c r="V75" s="55"/>
    </row>
    <row r="76" spans="2:22" s="50" customFormat="1" ht="11.25" hidden="1">
      <c r="B76" s="69" t="s">
        <v>453</v>
      </c>
      <c r="C76" s="85"/>
      <c r="D76" s="28"/>
      <c r="E76" s="5"/>
      <c r="F76" s="5"/>
      <c r="G76" s="5"/>
      <c r="H76" s="5"/>
      <c r="I76" s="29"/>
      <c r="J76" s="29"/>
      <c r="K76" s="29"/>
      <c r="L76" s="29"/>
      <c r="M76" s="29"/>
      <c r="N76" s="29"/>
      <c r="O76" s="38">
        <f t="shared" si="7"/>
        <v>0</v>
      </c>
      <c r="P76" s="38">
        <f t="shared" si="8"/>
        <v>0</v>
      </c>
      <c r="Q76" s="38">
        <f t="shared" si="9"/>
        <v>0</v>
      </c>
      <c r="R76" s="38">
        <f t="shared" si="10"/>
        <v>0</v>
      </c>
      <c r="S76" s="38">
        <f t="shared" si="11"/>
        <v>0</v>
      </c>
      <c r="T76" s="38">
        <f t="shared" si="12"/>
        <v>0</v>
      </c>
      <c r="U76" s="38">
        <f t="shared" si="13"/>
        <v>0</v>
      </c>
      <c r="V76" s="55"/>
    </row>
    <row r="77" spans="2:22" s="50" customFormat="1" ht="11.25" hidden="1">
      <c r="B77" s="69" t="s">
        <v>453</v>
      </c>
      <c r="C77" s="85"/>
      <c r="D77" s="28"/>
      <c r="E77" s="5"/>
      <c r="F77" s="5"/>
      <c r="G77" s="5"/>
      <c r="H77" s="5"/>
      <c r="I77" s="29"/>
      <c r="J77" s="29"/>
      <c r="K77" s="29"/>
      <c r="L77" s="29"/>
      <c r="M77" s="29"/>
      <c r="N77" s="29"/>
      <c r="O77" s="38">
        <f t="shared" si="7"/>
        <v>0</v>
      </c>
      <c r="P77" s="38">
        <f t="shared" si="8"/>
        <v>0</v>
      </c>
      <c r="Q77" s="38">
        <f t="shared" si="9"/>
        <v>0</v>
      </c>
      <c r="R77" s="38">
        <f t="shared" si="10"/>
        <v>0</v>
      </c>
      <c r="S77" s="38">
        <f t="shared" si="11"/>
        <v>0</v>
      </c>
      <c r="T77" s="38">
        <f t="shared" si="12"/>
        <v>0</v>
      </c>
      <c r="U77" s="38">
        <f t="shared" si="13"/>
        <v>0</v>
      </c>
      <c r="V77" s="55"/>
    </row>
    <row r="78" spans="2:22" s="50" customFormat="1" ht="11.25" hidden="1">
      <c r="B78" s="69" t="s">
        <v>453</v>
      </c>
      <c r="C78" s="85"/>
      <c r="D78" s="28"/>
      <c r="E78" s="5"/>
      <c r="F78" s="5"/>
      <c r="G78" s="5"/>
      <c r="H78" s="5"/>
      <c r="I78" s="29"/>
      <c r="J78" s="29"/>
      <c r="K78" s="29"/>
      <c r="L78" s="29"/>
      <c r="M78" s="29"/>
      <c r="N78" s="29"/>
      <c r="O78" s="38">
        <f t="shared" si="7"/>
        <v>0</v>
      </c>
      <c r="P78" s="38">
        <f t="shared" si="8"/>
        <v>0</v>
      </c>
      <c r="Q78" s="38">
        <f t="shared" si="9"/>
        <v>0</v>
      </c>
      <c r="R78" s="38">
        <f t="shared" si="10"/>
        <v>0</v>
      </c>
      <c r="S78" s="38">
        <f t="shared" si="11"/>
        <v>0</v>
      </c>
      <c r="T78" s="38">
        <f t="shared" si="12"/>
        <v>0</v>
      </c>
      <c r="U78" s="38">
        <f t="shared" si="13"/>
        <v>0</v>
      </c>
      <c r="V78" s="55"/>
    </row>
    <row r="79" spans="2:22" s="50" customFormat="1" ht="11.25" hidden="1">
      <c r="B79" s="69" t="s">
        <v>453</v>
      </c>
      <c r="C79" s="85"/>
      <c r="D79" s="28"/>
      <c r="E79" s="5"/>
      <c r="F79" s="5"/>
      <c r="G79" s="5"/>
      <c r="H79" s="5"/>
      <c r="I79" s="29"/>
      <c r="J79" s="29"/>
      <c r="K79" s="29"/>
      <c r="L79" s="29"/>
      <c r="M79" s="29"/>
      <c r="N79" s="29"/>
      <c r="O79" s="38">
        <f t="shared" si="7"/>
        <v>0</v>
      </c>
      <c r="P79" s="38">
        <f t="shared" si="8"/>
        <v>0</v>
      </c>
      <c r="Q79" s="38">
        <f t="shared" si="9"/>
        <v>0</v>
      </c>
      <c r="R79" s="38">
        <f t="shared" si="10"/>
        <v>0</v>
      </c>
      <c r="S79" s="38">
        <f t="shared" si="11"/>
        <v>0</v>
      </c>
      <c r="T79" s="38">
        <f t="shared" si="12"/>
        <v>0</v>
      </c>
      <c r="U79" s="38">
        <f t="shared" si="13"/>
        <v>0</v>
      </c>
      <c r="V79" s="55"/>
    </row>
    <row r="80" spans="2:22" s="50" customFormat="1" ht="11.25" hidden="1">
      <c r="B80" s="69" t="s">
        <v>453</v>
      </c>
      <c r="C80" s="85"/>
      <c r="D80" s="28"/>
      <c r="E80" s="5"/>
      <c r="F80" s="5"/>
      <c r="G80" s="5"/>
      <c r="H80" s="5"/>
      <c r="I80" s="29"/>
      <c r="J80" s="29"/>
      <c r="K80" s="29"/>
      <c r="L80" s="29"/>
      <c r="M80" s="29"/>
      <c r="N80" s="29"/>
      <c r="O80" s="38">
        <f t="shared" si="7"/>
        <v>0</v>
      </c>
      <c r="P80" s="38">
        <f t="shared" si="8"/>
        <v>0</v>
      </c>
      <c r="Q80" s="38">
        <f t="shared" si="9"/>
        <v>0</v>
      </c>
      <c r="R80" s="38">
        <f t="shared" si="10"/>
        <v>0</v>
      </c>
      <c r="S80" s="38">
        <f t="shared" si="11"/>
        <v>0</v>
      </c>
      <c r="T80" s="38">
        <f t="shared" si="12"/>
        <v>0</v>
      </c>
      <c r="U80" s="38">
        <f t="shared" si="13"/>
        <v>0</v>
      </c>
      <c r="V80" s="55"/>
    </row>
    <row r="81" spans="2:22" s="50" customFormat="1" ht="11.25" hidden="1">
      <c r="B81" s="69" t="s">
        <v>453</v>
      </c>
      <c r="C81" s="85"/>
      <c r="D81" s="28"/>
      <c r="E81" s="5"/>
      <c r="F81" s="5"/>
      <c r="G81" s="5"/>
      <c r="H81" s="5"/>
      <c r="I81" s="29"/>
      <c r="J81" s="29"/>
      <c r="K81" s="29"/>
      <c r="L81" s="29"/>
      <c r="M81" s="29"/>
      <c r="N81" s="29"/>
      <c r="O81" s="38">
        <f t="shared" si="7"/>
        <v>0</v>
      </c>
      <c r="P81" s="38">
        <f t="shared" si="8"/>
        <v>0</v>
      </c>
      <c r="Q81" s="38">
        <f t="shared" si="9"/>
        <v>0</v>
      </c>
      <c r="R81" s="38">
        <f t="shared" si="10"/>
        <v>0</v>
      </c>
      <c r="S81" s="38">
        <f t="shared" si="11"/>
        <v>0</v>
      </c>
      <c r="T81" s="38">
        <f t="shared" si="12"/>
        <v>0</v>
      </c>
      <c r="U81" s="38">
        <f t="shared" si="13"/>
        <v>0</v>
      </c>
      <c r="V81" s="55"/>
    </row>
    <row r="82" spans="2:22" s="50" customFormat="1" ht="11.25" hidden="1">
      <c r="B82" s="69" t="s">
        <v>453</v>
      </c>
      <c r="C82" s="85"/>
      <c r="D82" s="28"/>
      <c r="E82" s="5"/>
      <c r="F82" s="5"/>
      <c r="G82" s="5"/>
      <c r="H82" s="5"/>
      <c r="I82" s="29"/>
      <c r="J82" s="29"/>
      <c r="K82" s="29"/>
      <c r="L82" s="29"/>
      <c r="M82" s="29"/>
      <c r="N82" s="29"/>
      <c r="O82" s="38">
        <f t="shared" si="7"/>
        <v>0</v>
      </c>
      <c r="P82" s="38">
        <f t="shared" si="8"/>
        <v>0</v>
      </c>
      <c r="Q82" s="38">
        <f t="shared" si="9"/>
        <v>0</v>
      </c>
      <c r="R82" s="38">
        <f t="shared" si="10"/>
        <v>0</v>
      </c>
      <c r="S82" s="38">
        <f t="shared" si="11"/>
        <v>0</v>
      </c>
      <c r="T82" s="38">
        <f t="shared" si="12"/>
        <v>0</v>
      </c>
      <c r="U82" s="38">
        <f t="shared" si="13"/>
        <v>0</v>
      </c>
      <c r="V82" s="55"/>
    </row>
    <row r="83" spans="2:22" s="50" customFormat="1" ht="11.25" hidden="1">
      <c r="B83" s="69" t="s">
        <v>453</v>
      </c>
      <c r="C83" s="85"/>
      <c r="D83" s="28"/>
      <c r="E83" s="5"/>
      <c r="F83" s="5"/>
      <c r="G83" s="5"/>
      <c r="H83" s="5"/>
      <c r="I83" s="29"/>
      <c r="J83" s="29"/>
      <c r="K83" s="29"/>
      <c r="L83" s="29"/>
      <c r="M83" s="29"/>
      <c r="N83" s="29"/>
      <c r="O83" s="38">
        <f t="shared" si="7"/>
        <v>0</v>
      </c>
      <c r="P83" s="38">
        <f t="shared" si="8"/>
        <v>0</v>
      </c>
      <c r="Q83" s="38">
        <f t="shared" si="9"/>
        <v>0</v>
      </c>
      <c r="R83" s="38">
        <f t="shared" si="10"/>
        <v>0</v>
      </c>
      <c r="S83" s="38">
        <f t="shared" si="11"/>
        <v>0</v>
      </c>
      <c r="T83" s="38">
        <f t="shared" si="12"/>
        <v>0</v>
      </c>
      <c r="U83" s="38">
        <f t="shared" si="13"/>
        <v>0</v>
      </c>
      <c r="V83" s="55"/>
    </row>
    <row r="84" spans="2:22" s="50" customFormat="1" ht="11.25" hidden="1">
      <c r="B84" s="69" t="s">
        <v>453</v>
      </c>
      <c r="C84" s="85"/>
      <c r="D84" s="28"/>
      <c r="E84" s="5"/>
      <c r="F84" s="5"/>
      <c r="G84" s="5"/>
      <c r="H84" s="5"/>
      <c r="I84" s="29"/>
      <c r="J84" s="29"/>
      <c r="K84" s="29"/>
      <c r="L84" s="29"/>
      <c r="M84" s="29"/>
      <c r="N84" s="29"/>
      <c r="O84" s="38">
        <f t="shared" si="7"/>
        <v>0</v>
      </c>
      <c r="P84" s="38">
        <f t="shared" si="8"/>
        <v>0</v>
      </c>
      <c r="Q84" s="38">
        <f t="shared" si="9"/>
        <v>0</v>
      </c>
      <c r="R84" s="38">
        <f t="shared" si="10"/>
        <v>0</v>
      </c>
      <c r="S84" s="38">
        <f t="shared" si="11"/>
        <v>0</v>
      </c>
      <c r="T84" s="38">
        <f t="shared" si="12"/>
        <v>0</v>
      </c>
      <c r="U84" s="38">
        <f t="shared" si="13"/>
        <v>0</v>
      </c>
      <c r="V84" s="55"/>
    </row>
    <row r="85" spans="2:22" s="50" customFormat="1" ht="11.25" hidden="1">
      <c r="B85" s="69" t="s">
        <v>453</v>
      </c>
      <c r="C85" s="85"/>
      <c r="D85" s="28"/>
      <c r="E85" s="5"/>
      <c r="F85" s="5"/>
      <c r="G85" s="5"/>
      <c r="H85" s="5"/>
      <c r="I85" s="29"/>
      <c r="J85" s="29"/>
      <c r="K85" s="29"/>
      <c r="L85" s="29"/>
      <c r="M85" s="29"/>
      <c r="N85" s="29"/>
      <c r="O85" s="38">
        <f t="shared" si="7"/>
        <v>0</v>
      </c>
      <c r="P85" s="38">
        <f t="shared" si="8"/>
        <v>0</v>
      </c>
      <c r="Q85" s="38">
        <f t="shared" si="9"/>
        <v>0</v>
      </c>
      <c r="R85" s="38">
        <f t="shared" si="10"/>
        <v>0</v>
      </c>
      <c r="S85" s="38">
        <f t="shared" si="11"/>
        <v>0</v>
      </c>
      <c r="T85" s="38">
        <f t="shared" si="12"/>
        <v>0</v>
      </c>
      <c r="U85" s="38">
        <f t="shared" si="13"/>
        <v>0</v>
      </c>
      <c r="V85" s="55"/>
    </row>
    <row r="86" spans="2:22" s="50" customFormat="1" ht="11.25" hidden="1">
      <c r="B86" s="69" t="s">
        <v>453</v>
      </c>
      <c r="C86" s="85"/>
      <c r="D86" s="28"/>
      <c r="E86" s="5"/>
      <c r="F86" s="5"/>
      <c r="G86" s="5"/>
      <c r="H86" s="5"/>
      <c r="I86" s="29"/>
      <c r="J86" s="29"/>
      <c r="K86" s="29"/>
      <c r="L86" s="29"/>
      <c r="M86" s="29"/>
      <c r="N86" s="29"/>
      <c r="O86" s="38">
        <f t="shared" si="7"/>
        <v>0</v>
      </c>
      <c r="P86" s="38">
        <f t="shared" si="8"/>
        <v>0</v>
      </c>
      <c r="Q86" s="38">
        <f t="shared" si="9"/>
        <v>0</v>
      </c>
      <c r="R86" s="38">
        <f t="shared" si="10"/>
        <v>0</v>
      </c>
      <c r="S86" s="38">
        <f t="shared" si="11"/>
        <v>0</v>
      </c>
      <c r="T86" s="38">
        <f t="shared" si="12"/>
        <v>0</v>
      </c>
      <c r="U86" s="38">
        <f t="shared" si="13"/>
        <v>0</v>
      </c>
      <c r="V86" s="55"/>
    </row>
    <row r="87" spans="2:22" s="50" customFormat="1" ht="11.25" hidden="1">
      <c r="B87" s="69" t="s">
        <v>453</v>
      </c>
      <c r="C87" s="85"/>
      <c r="D87" s="28"/>
      <c r="E87" s="5"/>
      <c r="F87" s="5"/>
      <c r="G87" s="5"/>
      <c r="H87" s="5"/>
      <c r="I87" s="29"/>
      <c r="J87" s="29"/>
      <c r="K87" s="29"/>
      <c r="L87" s="29"/>
      <c r="M87" s="29"/>
      <c r="N87" s="29"/>
      <c r="O87" s="38">
        <f t="shared" si="7"/>
        <v>0</v>
      </c>
      <c r="P87" s="38">
        <f t="shared" si="8"/>
        <v>0</v>
      </c>
      <c r="Q87" s="38">
        <f t="shared" si="9"/>
        <v>0</v>
      </c>
      <c r="R87" s="38">
        <f t="shared" si="10"/>
        <v>0</v>
      </c>
      <c r="S87" s="38">
        <f t="shared" si="11"/>
        <v>0</v>
      </c>
      <c r="T87" s="38">
        <f t="shared" si="12"/>
        <v>0</v>
      </c>
      <c r="U87" s="38">
        <f t="shared" si="13"/>
        <v>0</v>
      </c>
      <c r="V87" s="55"/>
    </row>
    <row r="88" spans="2:22" s="50" customFormat="1" ht="11.25" hidden="1">
      <c r="B88" s="69" t="s">
        <v>453</v>
      </c>
      <c r="C88" s="85"/>
      <c r="D88" s="28"/>
      <c r="E88" s="5"/>
      <c r="F88" s="5"/>
      <c r="G88" s="5"/>
      <c r="H88" s="5"/>
      <c r="I88" s="29"/>
      <c r="J88" s="29"/>
      <c r="K88" s="29"/>
      <c r="L88" s="29"/>
      <c r="M88" s="29"/>
      <c r="N88" s="29"/>
      <c r="O88" s="38">
        <f t="shared" si="7"/>
        <v>0</v>
      </c>
      <c r="P88" s="38">
        <f t="shared" si="8"/>
        <v>0</v>
      </c>
      <c r="Q88" s="38">
        <f t="shared" si="9"/>
        <v>0</v>
      </c>
      <c r="R88" s="38">
        <f t="shared" si="10"/>
        <v>0</v>
      </c>
      <c r="S88" s="38">
        <f t="shared" si="11"/>
        <v>0</v>
      </c>
      <c r="T88" s="38">
        <f t="shared" si="12"/>
        <v>0</v>
      </c>
      <c r="U88" s="38">
        <f t="shared" si="13"/>
        <v>0</v>
      </c>
      <c r="V88" s="55"/>
    </row>
    <row r="89" spans="2:22" s="50" customFormat="1" ht="11.25" hidden="1">
      <c r="B89" s="69" t="s">
        <v>453</v>
      </c>
      <c r="C89" s="85"/>
      <c r="D89" s="28"/>
      <c r="E89" s="5"/>
      <c r="F89" s="5"/>
      <c r="G89" s="5"/>
      <c r="H89" s="5"/>
      <c r="I89" s="29"/>
      <c r="J89" s="29"/>
      <c r="K89" s="29"/>
      <c r="L89" s="29"/>
      <c r="M89" s="29"/>
      <c r="N89" s="29"/>
      <c r="O89" s="38">
        <f t="shared" si="7"/>
        <v>0</v>
      </c>
      <c r="P89" s="38">
        <f t="shared" si="8"/>
        <v>0</v>
      </c>
      <c r="Q89" s="38">
        <f t="shared" si="9"/>
        <v>0</v>
      </c>
      <c r="R89" s="38">
        <f t="shared" si="10"/>
        <v>0</v>
      </c>
      <c r="S89" s="38">
        <f t="shared" si="11"/>
        <v>0</v>
      </c>
      <c r="T89" s="38">
        <f t="shared" si="12"/>
        <v>0</v>
      </c>
      <c r="U89" s="38">
        <f t="shared" si="13"/>
        <v>0</v>
      </c>
      <c r="V89" s="55"/>
    </row>
    <row r="90" spans="2:22" s="50" customFormat="1" ht="11.25" hidden="1">
      <c r="B90" s="69" t="s">
        <v>453</v>
      </c>
      <c r="C90" s="85"/>
      <c r="D90" s="28"/>
      <c r="E90" s="5"/>
      <c r="F90" s="5"/>
      <c r="G90" s="5"/>
      <c r="H90" s="5"/>
      <c r="I90" s="29"/>
      <c r="J90" s="29"/>
      <c r="K90" s="29"/>
      <c r="L90" s="29"/>
      <c r="M90" s="29"/>
      <c r="N90" s="29"/>
      <c r="O90" s="38">
        <f t="shared" si="7"/>
        <v>0</v>
      </c>
      <c r="P90" s="38">
        <f t="shared" si="8"/>
        <v>0</v>
      </c>
      <c r="Q90" s="38">
        <f t="shared" si="9"/>
        <v>0</v>
      </c>
      <c r="R90" s="38">
        <f t="shared" si="10"/>
        <v>0</v>
      </c>
      <c r="S90" s="38">
        <f t="shared" si="11"/>
        <v>0</v>
      </c>
      <c r="T90" s="38">
        <f t="shared" si="12"/>
        <v>0</v>
      </c>
      <c r="U90" s="38">
        <f t="shared" si="13"/>
        <v>0</v>
      </c>
      <c r="V90" s="55"/>
    </row>
    <row r="91" spans="2:22" s="50" customFormat="1" ht="11.25" hidden="1">
      <c r="B91" s="69" t="s">
        <v>453</v>
      </c>
      <c r="C91" s="85"/>
      <c r="D91" s="28"/>
      <c r="E91" s="5"/>
      <c r="F91" s="5"/>
      <c r="G91" s="5"/>
      <c r="H91" s="5"/>
      <c r="I91" s="29"/>
      <c r="J91" s="29"/>
      <c r="K91" s="29"/>
      <c r="L91" s="29"/>
      <c r="M91" s="29"/>
      <c r="N91" s="29"/>
      <c r="O91" s="38">
        <f t="shared" si="7"/>
        <v>0</v>
      </c>
      <c r="P91" s="38">
        <f t="shared" si="8"/>
        <v>0</v>
      </c>
      <c r="Q91" s="38">
        <f t="shared" si="9"/>
        <v>0</v>
      </c>
      <c r="R91" s="38">
        <f t="shared" si="10"/>
        <v>0</v>
      </c>
      <c r="S91" s="38">
        <f t="shared" si="11"/>
        <v>0</v>
      </c>
      <c r="T91" s="38">
        <f t="shared" si="12"/>
        <v>0</v>
      </c>
      <c r="U91" s="38">
        <f t="shared" si="13"/>
        <v>0</v>
      </c>
      <c r="V91" s="55"/>
    </row>
    <row r="92" spans="2:22" s="50" customFormat="1" ht="11.25" hidden="1">
      <c r="B92" s="69" t="s">
        <v>453</v>
      </c>
      <c r="C92" s="85"/>
      <c r="D92" s="28"/>
      <c r="E92" s="5"/>
      <c r="F92" s="5"/>
      <c r="G92" s="5"/>
      <c r="H92" s="5"/>
      <c r="I92" s="29"/>
      <c r="J92" s="29"/>
      <c r="K92" s="29"/>
      <c r="L92" s="29"/>
      <c r="M92" s="29"/>
      <c r="N92" s="29"/>
      <c r="O92" s="38">
        <f t="shared" si="7"/>
        <v>0</v>
      </c>
      <c r="P92" s="38">
        <f t="shared" si="8"/>
        <v>0</v>
      </c>
      <c r="Q92" s="38">
        <f t="shared" si="9"/>
        <v>0</v>
      </c>
      <c r="R92" s="38">
        <f t="shared" si="10"/>
        <v>0</v>
      </c>
      <c r="S92" s="38">
        <f t="shared" si="11"/>
        <v>0</v>
      </c>
      <c r="T92" s="38">
        <f t="shared" si="12"/>
        <v>0</v>
      </c>
      <c r="U92" s="38">
        <f t="shared" si="13"/>
        <v>0</v>
      </c>
      <c r="V92" s="55"/>
    </row>
    <row r="93" spans="2:22" s="50" customFormat="1" ht="11.25" hidden="1">
      <c r="B93" s="69" t="s">
        <v>453</v>
      </c>
      <c r="C93" s="85"/>
      <c r="D93" s="28"/>
      <c r="E93" s="5"/>
      <c r="F93" s="5"/>
      <c r="G93" s="5"/>
      <c r="H93" s="5"/>
      <c r="I93" s="29"/>
      <c r="J93" s="29"/>
      <c r="K93" s="29"/>
      <c r="L93" s="29"/>
      <c r="M93" s="29"/>
      <c r="N93" s="29"/>
      <c r="O93" s="38">
        <f t="shared" si="7"/>
        <v>0</v>
      </c>
      <c r="P93" s="38">
        <f t="shared" si="8"/>
        <v>0</v>
      </c>
      <c r="Q93" s="38">
        <f t="shared" si="9"/>
        <v>0</v>
      </c>
      <c r="R93" s="38">
        <f t="shared" si="10"/>
        <v>0</v>
      </c>
      <c r="S93" s="38">
        <f t="shared" si="11"/>
        <v>0</v>
      </c>
      <c r="T93" s="38">
        <f t="shared" si="12"/>
        <v>0</v>
      </c>
      <c r="U93" s="38">
        <f t="shared" si="13"/>
        <v>0</v>
      </c>
      <c r="V93" s="55"/>
    </row>
    <row r="94" spans="2:22" s="50" customFormat="1" ht="11.25" hidden="1">
      <c r="B94" s="69" t="s">
        <v>453</v>
      </c>
      <c r="C94" s="85"/>
      <c r="D94" s="28"/>
      <c r="E94" s="5"/>
      <c r="F94" s="5"/>
      <c r="G94" s="5"/>
      <c r="H94" s="5"/>
      <c r="I94" s="29"/>
      <c r="J94" s="29"/>
      <c r="K94" s="29"/>
      <c r="L94" s="29"/>
      <c r="M94" s="29"/>
      <c r="N94" s="29"/>
      <c r="O94" s="38">
        <f t="shared" si="7"/>
        <v>0</v>
      </c>
      <c r="P94" s="38">
        <f t="shared" si="8"/>
        <v>0</v>
      </c>
      <c r="Q94" s="38">
        <f t="shared" si="9"/>
        <v>0</v>
      </c>
      <c r="R94" s="38">
        <f t="shared" si="10"/>
        <v>0</v>
      </c>
      <c r="S94" s="38">
        <f t="shared" si="11"/>
        <v>0</v>
      </c>
      <c r="T94" s="38">
        <f t="shared" si="12"/>
        <v>0</v>
      </c>
      <c r="U94" s="38">
        <f t="shared" si="13"/>
        <v>0</v>
      </c>
      <c r="V94" s="55"/>
    </row>
    <row r="95" spans="2:22" s="50" customFormat="1" ht="11.25" hidden="1">
      <c r="B95" s="69" t="s">
        <v>453</v>
      </c>
      <c r="C95" s="85"/>
      <c r="D95" s="28"/>
      <c r="E95" s="5"/>
      <c r="F95" s="5"/>
      <c r="G95" s="5"/>
      <c r="H95" s="5"/>
      <c r="I95" s="29"/>
      <c r="J95" s="29"/>
      <c r="K95" s="29"/>
      <c r="L95" s="29"/>
      <c r="M95" s="29"/>
      <c r="N95" s="29"/>
      <c r="O95" s="38">
        <f t="shared" si="7"/>
        <v>0</v>
      </c>
      <c r="P95" s="38">
        <f t="shared" si="8"/>
        <v>0</v>
      </c>
      <c r="Q95" s="38">
        <f t="shared" si="9"/>
        <v>0</v>
      </c>
      <c r="R95" s="38">
        <f t="shared" si="10"/>
        <v>0</v>
      </c>
      <c r="S95" s="38">
        <f t="shared" si="11"/>
        <v>0</v>
      </c>
      <c r="T95" s="38">
        <f t="shared" si="12"/>
        <v>0</v>
      </c>
      <c r="U95" s="38">
        <f t="shared" si="13"/>
        <v>0</v>
      </c>
      <c r="V95" s="55"/>
    </row>
    <row r="96" spans="2:22" s="50" customFormat="1" ht="11.25" hidden="1">
      <c r="B96" s="69" t="s">
        <v>453</v>
      </c>
      <c r="C96" s="85"/>
      <c r="D96" s="28"/>
      <c r="E96" s="5"/>
      <c r="F96" s="5"/>
      <c r="G96" s="5"/>
      <c r="H96" s="5"/>
      <c r="I96" s="29"/>
      <c r="J96" s="29"/>
      <c r="K96" s="29"/>
      <c r="L96" s="29"/>
      <c r="M96" s="29"/>
      <c r="N96" s="29"/>
      <c r="O96" s="38">
        <f t="shared" si="7"/>
        <v>0</v>
      </c>
      <c r="P96" s="38">
        <f t="shared" si="8"/>
        <v>0</v>
      </c>
      <c r="Q96" s="38">
        <f t="shared" si="9"/>
        <v>0</v>
      </c>
      <c r="R96" s="38">
        <f t="shared" si="10"/>
        <v>0</v>
      </c>
      <c r="S96" s="38">
        <f t="shared" si="11"/>
        <v>0</v>
      </c>
      <c r="T96" s="38">
        <f t="shared" si="12"/>
        <v>0</v>
      </c>
      <c r="U96" s="38">
        <f t="shared" si="13"/>
        <v>0</v>
      </c>
      <c r="V96" s="55"/>
    </row>
    <row r="97" spans="2:22" s="50" customFormat="1" ht="11.25" hidden="1">
      <c r="B97" s="69" t="s">
        <v>453</v>
      </c>
      <c r="C97" s="85"/>
      <c r="D97" s="28"/>
      <c r="E97" s="5"/>
      <c r="F97" s="5"/>
      <c r="G97" s="5"/>
      <c r="H97" s="5"/>
      <c r="I97" s="29"/>
      <c r="J97" s="29"/>
      <c r="K97" s="29"/>
      <c r="L97" s="29"/>
      <c r="M97" s="29"/>
      <c r="N97" s="29"/>
      <c r="O97" s="38">
        <f t="shared" si="7"/>
        <v>0</v>
      </c>
      <c r="P97" s="38">
        <f t="shared" si="8"/>
        <v>0</v>
      </c>
      <c r="Q97" s="38">
        <f t="shared" si="9"/>
        <v>0</v>
      </c>
      <c r="R97" s="38">
        <f t="shared" si="10"/>
        <v>0</v>
      </c>
      <c r="S97" s="38">
        <f t="shared" si="11"/>
        <v>0</v>
      </c>
      <c r="T97" s="38">
        <f t="shared" si="12"/>
        <v>0</v>
      </c>
      <c r="U97" s="38">
        <f t="shared" si="13"/>
        <v>0</v>
      </c>
      <c r="V97" s="55"/>
    </row>
    <row r="98" spans="2:22" s="50" customFormat="1" ht="11.25" hidden="1">
      <c r="B98" s="69" t="s">
        <v>453</v>
      </c>
      <c r="C98" s="85"/>
      <c r="D98" s="28"/>
      <c r="E98" s="5"/>
      <c r="F98" s="5"/>
      <c r="G98" s="5"/>
      <c r="H98" s="5"/>
      <c r="I98" s="29"/>
      <c r="J98" s="29"/>
      <c r="K98" s="29"/>
      <c r="L98" s="29"/>
      <c r="M98" s="29"/>
      <c r="N98" s="29"/>
      <c r="O98" s="38">
        <f t="shared" si="7"/>
        <v>0</v>
      </c>
      <c r="P98" s="38">
        <f t="shared" si="8"/>
        <v>0</v>
      </c>
      <c r="Q98" s="38">
        <f t="shared" si="9"/>
        <v>0</v>
      </c>
      <c r="R98" s="38">
        <f t="shared" si="10"/>
        <v>0</v>
      </c>
      <c r="S98" s="38">
        <f t="shared" si="11"/>
        <v>0</v>
      </c>
      <c r="T98" s="38">
        <f t="shared" si="12"/>
        <v>0</v>
      </c>
      <c r="U98" s="38">
        <f t="shared" si="13"/>
        <v>0</v>
      </c>
      <c r="V98" s="55"/>
    </row>
    <row r="99" spans="2:22" s="50" customFormat="1" ht="11.25" hidden="1">
      <c r="B99" s="69" t="s">
        <v>453</v>
      </c>
      <c r="C99" s="85"/>
      <c r="D99" s="28"/>
      <c r="E99" s="5"/>
      <c r="F99" s="5"/>
      <c r="G99" s="5"/>
      <c r="H99" s="5"/>
      <c r="I99" s="29"/>
      <c r="J99" s="29"/>
      <c r="K99" s="29"/>
      <c r="L99" s="29"/>
      <c r="M99" s="29"/>
      <c r="N99" s="29"/>
      <c r="O99" s="38">
        <f t="shared" si="7"/>
        <v>0</v>
      </c>
      <c r="P99" s="38">
        <f t="shared" si="8"/>
        <v>0</v>
      </c>
      <c r="Q99" s="38">
        <f t="shared" si="9"/>
        <v>0</v>
      </c>
      <c r="R99" s="38">
        <f t="shared" si="10"/>
        <v>0</v>
      </c>
      <c r="S99" s="38">
        <f t="shared" si="11"/>
        <v>0</v>
      </c>
      <c r="T99" s="38">
        <f t="shared" si="12"/>
        <v>0</v>
      </c>
      <c r="U99" s="38">
        <f t="shared" si="13"/>
        <v>0</v>
      </c>
      <c r="V99" s="55"/>
    </row>
    <row r="100" spans="2:22" s="50" customFormat="1" ht="11.25" hidden="1">
      <c r="B100" s="69" t="s">
        <v>453</v>
      </c>
      <c r="C100" s="85"/>
      <c r="D100" s="28"/>
      <c r="E100" s="5"/>
      <c r="F100" s="5"/>
      <c r="G100" s="5"/>
      <c r="H100" s="5"/>
      <c r="I100" s="29"/>
      <c r="J100" s="29"/>
      <c r="K100" s="29"/>
      <c r="L100" s="29"/>
      <c r="M100" s="29"/>
      <c r="N100" s="29"/>
      <c r="O100" s="38">
        <f t="shared" si="7"/>
        <v>0</v>
      </c>
      <c r="P100" s="38">
        <f t="shared" si="8"/>
        <v>0</v>
      </c>
      <c r="Q100" s="38">
        <f t="shared" si="9"/>
        <v>0</v>
      </c>
      <c r="R100" s="38">
        <f t="shared" si="10"/>
        <v>0</v>
      </c>
      <c r="S100" s="38">
        <f t="shared" si="11"/>
        <v>0</v>
      </c>
      <c r="T100" s="38">
        <f t="shared" si="12"/>
        <v>0</v>
      </c>
      <c r="U100" s="38">
        <f t="shared" si="13"/>
        <v>0</v>
      </c>
      <c r="V100" s="55"/>
    </row>
    <row r="101" spans="2:22" s="50" customFormat="1" ht="11.25" hidden="1">
      <c r="B101" s="69" t="s">
        <v>453</v>
      </c>
      <c r="C101" s="85"/>
      <c r="D101" s="28"/>
      <c r="E101" s="5"/>
      <c r="F101" s="5"/>
      <c r="G101" s="5"/>
      <c r="H101" s="5"/>
      <c r="I101" s="29"/>
      <c r="J101" s="29"/>
      <c r="K101" s="29"/>
      <c r="L101" s="29"/>
      <c r="M101" s="29"/>
      <c r="N101" s="29"/>
      <c r="O101" s="38">
        <f t="shared" si="7"/>
        <v>0</v>
      </c>
      <c r="P101" s="38">
        <f t="shared" si="8"/>
        <v>0</v>
      </c>
      <c r="Q101" s="38">
        <f t="shared" si="9"/>
        <v>0</v>
      </c>
      <c r="R101" s="38">
        <f t="shared" si="10"/>
        <v>0</v>
      </c>
      <c r="S101" s="38">
        <f t="shared" si="11"/>
        <v>0</v>
      </c>
      <c r="T101" s="38">
        <f t="shared" si="12"/>
        <v>0</v>
      </c>
      <c r="U101" s="38">
        <f t="shared" si="13"/>
        <v>0</v>
      </c>
      <c r="V101" s="55"/>
    </row>
    <row r="102" spans="2:22" s="50" customFormat="1" ht="11.25" hidden="1">
      <c r="B102" s="69" t="s">
        <v>453</v>
      </c>
      <c r="C102" s="85"/>
      <c r="D102" s="28"/>
      <c r="E102" s="5"/>
      <c r="F102" s="5"/>
      <c r="G102" s="5"/>
      <c r="H102" s="5"/>
      <c r="I102" s="29"/>
      <c r="J102" s="29"/>
      <c r="K102" s="29"/>
      <c r="L102" s="29"/>
      <c r="M102" s="29"/>
      <c r="N102" s="29"/>
      <c r="O102" s="38">
        <f t="shared" si="7"/>
        <v>0</v>
      </c>
      <c r="P102" s="38">
        <f t="shared" si="8"/>
        <v>0</v>
      </c>
      <c r="Q102" s="38">
        <f t="shared" si="9"/>
        <v>0</v>
      </c>
      <c r="R102" s="38">
        <f t="shared" si="10"/>
        <v>0</v>
      </c>
      <c r="S102" s="38">
        <f t="shared" si="11"/>
        <v>0</v>
      </c>
      <c r="T102" s="38">
        <f t="shared" si="12"/>
        <v>0</v>
      </c>
      <c r="U102" s="38">
        <f t="shared" si="13"/>
        <v>0</v>
      </c>
      <c r="V102" s="55"/>
    </row>
    <row r="103" spans="2:22" s="50" customFormat="1" ht="11.25" hidden="1">
      <c r="B103" s="69" t="s">
        <v>453</v>
      </c>
      <c r="C103" s="85"/>
      <c r="D103" s="28"/>
      <c r="E103" s="5"/>
      <c r="F103" s="5"/>
      <c r="G103" s="5"/>
      <c r="H103" s="5"/>
      <c r="I103" s="29"/>
      <c r="J103" s="29"/>
      <c r="K103" s="29"/>
      <c r="L103" s="29"/>
      <c r="M103" s="29"/>
      <c r="N103" s="29"/>
      <c r="O103" s="38">
        <f t="shared" si="7"/>
        <v>0</v>
      </c>
      <c r="P103" s="38">
        <f t="shared" si="8"/>
        <v>0</v>
      </c>
      <c r="Q103" s="38">
        <f t="shared" si="9"/>
        <v>0</v>
      </c>
      <c r="R103" s="38">
        <f t="shared" si="10"/>
        <v>0</v>
      </c>
      <c r="S103" s="38">
        <f t="shared" si="11"/>
        <v>0</v>
      </c>
      <c r="T103" s="38">
        <f t="shared" si="12"/>
        <v>0</v>
      </c>
      <c r="U103" s="38">
        <f t="shared" si="13"/>
        <v>0</v>
      </c>
      <c r="V103" s="55"/>
    </row>
    <row r="104" spans="2:22" s="50" customFormat="1" ht="11.25" hidden="1">
      <c r="B104" s="69" t="s">
        <v>453</v>
      </c>
      <c r="C104" s="85"/>
      <c r="D104" s="28"/>
      <c r="E104" s="5"/>
      <c r="F104" s="5"/>
      <c r="G104" s="5"/>
      <c r="H104" s="5"/>
      <c r="I104" s="29"/>
      <c r="J104" s="29"/>
      <c r="K104" s="29"/>
      <c r="L104" s="29"/>
      <c r="M104" s="29"/>
      <c r="N104" s="29"/>
      <c r="O104" s="38">
        <f t="shared" si="7"/>
        <v>0</v>
      </c>
      <c r="P104" s="38">
        <f t="shared" si="8"/>
        <v>0</v>
      </c>
      <c r="Q104" s="38">
        <f t="shared" si="9"/>
        <v>0</v>
      </c>
      <c r="R104" s="38">
        <f t="shared" si="10"/>
        <v>0</v>
      </c>
      <c r="S104" s="38">
        <f t="shared" si="11"/>
        <v>0</v>
      </c>
      <c r="T104" s="38">
        <f t="shared" si="12"/>
        <v>0</v>
      </c>
      <c r="U104" s="38">
        <f t="shared" si="13"/>
        <v>0</v>
      </c>
      <c r="V104" s="55"/>
    </row>
    <row r="105" spans="2:22" s="50" customFormat="1" ht="11.25" hidden="1">
      <c r="B105" s="69" t="s">
        <v>453</v>
      </c>
      <c r="C105" s="85"/>
      <c r="D105" s="28"/>
      <c r="E105" s="5"/>
      <c r="F105" s="5"/>
      <c r="G105" s="5"/>
      <c r="H105" s="5"/>
      <c r="I105" s="29"/>
      <c r="J105" s="29"/>
      <c r="K105" s="29"/>
      <c r="L105" s="29"/>
      <c r="M105" s="29"/>
      <c r="N105" s="29"/>
      <c r="O105" s="38">
        <f t="shared" si="7"/>
        <v>0</v>
      </c>
      <c r="P105" s="38">
        <f t="shared" si="8"/>
        <v>0</v>
      </c>
      <c r="Q105" s="38">
        <f t="shared" si="9"/>
        <v>0</v>
      </c>
      <c r="R105" s="38">
        <f t="shared" si="10"/>
        <v>0</v>
      </c>
      <c r="S105" s="38">
        <f t="shared" si="11"/>
        <v>0</v>
      </c>
      <c r="T105" s="38">
        <f t="shared" si="12"/>
        <v>0</v>
      </c>
      <c r="U105" s="38">
        <f t="shared" si="13"/>
        <v>0</v>
      </c>
      <c r="V105" s="55"/>
    </row>
    <row r="106" spans="2:22" s="50" customFormat="1" ht="11.25" hidden="1">
      <c r="B106" s="69" t="s">
        <v>453</v>
      </c>
      <c r="C106" s="85"/>
      <c r="D106" s="28"/>
      <c r="E106" s="5"/>
      <c r="F106" s="5"/>
      <c r="G106" s="5"/>
      <c r="H106" s="5"/>
      <c r="I106" s="29"/>
      <c r="J106" s="29"/>
      <c r="K106" s="29"/>
      <c r="L106" s="29"/>
      <c r="M106" s="29"/>
      <c r="N106" s="29"/>
      <c r="O106" s="38">
        <f t="shared" si="7"/>
        <v>0</v>
      </c>
      <c r="P106" s="38">
        <f t="shared" si="8"/>
        <v>0</v>
      </c>
      <c r="Q106" s="38">
        <f t="shared" si="9"/>
        <v>0</v>
      </c>
      <c r="R106" s="38">
        <f t="shared" si="10"/>
        <v>0</v>
      </c>
      <c r="S106" s="38">
        <f t="shared" si="11"/>
        <v>0</v>
      </c>
      <c r="T106" s="38">
        <f t="shared" si="12"/>
        <v>0</v>
      </c>
      <c r="U106" s="38">
        <f t="shared" si="13"/>
        <v>0</v>
      </c>
      <c r="V106" s="55"/>
    </row>
    <row r="107" spans="2:22" s="50" customFormat="1" ht="11.25" hidden="1">
      <c r="B107" s="69" t="s">
        <v>453</v>
      </c>
      <c r="C107" s="85"/>
      <c r="D107" s="28"/>
      <c r="E107" s="5"/>
      <c r="F107" s="5"/>
      <c r="G107" s="5"/>
      <c r="H107" s="5"/>
      <c r="I107" s="29"/>
      <c r="J107" s="29"/>
      <c r="K107" s="29"/>
      <c r="L107" s="29"/>
      <c r="M107" s="29"/>
      <c r="N107" s="29"/>
      <c r="O107" s="38">
        <f t="shared" si="7"/>
        <v>0</v>
      </c>
      <c r="P107" s="38">
        <f t="shared" si="8"/>
        <v>0</v>
      </c>
      <c r="Q107" s="38">
        <f t="shared" si="9"/>
        <v>0</v>
      </c>
      <c r="R107" s="38">
        <f t="shared" si="10"/>
        <v>0</v>
      </c>
      <c r="S107" s="38">
        <f t="shared" si="11"/>
        <v>0</v>
      </c>
      <c r="T107" s="38">
        <f t="shared" si="12"/>
        <v>0</v>
      </c>
      <c r="U107" s="38">
        <f t="shared" si="13"/>
        <v>0</v>
      </c>
      <c r="V107" s="55"/>
    </row>
    <row r="108" spans="2:22" s="50" customFormat="1" ht="11.25" hidden="1">
      <c r="B108" s="69" t="s">
        <v>453</v>
      </c>
      <c r="C108" s="85"/>
      <c r="D108" s="28"/>
      <c r="E108" s="5"/>
      <c r="F108" s="5"/>
      <c r="G108" s="5"/>
      <c r="H108" s="5"/>
      <c r="I108" s="29"/>
      <c r="J108" s="29"/>
      <c r="K108" s="29"/>
      <c r="L108" s="29"/>
      <c r="M108" s="29"/>
      <c r="N108" s="29"/>
      <c r="O108" s="38">
        <f t="shared" si="7"/>
        <v>0</v>
      </c>
      <c r="P108" s="38">
        <f t="shared" si="8"/>
        <v>0</v>
      </c>
      <c r="Q108" s="38">
        <f t="shared" si="9"/>
        <v>0</v>
      </c>
      <c r="R108" s="38">
        <f t="shared" si="10"/>
        <v>0</v>
      </c>
      <c r="S108" s="38">
        <f t="shared" si="11"/>
        <v>0</v>
      </c>
      <c r="T108" s="38">
        <f t="shared" si="12"/>
        <v>0</v>
      </c>
      <c r="U108" s="38">
        <f t="shared" si="13"/>
        <v>0</v>
      </c>
      <c r="V108" s="55"/>
    </row>
    <row r="109" spans="2:22" s="50" customFormat="1" ht="11.25" hidden="1">
      <c r="B109" s="69" t="s">
        <v>453</v>
      </c>
      <c r="C109" s="85"/>
      <c r="D109" s="28"/>
      <c r="E109" s="5"/>
      <c r="F109" s="5"/>
      <c r="G109" s="5"/>
      <c r="H109" s="5"/>
      <c r="I109" s="29"/>
      <c r="J109" s="29"/>
      <c r="K109" s="29"/>
      <c r="L109" s="29"/>
      <c r="M109" s="29"/>
      <c r="N109" s="29"/>
      <c r="O109" s="38">
        <f t="shared" si="7"/>
        <v>0</v>
      </c>
      <c r="P109" s="38">
        <f t="shared" si="8"/>
        <v>0</v>
      </c>
      <c r="Q109" s="38">
        <f t="shared" si="9"/>
        <v>0</v>
      </c>
      <c r="R109" s="38">
        <f t="shared" si="10"/>
        <v>0</v>
      </c>
      <c r="S109" s="38">
        <f t="shared" si="11"/>
        <v>0</v>
      </c>
      <c r="T109" s="38">
        <f t="shared" si="12"/>
        <v>0</v>
      </c>
      <c r="U109" s="38">
        <f t="shared" si="13"/>
        <v>0</v>
      </c>
      <c r="V109" s="55"/>
    </row>
    <row r="110" spans="2:22" s="50" customFormat="1" ht="11.25" hidden="1">
      <c r="B110" s="69" t="s">
        <v>453</v>
      </c>
      <c r="C110" s="85"/>
      <c r="D110" s="28"/>
      <c r="E110" s="5"/>
      <c r="F110" s="5"/>
      <c r="G110" s="5"/>
      <c r="H110" s="5"/>
      <c r="I110" s="29"/>
      <c r="J110" s="29"/>
      <c r="K110" s="29"/>
      <c r="L110" s="29"/>
      <c r="M110" s="29"/>
      <c r="N110" s="29"/>
      <c r="O110" s="38">
        <f t="shared" si="7"/>
        <v>0</v>
      </c>
      <c r="P110" s="38">
        <f t="shared" si="8"/>
        <v>0</v>
      </c>
      <c r="Q110" s="38">
        <f t="shared" si="9"/>
        <v>0</v>
      </c>
      <c r="R110" s="38">
        <f t="shared" si="10"/>
        <v>0</v>
      </c>
      <c r="S110" s="38">
        <f t="shared" si="11"/>
        <v>0</v>
      </c>
      <c r="T110" s="38">
        <f t="shared" si="12"/>
        <v>0</v>
      </c>
      <c r="U110" s="38">
        <f t="shared" si="13"/>
        <v>0</v>
      </c>
      <c r="V110" s="55"/>
    </row>
    <row r="111" spans="2:22" s="50" customFormat="1" ht="11.25" hidden="1">
      <c r="B111" s="69" t="s">
        <v>453</v>
      </c>
      <c r="C111" s="85"/>
      <c r="D111" s="28"/>
      <c r="E111" s="5"/>
      <c r="F111" s="5"/>
      <c r="G111" s="5"/>
      <c r="H111" s="5"/>
      <c r="I111" s="29"/>
      <c r="J111" s="29"/>
      <c r="K111" s="29"/>
      <c r="L111" s="29"/>
      <c r="M111" s="29"/>
      <c r="N111" s="29"/>
      <c r="O111" s="38">
        <f t="shared" si="7"/>
        <v>0</v>
      </c>
      <c r="P111" s="38">
        <f t="shared" si="8"/>
        <v>0</v>
      </c>
      <c r="Q111" s="38">
        <f t="shared" si="9"/>
        <v>0</v>
      </c>
      <c r="R111" s="38">
        <f t="shared" si="10"/>
        <v>0</v>
      </c>
      <c r="S111" s="38">
        <f t="shared" si="11"/>
        <v>0</v>
      </c>
      <c r="T111" s="38">
        <f t="shared" si="12"/>
        <v>0</v>
      </c>
      <c r="U111" s="38">
        <f t="shared" si="13"/>
        <v>0</v>
      </c>
      <c r="V111" s="55"/>
    </row>
    <row r="112" spans="2:22" s="50" customFormat="1" ht="11.25" hidden="1">
      <c r="B112" s="69" t="s">
        <v>453</v>
      </c>
      <c r="C112" s="85"/>
      <c r="D112" s="28"/>
      <c r="E112" s="5"/>
      <c r="F112" s="5"/>
      <c r="G112" s="5"/>
      <c r="H112" s="5"/>
      <c r="I112" s="29"/>
      <c r="J112" s="29"/>
      <c r="K112" s="29"/>
      <c r="L112" s="29"/>
      <c r="M112" s="29"/>
      <c r="N112" s="29"/>
      <c r="O112" s="38">
        <f t="shared" si="7"/>
        <v>0</v>
      </c>
      <c r="P112" s="38">
        <f t="shared" si="8"/>
        <v>0</v>
      </c>
      <c r="Q112" s="38">
        <f t="shared" si="9"/>
        <v>0</v>
      </c>
      <c r="R112" s="38">
        <f t="shared" si="10"/>
        <v>0</v>
      </c>
      <c r="S112" s="38">
        <f t="shared" si="11"/>
        <v>0</v>
      </c>
      <c r="T112" s="38">
        <f t="shared" si="12"/>
        <v>0</v>
      </c>
      <c r="U112" s="38">
        <f t="shared" si="13"/>
        <v>0</v>
      </c>
      <c r="V112" s="55"/>
    </row>
    <row r="113" spans="2:22" s="50" customFormat="1" ht="11.25" hidden="1">
      <c r="B113" s="69" t="s">
        <v>453</v>
      </c>
      <c r="C113" s="85"/>
      <c r="D113" s="28"/>
      <c r="E113" s="5"/>
      <c r="F113" s="5"/>
      <c r="G113" s="5"/>
      <c r="H113" s="5"/>
      <c r="I113" s="29"/>
      <c r="J113" s="29"/>
      <c r="K113" s="29"/>
      <c r="L113" s="29"/>
      <c r="M113" s="29"/>
      <c r="N113" s="29"/>
      <c r="O113" s="38">
        <f t="shared" si="7"/>
        <v>0</v>
      </c>
      <c r="P113" s="38">
        <f t="shared" si="8"/>
        <v>0</v>
      </c>
      <c r="Q113" s="38">
        <f t="shared" si="9"/>
        <v>0</v>
      </c>
      <c r="R113" s="38">
        <f t="shared" si="10"/>
        <v>0</v>
      </c>
      <c r="S113" s="38">
        <f t="shared" si="11"/>
        <v>0</v>
      </c>
      <c r="T113" s="38">
        <f t="shared" si="12"/>
        <v>0</v>
      </c>
      <c r="U113" s="38">
        <f t="shared" si="13"/>
        <v>0</v>
      </c>
      <c r="V113" s="55"/>
    </row>
    <row r="114" spans="2:22" s="50" customFormat="1" ht="11.25" hidden="1">
      <c r="B114" s="69" t="s">
        <v>453</v>
      </c>
      <c r="C114" s="85"/>
      <c r="D114" s="28"/>
      <c r="E114" s="5"/>
      <c r="F114" s="5"/>
      <c r="G114" s="5"/>
      <c r="H114" s="5"/>
      <c r="I114" s="29"/>
      <c r="J114" s="29"/>
      <c r="K114" s="29"/>
      <c r="L114" s="29"/>
      <c r="M114" s="29"/>
      <c r="N114" s="29"/>
      <c r="O114" s="38">
        <f t="shared" si="7"/>
        <v>0</v>
      </c>
      <c r="P114" s="38">
        <f t="shared" si="8"/>
        <v>0</v>
      </c>
      <c r="Q114" s="38">
        <f t="shared" si="9"/>
        <v>0</v>
      </c>
      <c r="R114" s="38">
        <f t="shared" si="10"/>
        <v>0</v>
      </c>
      <c r="S114" s="38">
        <f t="shared" si="11"/>
        <v>0</v>
      </c>
      <c r="T114" s="38">
        <f t="shared" si="12"/>
        <v>0</v>
      </c>
      <c r="U114" s="38">
        <f t="shared" si="13"/>
        <v>0</v>
      </c>
      <c r="V114" s="55"/>
    </row>
    <row r="115" spans="2:22" s="50" customFormat="1" ht="11.25" hidden="1">
      <c r="B115" s="69" t="s">
        <v>453</v>
      </c>
      <c r="C115" s="85"/>
      <c r="D115" s="28"/>
      <c r="E115" s="5"/>
      <c r="F115" s="5"/>
      <c r="G115" s="5"/>
      <c r="H115" s="5"/>
      <c r="I115" s="29"/>
      <c r="J115" s="29"/>
      <c r="K115" s="29"/>
      <c r="L115" s="29"/>
      <c r="M115" s="29"/>
      <c r="N115" s="29"/>
      <c r="O115" s="38">
        <f t="shared" si="7"/>
        <v>0</v>
      </c>
      <c r="P115" s="38">
        <f t="shared" si="8"/>
        <v>0</v>
      </c>
      <c r="Q115" s="38">
        <f t="shared" si="9"/>
        <v>0</v>
      </c>
      <c r="R115" s="38">
        <f t="shared" si="10"/>
        <v>0</v>
      </c>
      <c r="S115" s="38">
        <f t="shared" si="11"/>
        <v>0</v>
      </c>
      <c r="T115" s="38">
        <f t="shared" si="12"/>
        <v>0</v>
      </c>
      <c r="U115" s="38">
        <f t="shared" si="13"/>
        <v>0</v>
      </c>
      <c r="V115" s="55"/>
    </row>
    <row r="116" spans="2:22" s="50" customFormat="1" ht="11.25" hidden="1">
      <c r="B116" s="69" t="s">
        <v>453</v>
      </c>
      <c r="C116" s="85"/>
      <c r="D116" s="28"/>
      <c r="E116" s="5"/>
      <c r="F116" s="5"/>
      <c r="G116" s="5"/>
      <c r="H116" s="5"/>
      <c r="I116" s="29"/>
      <c r="J116" s="29"/>
      <c r="K116" s="29"/>
      <c r="L116" s="29"/>
      <c r="M116" s="29"/>
      <c r="N116" s="29"/>
      <c r="O116" s="38">
        <f t="shared" si="7"/>
        <v>0</v>
      </c>
      <c r="P116" s="38">
        <f t="shared" si="8"/>
        <v>0</v>
      </c>
      <c r="Q116" s="38">
        <f t="shared" si="9"/>
        <v>0</v>
      </c>
      <c r="R116" s="38">
        <f t="shared" si="10"/>
        <v>0</v>
      </c>
      <c r="S116" s="38">
        <f t="shared" si="11"/>
        <v>0</v>
      </c>
      <c r="T116" s="38">
        <f t="shared" si="12"/>
        <v>0</v>
      </c>
      <c r="U116" s="38">
        <f t="shared" si="13"/>
        <v>0</v>
      </c>
      <c r="V116" s="55"/>
    </row>
    <row r="117" spans="2:22" s="50" customFormat="1" ht="11.25" hidden="1">
      <c r="B117" s="69" t="s">
        <v>453</v>
      </c>
      <c r="C117" s="85"/>
      <c r="D117" s="28"/>
      <c r="E117" s="5"/>
      <c r="F117" s="5"/>
      <c r="G117" s="5"/>
      <c r="H117" s="5"/>
      <c r="I117" s="29"/>
      <c r="J117" s="29"/>
      <c r="K117" s="29"/>
      <c r="L117" s="29"/>
      <c r="M117" s="29"/>
      <c r="N117" s="29"/>
      <c r="O117" s="38">
        <f t="shared" si="7"/>
        <v>0</v>
      </c>
      <c r="P117" s="38">
        <f t="shared" si="8"/>
        <v>0</v>
      </c>
      <c r="Q117" s="38">
        <f t="shared" si="9"/>
        <v>0</v>
      </c>
      <c r="R117" s="38">
        <f t="shared" si="10"/>
        <v>0</v>
      </c>
      <c r="S117" s="38">
        <f t="shared" si="11"/>
        <v>0</v>
      </c>
      <c r="T117" s="38">
        <f t="shared" si="12"/>
        <v>0</v>
      </c>
      <c r="U117" s="38">
        <f t="shared" si="13"/>
        <v>0</v>
      </c>
      <c r="V117" s="55"/>
    </row>
    <row r="118" spans="2:22" s="50" customFormat="1" ht="11.25" hidden="1">
      <c r="B118" s="69" t="s">
        <v>453</v>
      </c>
      <c r="C118" s="85"/>
      <c r="D118" s="28"/>
      <c r="E118" s="5"/>
      <c r="F118" s="5"/>
      <c r="G118" s="5"/>
      <c r="H118" s="5"/>
      <c r="I118" s="29"/>
      <c r="J118" s="29"/>
      <c r="K118" s="29"/>
      <c r="L118" s="29"/>
      <c r="M118" s="29"/>
      <c r="N118" s="29"/>
      <c r="O118" s="38">
        <f t="shared" si="7"/>
        <v>0</v>
      </c>
      <c r="P118" s="38">
        <f t="shared" si="8"/>
        <v>0</v>
      </c>
      <c r="Q118" s="38">
        <f t="shared" si="9"/>
        <v>0</v>
      </c>
      <c r="R118" s="38">
        <f t="shared" si="10"/>
        <v>0</v>
      </c>
      <c r="S118" s="38">
        <f t="shared" si="11"/>
        <v>0</v>
      </c>
      <c r="T118" s="38">
        <f t="shared" si="12"/>
        <v>0</v>
      </c>
      <c r="U118" s="38">
        <f t="shared" si="13"/>
        <v>0</v>
      </c>
      <c r="V118" s="55"/>
    </row>
    <row r="119" spans="2:22" s="50" customFormat="1" ht="11.25" hidden="1">
      <c r="B119" s="69" t="s">
        <v>453</v>
      </c>
      <c r="C119" s="85"/>
      <c r="D119" s="28"/>
      <c r="E119" s="5"/>
      <c r="F119" s="5"/>
      <c r="G119" s="5"/>
      <c r="H119" s="5"/>
      <c r="I119" s="29"/>
      <c r="J119" s="29"/>
      <c r="K119" s="29"/>
      <c r="L119" s="29"/>
      <c r="M119" s="29"/>
      <c r="N119" s="29"/>
      <c r="O119" s="38">
        <f t="shared" si="7"/>
        <v>0</v>
      </c>
      <c r="P119" s="38">
        <f t="shared" si="8"/>
        <v>0</v>
      </c>
      <c r="Q119" s="38">
        <f t="shared" si="9"/>
        <v>0</v>
      </c>
      <c r="R119" s="38">
        <f t="shared" si="10"/>
        <v>0</v>
      </c>
      <c r="S119" s="38">
        <f t="shared" si="11"/>
        <v>0</v>
      </c>
      <c r="T119" s="38">
        <f t="shared" si="12"/>
        <v>0</v>
      </c>
      <c r="U119" s="38">
        <f t="shared" si="13"/>
        <v>0</v>
      </c>
      <c r="V119" s="55"/>
    </row>
    <row r="120" spans="2:22" s="50" customFormat="1" ht="11.25" hidden="1">
      <c r="B120" s="69" t="s">
        <v>453</v>
      </c>
      <c r="C120" s="85"/>
      <c r="D120" s="28"/>
      <c r="E120" s="5"/>
      <c r="F120" s="5"/>
      <c r="G120" s="5"/>
      <c r="H120" s="5"/>
      <c r="I120" s="29"/>
      <c r="J120" s="29"/>
      <c r="K120" s="29"/>
      <c r="L120" s="29"/>
      <c r="M120" s="29"/>
      <c r="N120" s="29"/>
      <c r="O120" s="38">
        <f t="shared" si="7"/>
        <v>0</v>
      </c>
      <c r="P120" s="38">
        <f t="shared" si="8"/>
        <v>0</v>
      </c>
      <c r="Q120" s="38">
        <f t="shared" si="9"/>
        <v>0</v>
      </c>
      <c r="R120" s="38">
        <f t="shared" si="10"/>
        <v>0</v>
      </c>
      <c r="S120" s="38">
        <f t="shared" si="11"/>
        <v>0</v>
      </c>
      <c r="T120" s="38">
        <f t="shared" si="12"/>
        <v>0</v>
      </c>
      <c r="U120" s="38">
        <f t="shared" si="13"/>
        <v>0</v>
      </c>
      <c r="V120" s="55"/>
    </row>
    <row r="121" spans="2:22" s="50" customFormat="1" ht="11.25" hidden="1">
      <c r="B121" s="69" t="s">
        <v>453</v>
      </c>
      <c r="C121" s="85"/>
      <c r="D121" s="28"/>
      <c r="E121" s="5"/>
      <c r="F121" s="5"/>
      <c r="G121" s="5"/>
      <c r="H121" s="5"/>
      <c r="I121" s="29"/>
      <c r="J121" s="29"/>
      <c r="K121" s="29"/>
      <c r="L121" s="29"/>
      <c r="M121" s="29"/>
      <c r="N121" s="29"/>
      <c r="O121" s="38">
        <f t="shared" si="7"/>
        <v>0</v>
      </c>
      <c r="P121" s="38">
        <f t="shared" si="8"/>
        <v>0</v>
      </c>
      <c r="Q121" s="38">
        <f t="shared" si="9"/>
        <v>0</v>
      </c>
      <c r="R121" s="38">
        <f t="shared" si="10"/>
        <v>0</v>
      </c>
      <c r="S121" s="38">
        <f t="shared" si="11"/>
        <v>0</v>
      </c>
      <c r="T121" s="38">
        <f t="shared" si="12"/>
        <v>0</v>
      </c>
      <c r="U121" s="38">
        <f t="shared" si="13"/>
        <v>0</v>
      </c>
      <c r="V121" s="55"/>
    </row>
    <row r="122" spans="2:22" s="50" customFormat="1" ht="11.25" hidden="1">
      <c r="B122" s="69" t="s">
        <v>453</v>
      </c>
      <c r="C122" s="85"/>
      <c r="D122" s="28"/>
      <c r="E122" s="5"/>
      <c r="F122" s="5"/>
      <c r="G122" s="5"/>
      <c r="H122" s="5"/>
      <c r="I122" s="29"/>
      <c r="J122" s="29"/>
      <c r="K122" s="29"/>
      <c r="L122" s="29"/>
      <c r="M122" s="29"/>
      <c r="N122" s="29"/>
      <c r="O122" s="38">
        <f t="shared" si="7"/>
        <v>0</v>
      </c>
      <c r="P122" s="38">
        <f t="shared" si="8"/>
        <v>0</v>
      </c>
      <c r="Q122" s="38">
        <f t="shared" si="9"/>
        <v>0</v>
      </c>
      <c r="R122" s="38">
        <f t="shared" si="10"/>
        <v>0</v>
      </c>
      <c r="S122" s="38">
        <f t="shared" si="11"/>
        <v>0</v>
      </c>
      <c r="T122" s="38">
        <f t="shared" si="12"/>
        <v>0</v>
      </c>
      <c r="U122" s="38">
        <f t="shared" si="13"/>
        <v>0</v>
      </c>
      <c r="V122" s="55"/>
    </row>
    <row r="123" spans="2:22" s="50" customFormat="1" ht="11.25" hidden="1">
      <c r="B123" s="69" t="s">
        <v>453</v>
      </c>
      <c r="C123" s="85"/>
      <c r="D123" s="28"/>
      <c r="E123" s="5"/>
      <c r="F123" s="5"/>
      <c r="G123" s="5"/>
      <c r="H123" s="5"/>
      <c r="I123" s="29"/>
      <c r="J123" s="29"/>
      <c r="K123" s="29"/>
      <c r="L123" s="29"/>
      <c r="M123" s="29"/>
      <c r="N123" s="29"/>
      <c r="O123" s="38">
        <f t="shared" si="7"/>
        <v>0</v>
      </c>
      <c r="P123" s="38">
        <f t="shared" si="8"/>
        <v>0</v>
      </c>
      <c r="Q123" s="38">
        <f t="shared" si="9"/>
        <v>0</v>
      </c>
      <c r="R123" s="38">
        <f t="shared" si="10"/>
        <v>0</v>
      </c>
      <c r="S123" s="38">
        <f t="shared" si="11"/>
        <v>0</v>
      </c>
      <c r="T123" s="38">
        <f t="shared" si="12"/>
        <v>0</v>
      </c>
      <c r="U123" s="38">
        <f t="shared" si="13"/>
        <v>0</v>
      </c>
      <c r="V123" s="55"/>
    </row>
    <row r="124" spans="2:22" s="50" customFormat="1" ht="11.25" hidden="1">
      <c r="B124" s="69" t="s">
        <v>453</v>
      </c>
      <c r="C124" s="85"/>
      <c r="D124" s="28"/>
      <c r="E124" s="5"/>
      <c r="F124" s="5"/>
      <c r="G124" s="5"/>
      <c r="H124" s="5"/>
      <c r="I124" s="29"/>
      <c r="J124" s="29"/>
      <c r="K124" s="29"/>
      <c r="L124" s="29"/>
      <c r="M124" s="29"/>
      <c r="N124" s="29"/>
      <c r="O124" s="38">
        <f t="shared" si="7"/>
        <v>0</v>
      </c>
      <c r="P124" s="38">
        <f t="shared" si="8"/>
        <v>0</v>
      </c>
      <c r="Q124" s="38">
        <f t="shared" si="9"/>
        <v>0</v>
      </c>
      <c r="R124" s="38">
        <f t="shared" si="10"/>
        <v>0</v>
      </c>
      <c r="S124" s="38">
        <f t="shared" si="11"/>
        <v>0</v>
      </c>
      <c r="T124" s="38">
        <f t="shared" si="12"/>
        <v>0</v>
      </c>
      <c r="U124" s="38">
        <f t="shared" si="13"/>
        <v>0</v>
      </c>
      <c r="V124" s="55"/>
    </row>
    <row r="125" spans="2:22" s="50" customFormat="1" ht="11.25" hidden="1">
      <c r="B125" s="69" t="s">
        <v>453</v>
      </c>
      <c r="C125" s="85"/>
      <c r="D125" s="28"/>
      <c r="E125" s="5"/>
      <c r="F125" s="5"/>
      <c r="G125" s="5"/>
      <c r="H125" s="5"/>
      <c r="I125" s="29"/>
      <c r="J125" s="29"/>
      <c r="K125" s="29"/>
      <c r="L125" s="29"/>
      <c r="M125" s="29"/>
      <c r="N125" s="29"/>
      <c r="O125" s="38">
        <f t="shared" si="7"/>
        <v>0</v>
      </c>
      <c r="P125" s="38">
        <f t="shared" si="8"/>
        <v>0</v>
      </c>
      <c r="Q125" s="38">
        <f t="shared" si="9"/>
        <v>0</v>
      </c>
      <c r="R125" s="38">
        <f t="shared" si="10"/>
        <v>0</v>
      </c>
      <c r="S125" s="38">
        <f t="shared" si="11"/>
        <v>0</v>
      </c>
      <c r="T125" s="38">
        <f t="shared" si="12"/>
        <v>0</v>
      </c>
      <c r="U125" s="38">
        <f t="shared" si="13"/>
        <v>0</v>
      </c>
      <c r="V125" s="55"/>
    </row>
    <row r="126" spans="2:22" s="50" customFormat="1" ht="11.25" hidden="1">
      <c r="B126" s="69" t="s">
        <v>453</v>
      </c>
      <c r="C126" s="85"/>
      <c r="D126" s="28"/>
      <c r="E126" s="5"/>
      <c r="F126" s="5"/>
      <c r="G126" s="5"/>
      <c r="H126" s="5"/>
      <c r="I126" s="29"/>
      <c r="J126" s="29"/>
      <c r="K126" s="29"/>
      <c r="L126" s="29"/>
      <c r="M126" s="29"/>
      <c r="N126" s="29"/>
      <c r="O126" s="38">
        <f t="shared" si="7"/>
        <v>0</v>
      </c>
      <c r="P126" s="38">
        <f t="shared" si="8"/>
        <v>0</v>
      </c>
      <c r="Q126" s="38">
        <f t="shared" si="9"/>
        <v>0</v>
      </c>
      <c r="R126" s="38">
        <f t="shared" si="10"/>
        <v>0</v>
      </c>
      <c r="S126" s="38">
        <f t="shared" si="11"/>
        <v>0</v>
      </c>
      <c r="T126" s="38">
        <f t="shared" si="12"/>
        <v>0</v>
      </c>
      <c r="U126" s="38">
        <f t="shared" si="13"/>
        <v>0</v>
      </c>
      <c r="V126" s="55"/>
    </row>
    <row r="127" spans="2:22" s="50" customFormat="1" ht="11.25" hidden="1">
      <c r="B127" s="69" t="s">
        <v>453</v>
      </c>
      <c r="C127" s="85"/>
      <c r="D127" s="28"/>
      <c r="E127" s="5"/>
      <c r="F127" s="5"/>
      <c r="G127" s="5"/>
      <c r="H127" s="5"/>
      <c r="I127" s="29"/>
      <c r="J127" s="29"/>
      <c r="K127" s="29"/>
      <c r="L127" s="29"/>
      <c r="M127" s="29"/>
      <c r="N127" s="29"/>
      <c r="O127" s="38">
        <f t="shared" si="7"/>
        <v>0</v>
      </c>
      <c r="P127" s="38">
        <f t="shared" si="8"/>
        <v>0</v>
      </c>
      <c r="Q127" s="38">
        <f t="shared" si="9"/>
        <v>0</v>
      </c>
      <c r="R127" s="38">
        <f t="shared" si="10"/>
        <v>0</v>
      </c>
      <c r="S127" s="38">
        <f t="shared" si="11"/>
        <v>0</v>
      </c>
      <c r="T127" s="38">
        <f t="shared" si="12"/>
        <v>0</v>
      </c>
      <c r="U127" s="38">
        <f t="shared" si="13"/>
        <v>0</v>
      </c>
      <c r="V127" s="55"/>
    </row>
    <row r="128" spans="2:22" s="50" customFormat="1" ht="11.25" hidden="1">
      <c r="B128" s="69" t="s">
        <v>453</v>
      </c>
      <c r="C128" s="85"/>
      <c r="D128" s="28"/>
      <c r="E128" s="5"/>
      <c r="F128" s="5"/>
      <c r="G128" s="5"/>
      <c r="H128" s="5"/>
      <c r="I128" s="29"/>
      <c r="J128" s="29"/>
      <c r="K128" s="29"/>
      <c r="L128" s="29"/>
      <c r="M128" s="29"/>
      <c r="N128" s="29"/>
      <c r="O128" s="38">
        <f t="shared" si="7"/>
        <v>0</v>
      </c>
      <c r="P128" s="38">
        <f t="shared" si="8"/>
        <v>0</v>
      </c>
      <c r="Q128" s="38">
        <f t="shared" si="9"/>
        <v>0</v>
      </c>
      <c r="R128" s="38">
        <f t="shared" si="10"/>
        <v>0</v>
      </c>
      <c r="S128" s="38">
        <f t="shared" si="11"/>
        <v>0</v>
      </c>
      <c r="T128" s="38">
        <f t="shared" si="12"/>
        <v>0</v>
      </c>
      <c r="U128" s="38">
        <f t="shared" si="13"/>
        <v>0</v>
      </c>
      <c r="V128" s="55"/>
    </row>
    <row r="129" spans="2:22" s="50" customFormat="1" ht="11.25" hidden="1">
      <c r="B129" s="69" t="s">
        <v>453</v>
      </c>
      <c r="C129" s="85"/>
      <c r="D129" s="28"/>
      <c r="E129" s="5"/>
      <c r="F129" s="5"/>
      <c r="G129" s="5"/>
      <c r="H129" s="5"/>
      <c r="I129" s="29"/>
      <c r="J129" s="29"/>
      <c r="K129" s="29"/>
      <c r="L129" s="29"/>
      <c r="M129" s="29"/>
      <c r="N129" s="29"/>
      <c r="O129" s="38">
        <f t="shared" si="7"/>
        <v>0</v>
      </c>
      <c r="P129" s="38">
        <f t="shared" si="8"/>
        <v>0</v>
      </c>
      <c r="Q129" s="38">
        <f t="shared" si="9"/>
        <v>0</v>
      </c>
      <c r="R129" s="38">
        <f t="shared" si="10"/>
        <v>0</v>
      </c>
      <c r="S129" s="38">
        <f t="shared" si="11"/>
        <v>0</v>
      </c>
      <c r="T129" s="38">
        <f t="shared" si="12"/>
        <v>0</v>
      </c>
      <c r="U129" s="38">
        <f t="shared" si="13"/>
        <v>0</v>
      </c>
      <c r="V129" s="55"/>
    </row>
    <row r="130" spans="2:22" s="50" customFormat="1" ht="11.25" hidden="1">
      <c r="B130" s="69" t="s">
        <v>453</v>
      </c>
      <c r="C130" s="85"/>
      <c r="D130" s="28"/>
      <c r="E130" s="5"/>
      <c r="F130" s="5"/>
      <c r="G130" s="5"/>
      <c r="H130" s="5"/>
      <c r="I130" s="29"/>
      <c r="J130" s="29"/>
      <c r="K130" s="29"/>
      <c r="L130" s="29"/>
      <c r="M130" s="29"/>
      <c r="N130" s="29"/>
      <c r="O130" s="38">
        <f t="shared" si="7"/>
        <v>0</v>
      </c>
      <c r="P130" s="38">
        <f t="shared" si="8"/>
        <v>0</v>
      </c>
      <c r="Q130" s="38">
        <f t="shared" si="9"/>
        <v>0</v>
      </c>
      <c r="R130" s="38">
        <f t="shared" si="10"/>
        <v>0</v>
      </c>
      <c r="S130" s="38">
        <f t="shared" si="11"/>
        <v>0</v>
      </c>
      <c r="T130" s="38">
        <f t="shared" si="12"/>
        <v>0</v>
      </c>
      <c r="U130" s="38">
        <f t="shared" si="13"/>
        <v>0</v>
      </c>
      <c r="V130" s="55"/>
    </row>
    <row r="131" spans="2:22" s="50" customFormat="1" ht="11.25" hidden="1">
      <c r="B131" s="69" t="s">
        <v>453</v>
      </c>
      <c r="C131" s="85"/>
      <c r="D131" s="28"/>
      <c r="E131" s="5"/>
      <c r="F131" s="5"/>
      <c r="G131" s="5"/>
      <c r="H131" s="5"/>
      <c r="I131" s="29"/>
      <c r="J131" s="29"/>
      <c r="K131" s="29"/>
      <c r="L131" s="29"/>
      <c r="M131" s="29"/>
      <c r="N131" s="29"/>
      <c r="O131" s="38">
        <f t="shared" si="7"/>
        <v>0</v>
      </c>
      <c r="P131" s="38">
        <f t="shared" si="8"/>
        <v>0</v>
      </c>
      <c r="Q131" s="38">
        <f t="shared" si="9"/>
        <v>0</v>
      </c>
      <c r="R131" s="38">
        <f t="shared" si="10"/>
        <v>0</v>
      </c>
      <c r="S131" s="38">
        <f t="shared" si="11"/>
        <v>0</v>
      </c>
      <c r="T131" s="38">
        <f t="shared" si="12"/>
        <v>0</v>
      </c>
      <c r="U131" s="38">
        <f t="shared" si="13"/>
        <v>0</v>
      </c>
      <c r="V131" s="55"/>
    </row>
    <row r="132" spans="2:22" s="50" customFormat="1" ht="11.25" hidden="1">
      <c r="B132" s="69" t="s">
        <v>453</v>
      </c>
      <c r="C132" s="85"/>
      <c r="D132" s="28"/>
      <c r="E132" s="5"/>
      <c r="F132" s="5"/>
      <c r="G132" s="5"/>
      <c r="H132" s="5"/>
      <c r="I132" s="29"/>
      <c r="J132" s="29"/>
      <c r="K132" s="29"/>
      <c r="L132" s="29"/>
      <c r="M132" s="29"/>
      <c r="N132" s="29"/>
      <c r="O132" s="38">
        <f t="shared" si="7"/>
        <v>0</v>
      </c>
      <c r="P132" s="38">
        <f t="shared" si="8"/>
        <v>0</v>
      </c>
      <c r="Q132" s="38">
        <f t="shared" si="9"/>
        <v>0</v>
      </c>
      <c r="R132" s="38">
        <f t="shared" si="10"/>
        <v>0</v>
      </c>
      <c r="S132" s="38">
        <f t="shared" si="11"/>
        <v>0</v>
      </c>
      <c r="T132" s="38">
        <f t="shared" si="12"/>
        <v>0</v>
      </c>
      <c r="U132" s="38">
        <f t="shared" si="13"/>
        <v>0</v>
      </c>
      <c r="V132" s="55"/>
    </row>
    <row r="133" spans="2:22" s="50" customFormat="1" ht="11.25" hidden="1">
      <c r="B133" s="69" t="s">
        <v>453</v>
      </c>
      <c r="C133" s="85"/>
      <c r="D133" s="28"/>
      <c r="E133" s="5"/>
      <c r="F133" s="5"/>
      <c r="G133" s="5"/>
      <c r="H133" s="5"/>
      <c r="I133" s="29"/>
      <c r="J133" s="29"/>
      <c r="K133" s="29"/>
      <c r="L133" s="29"/>
      <c r="M133" s="29"/>
      <c r="N133" s="29"/>
      <c r="O133" s="38">
        <f t="shared" si="7"/>
        <v>0</v>
      </c>
      <c r="P133" s="38">
        <f t="shared" si="8"/>
        <v>0</v>
      </c>
      <c r="Q133" s="38">
        <f t="shared" si="9"/>
        <v>0</v>
      </c>
      <c r="R133" s="38">
        <f t="shared" si="10"/>
        <v>0</v>
      </c>
      <c r="S133" s="38">
        <f t="shared" si="11"/>
        <v>0</v>
      </c>
      <c r="T133" s="38">
        <f t="shared" si="12"/>
        <v>0</v>
      </c>
      <c r="U133" s="38">
        <f t="shared" si="13"/>
        <v>0</v>
      </c>
      <c r="V133" s="55"/>
    </row>
    <row r="134" spans="2:22" s="50" customFormat="1" ht="11.25" hidden="1">
      <c r="B134" s="69" t="s">
        <v>453</v>
      </c>
      <c r="C134" s="85"/>
      <c r="D134" s="28"/>
      <c r="E134" s="5"/>
      <c r="F134" s="5"/>
      <c r="G134" s="5"/>
      <c r="H134" s="5"/>
      <c r="I134" s="29"/>
      <c r="J134" s="29"/>
      <c r="K134" s="29"/>
      <c r="L134" s="29"/>
      <c r="M134" s="29"/>
      <c r="N134" s="29"/>
      <c r="O134" s="38">
        <f t="shared" si="7"/>
        <v>0</v>
      </c>
      <c r="P134" s="38">
        <f t="shared" si="8"/>
        <v>0</v>
      </c>
      <c r="Q134" s="38">
        <f t="shared" si="9"/>
        <v>0</v>
      </c>
      <c r="R134" s="38">
        <f t="shared" si="10"/>
        <v>0</v>
      </c>
      <c r="S134" s="38">
        <f t="shared" si="11"/>
        <v>0</v>
      </c>
      <c r="T134" s="38">
        <f t="shared" si="12"/>
        <v>0</v>
      </c>
      <c r="U134" s="38">
        <f t="shared" si="13"/>
        <v>0</v>
      </c>
      <c r="V134" s="55"/>
    </row>
    <row r="135" spans="2:22" s="50" customFormat="1" ht="11.25" hidden="1">
      <c r="B135" s="69" t="s">
        <v>453</v>
      </c>
      <c r="C135" s="85"/>
      <c r="D135" s="28"/>
      <c r="E135" s="5"/>
      <c r="F135" s="5"/>
      <c r="G135" s="5"/>
      <c r="H135" s="5"/>
      <c r="I135" s="29"/>
      <c r="J135" s="29"/>
      <c r="K135" s="29"/>
      <c r="L135" s="29"/>
      <c r="M135" s="29"/>
      <c r="N135" s="29"/>
      <c r="O135" s="38">
        <f t="shared" si="7"/>
        <v>0</v>
      </c>
      <c r="P135" s="38">
        <f t="shared" si="8"/>
        <v>0</v>
      </c>
      <c r="Q135" s="38">
        <f t="shared" si="9"/>
        <v>0</v>
      </c>
      <c r="R135" s="38">
        <f t="shared" si="10"/>
        <v>0</v>
      </c>
      <c r="S135" s="38">
        <f t="shared" si="11"/>
        <v>0</v>
      </c>
      <c r="T135" s="38">
        <f t="shared" si="12"/>
        <v>0</v>
      </c>
      <c r="U135" s="38">
        <f t="shared" si="13"/>
        <v>0</v>
      </c>
      <c r="V135" s="55"/>
    </row>
    <row r="136" spans="2:22" s="50" customFormat="1" ht="11.25" hidden="1">
      <c r="B136" s="69" t="s">
        <v>453</v>
      </c>
      <c r="C136" s="85"/>
      <c r="D136" s="28"/>
      <c r="E136" s="5"/>
      <c r="F136" s="5"/>
      <c r="G136" s="5"/>
      <c r="H136" s="5"/>
      <c r="I136" s="29"/>
      <c r="J136" s="29"/>
      <c r="K136" s="29"/>
      <c r="L136" s="29"/>
      <c r="M136" s="29"/>
      <c r="N136" s="29"/>
      <c r="O136" s="38">
        <f t="shared" si="7"/>
        <v>0</v>
      </c>
      <c r="P136" s="38">
        <f t="shared" si="8"/>
        <v>0</v>
      </c>
      <c r="Q136" s="38">
        <f t="shared" si="9"/>
        <v>0</v>
      </c>
      <c r="R136" s="38">
        <f t="shared" si="10"/>
        <v>0</v>
      </c>
      <c r="S136" s="38">
        <f t="shared" si="11"/>
        <v>0</v>
      </c>
      <c r="T136" s="38">
        <f t="shared" si="12"/>
        <v>0</v>
      </c>
      <c r="U136" s="38">
        <f t="shared" si="13"/>
        <v>0</v>
      </c>
      <c r="V136" s="55"/>
    </row>
    <row r="137" spans="2:22" s="50" customFormat="1" ht="11.25" hidden="1">
      <c r="B137" s="69" t="s">
        <v>453</v>
      </c>
      <c r="C137" s="85"/>
      <c r="D137" s="28"/>
      <c r="E137" s="5"/>
      <c r="F137" s="5"/>
      <c r="G137" s="5"/>
      <c r="H137" s="5"/>
      <c r="I137" s="29"/>
      <c r="J137" s="29"/>
      <c r="K137" s="29"/>
      <c r="L137" s="29"/>
      <c r="M137" s="29"/>
      <c r="N137" s="29"/>
      <c r="O137" s="38">
        <f t="shared" si="7"/>
        <v>0</v>
      </c>
      <c r="P137" s="38">
        <f t="shared" si="8"/>
        <v>0</v>
      </c>
      <c r="Q137" s="38">
        <f t="shared" si="9"/>
        <v>0</v>
      </c>
      <c r="R137" s="38">
        <f t="shared" si="10"/>
        <v>0</v>
      </c>
      <c r="S137" s="38">
        <f t="shared" si="11"/>
        <v>0</v>
      </c>
      <c r="T137" s="38">
        <f t="shared" si="12"/>
        <v>0</v>
      </c>
      <c r="U137" s="38">
        <f t="shared" si="13"/>
        <v>0</v>
      </c>
      <c r="V137" s="55"/>
    </row>
    <row r="138" spans="2:22" s="50" customFormat="1" ht="11.25" hidden="1">
      <c r="B138" s="69" t="s">
        <v>453</v>
      </c>
      <c r="C138" s="85"/>
      <c r="D138" s="28"/>
      <c r="E138" s="5"/>
      <c r="F138" s="5"/>
      <c r="G138" s="5"/>
      <c r="H138" s="5"/>
      <c r="I138" s="29"/>
      <c r="J138" s="29"/>
      <c r="K138" s="29"/>
      <c r="L138" s="29"/>
      <c r="M138" s="29"/>
      <c r="N138" s="29"/>
      <c r="O138" s="38">
        <f t="shared" ref="O138:O201" si="14">SUM(J138:N138)</f>
        <v>0</v>
      </c>
      <c r="P138" s="38">
        <f t="shared" ref="P138:P201" si="15">IF(I138=0,0,J138/I138*10)</f>
        <v>0</v>
      </c>
      <c r="Q138" s="38">
        <f t="shared" ref="Q138:Q201" si="16">IF(I138=0,0,L138/I138*10)</f>
        <v>0</v>
      </c>
      <c r="R138" s="38">
        <f t="shared" ref="R138:R201" si="17">IF(I138=0,0,M138/I138*10)</f>
        <v>0</v>
      </c>
      <c r="S138" s="38">
        <f t="shared" ref="S138:S201" si="18">IF(I138=0,0,N138/I138*10)</f>
        <v>0</v>
      </c>
      <c r="T138" s="38">
        <f t="shared" ref="T138:T201" si="19">IF(I138=0,0,K138/I138*10)</f>
        <v>0</v>
      </c>
      <c r="U138" s="38">
        <f t="shared" ref="U138:U201" si="20">IF(I138=0,0,O138/I138*10)</f>
        <v>0</v>
      </c>
      <c r="V138" s="55"/>
    </row>
    <row r="139" spans="2:22" s="50" customFormat="1" ht="11.25" hidden="1">
      <c r="B139" s="69" t="s">
        <v>453</v>
      </c>
      <c r="C139" s="85"/>
      <c r="D139" s="28"/>
      <c r="E139" s="5"/>
      <c r="F139" s="5"/>
      <c r="G139" s="5"/>
      <c r="H139" s="5"/>
      <c r="I139" s="29"/>
      <c r="J139" s="29"/>
      <c r="K139" s="29"/>
      <c r="L139" s="29"/>
      <c r="M139" s="29"/>
      <c r="N139" s="29"/>
      <c r="O139" s="38">
        <f t="shared" si="14"/>
        <v>0</v>
      </c>
      <c r="P139" s="38">
        <f t="shared" si="15"/>
        <v>0</v>
      </c>
      <c r="Q139" s="38">
        <f t="shared" si="16"/>
        <v>0</v>
      </c>
      <c r="R139" s="38">
        <f t="shared" si="17"/>
        <v>0</v>
      </c>
      <c r="S139" s="38">
        <f t="shared" si="18"/>
        <v>0</v>
      </c>
      <c r="T139" s="38">
        <f t="shared" si="19"/>
        <v>0</v>
      </c>
      <c r="U139" s="38">
        <f t="shared" si="20"/>
        <v>0</v>
      </c>
      <c r="V139" s="55"/>
    </row>
    <row r="140" spans="2:22" s="50" customFormat="1" ht="11.25" hidden="1">
      <c r="B140" s="69" t="s">
        <v>453</v>
      </c>
      <c r="C140" s="85"/>
      <c r="D140" s="28"/>
      <c r="E140" s="5"/>
      <c r="F140" s="5"/>
      <c r="G140" s="5"/>
      <c r="H140" s="5"/>
      <c r="I140" s="29"/>
      <c r="J140" s="29"/>
      <c r="K140" s="29"/>
      <c r="L140" s="29"/>
      <c r="M140" s="29"/>
      <c r="N140" s="29"/>
      <c r="O140" s="38">
        <f t="shared" si="14"/>
        <v>0</v>
      </c>
      <c r="P140" s="38">
        <f t="shared" si="15"/>
        <v>0</v>
      </c>
      <c r="Q140" s="38">
        <f t="shared" si="16"/>
        <v>0</v>
      </c>
      <c r="R140" s="38">
        <f t="shared" si="17"/>
        <v>0</v>
      </c>
      <c r="S140" s="38">
        <f t="shared" si="18"/>
        <v>0</v>
      </c>
      <c r="T140" s="38">
        <f t="shared" si="19"/>
        <v>0</v>
      </c>
      <c r="U140" s="38">
        <f t="shared" si="20"/>
        <v>0</v>
      </c>
      <c r="V140" s="55"/>
    </row>
    <row r="141" spans="2:22" s="50" customFormat="1" ht="11.25" hidden="1">
      <c r="B141" s="69" t="s">
        <v>453</v>
      </c>
      <c r="C141" s="85"/>
      <c r="D141" s="28"/>
      <c r="E141" s="5"/>
      <c r="F141" s="5"/>
      <c r="G141" s="5"/>
      <c r="H141" s="5"/>
      <c r="I141" s="29"/>
      <c r="J141" s="29"/>
      <c r="K141" s="29"/>
      <c r="L141" s="29"/>
      <c r="M141" s="29"/>
      <c r="N141" s="29"/>
      <c r="O141" s="38">
        <f t="shared" si="14"/>
        <v>0</v>
      </c>
      <c r="P141" s="38">
        <f t="shared" si="15"/>
        <v>0</v>
      </c>
      <c r="Q141" s="38">
        <f t="shared" si="16"/>
        <v>0</v>
      </c>
      <c r="R141" s="38">
        <f t="shared" si="17"/>
        <v>0</v>
      </c>
      <c r="S141" s="38">
        <f t="shared" si="18"/>
        <v>0</v>
      </c>
      <c r="T141" s="38">
        <f t="shared" si="19"/>
        <v>0</v>
      </c>
      <c r="U141" s="38">
        <f t="shared" si="20"/>
        <v>0</v>
      </c>
      <c r="V141" s="55"/>
    </row>
    <row r="142" spans="2:22" s="50" customFormat="1" ht="11.25" hidden="1">
      <c r="B142" s="69" t="s">
        <v>453</v>
      </c>
      <c r="C142" s="85"/>
      <c r="D142" s="28"/>
      <c r="E142" s="5"/>
      <c r="F142" s="5"/>
      <c r="G142" s="5"/>
      <c r="H142" s="5"/>
      <c r="I142" s="29"/>
      <c r="J142" s="29"/>
      <c r="K142" s="29"/>
      <c r="L142" s="29"/>
      <c r="M142" s="29"/>
      <c r="N142" s="29"/>
      <c r="O142" s="38">
        <f t="shared" si="14"/>
        <v>0</v>
      </c>
      <c r="P142" s="38">
        <f t="shared" si="15"/>
        <v>0</v>
      </c>
      <c r="Q142" s="38">
        <f t="shared" si="16"/>
        <v>0</v>
      </c>
      <c r="R142" s="38">
        <f t="shared" si="17"/>
        <v>0</v>
      </c>
      <c r="S142" s="38">
        <f t="shared" si="18"/>
        <v>0</v>
      </c>
      <c r="T142" s="38">
        <f t="shared" si="19"/>
        <v>0</v>
      </c>
      <c r="U142" s="38">
        <f t="shared" si="20"/>
        <v>0</v>
      </c>
      <c r="V142" s="55"/>
    </row>
    <row r="143" spans="2:22" s="50" customFormat="1" ht="11.25" hidden="1">
      <c r="B143" s="69" t="s">
        <v>453</v>
      </c>
      <c r="C143" s="85"/>
      <c r="D143" s="28"/>
      <c r="E143" s="5"/>
      <c r="F143" s="5"/>
      <c r="G143" s="5"/>
      <c r="H143" s="5"/>
      <c r="I143" s="29"/>
      <c r="J143" s="29"/>
      <c r="K143" s="29"/>
      <c r="L143" s="29"/>
      <c r="M143" s="29"/>
      <c r="N143" s="29"/>
      <c r="O143" s="38">
        <f t="shared" si="14"/>
        <v>0</v>
      </c>
      <c r="P143" s="38">
        <f t="shared" si="15"/>
        <v>0</v>
      </c>
      <c r="Q143" s="38">
        <f t="shared" si="16"/>
        <v>0</v>
      </c>
      <c r="R143" s="38">
        <f t="shared" si="17"/>
        <v>0</v>
      </c>
      <c r="S143" s="38">
        <f t="shared" si="18"/>
        <v>0</v>
      </c>
      <c r="T143" s="38">
        <f t="shared" si="19"/>
        <v>0</v>
      </c>
      <c r="U143" s="38">
        <f t="shared" si="20"/>
        <v>0</v>
      </c>
      <c r="V143" s="55"/>
    </row>
    <row r="144" spans="2:22" s="50" customFormat="1" ht="11.25" hidden="1">
      <c r="B144" s="69" t="s">
        <v>453</v>
      </c>
      <c r="C144" s="85"/>
      <c r="D144" s="28"/>
      <c r="E144" s="5"/>
      <c r="F144" s="5"/>
      <c r="G144" s="5"/>
      <c r="H144" s="5"/>
      <c r="I144" s="29"/>
      <c r="J144" s="29"/>
      <c r="K144" s="29"/>
      <c r="L144" s="29"/>
      <c r="M144" s="29"/>
      <c r="N144" s="29"/>
      <c r="O144" s="38">
        <f t="shared" si="14"/>
        <v>0</v>
      </c>
      <c r="P144" s="38">
        <f t="shared" si="15"/>
        <v>0</v>
      </c>
      <c r="Q144" s="38">
        <f t="shared" si="16"/>
        <v>0</v>
      </c>
      <c r="R144" s="38">
        <f t="shared" si="17"/>
        <v>0</v>
      </c>
      <c r="S144" s="38">
        <f t="shared" si="18"/>
        <v>0</v>
      </c>
      <c r="T144" s="38">
        <f t="shared" si="19"/>
        <v>0</v>
      </c>
      <c r="U144" s="38">
        <f t="shared" si="20"/>
        <v>0</v>
      </c>
      <c r="V144" s="55"/>
    </row>
    <row r="145" spans="2:22" s="50" customFormat="1" ht="11.25" hidden="1">
      <c r="B145" s="69" t="s">
        <v>453</v>
      </c>
      <c r="C145" s="85"/>
      <c r="D145" s="28"/>
      <c r="E145" s="5"/>
      <c r="F145" s="5"/>
      <c r="G145" s="5"/>
      <c r="H145" s="5"/>
      <c r="I145" s="29"/>
      <c r="J145" s="29"/>
      <c r="K145" s="29"/>
      <c r="L145" s="29"/>
      <c r="M145" s="29"/>
      <c r="N145" s="29"/>
      <c r="O145" s="38">
        <f t="shared" si="14"/>
        <v>0</v>
      </c>
      <c r="P145" s="38">
        <f t="shared" si="15"/>
        <v>0</v>
      </c>
      <c r="Q145" s="38">
        <f t="shared" si="16"/>
        <v>0</v>
      </c>
      <c r="R145" s="38">
        <f t="shared" si="17"/>
        <v>0</v>
      </c>
      <c r="S145" s="38">
        <f t="shared" si="18"/>
        <v>0</v>
      </c>
      <c r="T145" s="38">
        <f t="shared" si="19"/>
        <v>0</v>
      </c>
      <c r="U145" s="38">
        <f t="shared" si="20"/>
        <v>0</v>
      </c>
      <c r="V145" s="55"/>
    </row>
    <row r="146" spans="2:22" s="50" customFormat="1" ht="11.25" hidden="1">
      <c r="B146" s="69" t="s">
        <v>453</v>
      </c>
      <c r="C146" s="85"/>
      <c r="D146" s="28"/>
      <c r="E146" s="5"/>
      <c r="F146" s="5"/>
      <c r="G146" s="5"/>
      <c r="H146" s="5"/>
      <c r="I146" s="29"/>
      <c r="J146" s="29"/>
      <c r="K146" s="29"/>
      <c r="L146" s="29"/>
      <c r="M146" s="29"/>
      <c r="N146" s="29"/>
      <c r="O146" s="38">
        <f t="shared" si="14"/>
        <v>0</v>
      </c>
      <c r="P146" s="38">
        <f t="shared" si="15"/>
        <v>0</v>
      </c>
      <c r="Q146" s="38">
        <f t="shared" si="16"/>
        <v>0</v>
      </c>
      <c r="R146" s="38">
        <f t="shared" si="17"/>
        <v>0</v>
      </c>
      <c r="S146" s="38">
        <f t="shared" si="18"/>
        <v>0</v>
      </c>
      <c r="T146" s="38">
        <f t="shared" si="19"/>
        <v>0</v>
      </c>
      <c r="U146" s="38">
        <f t="shared" si="20"/>
        <v>0</v>
      </c>
      <c r="V146" s="55"/>
    </row>
    <row r="147" spans="2:22" s="50" customFormat="1" ht="11.25" hidden="1">
      <c r="B147" s="69" t="s">
        <v>453</v>
      </c>
      <c r="C147" s="85"/>
      <c r="D147" s="28"/>
      <c r="E147" s="5"/>
      <c r="F147" s="5"/>
      <c r="G147" s="5"/>
      <c r="H147" s="5"/>
      <c r="I147" s="29"/>
      <c r="J147" s="29"/>
      <c r="K147" s="29"/>
      <c r="L147" s="29"/>
      <c r="M147" s="29"/>
      <c r="N147" s="29"/>
      <c r="O147" s="38">
        <f t="shared" si="14"/>
        <v>0</v>
      </c>
      <c r="P147" s="38">
        <f t="shared" si="15"/>
        <v>0</v>
      </c>
      <c r="Q147" s="38">
        <f t="shared" si="16"/>
        <v>0</v>
      </c>
      <c r="R147" s="38">
        <f t="shared" si="17"/>
        <v>0</v>
      </c>
      <c r="S147" s="38">
        <f t="shared" si="18"/>
        <v>0</v>
      </c>
      <c r="T147" s="38">
        <f t="shared" si="19"/>
        <v>0</v>
      </c>
      <c r="U147" s="38">
        <f t="shared" si="20"/>
        <v>0</v>
      </c>
      <c r="V147" s="55"/>
    </row>
    <row r="148" spans="2:22" s="50" customFormat="1" ht="11.25" hidden="1">
      <c r="B148" s="69" t="s">
        <v>453</v>
      </c>
      <c r="C148" s="85"/>
      <c r="D148" s="28"/>
      <c r="E148" s="5"/>
      <c r="F148" s="5"/>
      <c r="G148" s="5"/>
      <c r="H148" s="5"/>
      <c r="I148" s="29"/>
      <c r="J148" s="29"/>
      <c r="K148" s="29"/>
      <c r="L148" s="29"/>
      <c r="M148" s="29"/>
      <c r="N148" s="29"/>
      <c r="O148" s="38">
        <f t="shared" si="14"/>
        <v>0</v>
      </c>
      <c r="P148" s="38">
        <f t="shared" si="15"/>
        <v>0</v>
      </c>
      <c r="Q148" s="38">
        <f t="shared" si="16"/>
        <v>0</v>
      </c>
      <c r="R148" s="38">
        <f t="shared" si="17"/>
        <v>0</v>
      </c>
      <c r="S148" s="38">
        <f t="shared" si="18"/>
        <v>0</v>
      </c>
      <c r="T148" s="38">
        <f t="shared" si="19"/>
        <v>0</v>
      </c>
      <c r="U148" s="38">
        <f t="shared" si="20"/>
        <v>0</v>
      </c>
      <c r="V148" s="55"/>
    </row>
    <row r="149" spans="2:22" s="50" customFormat="1" ht="11.25" hidden="1">
      <c r="B149" s="69" t="s">
        <v>453</v>
      </c>
      <c r="C149" s="85"/>
      <c r="D149" s="28"/>
      <c r="E149" s="5"/>
      <c r="F149" s="5"/>
      <c r="G149" s="5"/>
      <c r="H149" s="5"/>
      <c r="I149" s="29"/>
      <c r="J149" s="29"/>
      <c r="K149" s="29"/>
      <c r="L149" s="29"/>
      <c r="M149" s="29"/>
      <c r="N149" s="29"/>
      <c r="O149" s="38">
        <f t="shared" si="14"/>
        <v>0</v>
      </c>
      <c r="P149" s="38">
        <f t="shared" si="15"/>
        <v>0</v>
      </c>
      <c r="Q149" s="38">
        <f t="shared" si="16"/>
        <v>0</v>
      </c>
      <c r="R149" s="38">
        <f t="shared" si="17"/>
        <v>0</v>
      </c>
      <c r="S149" s="38">
        <f t="shared" si="18"/>
        <v>0</v>
      </c>
      <c r="T149" s="38">
        <f t="shared" si="19"/>
        <v>0</v>
      </c>
      <c r="U149" s="38">
        <f t="shared" si="20"/>
        <v>0</v>
      </c>
      <c r="V149" s="55"/>
    </row>
    <row r="150" spans="2:22" s="50" customFormat="1" ht="11.25" hidden="1">
      <c r="B150" s="69" t="s">
        <v>453</v>
      </c>
      <c r="C150" s="85"/>
      <c r="D150" s="28"/>
      <c r="E150" s="5"/>
      <c r="F150" s="5"/>
      <c r="G150" s="5"/>
      <c r="H150" s="5"/>
      <c r="I150" s="29"/>
      <c r="J150" s="29"/>
      <c r="K150" s="29"/>
      <c r="L150" s="29"/>
      <c r="M150" s="29"/>
      <c r="N150" s="29"/>
      <c r="O150" s="38">
        <f t="shared" si="14"/>
        <v>0</v>
      </c>
      <c r="P150" s="38">
        <f t="shared" si="15"/>
        <v>0</v>
      </c>
      <c r="Q150" s="38">
        <f t="shared" si="16"/>
        <v>0</v>
      </c>
      <c r="R150" s="38">
        <f t="shared" si="17"/>
        <v>0</v>
      </c>
      <c r="S150" s="38">
        <f t="shared" si="18"/>
        <v>0</v>
      </c>
      <c r="T150" s="38">
        <f t="shared" si="19"/>
        <v>0</v>
      </c>
      <c r="U150" s="38">
        <f t="shared" si="20"/>
        <v>0</v>
      </c>
      <c r="V150" s="55"/>
    </row>
    <row r="151" spans="2:22" s="50" customFormat="1" ht="11.25" hidden="1">
      <c r="B151" s="69" t="s">
        <v>453</v>
      </c>
      <c r="C151" s="85"/>
      <c r="D151" s="28"/>
      <c r="E151" s="5"/>
      <c r="F151" s="5"/>
      <c r="G151" s="5"/>
      <c r="H151" s="5"/>
      <c r="I151" s="29"/>
      <c r="J151" s="29"/>
      <c r="K151" s="29"/>
      <c r="L151" s="29"/>
      <c r="M151" s="29"/>
      <c r="N151" s="29"/>
      <c r="O151" s="38">
        <f t="shared" si="14"/>
        <v>0</v>
      </c>
      <c r="P151" s="38">
        <f t="shared" si="15"/>
        <v>0</v>
      </c>
      <c r="Q151" s="38">
        <f t="shared" si="16"/>
        <v>0</v>
      </c>
      <c r="R151" s="38">
        <f t="shared" si="17"/>
        <v>0</v>
      </c>
      <c r="S151" s="38">
        <f t="shared" si="18"/>
        <v>0</v>
      </c>
      <c r="T151" s="38">
        <f t="shared" si="19"/>
        <v>0</v>
      </c>
      <c r="U151" s="38">
        <f t="shared" si="20"/>
        <v>0</v>
      </c>
      <c r="V151" s="55"/>
    </row>
    <row r="152" spans="2:22" s="50" customFormat="1" ht="11.25" hidden="1">
      <c r="B152" s="69" t="s">
        <v>453</v>
      </c>
      <c r="C152" s="85"/>
      <c r="D152" s="28"/>
      <c r="E152" s="5"/>
      <c r="F152" s="5"/>
      <c r="G152" s="5"/>
      <c r="H152" s="5"/>
      <c r="I152" s="29"/>
      <c r="J152" s="29"/>
      <c r="K152" s="29"/>
      <c r="L152" s="29"/>
      <c r="M152" s="29"/>
      <c r="N152" s="29"/>
      <c r="O152" s="38">
        <f t="shared" si="14"/>
        <v>0</v>
      </c>
      <c r="P152" s="38">
        <f t="shared" si="15"/>
        <v>0</v>
      </c>
      <c r="Q152" s="38">
        <f t="shared" si="16"/>
        <v>0</v>
      </c>
      <c r="R152" s="38">
        <f t="shared" si="17"/>
        <v>0</v>
      </c>
      <c r="S152" s="38">
        <f t="shared" si="18"/>
        <v>0</v>
      </c>
      <c r="T152" s="38">
        <f t="shared" si="19"/>
        <v>0</v>
      </c>
      <c r="U152" s="38">
        <f t="shared" si="20"/>
        <v>0</v>
      </c>
      <c r="V152" s="55"/>
    </row>
    <row r="153" spans="2:22" s="50" customFormat="1" ht="11.25" hidden="1">
      <c r="B153" s="69" t="s">
        <v>453</v>
      </c>
      <c r="C153" s="85"/>
      <c r="D153" s="28"/>
      <c r="E153" s="5"/>
      <c r="F153" s="5"/>
      <c r="G153" s="5"/>
      <c r="H153" s="5"/>
      <c r="I153" s="29"/>
      <c r="J153" s="29"/>
      <c r="K153" s="29"/>
      <c r="L153" s="29"/>
      <c r="M153" s="29"/>
      <c r="N153" s="29"/>
      <c r="O153" s="38">
        <f t="shared" si="14"/>
        <v>0</v>
      </c>
      <c r="P153" s="38">
        <f t="shared" si="15"/>
        <v>0</v>
      </c>
      <c r="Q153" s="38">
        <f t="shared" si="16"/>
        <v>0</v>
      </c>
      <c r="R153" s="38">
        <f t="shared" si="17"/>
        <v>0</v>
      </c>
      <c r="S153" s="38">
        <f t="shared" si="18"/>
        <v>0</v>
      </c>
      <c r="T153" s="38">
        <f t="shared" si="19"/>
        <v>0</v>
      </c>
      <c r="U153" s="38">
        <f t="shared" si="20"/>
        <v>0</v>
      </c>
      <c r="V153" s="55"/>
    </row>
    <row r="154" spans="2:22" s="50" customFormat="1" ht="11.25" hidden="1">
      <c r="B154" s="69" t="s">
        <v>453</v>
      </c>
      <c r="C154" s="85"/>
      <c r="D154" s="28"/>
      <c r="E154" s="5"/>
      <c r="F154" s="5"/>
      <c r="G154" s="5"/>
      <c r="H154" s="5"/>
      <c r="I154" s="29"/>
      <c r="J154" s="29"/>
      <c r="K154" s="29"/>
      <c r="L154" s="29"/>
      <c r="M154" s="29"/>
      <c r="N154" s="29"/>
      <c r="O154" s="38">
        <f t="shared" si="14"/>
        <v>0</v>
      </c>
      <c r="P154" s="38">
        <f t="shared" si="15"/>
        <v>0</v>
      </c>
      <c r="Q154" s="38">
        <f t="shared" si="16"/>
        <v>0</v>
      </c>
      <c r="R154" s="38">
        <f t="shared" si="17"/>
        <v>0</v>
      </c>
      <c r="S154" s="38">
        <f t="shared" si="18"/>
        <v>0</v>
      </c>
      <c r="T154" s="38">
        <f t="shared" si="19"/>
        <v>0</v>
      </c>
      <c r="U154" s="38">
        <f t="shared" si="20"/>
        <v>0</v>
      </c>
      <c r="V154" s="55"/>
    </row>
    <row r="155" spans="2:22" s="50" customFormat="1" ht="11.25" hidden="1">
      <c r="B155" s="69" t="s">
        <v>453</v>
      </c>
      <c r="C155" s="85"/>
      <c r="D155" s="28"/>
      <c r="E155" s="5"/>
      <c r="F155" s="5"/>
      <c r="G155" s="5"/>
      <c r="H155" s="5"/>
      <c r="I155" s="29"/>
      <c r="J155" s="29"/>
      <c r="K155" s="29"/>
      <c r="L155" s="29"/>
      <c r="M155" s="29"/>
      <c r="N155" s="29"/>
      <c r="O155" s="38">
        <f t="shared" si="14"/>
        <v>0</v>
      </c>
      <c r="P155" s="38">
        <f t="shared" si="15"/>
        <v>0</v>
      </c>
      <c r="Q155" s="38">
        <f t="shared" si="16"/>
        <v>0</v>
      </c>
      <c r="R155" s="38">
        <f t="shared" si="17"/>
        <v>0</v>
      </c>
      <c r="S155" s="38">
        <f t="shared" si="18"/>
        <v>0</v>
      </c>
      <c r="T155" s="38">
        <f t="shared" si="19"/>
        <v>0</v>
      </c>
      <c r="U155" s="38">
        <f t="shared" si="20"/>
        <v>0</v>
      </c>
      <c r="V155" s="55"/>
    </row>
    <row r="156" spans="2:22" s="50" customFormat="1" ht="11.25" hidden="1">
      <c r="B156" s="69" t="s">
        <v>453</v>
      </c>
      <c r="C156" s="85"/>
      <c r="D156" s="28"/>
      <c r="E156" s="5"/>
      <c r="F156" s="5"/>
      <c r="G156" s="5"/>
      <c r="H156" s="5"/>
      <c r="I156" s="29"/>
      <c r="J156" s="29"/>
      <c r="K156" s="29"/>
      <c r="L156" s="29"/>
      <c r="M156" s="29"/>
      <c r="N156" s="29"/>
      <c r="O156" s="38">
        <f t="shared" si="14"/>
        <v>0</v>
      </c>
      <c r="P156" s="38">
        <f t="shared" si="15"/>
        <v>0</v>
      </c>
      <c r="Q156" s="38">
        <f t="shared" si="16"/>
        <v>0</v>
      </c>
      <c r="R156" s="38">
        <f t="shared" si="17"/>
        <v>0</v>
      </c>
      <c r="S156" s="38">
        <f t="shared" si="18"/>
        <v>0</v>
      </c>
      <c r="T156" s="38">
        <f t="shared" si="19"/>
        <v>0</v>
      </c>
      <c r="U156" s="38">
        <f t="shared" si="20"/>
        <v>0</v>
      </c>
      <c r="V156" s="55"/>
    </row>
    <row r="157" spans="2:22" s="50" customFormat="1" ht="11.25" hidden="1">
      <c r="B157" s="69" t="s">
        <v>453</v>
      </c>
      <c r="C157" s="85"/>
      <c r="D157" s="28"/>
      <c r="E157" s="5"/>
      <c r="F157" s="5"/>
      <c r="G157" s="5"/>
      <c r="H157" s="5"/>
      <c r="I157" s="29"/>
      <c r="J157" s="29"/>
      <c r="K157" s="29"/>
      <c r="L157" s="29"/>
      <c r="M157" s="29"/>
      <c r="N157" s="29"/>
      <c r="O157" s="38">
        <f t="shared" si="14"/>
        <v>0</v>
      </c>
      <c r="P157" s="38">
        <f t="shared" si="15"/>
        <v>0</v>
      </c>
      <c r="Q157" s="38">
        <f t="shared" si="16"/>
        <v>0</v>
      </c>
      <c r="R157" s="38">
        <f t="shared" si="17"/>
        <v>0</v>
      </c>
      <c r="S157" s="38">
        <f t="shared" si="18"/>
        <v>0</v>
      </c>
      <c r="T157" s="38">
        <f t="shared" si="19"/>
        <v>0</v>
      </c>
      <c r="U157" s="38">
        <f t="shared" si="20"/>
        <v>0</v>
      </c>
      <c r="V157" s="55"/>
    </row>
    <row r="158" spans="2:22" s="50" customFormat="1" ht="11.25" hidden="1">
      <c r="B158" s="69" t="s">
        <v>453</v>
      </c>
      <c r="C158" s="85"/>
      <c r="D158" s="28"/>
      <c r="E158" s="5"/>
      <c r="F158" s="5"/>
      <c r="G158" s="5"/>
      <c r="H158" s="5"/>
      <c r="I158" s="29"/>
      <c r="J158" s="29"/>
      <c r="K158" s="29"/>
      <c r="L158" s="29"/>
      <c r="M158" s="29"/>
      <c r="N158" s="29"/>
      <c r="O158" s="38">
        <f t="shared" si="14"/>
        <v>0</v>
      </c>
      <c r="P158" s="38">
        <f t="shared" si="15"/>
        <v>0</v>
      </c>
      <c r="Q158" s="38">
        <f t="shared" si="16"/>
        <v>0</v>
      </c>
      <c r="R158" s="38">
        <f t="shared" si="17"/>
        <v>0</v>
      </c>
      <c r="S158" s="38">
        <f t="shared" si="18"/>
        <v>0</v>
      </c>
      <c r="T158" s="38">
        <f t="shared" si="19"/>
        <v>0</v>
      </c>
      <c r="U158" s="38">
        <f t="shared" si="20"/>
        <v>0</v>
      </c>
      <c r="V158" s="55"/>
    </row>
    <row r="159" spans="2:22" s="50" customFormat="1" ht="11.25">
      <c r="B159" s="69" t="s">
        <v>453</v>
      </c>
      <c r="C159" s="85"/>
      <c r="D159" s="28"/>
      <c r="E159" s="5"/>
      <c r="F159" s="5"/>
      <c r="G159" s="5"/>
      <c r="H159" s="5"/>
      <c r="I159" s="29"/>
      <c r="J159" s="29"/>
      <c r="K159" s="29"/>
      <c r="L159" s="29"/>
      <c r="M159" s="29"/>
      <c r="N159" s="29"/>
      <c r="O159" s="38">
        <f t="shared" si="14"/>
        <v>0</v>
      </c>
      <c r="P159" s="38">
        <f t="shared" si="15"/>
        <v>0</v>
      </c>
      <c r="Q159" s="38">
        <f t="shared" si="16"/>
        <v>0</v>
      </c>
      <c r="R159" s="38">
        <f t="shared" si="17"/>
        <v>0</v>
      </c>
      <c r="S159" s="38">
        <f t="shared" si="18"/>
        <v>0</v>
      </c>
      <c r="T159" s="38">
        <f t="shared" si="19"/>
        <v>0</v>
      </c>
      <c r="U159" s="38">
        <f t="shared" si="20"/>
        <v>0</v>
      </c>
      <c r="V159" s="55"/>
    </row>
    <row r="160" spans="2:22" s="50" customFormat="1" ht="11.25">
      <c r="B160" s="71" t="s">
        <v>455</v>
      </c>
      <c r="C160" s="87"/>
      <c r="D160" s="72"/>
      <c r="E160" s="38">
        <f>SUM(E10:E159)</f>
        <v>0</v>
      </c>
      <c r="F160" s="38"/>
      <c r="G160" s="38">
        <f t="shared" ref="G160:N160" si="21">SUM(G10:G159)</f>
        <v>0</v>
      </c>
      <c r="H160" s="38">
        <f t="shared" si="21"/>
        <v>0</v>
      </c>
      <c r="I160" s="38">
        <f t="shared" si="21"/>
        <v>0</v>
      </c>
      <c r="J160" s="38">
        <f t="shared" si="21"/>
        <v>0</v>
      </c>
      <c r="K160" s="38">
        <f t="shared" si="21"/>
        <v>0</v>
      </c>
      <c r="L160" s="38">
        <f t="shared" si="21"/>
        <v>0</v>
      </c>
      <c r="M160" s="38">
        <f t="shared" si="21"/>
        <v>0</v>
      </c>
      <c r="N160" s="38">
        <f t="shared" si="21"/>
        <v>0</v>
      </c>
      <c r="O160" s="38">
        <f t="shared" si="14"/>
        <v>0</v>
      </c>
      <c r="P160" s="38">
        <f t="shared" si="15"/>
        <v>0</v>
      </c>
      <c r="Q160" s="38">
        <f t="shared" si="16"/>
        <v>0</v>
      </c>
      <c r="R160" s="38">
        <f t="shared" si="17"/>
        <v>0</v>
      </c>
      <c r="S160" s="38">
        <f t="shared" si="18"/>
        <v>0</v>
      </c>
      <c r="T160" s="38">
        <f t="shared" si="19"/>
        <v>0</v>
      </c>
      <c r="U160" s="38">
        <f t="shared" si="20"/>
        <v>0</v>
      </c>
      <c r="V160" s="55"/>
    </row>
    <row r="161" spans="2:22" s="50" customFormat="1" ht="11.25">
      <c r="B161" s="69" t="s">
        <v>454</v>
      </c>
      <c r="C161" s="82"/>
      <c r="D161" s="28"/>
      <c r="E161" s="5"/>
      <c r="F161" s="5"/>
      <c r="G161" s="5"/>
      <c r="H161" s="5"/>
      <c r="I161" s="5">
        <f>H161</f>
        <v>0</v>
      </c>
      <c r="J161" s="29"/>
      <c r="K161" s="29"/>
      <c r="L161" s="22"/>
      <c r="M161" s="22"/>
      <c r="N161" s="22"/>
      <c r="O161" s="38">
        <f t="shared" si="14"/>
        <v>0</v>
      </c>
      <c r="P161" s="38">
        <f t="shared" si="15"/>
        <v>0</v>
      </c>
      <c r="Q161" s="38">
        <f t="shared" si="16"/>
        <v>0</v>
      </c>
      <c r="R161" s="38">
        <f t="shared" si="17"/>
        <v>0</v>
      </c>
      <c r="S161" s="38">
        <f t="shared" si="18"/>
        <v>0</v>
      </c>
      <c r="T161" s="38">
        <f t="shared" si="19"/>
        <v>0</v>
      </c>
      <c r="U161" s="38">
        <f t="shared" si="20"/>
        <v>0</v>
      </c>
      <c r="V161" s="55"/>
    </row>
    <row r="162" spans="2:22" s="50" customFormat="1" ht="11.25">
      <c r="B162" s="69" t="s">
        <v>454</v>
      </c>
      <c r="C162" s="82"/>
      <c r="D162" s="28"/>
      <c r="E162" s="5"/>
      <c r="F162" s="5"/>
      <c r="G162" s="5"/>
      <c r="H162" s="5"/>
      <c r="I162" s="5">
        <f>H162</f>
        <v>0</v>
      </c>
      <c r="J162" s="29"/>
      <c r="K162" s="29"/>
      <c r="L162" s="22"/>
      <c r="M162" s="22"/>
      <c r="N162" s="22"/>
      <c r="O162" s="38">
        <f t="shared" si="14"/>
        <v>0</v>
      </c>
      <c r="P162" s="38">
        <f t="shared" si="15"/>
        <v>0</v>
      </c>
      <c r="Q162" s="38">
        <f t="shared" si="16"/>
        <v>0</v>
      </c>
      <c r="R162" s="38">
        <f t="shared" si="17"/>
        <v>0</v>
      </c>
      <c r="S162" s="38">
        <f t="shared" si="18"/>
        <v>0</v>
      </c>
      <c r="T162" s="38">
        <f t="shared" si="19"/>
        <v>0</v>
      </c>
      <c r="U162" s="38">
        <f t="shared" si="20"/>
        <v>0</v>
      </c>
      <c r="V162" s="55"/>
    </row>
    <row r="163" spans="2:22" s="50" customFormat="1" ht="11.25">
      <c r="B163" s="69" t="s">
        <v>454</v>
      </c>
      <c r="C163" s="82"/>
      <c r="D163" s="28"/>
      <c r="E163" s="5"/>
      <c r="F163" s="5"/>
      <c r="G163" s="5"/>
      <c r="H163" s="5"/>
      <c r="I163" s="5">
        <f>H163</f>
        <v>0</v>
      </c>
      <c r="J163" s="29"/>
      <c r="K163" s="29"/>
      <c r="L163" s="22"/>
      <c r="M163" s="22"/>
      <c r="N163" s="22"/>
      <c r="O163" s="38">
        <f t="shared" si="14"/>
        <v>0</v>
      </c>
      <c r="P163" s="38">
        <f t="shared" si="15"/>
        <v>0</v>
      </c>
      <c r="Q163" s="38">
        <f t="shared" si="16"/>
        <v>0</v>
      </c>
      <c r="R163" s="38">
        <f t="shared" si="17"/>
        <v>0</v>
      </c>
      <c r="S163" s="38">
        <f t="shared" si="18"/>
        <v>0</v>
      </c>
      <c r="T163" s="38">
        <f t="shared" si="19"/>
        <v>0</v>
      </c>
      <c r="U163" s="38">
        <f t="shared" si="20"/>
        <v>0</v>
      </c>
      <c r="V163" s="55"/>
    </row>
    <row r="164" spans="2:22" s="50" customFormat="1" ht="11.25">
      <c r="B164" s="69" t="s">
        <v>454</v>
      </c>
      <c r="C164" s="82"/>
      <c r="D164" s="28"/>
      <c r="E164" s="5"/>
      <c r="F164" s="5"/>
      <c r="G164" s="5"/>
      <c r="H164" s="5"/>
      <c r="I164" s="5">
        <f>H164</f>
        <v>0</v>
      </c>
      <c r="J164" s="29"/>
      <c r="K164" s="29"/>
      <c r="L164" s="22"/>
      <c r="M164" s="22"/>
      <c r="N164" s="22"/>
      <c r="O164" s="38">
        <f t="shared" si="14"/>
        <v>0</v>
      </c>
      <c r="P164" s="38">
        <f t="shared" si="15"/>
        <v>0</v>
      </c>
      <c r="Q164" s="38">
        <f t="shared" si="16"/>
        <v>0</v>
      </c>
      <c r="R164" s="38">
        <f t="shared" si="17"/>
        <v>0</v>
      </c>
      <c r="S164" s="38">
        <f t="shared" si="18"/>
        <v>0</v>
      </c>
      <c r="T164" s="38">
        <f t="shared" si="19"/>
        <v>0</v>
      </c>
      <c r="U164" s="38">
        <f t="shared" si="20"/>
        <v>0</v>
      </c>
      <c r="V164" s="55"/>
    </row>
    <row r="165" spans="2:22" s="50" customFormat="1" ht="11.25">
      <c r="B165" s="69" t="s">
        <v>454</v>
      </c>
      <c r="C165" s="82"/>
      <c r="D165" s="28"/>
      <c r="E165" s="5"/>
      <c r="F165" s="5"/>
      <c r="G165" s="5"/>
      <c r="H165" s="5"/>
      <c r="I165" s="5">
        <f>H165</f>
        <v>0</v>
      </c>
      <c r="J165" s="29"/>
      <c r="K165" s="29"/>
      <c r="L165" s="22"/>
      <c r="M165" s="22"/>
      <c r="N165" s="22"/>
      <c r="O165" s="38">
        <f t="shared" si="14"/>
        <v>0</v>
      </c>
      <c r="P165" s="38">
        <f t="shared" si="15"/>
        <v>0</v>
      </c>
      <c r="Q165" s="38">
        <f t="shared" si="16"/>
        <v>0</v>
      </c>
      <c r="R165" s="38">
        <f t="shared" si="17"/>
        <v>0</v>
      </c>
      <c r="S165" s="38">
        <f t="shared" si="18"/>
        <v>0</v>
      </c>
      <c r="T165" s="38">
        <f t="shared" si="19"/>
        <v>0</v>
      </c>
      <c r="U165" s="38">
        <f t="shared" si="20"/>
        <v>0</v>
      </c>
      <c r="V165" s="55"/>
    </row>
    <row r="166" spans="2:22" s="50" customFormat="1" ht="11.25">
      <c r="B166" s="69" t="s">
        <v>454</v>
      </c>
      <c r="C166" s="82"/>
      <c r="D166" s="28"/>
      <c r="E166" s="5"/>
      <c r="F166" s="5"/>
      <c r="G166" s="5"/>
      <c r="H166" s="33"/>
      <c r="I166" s="33"/>
      <c r="J166" s="29"/>
      <c r="K166" s="5"/>
      <c r="L166" s="22"/>
      <c r="M166" s="22"/>
      <c r="N166" s="22"/>
      <c r="O166" s="38">
        <f t="shared" si="14"/>
        <v>0</v>
      </c>
      <c r="P166" s="38">
        <f t="shared" si="15"/>
        <v>0</v>
      </c>
      <c r="Q166" s="38">
        <f t="shared" si="16"/>
        <v>0</v>
      </c>
      <c r="R166" s="38">
        <f t="shared" si="17"/>
        <v>0</v>
      </c>
      <c r="S166" s="38">
        <f t="shared" si="18"/>
        <v>0</v>
      </c>
      <c r="T166" s="38">
        <f t="shared" si="19"/>
        <v>0</v>
      </c>
      <c r="U166" s="38">
        <f t="shared" si="20"/>
        <v>0</v>
      </c>
      <c r="V166" s="55"/>
    </row>
    <row r="167" spans="2:22" s="50" customFormat="1" ht="11.25" hidden="1">
      <c r="B167" s="69" t="s">
        <v>454</v>
      </c>
      <c r="C167" s="82"/>
      <c r="D167" s="28"/>
      <c r="E167" s="5"/>
      <c r="F167" s="5"/>
      <c r="G167" s="5"/>
      <c r="H167" s="5"/>
      <c r="I167" s="5"/>
      <c r="J167" s="29"/>
      <c r="K167" s="29"/>
      <c r="L167" s="22"/>
      <c r="M167" s="22"/>
      <c r="N167" s="22"/>
      <c r="O167" s="38">
        <f t="shared" si="14"/>
        <v>0</v>
      </c>
      <c r="P167" s="38">
        <f t="shared" si="15"/>
        <v>0</v>
      </c>
      <c r="Q167" s="38">
        <f t="shared" si="16"/>
        <v>0</v>
      </c>
      <c r="R167" s="38">
        <f t="shared" si="17"/>
        <v>0</v>
      </c>
      <c r="S167" s="38">
        <f t="shared" si="18"/>
        <v>0</v>
      </c>
      <c r="T167" s="38">
        <f t="shared" si="19"/>
        <v>0</v>
      </c>
      <c r="U167" s="38">
        <f t="shared" si="20"/>
        <v>0</v>
      </c>
      <c r="V167" s="55"/>
    </row>
    <row r="168" spans="2:22" s="50" customFormat="1" ht="11.25" hidden="1">
      <c r="B168" s="69" t="s">
        <v>454</v>
      </c>
      <c r="C168" s="82"/>
      <c r="D168" s="28"/>
      <c r="E168" s="5"/>
      <c r="F168" s="5"/>
      <c r="G168" s="5"/>
      <c r="H168" s="5"/>
      <c r="I168" s="5"/>
      <c r="J168" s="29"/>
      <c r="K168" s="29"/>
      <c r="L168" s="22"/>
      <c r="M168" s="22"/>
      <c r="N168" s="22"/>
      <c r="O168" s="38">
        <f t="shared" si="14"/>
        <v>0</v>
      </c>
      <c r="P168" s="38">
        <f t="shared" si="15"/>
        <v>0</v>
      </c>
      <c r="Q168" s="38">
        <f t="shared" si="16"/>
        <v>0</v>
      </c>
      <c r="R168" s="38">
        <f t="shared" si="17"/>
        <v>0</v>
      </c>
      <c r="S168" s="38">
        <f t="shared" si="18"/>
        <v>0</v>
      </c>
      <c r="T168" s="38">
        <f t="shared" si="19"/>
        <v>0</v>
      </c>
      <c r="U168" s="38">
        <f t="shared" si="20"/>
        <v>0</v>
      </c>
      <c r="V168" s="55"/>
    </row>
    <row r="169" spans="2:22" s="50" customFormat="1" ht="11.25" hidden="1">
      <c r="B169" s="69" t="s">
        <v>454</v>
      </c>
      <c r="C169" s="82"/>
      <c r="D169" s="28"/>
      <c r="E169" s="5"/>
      <c r="F169" s="5"/>
      <c r="G169" s="5"/>
      <c r="H169" s="5"/>
      <c r="I169" s="5"/>
      <c r="J169" s="29"/>
      <c r="K169" s="29"/>
      <c r="L169" s="22"/>
      <c r="M169" s="22"/>
      <c r="N169" s="22"/>
      <c r="O169" s="38">
        <f t="shared" si="14"/>
        <v>0</v>
      </c>
      <c r="P169" s="38">
        <f t="shared" si="15"/>
        <v>0</v>
      </c>
      <c r="Q169" s="38">
        <f t="shared" si="16"/>
        <v>0</v>
      </c>
      <c r="R169" s="38">
        <f t="shared" si="17"/>
        <v>0</v>
      </c>
      <c r="S169" s="38">
        <f t="shared" si="18"/>
        <v>0</v>
      </c>
      <c r="T169" s="38">
        <f t="shared" si="19"/>
        <v>0</v>
      </c>
      <c r="U169" s="38">
        <f t="shared" si="20"/>
        <v>0</v>
      </c>
      <c r="V169" s="55"/>
    </row>
    <row r="170" spans="2:22" s="50" customFormat="1" ht="11.25" hidden="1">
      <c r="B170" s="69" t="s">
        <v>454</v>
      </c>
      <c r="C170" s="82"/>
      <c r="D170" s="28"/>
      <c r="E170" s="5"/>
      <c r="F170" s="5"/>
      <c r="G170" s="5"/>
      <c r="H170" s="5"/>
      <c r="I170" s="5"/>
      <c r="J170" s="29"/>
      <c r="K170" s="29"/>
      <c r="L170" s="22"/>
      <c r="M170" s="22"/>
      <c r="N170" s="22"/>
      <c r="O170" s="38">
        <f t="shared" si="14"/>
        <v>0</v>
      </c>
      <c r="P170" s="38">
        <f t="shared" si="15"/>
        <v>0</v>
      </c>
      <c r="Q170" s="38">
        <f t="shared" si="16"/>
        <v>0</v>
      </c>
      <c r="R170" s="38">
        <f t="shared" si="17"/>
        <v>0</v>
      </c>
      <c r="S170" s="38">
        <f t="shared" si="18"/>
        <v>0</v>
      </c>
      <c r="T170" s="38">
        <f t="shared" si="19"/>
        <v>0</v>
      </c>
      <c r="U170" s="38">
        <f t="shared" si="20"/>
        <v>0</v>
      </c>
      <c r="V170" s="55"/>
    </row>
    <row r="171" spans="2:22" s="50" customFormat="1" ht="11.25" hidden="1">
      <c r="B171" s="69" t="s">
        <v>454</v>
      </c>
      <c r="C171" s="82"/>
      <c r="D171" s="28"/>
      <c r="E171" s="5"/>
      <c r="F171" s="5"/>
      <c r="G171" s="5"/>
      <c r="H171" s="5"/>
      <c r="I171" s="5"/>
      <c r="J171" s="29"/>
      <c r="K171" s="29"/>
      <c r="L171" s="22"/>
      <c r="M171" s="22"/>
      <c r="N171" s="22"/>
      <c r="O171" s="38">
        <f t="shared" si="14"/>
        <v>0</v>
      </c>
      <c r="P171" s="38">
        <f t="shared" si="15"/>
        <v>0</v>
      </c>
      <c r="Q171" s="38">
        <f t="shared" si="16"/>
        <v>0</v>
      </c>
      <c r="R171" s="38">
        <f t="shared" si="17"/>
        <v>0</v>
      </c>
      <c r="S171" s="38">
        <f t="shared" si="18"/>
        <v>0</v>
      </c>
      <c r="T171" s="38">
        <f t="shared" si="19"/>
        <v>0</v>
      </c>
      <c r="U171" s="38">
        <f t="shared" si="20"/>
        <v>0</v>
      </c>
      <c r="V171" s="55"/>
    </row>
    <row r="172" spans="2:22" s="50" customFormat="1" ht="11.25" hidden="1">
      <c r="B172" s="69" t="s">
        <v>454</v>
      </c>
      <c r="C172" s="82"/>
      <c r="D172" s="28"/>
      <c r="E172" s="5"/>
      <c r="F172" s="5"/>
      <c r="G172" s="5"/>
      <c r="H172" s="5"/>
      <c r="I172" s="5"/>
      <c r="J172" s="29"/>
      <c r="K172" s="29"/>
      <c r="L172" s="22"/>
      <c r="M172" s="22"/>
      <c r="N172" s="22"/>
      <c r="O172" s="38">
        <f t="shared" si="14"/>
        <v>0</v>
      </c>
      <c r="P172" s="38">
        <f t="shared" si="15"/>
        <v>0</v>
      </c>
      <c r="Q172" s="38">
        <f t="shared" si="16"/>
        <v>0</v>
      </c>
      <c r="R172" s="38">
        <f t="shared" si="17"/>
        <v>0</v>
      </c>
      <c r="S172" s="38">
        <f t="shared" si="18"/>
        <v>0</v>
      </c>
      <c r="T172" s="38">
        <f t="shared" si="19"/>
        <v>0</v>
      </c>
      <c r="U172" s="38">
        <f t="shared" si="20"/>
        <v>0</v>
      </c>
      <c r="V172" s="55"/>
    </row>
    <row r="173" spans="2:22" s="50" customFormat="1" ht="11.25" hidden="1">
      <c r="B173" s="69" t="s">
        <v>454</v>
      </c>
      <c r="C173" s="82"/>
      <c r="D173" s="28"/>
      <c r="E173" s="5"/>
      <c r="F173" s="5"/>
      <c r="G173" s="5"/>
      <c r="H173" s="5"/>
      <c r="I173" s="5"/>
      <c r="J173" s="29"/>
      <c r="K173" s="29"/>
      <c r="L173" s="22"/>
      <c r="M173" s="22"/>
      <c r="N173" s="22"/>
      <c r="O173" s="38">
        <f t="shared" si="14"/>
        <v>0</v>
      </c>
      <c r="P173" s="38">
        <f t="shared" si="15"/>
        <v>0</v>
      </c>
      <c r="Q173" s="38">
        <f t="shared" si="16"/>
        <v>0</v>
      </c>
      <c r="R173" s="38">
        <f t="shared" si="17"/>
        <v>0</v>
      </c>
      <c r="S173" s="38">
        <f t="shared" si="18"/>
        <v>0</v>
      </c>
      <c r="T173" s="38">
        <f t="shared" si="19"/>
        <v>0</v>
      </c>
      <c r="U173" s="38">
        <f t="shared" si="20"/>
        <v>0</v>
      </c>
      <c r="V173" s="55"/>
    </row>
    <row r="174" spans="2:22" s="50" customFormat="1" ht="11.25" hidden="1">
      <c r="B174" s="69" t="s">
        <v>454</v>
      </c>
      <c r="C174" s="86"/>
      <c r="D174" s="30"/>
      <c r="E174" s="5"/>
      <c r="F174" s="5"/>
      <c r="G174" s="5"/>
      <c r="H174" s="5"/>
      <c r="I174" s="5"/>
      <c r="J174" s="5"/>
      <c r="K174" s="5"/>
      <c r="L174" s="5"/>
      <c r="M174" s="5"/>
      <c r="N174" s="5"/>
      <c r="O174" s="38">
        <f t="shared" si="14"/>
        <v>0</v>
      </c>
      <c r="P174" s="38">
        <f t="shared" si="15"/>
        <v>0</v>
      </c>
      <c r="Q174" s="38">
        <f t="shared" si="16"/>
        <v>0</v>
      </c>
      <c r="R174" s="38">
        <f t="shared" si="17"/>
        <v>0</v>
      </c>
      <c r="S174" s="38">
        <f t="shared" si="18"/>
        <v>0</v>
      </c>
      <c r="T174" s="38">
        <f t="shared" si="19"/>
        <v>0</v>
      </c>
      <c r="U174" s="38">
        <f t="shared" si="20"/>
        <v>0</v>
      </c>
      <c r="V174" s="55"/>
    </row>
    <row r="175" spans="2:22" s="50" customFormat="1" ht="11.25" hidden="1">
      <c r="B175" s="69" t="s">
        <v>454</v>
      </c>
      <c r="C175" s="86"/>
      <c r="D175" s="30"/>
      <c r="E175" s="5"/>
      <c r="F175" s="5"/>
      <c r="G175" s="5"/>
      <c r="H175" s="5"/>
      <c r="I175" s="5"/>
      <c r="J175" s="5"/>
      <c r="K175" s="5"/>
      <c r="L175" s="5"/>
      <c r="M175" s="5"/>
      <c r="N175" s="5"/>
      <c r="O175" s="38">
        <f t="shared" si="14"/>
        <v>0</v>
      </c>
      <c r="P175" s="38">
        <f t="shared" si="15"/>
        <v>0</v>
      </c>
      <c r="Q175" s="38">
        <f t="shared" si="16"/>
        <v>0</v>
      </c>
      <c r="R175" s="38">
        <f t="shared" si="17"/>
        <v>0</v>
      </c>
      <c r="S175" s="38">
        <f t="shared" si="18"/>
        <v>0</v>
      </c>
      <c r="T175" s="38">
        <f t="shared" si="19"/>
        <v>0</v>
      </c>
      <c r="U175" s="38">
        <f t="shared" si="20"/>
        <v>0</v>
      </c>
      <c r="V175" s="55"/>
    </row>
    <row r="176" spans="2:22" s="50" customFormat="1" ht="11.25" hidden="1">
      <c r="B176" s="69" t="s">
        <v>454</v>
      </c>
      <c r="C176" s="86"/>
      <c r="D176" s="30"/>
      <c r="E176" s="5"/>
      <c r="F176" s="5"/>
      <c r="G176" s="5"/>
      <c r="H176" s="5"/>
      <c r="I176" s="5"/>
      <c r="J176" s="5"/>
      <c r="K176" s="5"/>
      <c r="L176" s="5"/>
      <c r="M176" s="5"/>
      <c r="N176" s="5"/>
      <c r="O176" s="38">
        <f t="shared" si="14"/>
        <v>0</v>
      </c>
      <c r="P176" s="38">
        <f t="shared" si="15"/>
        <v>0</v>
      </c>
      <c r="Q176" s="38">
        <f t="shared" si="16"/>
        <v>0</v>
      </c>
      <c r="R176" s="38">
        <f t="shared" si="17"/>
        <v>0</v>
      </c>
      <c r="S176" s="38">
        <f t="shared" si="18"/>
        <v>0</v>
      </c>
      <c r="T176" s="38">
        <f t="shared" si="19"/>
        <v>0</v>
      </c>
      <c r="U176" s="38">
        <f t="shared" si="20"/>
        <v>0</v>
      </c>
      <c r="V176" s="55"/>
    </row>
    <row r="177" spans="2:22" s="50" customFormat="1" ht="11.25" hidden="1">
      <c r="B177" s="69" t="s">
        <v>454</v>
      </c>
      <c r="C177" s="86"/>
      <c r="D177" s="30"/>
      <c r="E177" s="5"/>
      <c r="F177" s="5"/>
      <c r="G177" s="5"/>
      <c r="H177" s="5"/>
      <c r="I177" s="5"/>
      <c r="J177" s="5"/>
      <c r="K177" s="5"/>
      <c r="L177" s="5"/>
      <c r="M177" s="5"/>
      <c r="N177" s="5"/>
      <c r="O177" s="38">
        <f t="shared" si="14"/>
        <v>0</v>
      </c>
      <c r="P177" s="38">
        <f t="shared" si="15"/>
        <v>0</v>
      </c>
      <c r="Q177" s="38">
        <f t="shared" si="16"/>
        <v>0</v>
      </c>
      <c r="R177" s="38">
        <f t="shared" si="17"/>
        <v>0</v>
      </c>
      <c r="S177" s="38">
        <f t="shared" si="18"/>
        <v>0</v>
      </c>
      <c r="T177" s="38">
        <f t="shared" si="19"/>
        <v>0</v>
      </c>
      <c r="U177" s="38">
        <f t="shared" si="20"/>
        <v>0</v>
      </c>
      <c r="V177" s="55"/>
    </row>
    <row r="178" spans="2:22" s="50" customFormat="1" ht="11.25" hidden="1">
      <c r="B178" s="69" t="s">
        <v>454</v>
      </c>
      <c r="C178" s="86"/>
      <c r="D178" s="30"/>
      <c r="E178" s="5"/>
      <c r="F178" s="5"/>
      <c r="G178" s="5"/>
      <c r="H178" s="5"/>
      <c r="I178" s="5"/>
      <c r="J178" s="5"/>
      <c r="K178" s="5"/>
      <c r="L178" s="5"/>
      <c r="M178" s="5"/>
      <c r="N178" s="5"/>
      <c r="O178" s="38">
        <f t="shared" si="14"/>
        <v>0</v>
      </c>
      <c r="P178" s="38">
        <f t="shared" si="15"/>
        <v>0</v>
      </c>
      <c r="Q178" s="38">
        <f t="shared" si="16"/>
        <v>0</v>
      </c>
      <c r="R178" s="38">
        <f t="shared" si="17"/>
        <v>0</v>
      </c>
      <c r="S178" s="38">
        <f t="shared" si="18"/>
        <v>0</v>
      </c>
      <c r="T178" s="38">
        <f t="shared" si="19"/>
        <v>0</v>
      </c>
      <c r="U178" s="38">
        <f t="shared" si="20"/>
        <v>0</v>
      </c>
      <c r="V178" s="55"/>
    </row>
    <row r="179" spans="2:22" s="50" customFormat="1" ht="11.25" hidden="1">
      <c r="B179" s="69" t="s">
        <v>454</v>
      </c>
      <c r="C179" s="86"/>
      <c r="D179" s="30"/>
      <c r="E179" s="5"/>
      <c r="F179" s="5"/>
      <c r="G179" s="5"/>
      <c r="H179" s="5"/>
      <c r="I179" s="5"/>
      <c r="J179" s="5"/>
      <c r="K179" s="5"/>
      <c r="L179" s="5"/>
      <c r="M179" s="5"/>
      <c r="N179" s="5"/>
      <c r="O179" s="38">
        <f t="shared" si="14"/>
        <v>0</v>
      </c>
      <c r="P179" s="38">
        <f t="shared" si="15"/>
        <v>0</v>
      </c>
      <c r="Q179" s="38">
        <f t="shared" si="16"/>
        <v>0</v>
      </c>
      <c r="R179" s="38">
        <f t="shared" si="17"/>
        <v>0</v>
      </c>
      <c r="S179" s="38">
        <f t="shared" si="18"/>
        <v>0</v>
      </c>
      <c r="T179" s="38">
        <f t="shared" si="19"/>
        <v>0</v>
      </c>
      <c r="U179" s="38">
        <f t="shared" si="20"/>
        <v>0</v>
      </c>
      <c r="V179" s="55"/>
    </row>
    <row r="180" spans="2:22" s="50" customFormat="1" ht="11.25" hidden="1">
      <c r="B180" s="69" t="s">
        <v>454</v>
      </c>
      <c r="C180" s="86"/>
      <c r="D180" s="30"/>
      <c r="E180" s="5"/>
      <c r="F180" s="5"/>
      <c r="G180" s="5"/>
      <c r="H180" s="5"/>
      <c r="I180" s="5"/>
      <c r="J180" s="5"/>
      <c r="K180" s="5"/>
      <c r="L180" s="5"/>
      <c r="M180" s="5"/>
      <c r="N180" s="5"/>
      <c r="O180" s="38">
        <f t="shared" si="14"/>
        <v>0</v>
      </c>
      <c r="P180" s="38">
        <f t="shared" si="15"/>
        <v>0</v>
      </c>
      <c r="Q180" s="38">
        <f t="shared" si="16"/>
        <v>0</v>
      </c>
      <c r="R180" s="38">
        <f t="shared" si="17"/>
        <v>0</v>
      </c>
      <c r="S180" s="38">
        <f t="shared" si="18"/>
        <v>0</v>
      </c>
      <c r="T180" s="38">
        <f t="shared" si="19"/>
        <v>0</v>
      </c>
      <c r="U180" s="38">
        <f t="shared" si="20"/>
        <v>0</v>
      </c>
      <c r="V180" s="55"/>
    </row>
    <row r="181" spans="2:22" s="50" customFormat="1" ht="11.25" hidden="1">
      <c r="B181" s="69" t="s">
        <v>454</v>
      </c>
      <c r="C181" s="86"/>
      <c r="D181" s="30"/>
      <c r="E181" s="5"/>
      <c r="F181" s="5"/>
      <c r="G181" s="5"/>
      <c r="H181" s="5"/>
      <c r="I181" s="5"/>
      <c r="J181" s="5"/>
      <c r="K181" s="5"/>
      <c r="L181" s="5"/>
      <c r="M181" s="5"/>
      <c r="N181" s="5"/>
      <c r="O181" s="38">
        <f t="shared" si="14"/>
        <v>0</v>
      </c>
      <c r="P181" s="38">
        <f t="shared" si="15"/>
        <v>0</v>
      </c>
      <c r="Q181" s="38">
        <f t="shared" si="16"/>
        <v>0</v>
      </c>
      <c r="R181" s="38">
        <f t="shared" si="17"/>
        <v>0</v>
      </c>
      <c r="S181" s="38">
        <f t="shared" si="18"/>
        <v>0</v>
      </c>
      <c r="T181" s="38">
        <f t="shared" si="19"/>
        <v>0</v>
      </c>
      <c r="U181" s="38">
        <f t="shared" si="20"/>
        <v>0</v>
      </c>
      <c r="V181" s="55"/>
    </row>
    <row r="182" spans="2:22" s="50" customFormat="1" ht="11.25" hidden="1">
      <c r="B182" s="69" t="s">
        <v>454</v>
      </c>
      <c r="C182" s="86"/>
      <c r="D182" s="30"/>
      <c r="E182" s="5"/>
      <c r="F182" s="5"/>
      <c r="G182" s="5"/>
      <c r="H182" s="5"/>
      <c r="I182" s="5"/>
      <c r="J182" s="5"/>
      <c r="K182" s="5"/>
      <c r="L182" s="5"/>
      <c r="M182" s="5"/>
      <c r="N182" s="5"/>
      <c r="O182" s="38">
        <f t="shared" si="14"/>
        <v>0</v>
      </c>
      <c r="P182" s="38">
        <f t="shared" si="15"/>
        <v>0</v>
      </c>
      <c r="Q182" s="38">
        <f t="shared" si="16"/>
        <v>0</v>
      </c>
      <c r="R182" s="38">
        <f t="shared" si="17"/>
        <v>0</v>
      </c>
      <c r="S182" s="38">
        <f t="shared" si="18"/>
        <v>0</v>
      </c>
      <c r="T182" s="38">
        <f t="shared" si="19"/>
        <v>0</v>
      </c>
      <c r="U182" s="38">
        <f t="shared" si="20"/>
        <v>0</v>
      </c>
      <c r="V182" s="55"/>
    </row>
    <row r="183" spans="2:22" s="50" customFormat="1" ht="11.25" hidden="1">
      <c r="B183" s="69" t="s">
        <v>454</v>
      </c>
      <c r="C183" s="86"/>
      <c r="D183" s="30"/>
      <c r="E183" s="5"/>
      <c r="F183" s="5"/>
      <c r="G183" s="5"/>
      <c r="H183" s="5"/>
      <c r="I183" s="5"/>
      <c r="J183" s="5"/>
      <c r="K183" s="5"/>
      <c r="L183" s="5"/>
      <c r="M183" s="5"/>
      <c r="N183" s="5"/>
      <c r="O183" s="38">
        <f t="shared" si="14"/>
        <v>0</v>
      </c>
      <c r="P183" s="38">
        <f t="shared" si="15"/>
        <v>0</v>
      </c>
      <c r="Q183" s="38">
        <f t="shared" si="16"/>
        <v>0</v>
      </c>
      <c r="R183" s="38">
        <f t="shared" si="17"/>
        <v>0</v>
      </c>
      <c r="S183" s="38">
        <f t="shared" si="18"/>
        <v>0</v>
      </c>
      <c r="T183" s="38">
        <f t="shared" si="19"/>
        <v>0</v>
      </c>
      <c r="U183" s="38">
        <f t="shared" si="20"/>
        <v>0</v>
      </c>
      <c r="V183" s="55"/>
    </row>
    <row r="184" spans="2:22" s="50" customFormat="1" ht="11.25" hidden="1">
      <c r="B184" s="69" t="s">
        <v>454</v>
      </c>
      <c r="C184" s="86"/>
      <c r="D184" s="30"/>
      <c r="E184" s="5"/>
      <c r="F184" s="5"/>
      <c r="G184" s="5"/>
      <c r="H184" s="5"/>
      <c r="I184" s="5"/>
      <c r="J184" s="5"/>
      <c r="K184" s="5"/>
      <c r="L184" s="5"/>
      <c r="M184" s="5"/>
      <c r="N184" s="5"/>
      <c r="O184" s="38">
        <f t="shared" si="14"/>
        <v>0</v>
      </c>
      <c r="P184" s="38">
        <f t="shared" si="15"/>
        <v>0</v>
      </c>
      <c r="Q184" s="38">
        <f t="shared" si="16"/>
        <v>0</v>
      </c>
      <c r="R184" s="38">
        <f t="shared" si="17"/>
        <v>0</v>
      </c>
      <c r="S184" s="38">
        <f t="shared" si="18"/>
        <v>0</v>
      </c>
      <c r="T184" s="38">
        <f t="shared" si="19"/>
        <v>0</v>
      </c>
      <c r="U184" s="38">
        <f t="shared" si="20"/>
        <v>0</v>
      </c>
      <c r="V184" s="55"/>
    </row>
    <row r="185" spans="2:22" s="50" customFormat="1" ht="11.25" hidden="1">
      <c r="B185" s="69" t="s">
        <v>454</v>
      </c>
      <c r="C185" s="86"/>
      <c r="D185" s="30"/>
      <c r="E185" s="5"/>
      <c r="F185" s="5"/>
      <c r="G185" s="5"/>
      <c r="H185" s="5"/>
      <c r="I185" s="5"/>
      <c r="J185" s="5"/>
      <c r="K185" s="5"/>
      <c r="L185" s="5"/>
      <c r="M185" s="5"/>
      <c r="N185" s="5"/>
      <c r="O185" s="38">
        <f t="shared" si="14"/>
        <v>0</v>
      </c>
      <c r="P185" s="38">
        <f t="shared" si="15"/>
        <v>0</v>
      </c>
      <c r="Q185" s="38">
        <f t="shared" si="16"/>
        <v>0</v>
      </c>
      <c r="R185" s="38">
        <f t="shared" si="17"/>
        <v>0</v>
      </c>
      <c r="S185" s="38">
        <f t="shared" si="18"/>
        <v>0</v>
      </c>
      <c r="T185" s="38">
        <f t="shared" si="19"/>
        <v>0</v>
      </c>
      <c r="U185" s="38">
        <f t="shared" si="20"/>
        <v>0</v>
      </c>
      <c r="V185" s="55"/>
    </row>
    <row r="186" spans="2:22" s="50" customFormat="1" ht="11.25" hidden="1">
      <c r="B186" s="69" t="s">
        <v>454</v>
      </c>
      <c r="C186" s="86"/>
      <c r="D186" s="30"/>
      <c r="E186" s="5"/>
      <c r="F186" s="5"/>
      <c r="G186" s="5"/>
      <c r="H186" s="5"/>
      <c r="I186" s="5"/>
      <c r="J186" s="5"/>
      <c r="K186" s="5"/>
      <c r="L186" s="5"/>
      <c r="M186" s="5"/>
      <c r="N186" s="5"/>
      <c r="O186" s="38">
        <f t="shared" si="14"/>
        <v>0</v>
      </c>
      <c r="P186" s="38">
        <f t="shared" si="15"/>
        <v>0</v>
      </c>
      <c r="Q186" s="38">
        <f t="shared" si="16"/>
        <v>0</v>
      </c>
      <c r="R186" s="38">
        <f t="shared" si="17"/>
        <v>0</v>
      </c>
      <c r="S186" s="38">
        <f t="shared" si="18"/>
        <v>0</v>
      </c>
      <c r="T186" s="38">
        <f t="shared" si="19"/>
        <v>0</v>
      </c>
      <c r="U186" s="38">
        <f t="shared" si="20"/>
        <v>0</v>
      </c>
      <c r="V186" s="55"/>
    </row>
    <row r="187" spans="2:22" s="50" customFormat="1" ht="11.25" hidden="1">
      <c r="B187" s="69" t="s">
        <v>454</v>
      </c>
      <c r="C187" s="86"/>
      <c r="D187" s="30"/>
      <c r="E187" s="5"/>
      <c r="F187" s="5"/>
      <c r="G187" s="5"/>
      <c r="H187" s="5"/>
      <c r="I187" s="5"/>
      <c r="J187" s="5"/>
      <c r="K187" s="5"/>
      <c r="L187" s="5"/>
      <c r="M187" s="5"/>
      <c r="N187" s="5"/>
      <c r="O187" s="38">
        <f t="shared" si="14"/>
        <v>0</v>
      </c>
      <c r="P187" s="38">
        <f t="shared" si="15"/>
        <v>0</v>
      </c>
      <c r="Q187" s="38">
        <f t="shared" si="16"/>
        <v>0</v>
      </c>
      <c r="R187" s="38">
        <f t="shared" si="17"/>
        <v>0</v>
      </c>
      <c r="S187" s="38">
        <f t="shared" si="18"/>
        <v>0</v>
      </c>
      <c r="T187" s="38">
        <f t="shared" si="19"/>
        <v>0</v>
      </c>
      <c r="U187" s="38">
        <f t="shared" si="20"/>
        <v>0</v>
      </c>
      <c r="V187" s="55"/>
    </row>
    <row r="188" spans="2:22" s="50" customFormat="1" ht="11.25" hidden="1">
      <c r="B188" s="69" t="s">
        <v>454</v>
      </c>
      <c r="C188" s="86"/>
      <c r="D188" s="30"/>
      <c r="E188" s="5"/>
      <c r="F188" s="5"/>
      <c r="G188" s="5"/>
      <c r="H188" s="5"/>
      <c r="I188" s="5"/>
      <c r="J188" s="5"/>
      <c r="K188" s="5"/>
      <c r="L188" s="5"/>
      <c r="M188" s="5"/>
      <c r="N188" s="5"/>
      <c r="O188" s="38">
        <f t="shared" si="14"/>
        <v>0</v>
      </c>
      <c r="P188" s="38">
        <f t="shared" si="15"/>
        <v>0</v>
      </c>
      <c r="Q188" s="38">
        <f t="shared" si="16"/>
        <v>0</v>
      </c>
      <c r="R188" s="38">
        <f t="shared" si="17"/>
        <v>0</v>
      </c>
      <c r="S188" s="38">
        <f t="shared" si="18"/>
        <v>0</v>
      </c>
      <c r="T188" s="38">
        <f t="shared" si="19"/>
        <v>0</v>
      </c>
      <c r="U188" s="38">
        <f t="shared" si="20"/>
        <v>0</v>
      </c>
      <c r="V188" s="55"/>
    </row>
    <row r="189" spans="2:22" s="50" customFormat="1" ht="11.25" hidden="1">
      <c r="B189" s="69" t="s">
        <v>454</v>
      </c>
      <c r="C189" s="86"/>
      <c r="D189" s="30"/>
      <c r="E189" s="5"/>
      <c r="F189" s="5"/>
      <c r="G189" s="5"/>
      <c r="H189" s="5"/>
      <c r="I189" s="5"/>
      <c r="J189" s="5"/>
      <c r="K189" s="5"/>
      <c r="L189" s="5"/>
      <c r="M189" s="5"/>
      <c r="N189" s="5"/>
      <c r="O189" s="38">
        <f t="shared" si="14"/>
        <v>0</v>
      </c>
      <c r="P189" s="38">
        <f t="shared" si="15"/>
        <v>0</v>
      </c>
      <c r="Q189" s="38">
        <f t="shared" si="16"/>
        <v>0</v>
      </c>
      <c r="R189" s="38">
        <f t="shared" si="17"/>
        <v>0</v>
      </c>
      <c r="S189" s="38">
        <f t="shared" si="18"/>
        <v>0</v>
      </c>
      <c r="T189" s="38">
        <f t="shared" si="19"/>
        <v>0</v>
      </c>
      <c r="U189" s="38">
        <f t="shared" si="20"/>
        <v>0</v>
      </c>
      <c r="V189" s="55"/>
    </row>
    <row r="190" spans="2:22" s="50" customFormat="1" ht="11.25" hidden="1">
      <c r="B190" s="69" t="s">
        <v>454</v>
      </c>
      <c r="C190" s="86"/>
      <c r="D190" s="30"/>
      <c r="E190" s="5"/>
      <c r="F190" s="5"/>
      <c r="G190" s="5"/>
      <c r="H190" s="5"/>
      <c r="I190" s="5"/>
      <c r="J190" s="5"/>
      <c r="K190" s="5"/>
      <c r="L190" s="5"/>
      <c r="M190" s="5"/>
      <c r="N190" s="5"/>
      <c r="O190" s="38">
        <f t="shared" si="14"/>
        <v>0</v>
      </c>
      <c r="P190" s="38">
        <f t="shared" si="15"/>
        <v>0</v>
      </c>
      <c r="Q190" s="38">
        <f t="shared" si="16"/>
        <v>0</v>
      </c>
      <c r="R190" s="38">
        <f t="shared" si="17"/>
        <v>0</v>
      </c>
      <c r="S190" s="38">
        <f t="shared" si="18"/>
        <v>0</v>
      </c>
      <c r="T190" s="38">
        <f t="shared" si="19"/>
        <v>0</v>
      </c>
      <c r="U190" s="38">
        <f t="shared" si="20"/>
        <v>0</v>
      </c>
      <c r="V190" s="55"/>
    </row>
    <row r="191" spans="2:22" s="50" customFormat="1" ht="11.25" hidden="1">
      <c r="B191" s="69" t="s">
        <v>454</v>
      </c>
      <c r="C191" s="86"/>
      <c r="D191" s="30"/>
      <c r="E191" s="5"/>
      <c r="F191" s="5"/>
      <c r="G191" s="5"/>
      <c r="H191" s="5"/>
      <c r="I191" s="5"/>
      <c r="J191" s="5"/>
      <c r="K191" s="5"/>
      <c r="L191" s="5"/>
      <c r="M191" s="5"/>
      <c r="N191" s="5"/>
      <c r="O191" s="38">
        <f t="shared" si="14"/>
        <v>0</v>
      </c>
      <c r="P191" s="38">
        <f t="shared" si="15"/>
        <v>0</v>
      </c>
      <c r="Q191" s="38">
        <f t="shared" si="16"/>
        <v>0</v>
      </c>
      <c r="R191" s="38">
        <f t="shared" si="17"/>
        <v>0</v>
      </c>
      <c r="S191" s="38">
        <f t="shared" si="18"/>
        <v>0</v>
      </c>
      <c r="T191" s="38">
        <f t="shared" si="19"/>
        <v>0</v>
      </c>
      <c r="U191" s="38">
        <f t="shared" si="20"/>
        <v>0</v>
      </c>
      <c r="V191" s="55"/>
    </row>
    <row r="192" spans="2:22" s="50" customFormat="1" ht="11.25" hidden="1">
      <c r="B192" s="69" t="s">
        <v>454</v>
      </c>
      <c r="C192" s="86"/>
      <c r="D192" s="30"/>
      <c r="E192" s="5"/>
      <c r="F192" s="5"/>
      <c r="G192" s="5"/>
      <c r="H192" s="5"/>
      <c r="I192" s="5"/>
      <c r="J192" s="5"/>
      <c r="K192" s="5"/>
      <c r="L192" s="5"/>
      <c r="M192" s="5"/>
      <c r="N192" s="5"/>
      <c r="O192" s="38">
        <f t="shared" si="14"/>
        <v>0</v>
      </c>
      <c r="P192" s="38">
        <f t="shared" si="15"/>
        <v>0</v>
      </c>
      <c r="Q192" s="38">
        <f t="shared" si="16"/>
        <v>0</v>
      </c>
      <c r="R192" s="38">
        <f t="shared" si="17"/>
        <v>0</v>
      </c>
      <c r="S192" s="38">
        <f t="shared" si="18"/>
        <v>0</v>
      </c>
      <c r="T192" s="38">
        <f t="shared" si="19"/>
        <v>0</v>
      </c>
      <c r="U192" s="38">
        <f t="shared" si="20"/>
        <v>0</v>
      </c>
      <c r="V192" s="55"/>
    </row>
    <row r="193" spans="2:22" s="50" customFormat="1" ht="11.25" hidden="1">
      <c r="B193" s="69" t="s">
        <v>454</v>
      </c>
      <c r="C193" s="86"/>
      <c r="D193" s="30"/>
      <c r="E193" s="5"/>
      <c r="F193" s="5"/>
      <c r="G193" s="5"/>
      <c r="H193" s="5"/>
      <c r="I193" s="5"/>
      <c r="J193" s="5"/>
      <c r="K193" s="5"/>
      <c r="L193" s="5"/>
      <c r="M193" s="5"/>
      <c r="N193" s="5"/>
      <c r="O193" s="38">
        <f t="shared" si="14"/>
        <v>0</v>
      </c>
      <c r="P193" s="38">
        <f t="shared" si="15"/>
        <v>0</v>
      </c>
      <c r="Q193" s="38">
        <f t="shared" si="16"/>
        <v>0</v>
      </c>
      <c r="R193" s="38">
        <f t="shared" si="17"/>
        <v>0</v>
      </c>
      <c r="S193" s="38">
        <f t="shared" si="18"/>
        <v>0</v>
      </c>
      <c r="T193" s="38">
        <f t="shared" si="19"/>
        <v>0</v>
      </c>
      <c r="U193" s="38">
        <f t="shared" si="20"/>
        <v>0</v>
      </c>
      <c r="V193" s="55"/>
    </row>
    <row r="194" spans="2:22" s="50" customFormat="1" ht="11.25" hidden="1">
      <c r="B194" s="69" t="s">
        <v>454</v>
      </c>
      <c r="C194" s="86"/>
      <c r="D194" s="30"/>
      <c r="E194" s="5"/>
      <c r="F194" s="5"/>
      <c r="G194" s="5"/>
      <c r="H194" s="5"/>
      <c r="I194" s="5"/>
      <c r="J194" s="5"/>
      <c r="K194" s="5"/>
      <c r="L194" s="5"/>
      <c r="M194" s="5"/>
      <c r="N194" s="5"/>
      <c r="O194" s="38">
        <f t="shared" si="14"/>
        <v>0</v>
      </c>
      <c r="P194" s="38">
        <f t="shared" si="15"/>
        <v>0</v>
      </c>
      <c r="Q194" s="38">
        <f t="shared" si="16"/>
        <v>0</v>
      </c>
      <c r="R194" s="38">
        <f t="shared" si="17"/>
        <v>0</v>
      </c>
      <c r="S194" s="38">
        <f t="shared" si="18"/>
        <v>0</v>
      </c>
      <c r="T194" s="38">
        <f t="shared" si="19"/>
        <v>0</v>
      </c>
      <c r="U194" s="38">
        <f t="shared" si="20"/>
        <v>0</v>
      </c>
      <c r="V194" s="55"/>
    </row>
    <row r="195" spans="2:22" s="50" customFormat="1" ht="11.25" hidden="1">
      <c r="B195" s="69" t="s">
        <v>454</v>
      </c>
      <c r="C195" s="86"/>
      <c r="D195" s="30"/>
      <c r="E195" s="5"/>
      <c r="F195" s="5"/>
      <c r="G195" s="5"/>
      <c r="H195" s="5"/>
      <c r="I195" s="5"/>
      <c r="J195" s="5"/>
      <c r="K195" s="5"/>
      <c r="L195" s="5"/>
      <c r="M195" s="5"/>
      <c r="N195" s="5"/>
      <c r="O195" s="38">
        <f t="shared" si="14"/>
        <v>0</v>
      </c>
      <c r="P195" s="38">
        <f t="shared" si="15"/>
        <v>0</v>
      </c>
      <c r="Q195" s="38">
        <f t="shared" si="16"/>
        <v>0</v>
      </c>
      <c r="R195" s="38">
        <f t="shared" si="17"/>
        <v>0</v>
      </c>
      <c r="S195" s="38">
        <f t="shared" si="18"/>
        <v>0</v>
      </c>
      <c r="T195" s="38">
        <f t="shared" si="19"/>
        <v>0</v>
      </c>
      <c r="U195" s="38">
        <f t="shared" si="20"/>
        <v>0</v>
      </c>
      <c r="V195" s="55"/>
    </row>
    <row r="196" spans="2:22" s="50" customFormat="1" ht="11.25" hidden="1">
      <c r="B196" s="69" t="s">
        <v>454</v>
      </c>
      <c r="C196" s="86"/>
      <c r="D196" s="30"/>
      <c r="E196" s="5"/>
      <c r="F196" s="5"/>
      <c r="G196" s="5"/>
      <c r="H196" s="5"/>
      <c r="I196" s="5"/>
      <c r="J196" s="5"/>
      <c r="K196" s="5"/>
      <c r="L196" s="5"/>
      <c r="M196" s="5"/>
      <c r="N196" s="5"/>
      <c r="O196" s="38">
        <f t="shared" si="14"/>
        <v>0</v>
      </c>
      <c r="P196" s="38">
        <f t="shared" si="15"/>
        <v>0</v>
      </c>
      <c r="Q196" s="38">
        <f t="shared" si="16"/>
        <v>0</v>
      </c>
      <c r="R196" s="38">
        <f t="shared" si="17"/>
        <v>0</v>
      </c>
      <c r="S196" s="38">
        <f t="shared" si="18"/>
        <v>0</v>
      </c>
      <c r="T196" s="38">
        <f t="shared" si="19"/>
        <v>0</v>
      </c>
      <c r="U196" s="38">
        <f t="shared" si="20"/>
        <v>0</v>
      </c>
      <c r="V196" s="55"/>
    </row>
    <row r="197" spans="2:22" s="50" customFormat="1" ht="11.25" hidden="1">
      <c r="B197" s="69" t="s">
        <v>454</v>
      </c>
      <c r="C197" s="86"/>
      <c r="D197" s="30"/>
      <c r="E197" s="5"/>
      <c r="F197" s="5"/>
      <c r="G197" s="5"/>
      <c r="H197" s="5"/>
      <c r="I197" s="5"/>
      <c r="J197" s="5"/>
      <c r="K197" s="5"/>
      <c r="L197" s="5"/>
      <c r="M197" s="5"/>
      <c r="N197" s="5"/>
      <c r="O197" s="38">
        <f t="shared" si="14"/>
        <v>0</v>
      </c>
      <c r="P197" s="38">
        <f t="shared" si="15"/>
        <v>0</v>
      </c>
      <c r="Q197" s="38">
        <f t="shared" si="16"/>
        <v>0</v>
      </c>
      <c r="R197" s="38">
        <f t="shared" si="17"/>
        <v>0</v>
      </c>
      <c r="S197" s="38">
        <f t="shared" si="18"/>
        <v>0</v>
      </c>
      <c r="T197" s="38">
        <f t="shared" si="19"/>
        <v>0</v>
      </c>
      <c r="U197" s="38">
        <f t="shared" si="20"/>
        <v>0</v>
      </c>
      <c r="V197" s="55"/>
    </row>
    <row r="198" spans="2:22" s="50" customFormat="1" ht="11.25" hidden="1">
      <c r="B198" s="69" t="s">
        <v>454</v>
      </c>
      <c r="C198" s="86"/>
      <c r="D198" s="30"/>
      <c r="E198" s="5"/>
      <c r="F198" s="5"/>
      <c r="G198" s="5"/>
      <c r="H198" s="5"/>
      <c r="I198" s="5"/>
      <c r="J198" s="5"/>
      <c r="K198" s="5"/>
      <c r="L198" s="5"/>
      <c r="M198" s="5"/>
      <c r="N198" s="5"/>
      <c r="O198" s="38">
        <f t="shared" si="14"/>
        <v>0</v>
      </c>
      <c r="P198" s="38">
        <f t="shared" si="15"/>
        <v>0</v>
      </c>
      <c r="Q198" s="38">
        <f t="shared" si="16"/>
        <v>0</v>
      </c>
      <c r="R198" s="38">
        <f t="shared" si="17"/>
        <v>0</v>
      </c>
      <c r="S198" s="38">
        <f t="shared" si="18"/>
        <v>0</v>
      </c>
      <c r="T198" s="38">
        <f t="shared" si="19"/>
        <v>0</v>
      </c>
      <c r="U198" s="38">
        <f t="shared" si="20"/>
        <v>0</v>
      </c>
      <c r="V198" s="55"/>
    </row>
    <row r="199" spans="2:22" s="50" customFormat="1" ht="11.25" hidden="1">
      <c r="B199" s="69" t="s">
        <v>454</v>
      </c>
      <c r="C199" s="86"/>
      <c r="D199" s="30"/>
      <c r="E199" s="5"/>
      <c r="F199" s="5"/>
      <c r="G199" s="5"/>
      <c r="H199" s="5"/>
      <c r="I199" s="5"/>
      <c r="J199" s="5"/>
      <c r="K199" s="5"/>
      <c r="L199" s="5"/>
      <c r="M199" s="5"/>
      <c r="N199" s="5"/>
      <c r="O199" s="38">
        <f t="shared" si="14"/>
        <v>0</v>
      </c>
      <c r="P199" s="38">
        <f t="shared" si="15"/>
        <v>0</v>
      </c>
      <c r="Q199" s="38">
        <f t="shared" si="16"/>
        <v>0</v>
      </c>
      <c r="R199" s="38">
        <f t="shared" si="17"/>
        <v>0</v>
      </c>
      <c r="S199" s="38">
        <f t="shared" si="18"/>
        <v>0</v>
      </c>
      <c r="T199" s="38">
        <f t="shared" si="19"/>
        <v>0</v>
      </c>
      <c r="U199" s="38">
        <f t="shared" si="20"/>
        <v>0</v>
      </c>
      <c r="V199" s="55"/>
    </row>
    <row r="200" spans="2:22" s="50" customFormat="1" ht="11.25" hidden="1">
      <c r="B200" s="69" t="s">
        <v>454</v>
      </c>
      <c r="C200" s="86"/>
      <c r="D200" s="30"/>
      <c r="E200" s="5"/>
      <c r="F200" s="5"/>
      <c r="G200" s="5"/>
      <c r="H200" s="5"/>
      <c r="I200" s="5"/>
      <c r="J200" s="5"/>
      <c r="K200" s="5"/>
      <c r="L200" s="5"/>
      <c r="M200" s="5"/>
      <c r="N200" s="5"/>
      <c r="O200" s="38">
        <f t="shared" si="14"/>
        <v>0</v>
      </c>
      <c r="P200" s="38">
        <f t="shared" si="15"/>
        <v>0</v>
      </c>
      <c r="Q200" s="38">
        <f t="shared" si="16"/>
        <v>0</v>
      </c>
      <c r="R200" s="38">
        <f t="shared" si="17"/>
        <v>0</v>
      </c>
      <c r="S200" s="38">
        <f t="shared" si="18"/>
        <v>0</v>
      </c>
      <c r="T200" s="38">
        <f t="shared" si="19"/>
        <v>0</v>
      </c>
      <c r="U200" s="38">
        <f t="shared" si="20"/>
        <v>0</v>
      </c>
      <c r="V200" s="55"/>
    </row>
    <row r="201" spans="2:22" s="50" customFormat="1" ht="11.25" hidden="1">
      <c r="B201" s="69" t="s">
        <v>454</v>
      </c>
      <c r="C201" s="86"/>
      <c r="D201" s="30"/>
      <c r="E201" s="5"/>
      <c r="F201" s="5"/>
      <c r="G201" s="5"/>
      <c r="H201" s="5"/>
      <c r="I201" s="5"/>
      <c r="J201" s="5"/>
      <c r="K201" s="5"/>
      <c r="L201" s="5"/>
      <c r="M201" s="5"/>
      <c r="N201" s="5"/>
      <c r="O201" s="38">
        <f t="shared" si="14"/>
        <v>0</v>
      </c>
      <c r="P201" s="38">
        <f t="shared" si="15"/>
        <v>0</v>
      </c>
      <c r="Q201" s="38">
        <f t="shared" si="16"/>
        <v>0</v>
      </c>
      <c r="R201" s="38">
        <f t="shared" si="17"/>
        <v>0</v>
      </c>
      <c r="S201" s="38">
        <f t="shared" si="18"/>
        <v>0</v>
      </c>
      <c r="T201" s="38">
        <f t="shared" si="19"/>
        <v>0</v>
      </c>
      <c r="U201" s="38">
        <f t="shared" si="20"/>
        <v>0</v>
      </c>
      <c r="V201" s="55"/>
    </row>
    <row r="202" spans="2:22" s="50" customFormat="1" ht="11.25" hidden="1">
      <c r="B202" s="69" t="s">
        <v>454</v>
      </c>
      <c r="C202" s="86"/>
      <c r="D202" s="30"/>
      <c r="E202" s="5"/>
      <c r="F202" s="5"/>
      <c r="G202" s="5"/>
      <c r="H202" s="5"/>
      <c r="I202" s="5"/>
      <c r="J202" s="5"/>
      <c r="K202" s="5"/>
      <c r="L202" s="5"/>
      <c r="M202" s="5"/>
      <c r="N202" s="5"/>
      <c r="O202" s="38">
        <f t="shared" ref="O202:O265" si="22">SUM(J202:N202)</f>
        <v>0</v>
      </c>
      <c r="P202" s="38">
        <f t="shared" ref="P202:P265" si="23">IF(I202=0,0,J202/I202*10)</f>
        <v>0</v>
      </c>
      <c r="Q202" s="38">
        <f t="shared" ref="Q202:Q265" si="24">IF(I202=0,0,L202/I202*10)</f>
        <v>0</v>
      </c>
      <c r="R202" s="38">
        <f t="shared" ref="R202:R265" si="25">IF(I202=0,0,M202/I202*10)</f>
        <v>0</v>
      </c>
      <c r="S202" s="38">
        <f t="shared" ref="S202:S265" si="26">IF(I202=0,0,N202/I202*10)</f>
        <v>0</v>
      </c>
      <c r="T202" s="38">
        <f t="shared" ref="T202:T265" si="27">IF(I202=0,0,K202/I202*10)</f>
        <v>0</v>
      </c>
      <c r="U202" s="38">
        <f t="shared" ref="U202:U265" si="28">IF(I202=0,0,O202/I202*10)</f>
        <v>0</v>
      </c>
      <c r="V202" s="55"/>
    </row>
    <row r="203" spans="2:22" s="50" customFormat="1" ht="11.25" hidden="1">
      <c r="B203" s="69" t="s">
        <v>454</v>
      </c>
      <c r="C203" s="86"/>
      <c r="D203" s="30"/>
      <c r="E203" s="5"/>
      <c r="F203" s="5"/>
      <c r="G203" s="5"/>
      <c r="H203" s="5"/>
      <c r="I203" s="5"/>
      <c r="J203" s="5"/>
      <c r="K203" s="5"/>
      <c r="L203" s="5"/>
      <c r="M203" s="5"/>
      <c r="N203" s="5"/>
      <c r="O203" s="38">
        <f t="shared" si="22"/>
        <v>0</v>
      </c>
      <c r="P203" s="38">
        <f t="shared" si="23"/>
        <v>0</v>
      </c>
      <c r="Q203" s="38">
        <f t="shared" si="24"/>
        <v>0</v>
      </c>
      <c r="R203" s="38">
        <f t="shared" si="25"/>
        <v>0</v>
      </c>
      <c r="S203" s="38">
        <f t="shared" si="26"/>
        <v>0</v>
      </c>
      <c r="T203" s="38">
        <f t="shared" si="27"/>
        <v>0</v>
      </c>
      <c r="U203" s="38">
        <f t="shared" si="28"/>
        <v>0</v>
      </c>
      <c r="V203" s="55"/>
    </row>
    <row r="204" spans="2:22" s="50" customFormat="1" ht="11.25" hidden="1">
      <c r="B204" s="69" t="s">
        <v>454</v>
      </c>
      <c r="C204" s="86"/>
      <c r="D204" s="30"/>
      <c r="E204" s="5"/>
      <c r="F204" s="5"/>
      <c r="G204" s="5"/>
      <c r="H204" s="5"/>
      <c r="I204" s="5"/>
      <c r="J204" s="5"/>
      <c r="K204" s="5"/>
      <c r="L204" s="5"/>
      <c r="M204" s="5"/>
      <c r="N204" s="5"/>
      <c r="O204" s="38">
        <f t="shared" si="22"/>
        <v>0</v>
      </c>
      <c r="P204" s="38">
        <f t="shared" si="23"/>
        <v>0</v>
      </c>
      <c r="Q204" s="38">
        <f t="shared" si="24"/>
        <v>0</v>
      </c>
      <c r="R204" s="38">
        <f t="shared" si="25"/>
        <v>0</v>
      </c>
      <c r="S204" s="38">
        <f t="shared" si="26"/>
        <v>0</v>
      </c>
      <c r="T204" s="38">
        <f t="shared" si="27"/>
        <v>0</v>
      </c>
      <c r="U204" s="38">
        <f t="shared" si="28"/>
        <v>0</v>
      </c>
      <c r="V204" s="55"/>
    </row>
    <row r="205" spans="2:22" s="50" customFormat="1" ht="11.25" hidden="1">
      <c r="B205" s="69" t="s">
        <v>454</v>
      </c>
      <c r="C205" s="86"/>
      <c r="D205" s="30"/>
      <c r="E205" s="5"/>
      <c r="F205" s="5"/>
      <c r="G205" s="5"/>
      <c r="H205" s="5"/>
      <c r="I205" s="5"/>
      <c r="J205" s="5"/>
      <c r="K205" s="5"/>
      <c r="L205" s="5"/>
      <c r="M205" s="5"/>
      <c r="N205" s="5"/>
      <c r="O205" s="38">
        <f t="shared" si="22"/>
        <v>0</v>
      </c>
      <c r="P205" s="38">
        <f t="shared" si="23"/>
        <v>0</v>
      </c>
      <c r="Q205" s="38">
        <f t="shared" si="24"/>
        <v>0</v>
      </c>
      <c r="R205" s="38">
        <f t="shared" si="25"/>
        <v>0</v>
      </c>
      <c r="S205" s="38">
        <f t="shared" si="26"/>
        <v>0</v>
      </c>
      <c r="T205" s="38">
        <f t="shared" si="27"/>
        <v>0</v>
      </c>
      <c r="U205" s="38">
        <f t="shared" si="28"/>
        <v>0</v>
      </c>
      <c r="V205" s="55"/>
    </row>
    <row r="206" spans="2:22" s="50" customFormat="1" ht="11.25" hidden="1">
      <c r="B206" s="69" t="s">
        <v>454</v>
      </c>
      <c r="C206" s="86"/>
      <c r="D206" s="30"/>
      <c r="E206" s="5"/>
      <c r="F206" s="5"/>
      <c r="G206" s="5"/>
      <c r="H206" s="5"/>
      <c r="I206" s="5"/>
      <c r="J206" s="5"/>
      <c r="K206" s="5"/>
      <c r="L206" s="5"/>
      <c r="M206" s="5"/>
      <c r="N206" s="5"/>
      <c r="O206" s="38">
        <f t="shared" si="22"/>
        <v>0</v>
      </c>
      <c r="P206" s="38">
        <f t="shared" si="23"/>
        <v>0</v>
      </c>
      <c r="Q206" s="38">
        <f t="shared" si="24"/>
        <v>0</v>
      </c>
      <c r="R206" s="38">
        <f t="shared" si="25"/>
        <v>0</v>
      </c>
      <c r="S206" s="38">
        <f t="shared" si="26"/>
        <v>0</v>
      </c>
      <c r="T206" s="38">
        <f t="shared" si="27"/>
        <v>0</v>
      </c>
      <c r="U206" s="38">
        <f t="shared" si="28"/>
        <v>0</v>
      </c>
      <c r="V206" s="55"/>
    </row>
    <row r="207" spans="2:22" s="50" customFormat="1" ht="11.25" hidden="1">
      <c r="B207" s="69" t="s">
        <v>454</v>
      </c>
      <c r="C207" s="86"/>
      <c r="D207" s="30"/>
      <c r="E207" s="5"/>
      <c r="F207" s="5"/>
      <c r="G207" s="5"/>
      <c r="H207" s="5"/>
      <c r="I207" s="5"/>
      <c r="J207" s="5"/>
      <c r="K207" s="5"/>
      <c r="L207" s="5"/>
      <c r="M207" s="5"/>
      <c r="N207" s="5"/>
      <c r="O207" s="38">
        <f t="shared" si="22"/>
        <v>0</v>
      </c>
      <c r="P207" s="38">
        <f t="shared" si="23"/>
        <v>0</v>
      </c>
      <c r="Q207" s="38">
        <f t="shared" si="24"/>
        <v>0</v>
      </c>
      <c r="R207" s="38">
        <f t="shared" si="25"/>
        <v>0</v>
      </c>
      <c r="S207" s="38">
        <f t="shared" si="26"/>
        <v>0</v>
      </c>
      <c r="T207" s="38">
        <f t="shared" si="27"/>
        <v>0</v>
      </c>
      <c r="U207" s="38">
        <f t="shared" si="28"/>
        <v>0</v>
      </c>
      <c r="V207" s="55"/>
    </row>
    <row r="208" spans="2:22" s="50" customFormat="1" ht="11.25" hidden="1">
      <c r="B208" s="69" t="s">
        <v>454</v>
      </c>
      <c r="C208" s="86"/>
      <c r="D208" s="30"/>
      <c r="E208" s="5"/>
      <c r="F208" s="5"/>
      <c r="G208" s="5"/>
      <c r="H208" s="5"/>
      <c r="I208" s="5"/>
      <c r="J208" s="5"/>
      <c r="K208" s="5"/>
      <c r="L208" s="5"/>
      <c r="M208" s="5"/>
      <c r="N208" s="5"/>
      <c r="O208" s="38">
        <f t="shared" si="22"/>
        <v>0</v>
      </c>
      <c r="P208" s="38">
        <f t="shared" si="23"/>
        <v>0</v>
      </c>
      <c r="Q208" s="38">
        <f t="shared" si="24"/>
        <v>0</v>
      </c>
      <c r="R208" s="38">
        <f t="shared" si="25"/>
        <v>0</v>
      </c>
      <c r="S208" s="38">
        <f t="shared" si="26"/>
        <v>0</v>
      </c>
      <c r="T208" s="38">
        <f t="shared" si="27"/>
        <v>0</v>
      </c>
      <c r="U208" s="38">
        <f t="shared" si="28"/>
        <v>0</v>
      </c>
      <c r="V208" s="55"/>
    </row>
    <row r="209" spans="2:22" s="50" customFormat="1" ht="11.25" hidden="1">
      <c r="B209" s="69" t="s">
        <v>454</v>
      </c>
      <c r="C209" s="86"/>
      <c r="D209" s="30"/>
      <c r="E209" s="5"/>
      <c r="F209" s="5"/>
      <c r="G209" s="5"/>
      <c r="H209" s="5"/>
      <c r="I209" s="5"/>
      <c r="J209" s="5"/>
      <c r="K209" s="5"/>
      <c r="L209" s="5"/>
      <c r="M209" s="5"/>
      <c r="N209" s="5"/>
      <c r="O209" s="38">
        <f t="shared" si="22"/>
        <v>0</v>
      </c>
      <c r="P209" s="38">
        <f t="shared" si="23"/>
        <v>0</v>
      </c>
      <c r="Q209" s="38">
        <f t="shared" si="24"/>
        <v>0</v>
      </c>
      <c r="R209" s="38">
        <f t="shared" si="25"/>
        <v>0</v>
      </c>
      <c r="S209" s="38">
        <f t="shared" si="26"/>
        <v>0</v>
      </c>
      <c r="T209" s="38">
        <f t="shared" si="27"/>
        <v>0</v>
      </c>
      <c r="U209" s="38">
        <f t="shared" si="28"/>
        <v>0</v>
      </c>
      <c r="V209" s="55"/>
    </row>
    <row r="210" spans="2:22" s="50" customFormat="1" ht="11.25" hidden="1">
      <c r="B210" s="69" t="s">
        <v>454</v>
      </c>
      <c r="C210" s="86"/>
      <c r="D210" s="30"/>
      <c r="E210" s="5"/>
      <c r="F210" s="5"/>
      <c r="G210" s="5"/>
      <c r="H210" s="5"/>
      <c r="I210" s="5"/>
      <c r="J210" s="5"/>
      <c r="K210" s="5"/>
      <c r="L210" s="5"/>
      <c r="M210" s="5"/>
      <c r="N210" s="5"/>
      <c r="O210" s="38">
        <f t="shared" si="22"/>
        <v>0</v>
      </c>
      <c r="P210" s="38">
        <f t="shared" si="23"/>
        <v>0</v>
      </c>
      <c r="Q210" s="38">
        <f t="shared" si="24"/>
        <v>0</v>
      </c>
      <c r="R210" s="38">
        <f t="shared" si="25"/>
        <v>0</v>
      </c>
      <c r="S210" s="38">
        <f t="shared" si="26"/>
        <v>0</v>
      </c>
      <c r="T210" s="38">
        <f t="shared" si="27"/>
        <v>0</v>
      </c>
      <c r="U210" s="38">
        <f t="shared" si="28"/>
        <v>0</v>
      </c>
      <c r="V210" s="55"/>
    </row>
    <row r="211" spans="2:22" s="50" customFormat="1" ht="11.25" hidden="1">
      <c r="B211" s="69" t="s">
        <v>454</v>
      </c>
      <c r="C211" s="86"/>
      <c r="D211" s="30"/>
      <c r="E211" s="5"/>
      <c r="F211" s="5"/>
      <c r="G211" s="5"/>
      <c r="H211" s="5"/>
      <c r="I211" s="5"/>
      <c r="J211" s="5"/>
      <c r="K211" s="5"/>
      <c r="L211" s="5"/>
      <c r="M211" s="5"/>
      <c r="N211" s="5"/>
      <c r="O211" s="38">
        <f t="shared" si="22"/>
        <v>0</v>
      </c>
      <c r="P211" s="38">
        <f t="shared" si="23"/>
        <v>0</v>
      </c>
      <c r="Q211" s="38">
        <f t="shared" si="24"/>
        <v>0</v>
      </c>
      <c r="R211" s="38">
        <f t="shared" si="25"/>
        <v>0</v>
      </c>
      <c r="S211" s="38">
        <f t="shared" si="26"/>
        <v>0</v>
      </c>
      <c r="T211" s="38">
        <f t="shared" si="27"/>
        <v>0</v>
      </c>
      <c r="U211" s="38">
        <f t="shared" si="28"/>
        <v>0</v>
      </c>
      <c r="V211" s="55"/>
    </row>
    <row r="212" spans="2:22" s="50" customFormat="1" ht="11.25" hidden="1">
      <c r="B212" s="69" t="s">
        <v>454</v>
      </c>
      <c r="C212" s="86"/>
      <c r="D212" s="30"/>
      <c r="E212" s="5"/>
      <c r="F212" s="5"/>
      <c r="G212" s="5"/>
      <c r="H212" s="5"/>
      <c r="I212" s="5"/>
      <c r="J212" s="5"/>
      <c r="K212" s="5"/>
      <c r="L212" s="5"/>
      <c r="M212" s="5"/>
      <c r="N212" s="5"/>
      <c r="O212" s="38">
        <f t="shared" si="22"/>
        <v>0</v>
      </c>
      <c r="P212" s="38">
        <f t="shared" si="23"/>
        <v>0</v>
      </c>
      <c r="Q212" s="38">
        <f t="shared" si="24"/>
        <v>0</v>
      </c>
      <c r="R212" s="38">
        <f t="shared" si="25"/>
        <v>0</v>
      </c>
      <c r="S212" s="38">
        <f t="shared" si="26"/>
        <v>0</v>
      </c>
      <c r="T212" s="38">
        <f t="shared" si="27"/>
        <v>0</v>
      </c>
      <c r="U212" s="38">
        <f t="shared" si="28"/>
        <v>0</v>
      </c>
      <c r="V212" s="55"/>
    </row>
    <row r="213" spans="2:22" s="50" customFormat="1" ht="11.25" hidden="1">
      <c r="B213" s="69" t="s">
        <v>454</v>
      </c>
      <c r="C213" s="86"/>
      <c r="D213" s="30"/>
      <c r="E213" s="5"/>
      <c r="F213" s="5"/>
      <c r="G213" s="5"/>
      <c r="H213" s="5"/>
      <c r="I213" s="5"/>
      <c r="J213" s="5"/>
      <c r="K213" s="5"/>
      <c r="L213" s="5"/>
      <c r="M213" s="5"/>
      <c r="N213" s="5"/>
      <c r="O213" s="38">
        <f t="shared" si="22"/>
        <v>0</v>
      </c>
      <c r="P213" s="38">
        <f t="shared" si="23"/>
        <v>0</v>
      </c>
      <c r="Q213" s="38">
        <f t="shared" si="24"/>
        <v>0</v>
      </c>
      <c r="R213" s="38">
        <f t="shared" si="25"/>
        <v>0</v>
      </c>
      <c r="S213" s="38">
        <f t="shared" si="26"/>
        <v>0</v>
      </c>
      <c r="T213" s="38">
        <f t="shared" si="27"/>
        <v>0</v>
      </c>
      <c r="U213" s="38">
        <f t="shared" si="28"/>
        <v>0</v>
      </c>
      <c r="V213" s="55"/>
    </row>
    <row r="214" spans="2:22" s="50" customFormat="1" ht="11.25" hidden="1">
      <c r="B214" s="69" t="s">
        <v>454</v>
      </c>
      <c r="C214" s="86"/>
      <c r="D214" s="30"/>
      <c r="E214" s="5"/>
      <c r="F214" s="5"/>
      <c r="G214" s="5"/>
      <c r="H214" s="5"/>
      <c r="I214" s="5"/>
      <c r="J214" s="5"/>
      <c r="K214" s="5"/>
      <c r="L214" s="5"/>
      <c r="M214" s="5"/>
      <c r="N214" s="5"/>
      <c r="O214" s="38">
        <f t="shared" si="22"/>
        <v>0</v>
      </c>
      <c r="P214" s="38">
        <f t="shared" si="23"/>
        <v>0</v>
      </c>
      <c r="Q214" s="38">
        <f t="shared" si="24"/>
        <v>0</v>
      </c>
      <c r="R214" s="38">
        <f t="shared" si="25"/>
        <v>0</v>
      </c>
      <c r="S214" s="38">
        <f t="shared" si="26"/>
        <v>0</v>
      </c>
      <c r="T214" s="38">
        <f t="shared" si="27"/>
        <v>0</v>
      </c>
      <c r="U214" s="38">
        <f t="shared" si="28"/>
        <v>0</v>
      </c>
      <c r="V214" s="55"/>
    </row>
    <row r="215" spans="2:22" s="50" customFormat="1" ht="11.25" hidden="1">
      <c r="B215" s="69" t="s">
        <v>454</v>
      </c>
      <c r="C215" s="86"/>
      <c r="D215" s="30"/>
      <c r="E215" s="5"/>
      <c r="F215" s="5"/>
      <c r="G215" s="5"/>
      <c r="H215" s="5"/>
      <c r="I215" s="5"/>
      <c r="J215" s="5"/>
      <c r="K215" s="5"/>
      <c r="L215" s="5"/>
      <c r="M215" s="5"/>
      <c r="N215" s="5"/>
      <c r="O215" s="38">
        <f t="shared" si="22"/>
        <v>0</v>
      </c>
      <c r="P215" s="38">
        <f t="shared" si="23"/>
        <v>0</v>
      </c>
      <c r="Q215" s="38">
        <f t="shared" si="24"/>
        <v>0</v>
      </c>
      <c r="R215" s="38">
        <f t="shared" si="25"/>
        <v>0</v>
      </c>
      <c r="S215" s="38">
        <f t="shared" si="26"/>
        <v>0</v>
      </c>
      <c r="T215" s="38">
        <f t="shared" si="27"/>
        <v>0</v>
      </c>
      <c r="U215" s="38">
        <f t="shared" si="28"/>
        <v>0</v>
      </c>
      <c r="V215" s="55"/>
    </row>
    <row r="216" spans="2:22" s="50" customFormat="1" ht="11.25" hidden="1">
      <c r="B216" s="69" t="s">
        <v>454</v>
      </c>
      <c r="C216" s="86"/>
      <c r="D216" s="30"/>
      <c r="E216" s="5"/>
      <c r="F216" s="5"/>
      <c r="G216" s="5"/>
      <c r="H216" s="5"/>
      <c r="I216" s="5"/>
      <c r="J216" s="5"/>
      <c r="K216" s="5"/>
      <c r="L216" s="5"/>
      <c r="M216" s="5"/>
      <c r="N216" s="5"/>
      <c r="O216" s="38">
        <f t="shared" si="22"/>
        <v>0</v>
      </c>
      <c r="P216" s="38">
        <f t="shared" si="23"/>
        <v>0</v>
      </c>
      <c r="Q216" s="38">
        <f t="shared" si="24"/>
        <v>0</v>
      </c>
      <c r="R216" s="38">
        <f t="shared" si="25"/>
        <v>0</v>
      </c>
      <c r="S216" s="38">
        <f t="shared" si="26"/>
        <v>0</v>
      </c>
      <c r="T216" s="38">
        <f t="shared" si="27"/>
        <v>0</v>
      </c>
      <c r="U216" s="38">
        <f t="shared" si="28"/>
        <v>0</v>
      </c>
      <c r="V216" s="55"/>
    </row>
    <row r="217" spans="2:22" s="50" customFormat="1" ht="11.25" hidden="1">
      <c r="B217" s="69" t="s">
        <v>454</v>
      </c>
      <c r="C217" s="86"/>
      <c r="D217" s="30"/>
      <c r="E217" s="5"/>
      <c r="F217" s="5"/>
      <c r="G217" s="5"/>
      <c r="H217" s="5"/>
      <c r="I217" s="5"/>
      <c r="J217" s="5"/>
      <c r="K217" s="5"/>
      <c r="L217" s="5"/>
      <c r="M217" s="5"/>
      <c r="N217" s="5"/>
      <c r="O217" s="38">
        <f t="shared" si="22"/>
        <v>0</v>
      </c>
      <c r="P217" s="38">
        <f t="shared" si="23"/>
        <v>0</v>
      </c>
      <c r="Q217" s="38">
        <f t="shared" si="24"/>
        <v>0</v>
      </c>
      <c r="R217" s="38">
        <f t="shared" si="25"/>
        <v>0</v>
      </c>
      <c r="S217" s="38">
        <f t="shared" si="26"/>
        <v>0</v>
      </c>
      <c r="T217" s="38">
        <f t="shared" si="27"/>
        <v>0</v>
      </c>
      <c r="U217" s="38">
        <f t="shared" si="28"/>
        <v>0</v>
      </c>
      <c r="V217" s="55"/>
    </row>
    <row r="218" spans="2:22" s="50" customFormat="1" ht="11.25" hidden="1">
      <c r="B218" s="69" t="s">
        <v>454</v>
      </c>
      <c r="C218" s="86"/>
      <c r="D218" s="30"/>
      <c r="E218" s="5"/>
      <c r="F218" s="5"/>
      <c r="G218" s="5"/>
      <c r="H218" s="5"/>
      <c r="I218" s="5"/>
      <c r="J218" s="5"/>
      <c r="K218" s="5"/>
      <c r="L218" s="5"/>
      <c r="M218" s="5"/>
      <c r="N218" s="5"/>
      <c r="O218" s="38">
        <f t="shared" si="22"/>
        <v>0</v>
      </c>
      <c r="P218" s="38">
        <f t="shared" si="23"/>
        <v>0</v>
      </c>
      <c r="Q218" s="38">
        <f t="shared" si="24"/>
        <v>0</v>
      </c>
      <c r="R218" s="38">
        <f t="shared" si="25"/>
        <v>0</v>
      </c>
      <c r="S218" s="38">
        <f t="shared" si="26"/>
        <v>0</v>
      </c>
      <c r="T218" s="38">
        <f t="shared" si="27"/>
        <v>0</v>
      </c>
      <c r="U218" s="38">
        <f t="shared" si="28"/>
        <v>0</v>
      </c>
      <c r="V218" s="55"/>
    </row>
    <row r="219" spans="2:22" s="50" customFormat="1" ht="11.25" hidden="1">
      <c r="B219" s="69" t="s">
        <v>454</v>
      </c>
      <c r="C219" s="86"/>
      <c r="D219" s="30"/>
      <c r="E219" s="5"/>
      <c r="F219" s="5"/>
      <c r="G219" s="5"/>
      <c r="H219" s="5"/>
      <c r="I219" s="5"/>
      <c r="J219" s="5"/>
      <c r="K219" s="5"/>
      <c r="L219" s="5"/>
      <c r="M219" s="5"/>
      <c r="N219" s="5"/>
      <c r="O219" s="38">
        <f t="shared" si="22"/>
        <v>0</v>
      </c>
      <c r="P219" s="38">
        <f t="shared" si="23"/>
        <v>0</v>
      </c>
      <c r="Q219" s="38">
        <f t="shared" si="24"/>
        <v>0</v>
      </c>
      <c r="R219" s="38">
        <f t="shared" si="25"/>
        <v>0</v>
      </c>
      <c r="S219" s="38">
        <f t="shared" si="26"/>
        <v>0</v>
      </c>
      <c r="T219" s="38">
        <f t="shared" si="27"/>
        <v>0</v>
      </c>
      <c r="U219" s="38">
        <f t="shared" si="28"/>
        <v>0</v>
      </c>
      <c r="V219" s="55"/>
    </row>
    <row r="220" spans="2:22" s="50" customFormat="1" ht="11.25" hidden="1">
      <c r="B220" s="69" t="s">
        <v>454</v>
      </c>
      <c r="C220" s="86"/>
      <c r="D220" s="30"/>
      <c r="E220" s="5"/>
      <c r="F220" s="5"/>
      <c r="G220" s="5"/>
      <c r="H220" s="5"/>
      <c r="I220" s="5"/>
      <c r="J220" s="5"/>
      <c r="K220" s="5"/>
      <c r="L220" s="5"/>
      <c r="M220" s="5"/>
      <c r="N220" s="5"/>
      <c r="O220" s="38">
        <f t="shared" si="22"/>
        <v>0</v>
      </c>
      <c r="P220" s="38">
        <f t="shared" si="23"/>
        <v>0</v>
      </c>
      <c r="Q220" s="38">
        <f t="shared" si="24"/>
        <v>0</v>
      </c>
      <c r="R220" s="38">
        <f t="shared" si="25"/>
        <v>0</v>
      </c>
      <c r="S220" s="38">
        <f t="shared" si="26"/>
        <v>0</v>
      </c>
      <c r="T220" s="38">
        <f t="shared" si="27"/>
        <v>0</v>
      </c>
      <c r="U220" s="38">
        <f t="shared" si="28"/>
        <v>0</v>
      </c>
      <c r="V220" s="55"/>
    </row>
    <row r="221" spans="2:22" s="50" customFormat="1" ht="11.25" hidden="1">
      <c r="B221" s="69" t="s">
        <v>454</v>
      </c>
      <c r="C221" s="86"/>
      <c r="D221" s="30"/>
      <c r="E221" s="5"/>
      <c r="F221" s="5"/>
      <c r="G221" s="5"/>
      <c r="H221" s="5"/>
      <c r="I221" s="5"/>
      <c r="J221" s="5"/>
      <c r="K221" s="5"/>
      <c r="L221" s="5"/>
      <c r="M221" s="5"/>
      <c r="N221" s="5"/>
      <c r="O221" s="38">
        <f t="shared" si="22"/>
        <v>0</v>
      </c>
      <c r="P221" s="38">
        <f t="shared" si="23"/>
        <v>0</v>
      </c>
      <c r="Q221" s="38">
        <f t="shared" si="24"/>
        <v>0</v>
      </c>
      <c r="R221" s="38">
        <f t="shared" si="25"/>
        <v>0</v>
      </c>
      <c r="S221" s="38">
        <f t="shared" si="26"/>
        <v>0</v>
      </c>
      <c r="T221" s="38">
        <f t="shared" si="27"/>
        <v>0</v>
      </c>
      <c r="U221" s="38">
        <f t="shared" si="28"/>
        <v>0</v>
      </c>
      <c r="V221" s="55"/>
    </row>
    <row r="222" spans="2:22" s="50" customFormat="1" ht="11.25" hidden="1">
      <c r="B222" s="69" t="s">
        <v>454</v>
      </c>
      <c r="C222" s="86"/>
      <c r="D222" s="30"/>
      <c r="E222" s="5"/>
      <c r="F222" s="5"/>
      <c r="G222" s="5"/>
      <c r="H222" s="5"/>
      <c r="I222" s="5"/>
      <c r="J222" s="5"/>
      <c r="K222" s="5"/>
      <c r="L222" s="5"/>
      <c r="M222" s="5"/>
      <c r="N222" s="5"/>
      <c r="O222" s="38">
        <f t="shared" si="22"/>
        <v>0</v>
      </c>
      <c r="P222" s="38">
        <f t="shared" si="23"/>
        <v>0</v>
      </c>
      <c r="Q222" s="38">
        <f t="shared" si="24"/>
        <v>0</v>
      </c>
      <c r="R222" s="38">
        <f t="shared" si="25"/>
        <v>0</v>
      </c>
      <c r="S222" s="38">
        <f t="shared" si="26"/>
        <v>0</v>
      </c>
      <c r="T222" s="38">
        <f t="shared" si="27"/>
        <v>0</v>
      </c>
      <c r="U222" s="38">
        <f t="shared" si="28"/>
        <v>0</v>
      </c>
      <c r="V222" s="55"/>
    </row>
    <row r="223" spans="2:22" s="50" customFormat="1" ht="11.25" hidden="1">
      <c r="B223" s="69" t="s">
        <v>454</v>
      </c>
      <c r="C223" s="86"/>
      <c r="D223" s="30"/>
      <c r="E223" s="5"/>
      <c r="F223" s="5"/>
      <c r="G223" s="5"/>
      <c r="H223" s="5"/>
      <c r="I223" s="5"/>
      <c r="J223" s="5"/>
      <c r="K223" s="5"/>
      <c r="L223" s="5"/>
      <c r="M223" s="5"/>
      <c r="N223" s="5"/>
      <c r="O223" s="38">
        <f t="shared" si="22"/>
        <v>0</v>
      </c>
      <c r="P223" s="38">
        <f t="shared" si="23"/>
        <v>0</v>
      </c>
      <c r="Q223" s="38">
        <f t="shared" si="24"/>
        <v>0</v>
      </c>
      <c r="R223" s="38">
        <f t="shared" si="25"/>
        <v>0</v>
      </c>
      <c r="S223" s="38">
        <f t="shared" si="26"/>
        <v>0</v>
      </c>
      <c r="T223" s="38">
        <f t="shared" si="27"/>
        <v>0</v>
      </c>
      <c r="U223" s="38">
        <f t="shared" si="28"/>
        <v>0</v>
      </c>
      <c r="V223" s="55"/>
    </row>
    <row r="224" spans="2:22" s="50" customFormat="1" ht="11.25" hidden="1">
      <c r="B224" s="69" t="s">
        <v>454</v>
      </c>
      <c r="C224" s="86"/>
      <c r="D224" s="30"/>
      <c r="E224" s="5"/>
      <c r="F224" s="5"/>
      <c r="G224" s="5"/>
      <c r="H224" s="5"/>
      <c r="I224" s="5"/>
      <c r="J224" s="5"/>
      <c r="K224" s="5"/>
      <c r="L224" s="5"/>
      <c r="M224" s="5"/>
      <c r="N224" s="5"/>
      <c r="O224" s="38">
        <f t="shared" si="22"/>
        <v>0</v>
      </c>
      <c r="P224" s="38">
        <f t="shared" si="23"/>
        <v>0</v>
      </c>
      <c r="Q224" s="38">
        <f t="shared" si="24"/>
        <v>0</v>
      </c>
      <c r="R224" s="38">
        <f t="shared" si="25"/>
        <v>0</v>
      </c>
      <c r="S224" s="38">
        <f t="shared" si="26"/>
        <v>0</v>
      </c>
      <c r="T224" s="38">
        <f t="shared" si="27"/>
        <v>0</v>
      </c>
      <c r="U224" s="38">
        <f t="shared" si="28"/>
        <v>0</v>
      </c>
      <c r="V224" s="55"/>
    </row>
    <row r="225" spans="2:22" s="50" customFormat="1" ht="11.25" hidden="1">
      <c r="B225" s="69" t="s">
        <v>454</v>
      </c>
      <c r="C225" s="86"/>
      <c r="D225" s="30"/>
      <c r="E225" s="5"/>
      <c r="F225" s="5"/>
      <c r="G225" s="5"/>
      <c r="H225" s="5"/>
      <c r="I225" s="5"/>
      <c r="J225" s="5"/>
      <c r="K225" s="5"/>
      <c r="L225" s="5"/>
      <c r="M225" s="5"/>
      <c r="N225" s="5"/>
      <c r="O225" s="38">
        <f t="shared" si="22"/>
        <v>0</v>
      </c>
      <c r="P225" s="38">
        <f t="shared" si="23"/>
        <v>0</v>
      </c>
      <c r="Q225" s="38">
        <f t="shared" si="24"/>
        <v>0</v>
      </c>
      <c r="R225" s="38">
        <f t="shared" si="25"/>
        <v>0</v>
      </c>
      <c r="S225" s="38">
        <f t="shared" si="26"/>
        <v>0</v>
      </c>
      <c r="T225" s="38">
        <f t="shared" si="27"/>
        <v>0</v>
      </c>
      <c r="U225" s="38">
        <f t="shared" si="28"/>
        <v>0</v>
      </c>
      <c r="V225" s="55"/>
    </row>
    <row r="226" spans="2:22" s="50" customFormat="1" ht="11.25" hidden="1">
      <c r="B226" s="69" t="s">
        <v>454</v>
      </c>
      <c r="C226" s="86"/>
      <c r="D226" s="30"/>
      <c r="E226" s="5"/>
      <c r="F226" s="5"/>
      <c r="G226" s="5"/>
      <c r="H226" s="5"/>
      <c r="I226" s="5"/>
      <c r="J226" s="5"/>
      <c r="K226" s="5"/>
      <c r="L226" s="5"/>
      <c r="M226" s="5"/>
      <c r="N226" s="5"/>
      <c r="O226" s="38">
        <f t="shared" si="22"/>
        <v>0</v>
      </c>
      <c r="P226" s="38">
        <f t="shared" si="23"/>
        <v>0</v>
      </c>
      <c r="Q226" s="38">
        <f t="shared" si="24"/>
        <v>0</v>
      </c>
      <c r="R226" s="38">
        <f t="shared" si="25"/>
        <v>0</v>
      </c>
      <c r="S226" s="38">
        <f t="shared" si="26"/>
        <v>0</v>
      </c>
      <c r="T226" s="38">
        <f t="shared" si="27"/>
        <v>0</v>
      </c>
      <c r="U226" s="38">
        <f t="shared" si="28"/>
        <v>0</v>
      </c>
      <c r="V226" s="55"/>
    </row>
    <row r="227" spans="2:22" s="50" customFormat="1" ht="11.25" hidden="1">
      <c r="B227" s="69" t="s">
        <v>454</v>
      </c>
      <c r="C227" s="86"/>
      <c r="D227" s="30"/>
      <c r="E227" s="5"/>
      <c r="F227" s="5"/>
      <c r="G227" s="5"/>
      <c r="H227" s="5"/>
      <c r="I227" s="5"/>
      <c r="J227" s="5"/>
      <c r="K227" s="5"/>
      <c r="L227" s="5"/>
      <c r="M227" s="5"/>
      <c r="N227" s="5"/>
      <c r="O227" s="38">
        <f t="shared" si="22"/>
        <v>0</v>
      </c>
      <c r="P227" s="38">
        <f t="shared" si="23"/>
        <v>0</v>
      </c>
      <c r="Q227" s="38">
        <f t="shared" si="24"/>
        <v>0</v>
      </c>
      <c r="R227" s="38">
        <f t="shared" si="25"/>
        <v>0</v>
      </c>
      <c r="S227" s="38">
        <f t="shared" si="26"/>
        <v>0</v>
      </c>
      <c r="T227" s="38">
        <f t="shared" si="27"/>
        <v>0</v>
      </c>
      <c r="U227" s="38">
        <f t="shared" si="28"/>
        <v>0</v>
      </c>
      <c r="V227" s="55"/>
    </row>
    <row r="228" spans="2:22" s="50" customFormat="1" ht="11.25" hidden="1">
      <c r="B228" s="69" t="s">
        <v>454</v>
      </c>
      <c r="C228" s="86"/>
      <c r="D228" s="30"/>
      <c r="E228" s="5"/>
      <c r="F228" s="5"/>
      <c r="G228" s="5"/>
      <c r="H228" s="5"/>
      <c r="I228" s="5"/>
      <c r="J228" s="5"/>
      <c r="K228" s="5"/>
      <c r="L228" s="5"/>
      <c r="M228" s="5"/>
      <c r="N228" s="5"/>
      <c r="O228" s="38">
        <f t="shared" si="22"/>
        <v>0</v>
      </c>
      <c r="P228" s="38">
        <f t="shared" si="23"/>
        <v>0</v>
      </c>
      <c r="Q228" s="38">
        <f t="shared" si="24"/>
        <v>0</v>
      </c>
      <c r="R228" s="38">
        <f t="shared" si="25"/>
        <v>0</v>
      </c>
      <c r="S228" s="38">
        <f t="shared" si="26"/>
        <v>0</v>
      </c>
      <c r="T228" s="38">
        <f t="shared" si="27"/>
        <v>0</v>
      </c>
      <c r="U228" s="38">
        <f t="shared" si="28"/>
        <v>0</v>
      </c>
      <c r="V228" s="55"/>
    </row>
    <row r="229" spans="2:22" s="50" customFormat="1" ht="11.25" hidden="1">
      <c r="B229" s="69" t="s">
        <v>454</v>
      </c>
      <c r="C229" s="86"/>
      <c r="D229" s="30"/>
      <c r="E229" s="5"/>
      <c r="F229" s="5"/>
      <c r="G229" s="5"/>
      <c r="H229" s="5"/>
      <c r="I229" s="5"/>
      <c r="J229" s="5"/>
      <c r="K229" s="5"/>
      <c r="L229" s="5"/>
      <c r="M229" s="5"/>
      <c r="N229" s="5"/>
      <c r="O229" s="38">
        <f t="shared" si="22"/>
        <v>0</v>
      </c>
      <c r="P229" s="38">
        <f t="shared" si="23"/>
        <v>0</v>
      </c>
      <c r="Q229" s="38">
        <f t="shared" si="24"/>
        <v>0</v>
      </c>
      <c r="R229" s="38">
        <f t="shared" si="25"/>
        <v>0</v>
      </c>
      <c r="S229" s="38">
        <f t="shared" si="26"/>
        <v>0</v>
      </c>
      <c r="T229" s="38">
        <f t="shared" si="27"/>
        <v>0</v>
      </c>
      <c r="U229" s="38">
        <f t="shared" si="28"/>
        <v>0</v>
      </c>
      <c r="V229" s="55"/>
    </row>
    <row r="230" spans="2:22" s="50" customFormat="1" ht="11.25" hidden="1">
      <c r="B230" s="69" t="s">
        <v>454</v>
      </c>
      <c r="C230" s="86"/>
      <c r="D230" s="30"/>
      <c r="E230" s="5"/>
      <c r="F230" s="5"/>
      <c r="G230" s="5"/>
      <c r="H230" s="5"/>
      <c r="I230" s="5"/>
      <c r="J230" s="5"/>
      <c r="K230" s="5"/>
      <c r="L230" s="5"/>
      <c r="M230" s="5"/>
      <c r="N230" s="5"/>
      <c r="O230" s="38">
        <f t="shared" si="22"/>
        <v>0</v>
      </c>
      <c r="P230" s="38">
        <f t="shared" si="23"/>
        <v>0</v>
      </c>
      <c r="Q230" s="38">
        <f t="shared" si="24"/>
        <v>0</v>
      </c>
      <c r="R230" s="38">
        <f t="shared" si="25"/>
        <v>0</v>
      </c>
      <c r="S230" s="38">
        <f t="shared" si="26"/>
        <v>0</v>
      </c>
      <c r="T230" s="38">
        <f t="shared" si="27"/>
        <v>0</v>
      </c>
      <c r="U230" s="38">
        <f t="shared" si="28"/>
        <v>0</v>
      </c>
      <c r="V230" s="55"/>
    </row>
    <row r="231" spans="2:22" s="50" customFormat="1" ht="11.25" hidden="1">
      <c r="B231" s="69" t="s">
        <v>454</v>
      </c>
      <c r="C231" s="86"/>
      <c r="D231" s="30"/>
      <c r="E231" s="5"/>
      <c r="F231" s="5"/>
      <c r="G231" s="5"/>
      <c r="H231" s="5"/>
      <c r="I231" s="5"/>
      <c r="J231" s="5"/>
      <c r="K231" s="5"/>
      <c r="L231" s="5"/>
      <c r="M231" s="5"/>
      <c r="N231" s="5"/>
      <c r="O231" s="38">
        <f t="shared" si="22"/>
        <v>0</v>
      </c>
      <c r="P231" s="38">
        <f t="shared" si="23"/>
        <v>0</v>
      </c>
      <c r="Q231" s="38">
        <f t="shared" si="24"/>
        <v>0</v>
      </c>
      <c r="R231" s="38">
        <f t="shared" si="25"/>
        <v>0</v>
      </c>
      <c r="S231" s="38">
        <f t="shared" si="26"/>
        <v>0</v>
      </c>
      <c r="T231" s="38">
        <f t="shared" si="27"/>
        <v>0</v>
      </c>
      <c r="U231" s="38">
        <f t="shared" si="28"/>
        <v>0</v>
      </c>
      <c r="V231" s="55"/>
    </row>
    <row r="232" spans="2:22" s="50" customFormat="1" ht="11.25" hidden="1">
      <c r="B232" s="69" t="s">
        <v>454</v>
      </c>
      <c r="C232" s="86"/>
      <c r="D232" s="30"/>
      <c r="E232" s="5"/>
      <c r="F232" s="5"/>
      <c r="G232" s="5"/>
      <c r="H232" s="5"/>
      <c r="I232" s="5"/>
      <c r="J232" s="5"/>
      <c r="K232" s="5"/>
      <c r="L232" s="5"/>
      <c r="M232" s="5"/>
      <c r="N232" s="5"/>
      <c r="O232" s="38">
        <f t="shared" si="22"/>
        <v>0</v>
      </c>
      <c r="P232" s="38">
        <f t="shared" si="23"/>
        <v>0</v>
      </c>
      <c r="Q232" s="38">
        <f t="shared" si="24"/>
        <v>0</v>
      </c>
      <c r="R232" s="38">
        <f t="shared" si="25"/>
        <v>0</v>
      </c>
      <c r="S232" s="38">
        <f t="shared" si="26"/>
        <v>0</v>
      </c>
      <c r="T232" s="38">
        <f t="shared" si="27"/>
        <v>0</v>
      </c>
      <c r="U232" s="38">
        <f t="shared" si="28"/>
        <v>0</v>
      </c>
      <c r="V232" s="55"/>
    </row>
    <row r="233" spans="2:22" s="50" customFormat="1" ht="11.25" hidden="1">
      <c r="B233" s="69" t="s">
        <v>454</v>
      </c>
      <c r="C233" s="86"/>
      <c r="D233" s="30"/>
      <c r="E233" s="5"/>
      <c r="F233" s="5"/>
      <c r="G233" s="5"/>
      <c r="H233" s="5"/>
      <c r="I233" s="5"/>
      <c r="J233" s="5"/>
      <c r="K233" s="5"/>
      <c r="L233" s="5"/>
      <c r="M233" s="5"/>
      <c r="N233" s="5"/>
      <c r="O233" s="38">
        <f t="shared" si="22"/>
        <v>0</v>
      </c>
      <c r="P233" s="38">
        <f t="shared" si="23"/>
        <v>0</v>
      </c>
      <c r="Q233" s="38">
        <f t="shared" si="24"/>
        <v>0</v>
      </c>
      <c r="R233" s="38">
        <f t="shared" si="25"/>
        <v>0</v>
      </c>
      <c r="S233" s="38">
        <f t="shared" si="26"/>
        <v>0</v>
      </c>
      <c r="T233" s="38">
        <f t="shared" si="27"/>
        <v>0</v>
      </c>
      <c r="U233" s="38">
        <f t="shared" si="28"/>
        <v>0</v>
      </c>
      <c r="V233" s="55"/>
    </row>
    <row r="234" spans="2:22" s="50" customFormat="1" ht="11.25" hidden="1">
      <c r="B234" s="69" t="s">
        <v>454</v>
      </c>
      <c r="C234" s="86"/>
      <c r="D234" s="30"/>
      <c r="E234" s="5"/>
      <c r="F234" s="5"/>
      <c r="G234" s="5"/>
      <c r="H234" s="5"/>
      <c r="I234" s="5"/>
      <c r="J234" s="5"/>
      <c r="K234" s="5"/>
      <c r="L234" s="5"/>
      <c r="M234" s="5"/>
      <c r="N234" s="5"/>
      <c r="O234" s="38">
        <f t="shared" si="22"/>
        <v>0</v>
      </c>
      <c r="P234" s="38">
        <f t="shared" si="23"/>
        <v>0</v>
      </c>
      <c r="Q234" s="38">
        <f t="shared" si="24"/>
        <v>0</v>
      </c>
      <c r="R234" s="38">
        <f t="shared" si="25"/>
        <v>0</v>
      </c>
      <c r="S234" s="38">
        <f t="shared" si="26"/>
        <v>0</v>
      </c>
      <c r="T234" s="38">
        <f t="shared" si="27"/>
        <v>0</v>
      </c>
      <c r="U234" s="38">
        <f t="shared" si="28"/>
        <v>0</v>
      </c>
      <c r="V234" s="55"/>
    </row>
    <row r="235" spans="2:22" s="50" customFormat="1" ht="11.25" hidden="1">
      <c r="B235" s="69" t="s">
        <v>454</v>
      </c>
      <c r="C235" s="86"/>
      <c r="D235" s="30"/>
      <c r="E235" s="5"/>
      <c r="F235" s="5"/>
      <c r="G235" s="5"/>
      <c r="H235" s="5"/>
      <c r="I235" s="5"/>
      <c r="J235" s="5"/>
      <c r="K235" s="5"/>
      <c r="L235" s="5"/>
      <c r="M235" s="5"/>
      <c r="N235" s="5"/>
      <c r="O235" s="38">
        <f t="shared" si="22"/>
        <v>0</v>
      </c>
      <c r="P235" s="38">
        <f t="shared" si="23"/>
        <v>0</v>
      </c>
      <c r="Q235" s="38">
        <f t="shared" si="24"/>
        <v>0</v>
      </c>
      <c r="R235" s="38">
        <f t="shared" si="25"/>
        <v>0</v>
      </c>
      <c r="S235" s="38">
        <f t="shared" si="26"/>
        <v>0</v>
      </c>
      <c r="T235" s="38">
        <f t="shared" si="27"/>
        <v>0</v>
      </c>
      <c r="U235" s="38">
        <f t="shared" si="28"/>
        <v>0</v>
      </c>
      <c r="V235" s="55"/>
    </row>
    <row r="236" spans="2:22" s="50" customFormat="1" ht="11.25" hidden="1">
      <c r="B236" s="69" t="s">
        <v>454</v>
      </c>
      <c r="C236" s="86"/>
      <c r="D236" s="30"/>
      <c r="E236" s="5"/>
      <c r="F236" s="5"/>
      <c r="G236" s="5"/>
      <c r="H236" s="5"/>
      <c r="I236" s="5"/>
      <c r="J236" s="5"/>
      <c r="K236" s="5"/>
      <c r="L236" s="5"/>
      <c r="M236" s="5"/>
      <c r="N236" s="5"/>
      <c r="O236" s="38">
        <f t="shared" si="22"/>
        <v>0</v>
      </c>
      <c r="P236" s="38">
        <f t="shared" si="23"/>
        <v>0</v>
      </c>
      <c r="Q236" s="38">
        <f t="shared" si="24"/>
        <v>0</v>
      </c>
      <c r="R236" s="38">
        <f t="shared" si="25"/>
        <v>0</v>
      </c>
      <c r="S236" s="38">
        <f t="shared" si="26"/>
        <v>0</v>
      </c>
      <c r="T236" s="38">
        <f t="shared" si="27"/>
        <v>0</v>
      </c>
      <c r="U236" s="38">
        <f t="shared" si="28"/>
        <v>0</v>
      </c>
      <c r="V236" s="55"/>
    </row>
    <row r="237" spans="2:22" s="50" customFormat="1" ht="11.25" hidden="1">
      <c r="B237" s="69" t="s">
        <v>454</v>
      </c>
      <c r="C237" s="86"/>
      <c r="D237" s="30"/>
      <c r="E237" s="5"/>
      <c r="F237" s="5"/>
      <c r="G237" s="5"/>
      <c r="H237" s="5"/>
      <c r="I237" s="5"/>
      <c r="J237" s="5"/>
      <c r="K237" s="5"/>
      <c r="L237" s="5"/>
      <c r="M237" s="5"/>
      <c r="N237" s="5"/>
      <c r="O237" s="38">
        <f t="shared" si="22"/>
        <v>0</v>
      </c>
      <c r="P237" s="38">
        <f t="shared" si="23"/>
        <v>0</v>
      </c>
      <c r="Q237" s="38">
        <f t="shared" si="24"/>
        <v>0</v>
      </c>
      <c r="R237" s="38">
        <f t="shared" si="25"/>
        <v>0</v>
      </c>
      <c r="S237" s="38">
        <f t="shared" si="26"/>
        <v>0</v>
      </c>
      <c r="T237" s="38">
        <f t="shared" si="27"/>
        <v>0</v>
      </c>
      <c r="U237" s="38">
        <f t="shared" si="28"/>
        <v>0</v>
      </c>
      <c r="V237" s="55"/>
    </row>
    <row r="238" spans="2:22" s="50" customFormat="1" ht="11.25" hidden="1">
      <c r="B238" s="69" t="s">
        <v>454</v>
      </c>
      <c r="C238" s="86"/>
      <c r="D238" s="30"/>
      <c r="E238" s="5"/>
      <c r="F238" s="5"/>
      <c r="G238" s="5"/>
      <c r="H238" s="5"/>
      <c r="I238" s="5"/>
      <c r="J238" s="5"/>
      <c r="K238" s="5"/>
      <c r="L238" s="5"/>
      <c r="M238" s="5"/>
      <c r="N238" s="5"/>
      <c r="O238" s="38">
        <f t="shared" si="22"/>
        <v>0</v>
      </c>
      <c r="P238" s="38">
        <f t="shared" si="23"/>
        <v>0</v>
      </c>
      <c r="Q238" s="38">
        <f t="shared" si="24"/>
        <v>0</v>
      </c>
      <c r="R238" s="38">
        <f t="shared" si="25"/>
        <v>0</v>
      </c>
      <c r="S238" s="38">
        <f t="shared" si="26"/>
        <v>0</v>
      </c>
      <c r="T238" s="38">
        <f t="shared" si="27"/>
        <v>0</v>
      </c>
      <c r="U238" s="38">
        <f t="shared" si="28"/>
        <v>0</v>
      </c>
      <c r="V238" s="55"/>
    </row>
    <row r="239" spans="2:22" s="50" customFormat="1" ht="11.25" hidden="1">
      <c r="B239" s="69" t="s">
        <v>454</v>
      </c>
      <c r="C239" s="86"/>
      <c r="D239" s="30"/>
      <c r="E239" s="5"/>
      <c r="F239" s="5"/>
      <c r="G239" s="5"/>
      <c r="H239" s="5"/>
      <c r="I239" s="5"/>
      <c r="J239" s="5"/>
      <c r="K239" s="5"/>
      <c r="L239" s="5"/>
      <c r="M239" s="5"/>
      <c r="N239" s="5"/>
      <c r="O239" s="38">
        <f t="shared" si="22"/>
        <v>0</v>
      </c>
      <c r="P239" s="38">
        <f t="shared" si="23"/>
        <v>0</v>
      </c>
      <c r="Q239" s="38">
        <f t="shared" si="24"/>
        <v>0</v>
      </c>
      <c r="R239" s="38">
        <f t="shared" si="25"/>
        <v>0</v>
      </c>
      <c r="S239" s="38">
        <f t="shared" si="26"/>
        <v>0</v>
      </c>
      <c r="T239" s="38">
        <f t="shared" si="27"/>
        <v>0</v>
      </c>
      <c r="U239" s="38">
        <f t="shared" si="28"/>
        <v>0</v>
      </c>
      <c r="V239" s="55"/>
    </row>
    <row r="240" spans="2:22" s="50" customFormat="1" ht="11.25" hidden="1">
      <c r="B240" s="69" t="s">
        <v>454</v>
      </c>
      <c r="C240" s="86"/>
      <c r="D240" s="30"/>
      <c r="E240" s="5"/>
      <c r="F240" s="5"/>
      <c r="G240" s="5"/>
      <c r="H240" s="5"/>
      <c r="I240" s="5"/>
      <c r="J240" s="5"/>
      <c r="K240" s="5"/>
      <c r="L240" s="5"/>
      <c r="M240" s="5"/>
      <c r="N240" s="5"/>
      <c r="O240" s="38">
        <f t="shared" si="22"/>
        <v>0</v>
      </c>
      <c r="P240" s="38">
        <f t="shared" si="23"/>
        <v>0</v>
      </c>
      <c r="Q240" s="38">
        <f t="shared" si="24"/>
        <v>0</v>
      </c>
      <c r="R240" s="38">
        <f t="shared" si="25"/>
        <v>0</v>
      </c>
      <c r="S240" s="38">
        <f t="shared" si="26"/>
        <v>0</v>
      </c>
      <c r="T240" s="38">
        <f t="shared" si="27"/>
        <v>0</v>
      </c>
      <c r="U240" s="38">
        <f t="shared" si="28"/>
        <v>0</v>
      </c>
      <c r="V240" s="55"/>
    </row>
    <row r="241" spans="2:22" s="50" customFormat="1" ht="11.25" hidden="1">
      <c r="B241" s="69" t="s">
        <v>454</v>
      </c>
      <c r="C241" s="86"/>
      <c r="D241" s="30"/>
      <c r="E241" s="5"/>
      <c r="F241" s="5"/>
      <c r="G241" s="5"/>
      <c r="H241" s="5"/>
      <c r="I241" s="5"/>
      <c r="J241" s="5"/>
      <c r="K241" s="5"/>
      <c r="L241" s="5"/>
      <c r="M241" s="5"/>
      <c r="N241" s="5"/>
      <c r="O241" s="38">
        <f t="shared" si="22"/>
        <v>0</v>
      </c>
      <c r="P241" s="38">
        <f t="shared" si="23"/>
        <v>0</v>
      </c>
      <c r="Q241" s="38">
        <f t="shared" si="24"/>
        <v>0</v>
      </c>
      <c r="R241" s="38">
        <f t="shared" si="25"/>
        <v>0</v>
      </c>
      <c r="S241" s="38">
        <f t="shared" si="26"/>
        <v>0</v>
      </c>
      <c r="T241" s="38">
        <f t="shared" si="27"/>
        <v>0</v>
      </c>
      <c r="U241" s="38">
        <f t="shared" si="28"/>
        <v>0</v>
      </c>
      <c r="V241" s="55"/>
    </row>
    <row r="242" spans="2:22" s="50" customFormat="1" ht="11.25" hidden="1">
      <c r="B242" s="69" t="s">
        <v>454</v>
      </c>
      <c r="C242" s="86"/>
      <c r="D242" s="30"/>
      <c r="E242" s="5"/>
      <c r="F242" s="5"/>
      <c r="G242" s="5"/>
      <c r="H242" s="5"/>
      <c r="I242" s="5"/>
      <c r="J242" s="5"/>
      <c r="K242" s="5"/>
      <c r="L242" s="5"/>
      <c r="M242" s="5"/>
      <c r="N242" s="5"/>
      <c r="O242" s="38">
        <f t="shared" si="22"/>
        <v>0</v>
      </c>
      <c r="P242" s="38">
        <f t="shared" si="23"/>
        <v>0</v>
      </c>
      <c r="Q242" s="38">
        <f t="shared" si="24"/>
        <v>0</v>
      </c>
      <c r="R242" s="38">
        <f t="shared" si="25"/>
        <v>0</v>
      </c>
      <c r="S242" s="38">
        <f t="shared" si="26"/>
        <v>0</v>
      </c>
      <c r="T242" s="38">
        <f t="shared" si="27"/>
        <v>0</v>
      </c>
      <c r="U242" s="38">
        <f t="shared" si="28"/>
        <v>0</v>
      </c>
      <c r="V242" s="55"/>
    </row>
    <row r="243" spans="2:22" s="50" customFormat="1" ht="11.25" hidden="1">
      <c r="B243" s="69" t="s">
        <v>454</v>
      </c>
      <c r="C243" s="86"/>
      <c r="D243" s="30"/>
      <c r="E243" s="5"/>
      <c r="F243" s="5"/>
      <c r="G243" s="5"/>
      <c r="H243" s="5"/>
      <c r="I243" s="5"/>
      <c r="J243" s="5"/>
      <c r="K243" s="5"/>
      <c r="L243" s="5"/>
      <c r="M243" s="5"/>
      <c r="N243" s="5"/>
      <c r="O243" s="38">
        <f t="shared" si="22"/>
        <v>0</v>
      </c>
      <c r="P243" s="38">
        <f t="shared" si="23"/>
        <v>0</v>
      </c>
      <c r="Q243" s="38">
        <f t="shared" si="24"/>
        <v>0</v>
      </c>
      <c r="R243" s="38">
        <f t="shared" si="25"/>
        <v>0</v>
      </c>
      <c r="S243" s="38">
        <f t="shared" si="26"/>
        <v>0</v>
      </c>
      <c r="T243" s="38">
        <f t="shared" si="27"/>
        <v>0</v>
      </c>
      <c r="U243" s="38">
        <f t="shared" si="28"/>
        <v>0</v>
      </c>
      <c r="V243" s="55"/>
    </row>
    <row r="244" spans="2:22" s="50" customFormat="1" ht="11.25" hidden="1">
      <c r="B244" s="69" t="s">
        <v>454</v>
      </c>
      <c r="C244" s="86"/>
      <c r="D244" s="30"/>
      <c r="E244" s="5"/>
      <c r="F244" s="5"/>
      <c r="G244" s="5"/>
      <c r="H244" s="5"/>
      <c r="I244" s="5"/>
      <c r="J244" s="5"/>
      <c r="K244" s="5"/>
      <c r="L244" s="5"/>
      <c r="M244" s="5"/>
      <c r="N244" s="5"/>
      <c r="O244" s="38">
        <f t="shared" si="22"/>
        <v>0</v>
      </c>
      <c r="P244" s="38">
        <f t="shared" si="23"/>
        <v>0</v>
      </c>
      <c r="Q244" s="38">
        <f t="shared" si="24"/>
        <v>0</v>
      </c>
      <c r="R244" s="38">
        <f t="shared" si="25"/>
        <v>0</v>
      </c>
      <c r="S244" s="38">
        <f t="shared" si="26"/>
        <v>0</v>
      </c>
      <c r="T244" s="38">
        <f t="shared" si="27"/>
        <v>0</v>
      </c>
      <c r="U244" s="38">
        <f t="shared" si="28"/>
        <v>0</v>
      </c>
      <c r="V244" s="55"/>
    </row>
    <row r="245" spans="2:22" s="50" customFormat="1" ht="11.25" hidden="1">
      <c r="B245" s="69" t="s">
        <v>454</v>
      </c>
      <c r="C245" s="86"/>
      <c r="D245" s="30"/>
      <c r="E245" s="5"/>
      <c r="F245" s="5"/>
      <c r="G245" s="5"/>
      <c r="H245" s="5"/>
      <c r="I245" s="5"/>
      <c r="J245" s="5"/>
      <c r="K245" s="5"/>
      <c r="L245" s="5"/>
      <c r="M245" s="5"/>
      <c r="N245" s="5"/>
      <c r="O245" s="38">
        <f t="shared" si="22"/>
        <v>0</v>
      </c>
      <c r="P245" s="38">
        <f t="shared" si="23"/>
        <v>0</v>
      </c>
      <c r="Q245" s="38">
        <f t="shared" si="24"/>
        <v>0</v>
      </c>
      <c r="R245" s="38">
        <f t="shared" si="25"/>
        <v>0</v>
      </c>
      <c r="S245" s="38">
        <f t="shared" si="26"/>
        <v>0</v>
      </c>
      <c r="T245" s="38">
        <f t="shared" si="27"/>
        <v>0</v>
      </c>
      <c r="U245" s="38">
        <f t="shared" si="28"/>
        <v>0</v>
      </c>
      <c r="V245" s="55"/>
    </row>
    <row r="246" spans="2:22" s="50" customFormat="1" ht="11.25" hidden="1">
      <c r="B246" s="69" t="s">
        <v>454</v>
      </c>
      <c r="C246" s="86"/>
      <c r="D246" s="30"/>
      <c r="E246" s="5"/>
      <c r="F246" s="5"/>
      <c r="G246" s="5"/>
      <c r="H246" s="5"/>
      <c r="I246" s="5"/>
      <c r="J246" s="5"/>
      <c r="K246" s="5"/>
      <c r="L246" s="5"/>
      <c r="M246" s="5"/>
      <c r="N246" s="5"/>
      <c r="O246" s="38">
        <f t="shared" si="22"/>
        <v>0</v>
      </c>
      <c r="P246" s="38">
        <f t="shared" si="23"/>
        <v>0</v>
      </c>
      <c r="Q246" s="38">
        <f t="shared" si="24"/>
        <v>0</v>
      </c>
      <c r="R246" s="38">
        <f t="shared" si="25"/>
        <v>0</v>
      </c>
      <c r="S246" s="38">
        <f t="shared" si="26"/>
        <v>0</v>
      </c>
      <c r="T246" s="38">
        <f t="shared" si="27"/>
        <v>0</v>
      </c>
      <c r="U246" s="38">
        <f t="shared" si="28"/>
        <v>0</v>
      </c>
      <c r="V246" s="55"/>
    </row>
    <row r="247" spans="2:22" s="50" customFormat="1" ht="11.25" hidden="1">
      <c r="B247" s="69" t="s">
        <v>454</v>
      </c>
      <c r="C247" s="86"/>
      <c r="D247" s="30"/>
      <c r="E247" s="5"/>
      <c r="F247" s="5"/>
      <c r="G247" s="5"/>
      <c r="H247" s="5"/>
      <c r="I247" s="5"/>
      <c r="J247" s="5"/>
      <c r="K247" s="5"/>
      <c r="L247" s="5"/>
      <c r="M247" s="5"/>
      <c r="N247" s="5"/>
      <c r="O247" s="38">
        <f t="shared" si="22"/>
        <v>0</v>
      </c>
      <c r="P247" s="38">
        <f t="shared" si="23"/>
        <v>0</v>
      </c>
      <c r="Q247" s="38">
        <f t="shared" si="24"/>
        <v>0</v>
      </c>
      <c r="R247" s="38">
        <f t="shared" si="25"/>
        <v>0</v>
      </c>
      <c r="S247" s="38">
        <f t="shared" si="26"/>
        <v>0</v>
      </c>
      <c r="T247" s="38">
        <f t="shared" si="27"/>
        <v>0</v>
      </c>
      <c r="U247" s="38">
        <f t="shared" si="28"/>
        <v>0</v>
      </c>
      <c r="V247" s="55"/>
    </row>
    <row r="248" spans="2:22" s="50" customFormat="1" ht="11.25" hidden="1">
      <c r="B248" s="69" t="s">
        <v>454</v>
      </c>
      <c r="C248" s="86"/>
      <c r="D248" s="30"/>
      <c r="E248" s="5"/>
      <c r="F248" s="5"/>
      <c r="G248" s="5"/>
      <c r="H248" s="5"/>
      <c r="I248" s="5"/>
      <c r="J248" s="5"/>
      <c r="K248" s="5"/>
      <c r="L248" s="5"/>
      <c r="M248" s="5"/>
      <c r="N248" s="5"/>
      <c r="O248" s="38">
        <f t="shared" si="22"/>
        <v>0</v>
      </c>
      <c r="P248" s="38">
        <f t="shared" si="23"/>
        <v>0</v>
      </c>
      <c r="Q248" s="38">
        <f t="shared" si="24"/>
        <v>0</v>
      </c>
      <c r="R248" s="38">
        <f t="shared" si="25"/>
        <v>0</v>
      </c>
      <c r="S248" s="38">
        <f t="shared" si="26"/>
        <v>0</v>
      </c>
      <c r="T248" s="38">
        <f t="shared" si="27"/>
        <v>0</v>
      </c>
      <c r="U248" s="38">
        <f t="shared" si="28"/>
        <v>0</v>
      </c>
      <c r="V248" s="55"/>
    </row>
    <row r="249" spans="2:22" s="50" customFormat="1" ht="11.25" hidden="1">
      <c r="B249" s="69" t="s">
        <v>454</v>
      </c>
      <c r="C249" s="86"/>
      <c r="D249" s="30"/>
      <c r="E249" s="5"/>
      <c r="F249" s="5"/>
      <c r="G249" s="5"/>
      <c r="H249" s="5"/>
      <c r="I249" s="5"/>
      <c r="J249" s="5"/>
      <c r="K249" s="5"/>
      <c r="L249" s="5"/>
      <c r="M249" s="5"/>
      <c r="N249" s="5"/>
      <c r="O249" s="38">
        <f t="shared" si="22"/>
        <v>0</v>
      </c>
      <c r="P249" s="38">
        <f t="shared" si="23"/>
        <v>0</v>
      </c>
      <c r="Q249" s="38">
        <f t="shared" si="24"/>
        <v>0</v>
      </c>
      <c r="R249" s="38">
        <f t="shared" si="25"/>
        <v>0</v>
      </c>
      <c r="S249" s="38">
        <f t="shared" si="26"/>
        <v>0</v>
      </c>
      <c r="T249" s="38">
        <f t="shared" si="27"/>
        <v>0</v>
      </c>
      <c r="U249" s="38">
        <f t="shared" si="28"/>
        <v>0</v>
      </c>
      <c r="V249" s="55"/>
    </row>
    <row r="250" spans="2:22" s="50" customFormat="1" ht="11.25" hidden="1">
      <c r="B250" s="69" t="s">
        <v>454</v>
      </c>
      <c r="C250" s="86"/>
      <c r="D250" s="30"/>
      <c r="E250" s="5"/>
      <c r="F250" s="5"/>
      <c r="G250" s="5"/>
      <c r="H250" s="5"/>
      <c r="I250" s="5"/>
      <c r="J250" s="5"/>
      <c r="K250" s="5"/>
      <c r="L250" s="5"/>
      <c r="M250" s="5"/>
      <c r="N250" s="5"/>
      <c r="O250" s="38">
        <f t="shared" si="22"/>
        <v>0</v>
      </c>
      <c r="P250" s="38">
        <f t="shared" si="23"/>
        <v>0</v>
      </c>
      <c r="Q250" s="38">
        <f t="shared" si="24"/>
        <v>0</v>
      </c>
      <c r="R250" s="38">
        <f t="shared" si="25"/>
        <v>0</v>
      </c>
      <c r="S250" s="38">
        <f t="shared" si="26"/>
        <v>0</v>
      </c>
      <c r="T250" s="38">
        <f t="shared" si="27"/>
        <v>0</v>
      </c>
      <c r="U250" s="38">
        <f t="shared" si="28"/>
        <v>0</v>
      </c>
      <c r="V250" s="55"/>
    </row>
    <row r="251" spans="2:22" s="50" customFormat="1" ht="11.25" hidden="1">
      <c r="B251" s="69" t="s">
        <v>454</v>
      </c>
      <c r="C251" s="86"/>
      <c r="D251" s="30"/>
      <c r="E251" s="5"/>
      <c r="F251" s="5"/>
      <c r="G251" s="5"/>
      <c r="H251" s="5"/>
      <c r="I251" s="5"/>
      <c r="J251" s="5"/>
      <c r="K251" s="5"/>
      <c r="L251" s="5"/>
      <c r="M251" s="5"/>
      <c r="N251" s="5"/>
      <c r="O251" s="38">
        <f t="shared" si="22"/>
        <v>0</v>
      </c>
      <c r="P251" s="38">
        <f t="shared" si="23"/>
        <v>0</v>
      </c>
      <c r="Q251" s="38">
        <f t="shared" si="24"/>
        <v>0</v>
      </c>
      <c r="R251" s="38">
        <f t="shared" si="25"/>
        <v>0</v>
      </c>
      <c r="S251" s="38">
        <f t="shared" si="26"/>
        <v>0</v>
      </c>
      <c r="T251" s="38">
        <f t="shared" si="27"/>
        <v>0</v>
      </c>
      <c r="U251" s="38">
        <f t="shared" si="28"/>
        <v>0</v>
      </c>
      <c r="V251" s="55"/>
    </row>
    <row r="252" spans="2:22" s="50" customFormat="1" ht="11.25" hidden="1">
      <c r="B252" s="69" t="s">
        <v>454</v>
      </c>
      <c r="C252" s="86"/>
      <c r="D252" s="30"/>
      <c r="E252" s="5"/>
      <c r="F252" s="5"/>
      <c r="G252" s="5"/>
      <c r="H252" s="5"/>
      <c r="I252" s="5"/>
      <c r="J252" s="5"/>
      <c r="K252" s="5"/>
      <c r="L252" s="5"/>
      <c r="M252" s="5"/>
      <c r="N252" s="5"/>
      <c r="O252" s="38">
        <f t="shared" si="22"/>
        <v>0</v>
      </c>
      <c r="P252" s="38">
        <f t="shared" si="23"/>
        <v>0</v>
      </c>
      <c r="Q252" s="38">
        <f t="shared" si="24"/>
        <v>0</v>
      </c>
      <c r="R252" s="38">
        <f t="shared" si="25"/>
        <v>0</v>
      </c>
      <c r="S252" s="38">
        <f t="shared" si="26"/>
        <v>0</v>
      </c>
      <c r="T252" s="38">
        <f t="shared" si="27"/>
        <v>0</v>
      </c>
      <c r="U252" s="38">
        <f t="shared" si="28"/>
        <v>0</v>
      </c>
      <c r="V252" s="55"/>
    </row>
    <row r="253" spans="2:22" s="50" customFormat="1" ht="11.25" hidden="1">
      <c r="B253" s="69" t="s">
        <v>454</v>
      </c>
      <c r="C253" s="86"/>
      <c r="D253" s="30"/>
      <c r="E253" s="5"/>
      <c r="F253" s="5"/>
      <c r="G253" s="5"/>
      <c r="H253" s="5"/>
      <c r="I253" s="5"/>
      <c r="J253" s="5"/>
      <c r="K253" s="5"/>
      <c r="L253" s="5"/>
      <c r="M253" s="5"/>
      <c r="N253" s="5"/>
      <c r="O253" s="38">
        <f t="shared" si="22"/>
        <v>0</v>
      </c>
      <c r="P253" s="38">
        <f t="shared" si="23"/>
        <v>0</v>
      </c>
      <c r="Q253" s="38">
        <f t="shared" si="24"/>
        <v>0</v>
      </c>
      <c r="R253" s="38">
        <f t="shared" si="25"/>
        <v>0</v>
      </c>
      <c r="S253" s="38">
        <f t="shared" si="26"/>
        <v>0</v>
      </c>
      <c r="T253" s="38">
        <f t="shared" si="27"/>
        <v>0</v>
      </c>
      <c r="U253" s="38">
        <f t="shared" si="28"/>
        <v>0</v>
      </c>
      <c r="V253" s="55"/>
    </row>
    <row r="254" spans="2:22" s="50" customFormat="1" ht="11.25" hidden="1">
      <c r="B254" s="69" t="s">
        <v>454</v>
      </c>
      <c r="C254" s="86"/>
      <c r="D254" s="30"/>
      <c r="E254" s="5"/>
      <c r="F254" s="5"/>
      <c r="G254" s="5"/>
      <c r="H254" s="5"/>
      <c r="I254" s="5"/>
      <c r="J254" s="5"/>
      <c r="K254" s="5"/>
      <c r="L254" s="5"/>
      <c r="M254" s="5"/>
      <c r="N254" s="5"/>
      <c r="O254" s="38">
        <f t="shared" si="22"/>
        <v>0</v>
      </c>
      <c r="P254" s="38">
        <f t="shared" si="23"/>
        <v>0</v>
      </c>
      <c r="Q254" s="38">
        <f t="shared" si="24"/>
        <v>0</v>
      </c>
      <c r="R254" s="38">
        <f t="shared" si="25"/>
        <v>0</v>
      </c>
      <c r="S254" s="38">
        <f t="shared" si="26"/>
        <v>0</v>
      </c>
      <c r="T254" s="38">
        <f t="shared" si="27"/>
        <v>0</v>
      </c>
      <c r="U254" s="38">
        <f t="shared" si="28"/>
        <v>0</v>
      </c>
      <c r="V254" s="55"/>
    </row>
    <row r="255" spans="2:22" s="50" customFormat="1" ht="11.25" hidden="1">
      <c r="B255" s="69" t="s">
        <v>454</v>
      </c>
      <c r="C255" s="86"/>
      <c r="D255" s="30"/>
      <c r="E255" s="5"/>
      <c r="F255" s="5"/>
      <c r="G255" s="5"/>
      <c r="H255" s="5"/>
      <c r="I255" s="5"/>
      <c r="J255" s="5"/>
      <c r="K255" s="5"/>
      <c r="L255" s="5"/>
      <c r="M255" s="5"/>
      <c r="N255" s="5"/>
      <c r="O255" s="38">
        <f t="shared" si="22"/>
        <v>0</v>
      </c>
      <c r="P255" s="38">
        <f t="shared" si="23"/>
        <v>0</v>
      </c>
      <c r="Q255" s="38">
        <f t="shared" si="24"/>
        <v>0</v>
      </c>
      <c r="R255" s="38">
        <f t="shared" si="25"/>
        <v>0</v>
      </c>
      <c r="S255" s="38">
        <f t="shared" si="26"/>
        <v>0</v>
      </c>
      <c r="T255" s="38">
        <f t="shared" si="27"/>
        <v>0</v>
      </c>
      <c r="U255" s="38">
        <f t="shared" si="28"/>
        <v>0</v>
      </c>
      <c r="V255" s="55"/>
    </row>
    <row r="256" spans="2:22" s="50" customFormat="1" ht="11.25" hidden="1">
      <c r="B256" s="69" t="s">
        <v>454</v>
      </c>
      <c r="C256" s="86"/>
      <c r="D256" s="30"/>
      <c r="E256" s="5"/>
      <c r="F256" s="5"/>
      <c r="G256" s="5"/>
      <c r="H256" s="5"/>
      <c r="I256" s="5"/>
      <c r="J256" s="5"/>
      <c r="K256" s="5"/>
      <c r="L256" s="5"/>
      <c r="M256" s="5"/>
      <c r="N256" s="5"/>
      <c r="O256" s="38">
        <f t="shared" si="22"/>
        <v>0</v>
      </c>
      <c r="P256" s="38">
        <f t="shared" si="23"/>
        <v>0</v>
      </c>
      <c r="Q256" s="38">
        <f t="shared" si="24"/>
        <v>0</v>
      </c>
      <c r="R256" s="38">
        <f t="shared" si="25"/>
        <v>0</v>
      </c>
      <c r="S256" s="38">
        <f t="shared" si="26"/>
        <v>0</v>
      </c>
      <c r="T256" s="38">
        <f t="shared" si="27"/>
        <v>0</v>
      </c>
      <c r="U256" s="38">
        <f t="shared" si="28"/>
        <v>0</v>
      </c>
      <c r="V256" s="55"/>
    </row>
    <row r="257" spans="2:22" s="50" customFormat="1" ht="11.25" hidden="1">
      <c r="B257" s="69" t="s">
        <v>454</v>
      </c>
      <c r="C257" s="86"/>
      <c r="D257" s="30"/>
      <c r="E257" s="5"/>
      <c r="F257" s="5"/>
      <c r="G257" s="5"/>
      <c r="H257" s="5"/>
      <c r="I257" s="5"/>
      <c r="J257" s="5"/>
      <c r="K257" s="5"/>
      <c r="L257" s="5"/>
      <c r="M257" s="5"/>
      <c r="N257" s="5"/>
      <c r="O257" s="38">
        <f t="shared" si="22"/>
        <v>0</v>
      </c>
      <c r="P257" s="38">
        <f t="shared" si="23"/>
        <v>0</v>
      </c>
      <c r="Q257" s="38">
        <f t="shared" si="24"/>
        <v>0</v>
      </c>
      <c r="R257" s="38">
        <f t="shared" si="25"/>
        <v>0</v>
      </c>
      <c r="S257" s="38">
        <f t="shared" si="26"/>
        <v>0</v>
      </c>
      <c r="T257" s="38">
        <f t="shared" si="27"/>
        <v>0</v>
      </c>
      <c r="U257" s="38">
        <f t="shared" si="28"/>
        <v>0</v>
      </c>
      <c r="V257" s="55"/>
    </row>
    <row r="258" spans="2:22" s="50" customFormat="1" ht="11.25" hidden="1">
      <c r="B258" s="69" t="s">
        <v>454</v>
      </c>
      <c r="C258" s="86"/>
      <c r="D258" s="30"/>
      <c r="E258" s="5"/>
      <c r="F258" s="5"/>
      <c r="G258" s="5"/>
      <c r="H258" s="5"/>
      <c r="I258" s="5"/>
      <c r="J258" s="5"/>
      <c r="K258" s="5"/>
      <c r="L258" s="5"/>
      <c r="M258" s="5"/>
      <c r="N258" s="5"/>
      <c r="O258" s="38">
        <f t="shared" si="22"/>
        <v>0</v>
      </c>
      <c r="P258" s="38">
        <f t="shared" si="23"/>
        <v>0</v>
      </c>
      <c r="Q258" s="38">
        <f t="shared" si="24"/>
        <v>0</v>
      </c>
      <c r="R258" s="38">
        <f t="shared" si="25"/>
        <v>0</v>
      </c>
      <c r="S258" s="38">
        <f t="shared" si="26"/>
        <v>0</v>
      </c>
      <c r="T258" s="38">
        <f t="shared" si="27"/>
        <v>0</v>
      </c>
      <c r="U258" s="38">
        <f t="shared" si="28"/>
        <v>0</v>
      </c>
      <c r="V258" s="55"/>
    </row>
    <row r="259" spans="2:22" s="50" customFormat="1" ht="11.25" hidden="1">
      <c r="B259" s="69" t="s">
        <v>454</v>
      </c>
      <c r="C259" s="86"/>
      <c r="D259" s="30"/>
      <c r="E259" s="5"/>
      <c r="F259" s="5"/>
      <c r="G259" s="5"/>
      <c r="H259" s="5"/>
      <c r="I259" s="5"/>
      <c r="J259" s="5"/>
      <c r="K259" s="5"/>
      <c r="L259" s="5"/>
      <c r="M259" s="5"/>
      <c r="N259" s="5"/>
      <c r="O259" s="38">
        <f t="shared" si="22"/>
        <v>0</v>
      </c>
      <c r="P259" s="38">
        <f t="shared" si="23"/>
        <v>0</v>
      </c>
      <c r="Q259" s="38">
        <f t="shared" si="24"/>
        <v>0</v>
      </c>
      <c r="R259" s="38">
        <f t="shared" si="25"/>
        <v>0</v>
      </c>
      <c r="S259" s="38">
        <f t="shared" si="26"/>
        <v>0</v>
      </c>
      <c r="T259" s="38">
        <f t="shared" si="27"/>
        <v>0</v>
      </c>
      <c r="U259" s="38">
        <f t="shared" si="28"/>
        <v>0</v>
      </c>
      <c r="V259" s="55"/>
    </row>
    <row r="260" spans="2:22" s="50" customFormat="1" ht="11.25" hidden="1">
      <c r="B260" s="69" t="s">
        <v>454</v>
      </c>
      <c r="C260" s="86"/>
      <c r="D260" s="30"/>
      <c r="E260" s="5"/>
      <c r="F260" s="5"/>
      <c r="G260" s="5"/>
      <c r="H260" s="5"/>
      <c r="I260" s="5"/>
      <c r="J260" s="5"/>
      <c r="K260" s="5"/>
      <c r="L260" s="5"/>
      <c r="M260" s="5"/>
      <c r="N260" s="5"/>
      <c r="O260" s="38">
        <f t="shared" si="22"/>
        <v>0</v>
      </c>
      <c r="P260" s="38">
        <f t="shared" si="23"/>
        <v>0</v>
      </c>
      <c r="Q260" s="38">
        <f t="shared" si="24"/>
        <v>0</v>
      </c>
      <c r="R260" s="38">
        <f t="shared" si="25"/>
        <v>0</v>
      </c>
      <c r="S260" s="38">
        <f t="shared" si="26"/>
        <v>0</v>
      </c>
      <c r="T260" s="38">
        <f t="shared" si="27"/>
        <v>0</v>
      </c>
      <c r="U260" s="38">
        <f t="shared" si="28"/>
        <v>0</v>
      </c>
      <c r="V260" s="55"/>
    </row>
    <row r="261" spans="2:22" s="50" customFormat="1" ht="11.25" hidden="1">
      <c r="B261" s="69" t="s">
        <v>454</v>
      </c>
      <c r="C261" s="86"/>
      <c r="D261" s="30"/>
      <c r="E261" s="5"/>
      <c r="F261" s="5"/>
      <c r="G261" s="5"/>
      <c r="H261" s="5"/>
      <c r="I261" s="5"/>
      <c r="J261" s="5"/>
      <c r="K261" s="5"/>
      <c r="L261" s="5"/>
      <c r="M261" s="5"/>
      <c r="N261" s="5"/>
      <c r="O261" s="38">
        <f t="shared" si="22"/>
        <v>0</v>
      </c>
      <c r="P261" s="38">
        <f t="shared" si="23"/>
        <v>0</v>
      </c>
      <c r="Q261" s="38">
        <f t="shared" si="24"/>
        <v>0</v>
      </c>
      <c r="R261" s="38">
        <f t="shared" si="25"/>
        <v>0</v>
      </c>
      <c r="S261" s="38">
        <f t="shared" si="26"/>
        <v>0</v>
      </c>
      <c r="T261" s="38">
        <f t="shared" si="27"/>
        <v>0</v>
      </c>
      <c r="U261" s="38">
        <f t="shared" si="28"/>
        <v>0</v>
      </c>
      <c r="V261" s="55"/>
    </row>
    <row r="262" spans="2:22" s="50" customFormat="1" ht="11.25" hidden="1">
      <c r="B262" s="69" t="s">
        <v>454</v>
      </c>
      <c r="C262" s="86"/>
      <c r="D262" s="30"/>
      <c r="E262" s="5"/>
      <c r="F262" s="5"/>
      <c r="G262" s="5"/>
      <c r="H262" s="5"/>
      <c r="I262" s="5"/>
      <c r="J262" s="5"/>
      <c r="K262" s="5"/>
      <c r="L262" s="5"/>
      <c r="M262" s="5"/>
      <c r="N262" s="5"/>
      <c r="O262" s="38">
        <f t="shared" si="22"/>
        <v>0</v>
      </c>
      <c r="P262" s="38">
        <f t="shared" si="23"/>
        <v>0</v>
      </c>
      <c r="Q262" s="38">
        <f t="shared" si="24"/>
        <v>0</v>
      </c>
      <c r="R262" s="38">
        <f t="shared" si="25"/>
        <v>0</v>
      </c>
      <c r="S262" s="38">
        <f t="shared" si="26"/>
        <v>0</v>
      </c>
      <c r="T262" s="38">
        <f t="shared" si="27"/>
        <v>0</v>
      </c>
      <c r="U262" s="38">
        <f t="shared" si="28"/>
        <v>0</v>
      </c>
      <c r="V262" s="55"/>
    </row>
    <row r="263" spans="2:22" s="50" customFormat="1" ht="11.25" hidden="1">
      <c r="B263" s="69" t="s">
        <v>454</v>
      </c>
      <c r="C263" s="86"/>
      <c r="D263" s="30"/>
      <c r="E263" s="5"/>
      <c r="F263" s="5"/>
      <c r="G263" s="5"/>
      <c r="H263" s="5"/>
      <c r="I263" s="5"/>
      <c r="J263" s="5"/>
      <c r="K263" s="5"/>
      <c r="L263" s="5"/>
      <c r="M263" s="5"/>
      <c r="N263" s="5"/>
      <c r="O263" s="38">
        <f t="shared" si="22"/>
        <v>0</v>
      </c>
      <c r="P263" s="38">
        <f t="shared" si="23"/>
        <v>0</v>
      </c>
      <c r="Q263" s="38">
        <f t="shared" si="24"/>
        <v>0</v>
      </c>
      <c r="R263" s="38">
        <f t="shared" si="25"/>
        <v>0</v>
      </c>
      <c r="S263" s="38">
        <f t="shared" si="26"/>
        <v>0</v>
      </c>
      <c r="T263" s="38">
        <f t="shared" si="27"/>
        <v>0</v>
      </c>
      <c r="U263" s="38">
        <f t="shared" si="28"/>
        <v>0</v>
      </c>
      <c r="V263" s="55"/>
    </row>
    <row r="264" spans="2:22" s="50" customFormat="1" ht="11.25" hidden="1">
      <c r="B264" s="69" t="s">
        <v>454</v>
      </c>
      <c r="C264" s="86"/>
      <c r="D264" s="30"/>
      <c r="E264" s="5"/>
      <c r="F264" s="5"/>
      <c r="G264" s="5"/>
      <c r="H264" s="5"/>
      <c r="I264" s="5"/>
      <c r="J264" s="5"/>
      <c r="K264" s="5"/>
      <c r="L264" s="5"/>
      <c r="M264" s="5"/>
      <c r="N264" s="5"/>
      <c r="O264" s="38">
        <f t="shared" si="22"/>
        <v>0</v>
      </c>
      <c r="P264" s="38">
        <f t="shared" si="23"/>
        <v>0</v>
      </c>
      <c r="Q264" s="38">
        <f t="shared" si="24"/>
        <v>0</v>
      </c>
      <c r="R264" s="38">
        <f t="shared" si="25"/>
        <v>0</v>
      </c>
      <c r="S264" s="38">
        <f t="shared" si="26"/>
        <v>0</v>
      </c>
      <c r="T264" s="38">
        <f t="shared" si="27"/>
        <v>0</v>
      </c>
      <c r="U264" s="38">
        <f t="shared" si="28"/>
        <v>0</v>
      </c>
      <c r="V264" s="55"/>
    </row>
    <row r="265" spans="2:22" s="50" customFormat="1" ht="11.25" hidden="1">
      <c r="B265" s="69" t="s">
        <v>454</v>
      </c>
      <c r="C265" s="86"/>
      <c r="D265" s="30"/>
      <c r="E265" s="5"/>
      <c r="F265" s="5"/>
      <c r="G265" s="5"/>
      <c r="H265" s="5"/>
      <c r="I265" s="5"/>
      <c r="J265" s="5"/>
      <c r="K265" s="5"/>
      <c r="L265" s="5"/>
      <c r="M265" s="5"/>
      <c r="N265" s="5"/>
      <c r="O265" s="38">
        <f t="shared" si="22"/>
        <v>0</v>
      </c>
      <c r="P265" s="38">
        <f t="shared" si="23"/>
        <v>0</v>
      </c>
      <c r="Q265" s="38">
        <f t="shared" si="24"/>
        <v>0</v>
      </c>
      <c r="R265" s="38">
        <f t="shared" si="25"/>
        <v>0</v>
      </c>
      <c r="S265" s="38">
        <f t="shared" si="26"/>
        <v>0</v>
      </c>
      <c r="T265" s="38">
        <f t="shared" si="27"/>
        <v>0</v>
      </c>
      <c r="U265" s="38">
        <f t="shared" si="28"/>
        <v>0</v>
      </c>
      <c r="V265" s="55"/>
    </row>
    <row r="266" spans="2:22" s="50" customFormat="1" ht="11.25" hidden="1">
      <c r="B266" s="69" t="s">
        <v>454</v>
      </c>
      <c r="C266" s="86"/>
      <c r="D266" s="30"/>
      <c r="E266" s="5"/>
      <c r="F266" s="5"/>
      <c r="G266" s="5"/>
      <c r="H266" s="5"/>
      <c r="I266" s="5"/>
      <c r="J266" s="5"/>
      <c r="K266" s="5"/>
      <c r="L266" s="5"/>
      <c r="M266" s="5"/>
      <c r="N266" s="5"/>
      <c r="O266" s="38">
        <f t="shared" ref="O266:O329" si="29">SUM(J266:N266)</f>
        <v>0</v>
      </c>
      <c r="P266" s="38">
        <f t="shared" ref="P266:P329" si="30">IF(I266=0,0,J266/I266*10)</f>
        <v>0</v>
      </c>
      <c r="Q266" s="38">
        <f t="shared" ref="Q266:Q329" si="31">IF(I266=0,0,L266/I266*10)</f>
        <v>0</v>
      </c>
      <c r="R266" s="38">
        <f t="shared" ref="R266:R329" si="32">IF(I266=0,0,M266/I266*10)</f>
        <v>0</v>
      </c>
      <c r="S266" s="38">
        <f t="shared" ref="S266:S329" si="33">IF(I266=0,0,N266/I266*10)</f>
        <v>0</v>
      </c>
      <c r="T266" s="38">
        <f t="shared" ref="T266:T329" si="34">IF(I266=0,0,K266/I266*10)</f>
        <v>0</v>
      </c>
      <c r="U266" s="38">
        <f t="shared" ref="U266:U329" si="35">IF(I266=0,0,O266/I266*10)</f>
        <v>0</v>
      </c>
      <c r="V266" s="55"/>
    </row>
    <row r="267" spans="2:22" s="50" customFormat="1" ht="11.25" hidden="1">
      <c r="B267" s="69" t="s">
        <v>454</v>
      </c>
      <c r="C267" s="86"/>
      <c r="D267" s="30"/>
      <c r="E267" s="5"/>
      <c r="F267" s="5"/>
      <c r="G267" s="5"/>
      <c r="H267" s="5"/>
      <c r="I267" s="5"/>
      <c r="J267" s="5"/>
      <c r="K267" s="5"/>
      <c r="L267" s="5"/>
      <c r="M267" s="5"/>
      <c r="N267" s="5"/>
      <c r="O267" s="38">
        <f t="shared" si="29"/>
        <v>0</v>
      </c>
      <c r="P267" s="38">
        <f t="shared" si="30"/>
        <v>0</v>
      </c>
      <c r="Q267" s="38">
        <f t="shared" si="31"/>
        <v>0</v>
      </c>
      <c r="R267" s="38">
        <f t="shared" si="32"/>
        <v>0</v>
      </c>
      <c r="S267" s="38">
        <f t="shared" si="33"/>
        <v>0</v>
      </c>
      <c r="T267" s="38">
        <f t="shared" si="34"/>
        <v>0</v>
      </c>
      <c r="U267" s="38">
        <f t="shared" si="35"/>
        <v>0</v>
      </c>
      <c r="V267" s="55"/>
    </row>
    <row r="268" spans="2:22" s="50" customFormat="1" ht="11.25" hidden="1">
      <c r="B268" s="69" t="s">
        <v>454</v>
      </c>
      <c r="C268" s="86"/>
      <c r="D268" s="30"/>
      <c r="E268" s="5"/>
      <c r="F268" s="5"/>
      <c r="G268" s="5"/>
      <c r="H268" s="5"/>
      <c r="I268" s="5"/>
      <c r="J268" s="5"/>
      <c r="K268" s="5"/>
      <c r="L268" s="5"/>
      <c r="M268" s="5"/>
      <c r="N268" s="5"/>
      <c r="O268" s="38">
        <f t="shared" si="29"/>
        <v>0</v>
      </c>
      <c r="P268" s="38">
        <f t="shared" si="30"/>
        <v>0</v>
      </c>
      <c r="Q268" s="38">
        <f t="shared" si="31"/>
        <v>0</v>
      </c>
      <c r="R268" s="38">
        <f t="shared" si="32"/>
        <v>0</v>
      </c>
      <c r="S268" s="38">
        <f t="shared" si="33"/>
        <v>0</v>
      </c>
      <c r="T268" s="38">
        <f t="shared" si="34"/>
        <v>0</v>
      </c>
      <c r="U268" s="38">
        <f t="shared" si="35"/>
        <v>0</v>
      </c>
      <c r="V268" s="55"/>
    </row>
    <row r="269" spans="2:22" s="50" customFormat="1" ht="11.25" hidden="1">
      <c r="B269" s="69" t="s">
        <v>454</v>
      </c>
      <c r="C269" s="86"/>
      <c r="D269" s="30"/>
      <c r="E269" s="5"/>
      <c r="F269" s="5"/>
      <c r="G269" s="5"/>
      <c r="H269" s="5"/>
      <c r="I269" s="5"/>
      <c r="J269" s="5"/>
      <c r="K269" s="5"/>
      <c r="L269" s="5"/>
      <c r="M269" s="5"/>
      <c r="N269" s="5"/>
      <c r="O269" s="38">
        <f t="shared" si="29"/>
        <v>0</v>
      </c>
      <c r="P269" s="38">
        <f t="shared" si="30"/>
        <v>0</v>
      </c>
      <c r="Q269" s="38">
        <f t="shared" si="31"/>
        <v>0</v>
      </c>
      <c r="R269" s="38">
        <f t="shared" si="32"/>
        <v>0</v>
      </c>
      <c r="S269" s="38">
        <f t="shared" si="33"/>
        <v>0</v>
      </c>
      <c r="T269" s="38">
        <f t="shared" si="34"/>
        <v>0</v>
      </c>
      <c r="U269" s="38">
        <f t="shared" si="35"/>
        <v>0</v>
      </c>
      <c r="V269" s="55"/>
    </row>
    <row r="270" spans="2:22" s="50" customFormat="1" ht="11.25" hidden="1">
      <c r="B270" s="69" t="s">
        <v>454</v>
      </c>
      <c r="C270" s="86"/>
      <c r="D270" s="30"/>
      <c r="E270" s="5"/>
      <c r="F270" s="5"/>
      <c r="G270" s="5"/>
      <c r="H270" s="5"/>
      <c r="I270" s="5"/>
      <c r="J270" s="5"/>
      <c r="K270" s="5"/>
      <c r="L270" s="5"/>
      <c r="M270" s="5"/>
      <c r="N270" s="5"/>
      <c r="O270" s="38">
        <f t="shared" si="29"/>
        <v>0</v>
      </c>
      <c r="P270" s="38">
        <f t="shared" si="30"/>
        <v>0</v>
      </c>
      <c r="Q270" s="38">
        <f t="shared" si="31"/>
        <v>0</v>
      </c>
      <c r="R270" s="38">
        <f t="shared" si="32"/>
        <v>0</v>
      </c>
      <c r="S270" s="38">
        <f t="shared" si="33"/>
        <v>0</v>
      </c>
      <c r="T270" s="38">
        <f t="shared" si="34"/>
        <v>0</v>
      </c>
      <c r="U270" s="38">
        <f t="shared" si="35"/>
        <v>0</v>
      </c>
      <c r="V270" s="55"/>
    </row>
    <row r="271" spans="2:22" s="50" customFormat="1" ht="11.25" hidden="1">
      <c r="B271" s="69" t="s">
        <v>454</v>
      </c>
      <c r="C271" s="86"/>
      <c r="D271" s="30"/>
      <c r="E271" s="5"/>
      <c r="F271" s="5"/>
      <c r="G271" s="5"/>
      <c r="H271" s="5"/>
      <c r="I271" s="5"/>
      <c r="J271" s="5"/>
      <c r="K271" s="5"/>
      <c r="L271" s="5"/>
      <c r="M271" s="5"/>
      <c r="N271" s="5"/>
      <c r="O271" s="38">
        <f t="shared" si="29"/>
        <v>0</v>
      </c>
      <c r="P271" s="38">
        <f t="shared" si="30"/>
        <v>0</v>
      </c>
      <c r="Q271" s="38">
        <f t="shared" si="31"/>
        <v>0</v>
      </c>
      <c r="R271" s="38">
        <f t="shared" si="32"/>
        <v>0</v>
      </c>
      <c r="S271" s="38">
        <f t="shared" si="33"/>
        <v>0</v>
      </c>
      <c r="T271" s="38">
        <f t="shared" si="34"/>
        <v>0</v>
      </c>
      <c r="U271" s="38">
        <f t="shared" si="35"/>
        <v>0</v>
      </c>
      <c r="V271" s="55"/>
    </row>
    <row r="272" spans="2:22" s="50" customFormat="1" ht="11.25" hidden="1">
      <c r="B272" s="69" t="s">
        <v>454</v>
      </c>
      <c r="C272" s="86"/>
      <c r="D272" s="30"/>
      <c r="E272" s="5"/>
      <c r="F272" s="5"/>
      <c r="G272" s="5"/>
      <c r="H272" s="5"/>
      <c r="I272" s="5"/>
      <c r="J272" s="5"/>
      <c r="K272" s="5"/>
      <c r="L272" s="5"/>
      <c r="M272" s="5"/>
      <c r="N272" s="5"/>
      <c r="O272" s="38">
        <f t="shared" si="29"/>
        <v>0</v>
      </c>
      <c r="P272" s="38">
        <f t="shared" si="30"/>
        <v>0</v>
      </c>
      <c r="Q272" s="38">
        <f t="shared" si="31"/>
        <v>0</v>
      </c>
      <c r="R272" s="38">
        <f t="shared" si="32"/>
        <v>0</v>
      </c>
      <c r="S272" s="38">
        <f t="shared" si="33"/>
        <v>0</v>
      </c>
      <c r="T272" s="38">
        <f t="shared" si="34"/>
        <v>0</v>
      </c>
      <c r="U272" s="38">
        <f t="shared" si="35"/>
        <v>0</v>
      </c>
      <c r="V272" s="55"/>
    </row>
    <row r="273" spans="2:22" s="50" customFormat="1" ht="11.25" hidden="1">
      <c r="B273" s="69" t="s">
        <v>454</v>
      </c>
      <c r="C273" s="86"/>
      <c r="D273" s="30"/>
      <c r="E273" s="5"/>
      <c r="F273" s="5"/>
      <c r="G273" s="5"/>
      <c r="H273" s="5"/>
      <c r="I273" s="5"/>
      <c r="J273" s="5"/>
      <c r="K273" s="5"/>
      <c r="L273" s="5"/>
      <c r="M273" s="5"/>
      <c r="N273" s="5"/>
      <c r="O273" s="38">
        <f t="shared" si="29"/>
        <v>0</v>
      </c>
      <c r="P273" s="38">
        <f t="shared" si="30"/>
        <v>0</v>
      </c>
      <c r="Q273" s="38">
        <f t="shared" si="31"/>
        <v>0</v>
      </c>
      <c r="R273" s="38">
        <f t="shared" si="32"/>
        <v>0</v>
      </c>
      <c r="S273" s="38">
        <f t="shared" si="33"/>
        <v>0</v>
      </c>
      <c r="T273" s="38">
        <f t="shared" si="34"/>
        <v>0</v>
      </c>
      <c r="U273" s="38">
        <f t="shared" si="35"/>
        <v>0</v>
      </c>
      <c r="V273" s="55"/>
    </row>
    <row r="274" spans="2:22" s="50" customFormat="1" ht="11.25" hidden="1">
      <c r="B274" s="69" t="s">
        <v>454</v>
      </c>
      <c r="C274" s="86"/>
      <c r="D274" s="30"/>
      <c r="E274" s="5"/>
      <c r="F274" s="5"/>
      <c r="G274" s="5"/>
      <c r="H274" s="5"/>
      <c r="I274" s="5"/>
      <c r="J274" s="5"/>
      <c r="K274" s="5"/>
      <c r="L274" s="5"/>
      <c r="M274" s="5"/>
      <c r="N274" s="5"/>
      <c r="O274" s="38">
        <f t="shared" si="29"/>
        <v>0</v>
      </c>
      <c r="P274" s="38">
        <f t="shared" si="30"/>
        <v>0</v>
      </c>
      <c r="Q274" s="38">
        <f t="shared" si="31"/>
        <v>0</v>
      </c>
      <c r="R274" s="38">
        <f t="shared" si="32"/>
        <v>0</v>
      </c>
      <c r="S274" s="38">
        <f t="shared" si="33"/>
        <v>0</v>
      </c>
      <c r="T274" s="38">
        <f t="shared" si="34"/>
        <v>0</v>
      </c>
      <c r="U274" s="38">
        <f t="shared" si="35"/>
        <v>0</v>
      </c>
      <c r="V274" s="55"/>
    </row>
    <row r="275" spans="2:22" s="50" customFormat="1" ht="11.25" hidden="1">
      <c r="B275" s="69" t="s">
        <v>454</v>
      </c>
      <c r="C275" s="86"/>
      <c r="D275" s="30"/>
      <c r="E275" s="5"/>
      <c r="F275" s="5"/>
      <c r="G275" s="5"/>
      <c r="H275" s="5"/>
      <c r="I275" s="5"/>
      <c r="J275" s="5"/>
      <c r="K275" s="5"/>
      <c r="L275" s="5"/>
      <c r="M275" s="5"/>
      <c r="N275" s="5"/>
      <c r="O275" s="38">
        <f t="shared" si="29"/>
        <v>0</v>
      </c>
      <c r="P275" s="38">
        <f t="shared" si="30"/>
        <v>0</v>
      </c>
      <c r="Q275" s="38">
        <f t="shared" si="31"/>
        <v>0</v>
      </c>
      <c r="R275" s="38">
        <f t="shared" si="32"/>
        <v>0</v>
      </c>
      <c r="S275" s="38">
        <f t="shared" si="33"/>
        <v>0</v>
      </c>
      <c r="T275" s="38">
        <f t="shared" si="34"/>
        <v>0</v>
      </c>
      <c r="U275" s="38">
        <f t="shared" si="35"/>
        <v>0</v>
      </c>
      <c r="V275" s="55"/>
    </row>
    <row r="276" spans="2:22" s="50" customFormat="1" ht="11.25" hidden="1">
      <c r="B276" s="69" t="s">
        <v>454</v>
      </c>
      <c r="C276" s="86"/>
      <c r="D276" s="30"/>
      <c r="E276" s="5"/>
      <c r="F276" s="5"/>
      <c r="G276" s="5"/>
      <c r="H276" s="5"/>
      <c r="I276" s="5"/>
      <c r="J276" s="5"/>
      <c r="K276" s="5"/>
      <c r="L276" s="5"/>
      <c r="M276" s="5"/>
      <c r="N276" s="5"/>
      <c r="O276" s="38">
        <f t="shared" si="29"/>
        <v>0</v>
      </c>
      <c r="P276" s="38">
        <f t="shared" si="30"/>
        <v>0</v>
      </c>
      <c r="Q276" s="38">
        <f t="shared" si="31"/>
        <v>0</v>
      </c>
      <c r="R276" s="38">
        <f t="shared" si="32"/>
        <v>0</v>
      </c>
      <c r="S276" s="38">
        <f t="shared" si="33"/>
        <v>0</v>
      </c>
      <c r="T276" s="38">
        <f t="shared" si="34"/>
        <v>0</v>
      </c>
      <c r="U276" s="38">
        <f t="shared" si="35"/>
        <v>0</v>
      </c>
      <c r="V276" s="55"/>
    </row>
    <row r="277" spans="2:22" s="50" customFormat="1" ht="11.25" hidden="1">
      <c r="B277" s="69" t="s">
        <v>454</v>
      </c>
      <c r="C277" s="86"/>
      <c r="D277" s="30"/>
      <c r="E277" s="5"/>
      <c r="F277" s="5"/>
      <c r="G277" s="5"/>
      <c r="H277" s="5"/>
      <c r="I277" s="5"/>
      <c r="J277" s="5"/>
      <c r="K277" s="5"/>
      <c r="L277" s="5"/>
      <c r="M277" s="5"/>
      <c r="N277" s="5"/>
      <c r="O277" s="38">
        <f t="shared" si="29"/>
        <v>0</v>
      </c>
      <c r="P277" s="38">
        <f t="shared" si="30"/>
        <v>0</v>
      </c>
      <c r="Q277" s="38">
        <f t="shared" si="31"/>
        <v>0</v>
      </c>
      <c r="R277" s="38">
        <f t="shared" si="32"/>
        <v>0</v>
      </c>
      <c r="S277" s="38">
        <f t="shared" si="33"/>
        <v>0</v>
      </c>
      <c r="T277" s="38">
        <f t="shared" si="34"/>
        <v>0</v>
      </c>
      <c r="U277" s="38">
        <f t="shared" si="35"/>
        <v>0</v>
      </c>
      <c r="V277" s="55"/>
    </row>
    <row r="278" spans="2:22" s="50" customFormat="1" ht="11.25" hidden="1">
      <c r="B278" s="69" t="s">
        <v>454</v>
      </c>
      <c r="C278" s="86"/>
      <c r="D278" s="30"/>
      <c r="E278" s="5"/>
      <c r="F278" s="5"/>
      <c r="G278" s="5"/>
      <c r="H278" s="5"/>
      <c r="I278" s="5"/>
      <c r="J278" s="5"/>
      <c r="K278" s="5"/>
      <c r="L278" s="5"/>
      <c r="M278" s="5"/>
      <c r="N278" s="5"/>
      <c r="O278" s="38">
        <f t="shared" si="29"/>
        <v>0</v>
      </c>
      <c r="P278" s="38">
        <f t="shared" si="30"/>
        <v>0</v>
      </c>
      <c r="Q278" s="38">
        <f t="shared" si="31"/>
        <v>0</v>
      </c>
      <c r="R278" s="38">
        <f t="shared" si="32"/>
        <v>0</v>
      </c>
      <c r="S278" s="38">
        <f t="shared" si="33"/>
        <v>0</v>
      </c>
      <c r="T278" s="38">
        <f t="shared" si="34"/>
        <v>0</v>
      </c>
      <c r="U278" s="38">
        <f t="shared" si="35"/>
        <v>0</v>
      </c>
      <c r="V278" s="55"/>
    </row>
    <row r="279" spans="2:22" s="50" customFormat="1" ht="11.25" hidden="1">
      <c r="B279" s="69" t="s">
        <v>454</v>
      </c>
      <c r="C279" s="86"/>
      <c r="D279" s="30"/>
      <c r="E279" s="5"/>
      <c r="F279" s="5"/>
      <c r="G279" s="5"/>
      <c r="H279" s="5"/>
      <c r="I279" s="5"/>
      <c r="J279" s="5"/>
      <c r="K279" s="5"/>
      <c r="L279" s="5"/>
      <c r="M279" s="5"/>
      <c r="N279" s="5"/>
      <c r="O279" s="38">
        <f t="shared" si="29"/>
        <v>0</v>
      </c>
      <c r="P279" s="38">
        <f t="shared" si="30"/>
        <v>0</v>
      </c>
      <c r="Q279" s="38">
        <f t="shared" si="31"/>
        <v>0</v>
      </c>
      <c r="R279" s="38">
        <f t="shared" si="32"/>
        <v>0</v>
      </c>
      <c r="S279" s="38">
        <f t="shared" si="33"/>
        <v>0</v>
      </c>
      <c r="T279" s="38">
        <f t="shared" si="34"/>
        <v>0</v>
      </c>
      <c r="U279" s="38">
        <f t="shared" si="35"/>
        <v>0</v>
      </c>
      <c r="V279" s="55"/>
    </row>
    <row r="280" spans="2:22" s="50" customFormat="1" ht="11.25" hidden="1">
      <c r="B280" s="69" t="s">
        <v>454</v>
      </c>
      <c r="C280" s="86"/>
      <c r="D280" s="30"/>
      <c r="E280" s="5"/>
      <c r="F280" s="5"/>
      <c r="G280" s="5"/>
      <c r="H280" s="5"/>
      <c r="I280" s="5"/>
      <c r="J280" s="5"/>
      <c r="K280" s="5"/>
      <c r="L280" s="5"/>
      <c r="M280" s="5"/>
      <c r="N280" s="5"/>
      <c r="O280" s="38">
        <f t="shared" si="29"/>
        <v>0</v>
      </c>
      <c r="P280" s="38">
        <f t="shared" si="30"/>
        <v>0</v>
      </c>
      <c r="Q280" s="38">
        <f t="shared" si="31"/>
        <v>0</v>
      </c>
      <c r="R280" s="38">
        <f t="shared" si="32"/>
        <v>0</v>
      </c>
      <c r="S280" s="38">
        <f t="shared" si="33"/>
        <v>0</v>
      </c>
      <c r="T280" s="38">
        <f t="shared" si="34"/>
        <v>0</v>
      </c>
      <c r="U280" s="38">
        <f t="shared" si="35"/>
        <v>0</v>
      </c>
      <c r="V280" s="55"/>
    </row>
    <row r="281" spans="2:22" s="50" customFormat="1" ht="11.25" hidden="1">
      <c r="B281" s="69" t="s">
        <v>454</v>
      </c>
      <c r="C281" s="86"/>
      <c r="D281" s="30"/>
      <c r="E281" s="5"/>
      <c r="F281" s="5"/>
      <c r="G281" s="5"/>
      <c r="H281" s="5"/>
      <c r="I281" s="5"/>
      <c r="J281" s="5"/>
      <c r="K281" s="5"/>
      <c r="L281" s="5"/>
      <c r="M281" s="5"/>
      <c r="N281" s="5"/>
      <c r="O281" s="38">
        <f t="shared" si="29"/>
        <v>0</v>
      </c>
      <c r="P281" s="38">
        <f t="shared" si="30"/>
        <v>0</v>
      </c>
      <c r="Q281" s="38">
        <f t="shared" si="31"/>
        <v>0</v>
      </c>
      <c r="R281" s="38">
        <f t="shared" si="32"/>
        <v>0</v>
      </c>
      <c r="S281" s="38">
        <f t="shared" si="33"/>
        <v>0</v>
      </c>
      <c r="T281" s="38">
        <f t="shared" si="34"/>
        <v>0</v>
      </c>
      <c r="U281" s="38">
        <f t="shared" si="35"/>
        <v>0</v>
      </c>
      <c r="V281" s="55"/>
    </row>
    <row r="282" spans="2:22" s="50" customFormat="1" ht="11.25" hidden="1">
      <c r="B282" s="69" t="s">
        <v>454</v>
      </c>
      <c r="C282" s="86"/>
      <c r="D282" s="30"/>
      <c r="E282" s="5"/>
      <c r="F282" s="5"/>
      <c r="G282" s="5"/>
      <c r="H282" s="5"/>
      <c r="I282" s="5"/>
      <c r="J282" s="5"/>
      <c r="K282" s="5"/>
      <c r="L282" s="5"/>
      <c r="M282" s="5"/>
      <c r="N282" s="5"/>
      <c r="O282" s="38">
        <f t="shared" si="29"/>
        <v>0</v>
      </c>
      <c r="P282" s="38">
        <f t="shared" si="30"/>
        <v>0</v>
      </c>
      <c r="Q282" s="38">
        <f t="shared" si="31"/>
        <v>0</v>
      </c>
      <c r="R282" s="38">
        <f t="shared" si="32"/>
        <v>0</v>
      </c>
      <c r="S282" s="38">
        <f t="shared" si="33"/>
        <v>0</v>
      </c>
      <c r="T282" s="38">
        <f t="shared" si="34"/>
        <v>0</v>
      </c>
      <c r="U282" s="38">
        <f t="shared" si="35"/>
        <v>0</v>
      </c>
      <c r="V282" s="55"/>
    </row>
    <row r="283" spans="2:22" s="50" customFormat="1" ht="11.25" hidden="1">
      <c r="B283" s="69" t="s">
        <v>454</v>
      </c>
      <c r="C283" s="86"/>
      <c r="D283" s="30"/>
      <c r="E283" s="5"/>
      <c r="F283" s="5"/>
      <c r="G283" s="5"/>
      <c r="H283" s="5"/>
      <c r="I283" s="5"/>
      <c r="J283" s="5"/>
      <c r="K283" s="5"/>
      <c r="L283" s="5"/>
      <c r="M283" s="5"/>
      <c r="N283" s="5"/>
      <c r="O283" s="38">
        <f t="shared" si="29"/>
        <v>0</v>
      </c>
      <c r="P283" s="38">
        <f t="shared" si="30"/>
        <v>0</v>
      </c>
      <c r="Q283" s="38">
        <f t="shared" si="31"/>
        <v>0</v>
      </c>
      <c r="R283" s="38">
        <f t="shared" si="32"/>
        <v>0</v>
      </c>
      <c r="S283" s="38">
        <f t="shared" si="33"/>
        <v>0</v>
      </c>
      <c r="T283" s="38">
        <f t="shared" si="34"/>
        <v>0</v>
      </c>
      <c r="U283" s="38">
        <f t="shared" si="35"/>
        <v>0</v>
      </c>
      <c r="V283" s="55"/>
    </row>
    <row r="284" spans="2:22" s="50" customFormat="1" ht="11.25" hidden="1">
      <c r="B284" s="69" t="s">
        <v>454</v>
      </c>
      <c r="C284" s="86"/>
      <c r="D284" s="30"/>
      <c r="E284" s="5"/>
      <c r="F284" s="5"/>
      <c r="G284" s="5"/>
      <c r="H284" s="5"/>
      <c r="I284" s="5"/>
      <c r="J284" s="5"/>
      <c r="K284" s="5"/>
      <c r="L284" s="5"/>
      <c r="M284" s="5"/>
      <c r="N284" s="5"/>
      <c r="O284" s="38">
        <f t="shared" si="29"/>
        <v>0</v>
      </c>
      <c r="P284" s="38">
        <f t="shared" si="30"/>
        <v>0</v>
      </c>
      <c r="Q284" s="38">
        <f t="shared" si="31"/>
        <v>0</v>
      </c>
      <c r="R284" s="38">
        <f t="shared" si="32"/>
        <v>0</v>
      </c>
      <c r="S284" s="38">
        <f t="shared" si="33"/>
        <v>0</v>
      </c>
      <c r="T284" s="38">
        <f t="shared" si="34"/>
        <v>0</v>
      </c>
      <c r="U284" s="38">
        <f t="shared" si="35"/>
        <v>0</v>
      </c>
      <c r="V284" s="55"/>
    </row>
    <row r="285" spans="2:22" s="50" customFormat="1" ht="11.25" hidden="1">
      <c r="B285" s="69" t="s">
        <v>454</v>
      </c>
      <c r="C285" s="86"/>
      <c r="D285" s="30"/>
      <c r="E285" s="5"/>
      <c r="F285" s="5"/>
      <c r="G285" s="5"/>
      <c r="H285" s="5"/>
      <c r="I285" s="5"/>
      <c r="J285" s="5"/>
      <c r="K285" s="5"/>
      <c r="L285" s="5"/>
      <c r="M285" s="5"/>
      <c r="N285" s="5"/>
      <c r="O285" s="38">
        <f t="shared" si="29"/>
        <v>0</v>
      </c>
      <c r="P285" s="38">
        <f t="shared" si="30"/>
        <v>0</v>
      </c>
      <c r="Q285" s="38">
        <f t="shared" si="31"/>
        <v>0</v>
      </c>
      <c r="R285" s="38">
        <f t="shared" si="32"/>
        <v>0</v>
      </c>
      <c r="S285" s="38">
        <f t="shared" si="33"/>
        <v>0</v>
      </c>
      <c r="T285" s="38">
        <f t="shared" si="34"/>
        <v>0</v>
      </c>
      <c r="U285" s="38">
        <f t="shared" si="35"/>
        <v>0</v>
      </c>
      <c r="V285" s="55"/>
    </row>
    <row r="286" spans="2:22" s="50" customFormat="1" ht="11.25" hidden="1">
      <c r="B286" s="69" t="s">
        <v>454</v>
      </c>
      <c r="C286" s="86"/>
      <c r="D286" s="30"/>
      <c r="E286" s="5"/>
      <c r="F286" s="5"/>
      <c r="G286" s="5"/>
      <c r="H286" s="5"/>
      <c r="I286" s="5"/>
      <c r="J286" s="5"/>
      <c r="K286" s="5"/>
      <c r="L286" s="5"/>
      <c r="M286" s="5"/>
      <c r="N286" s="5"/>
      <c r="O286" s="38">
        <f t="shared" si="29"/>
        <v>0</v>
      </c>
      <c r="P286" s="38">
        <f t="shared" si="30"/>
        <v>0</v>
      </c>
      <c r="Q286" s="38">
        <f t="shared" si="31"/>
        <v>0</v>
      </c>
      <c r="R286" s="38">
        <f t="shared" si="32"/>
        <v>0</v>
      </c>
      <c r="S286" s="38">
        <f t="shared" si="33"/>
        <v>0</v>
      </c>
      <c r="T286" s="38">
        <f t="shared" si="34"/>
        <v>0</v>
      </c>
      <c r="U286" s="38">
        <f t="shared" si="35"/>
        <v>0</v>
      </c>
      <c r="V286" s="55"/>
    </row>
    <row r="287" spans="2:22" s="50" customFormat="1" ht="11.25" hidden="1">
      <c r="B287" s="69" t="s">
        <v>454</v>
      </c>
      <c r="C287" s="86"/>
      <c r="D287" s="30"/>
      <c r="E287" s="5"/>
      <c r="F287" s="5"/>
      <c r="G287" s="5"/>
      <c r="H287" s="5"/>
      <c r="I287" s="5"/>
      <c r="J287" s="5"/>
      <c r="K287" s="5"/>
      <c r="L287" s="5"/>
      <c r="M287" s="5"/>
      <c r="N287" s="5"/>
      <c r="O287" s="38">
        <f t="shared" si="29"/>
        <v>0</v>
      </c>
      <c r="P287" s="38">
        <f t="shared" si="30"/>
        <v>0</v>
      </c>
      <c r="Q287" s="38">
        <f t="shared" si="31"/>
        <v>0</v>
      </c>
      <c r="R287" s="38">
        <f t="shared" si="32"/>
        <v>0</v>
      </c>
      <c r="S287" s="38">
        <f t="shared" si="33"/>
        <v>0</v>
      </c>
      <c r="T287" s="38">
        <f t="shared" si="34"/>
        <v>0</v>
      </c>
      <c r="U287" s="38">
        <f t="shared" si="35"/>
        <v>0</v>
      </c>
      <c r="V287" s="55"/>
    </row>
    <row r="288" spans="2:22" s="50" customFormat="1" ht="11.25" hidden="1">
      <c r="B288" s="69" t="s">
        <v>454</v>
      </c>
      <c r="C288" s="86"/>
      <c r="D288" s="30"/>
      <c r="E288" s="5"/>
      <c r="F288" s="5"/>
      <c r="G288" s="5"/>
      <c r="H288" s="5"/>
      <c r="I288" s="5"/>
      <c r="J288" s="5"/>
      <c r="K288" s="5"/>
      <c r="L288" s="5"/>
      <c r="M288" s="5"/>
      <c r="N288" s="5"/>
      <c r="O288" s="38">
        <f t="shared" si="29"/>
        <v>0</v>
      </c>
      <c r="P288" s="38">
        <f t="shared" si="30"/>
        <v>0</v>
      </c>
      <c r="Q288" s="38">
        <f t="shared" si="31"/>
        <v>0</v>
      </c>
      <c r="R288" s="38">
        <f t="shared" si="32"/>
        <v>0</v>
      </c>
      <c r="S288" s="38">
        <f t="shared" si="33"/>
        <v>0</v>
      </c>
      <c r="T288" s="38">
        <f t="shared" si="34"/>
        <v>0</v>
      </c>
      <c r="U288" s="38">
        <f t="shared" si="35"/>
        <v>0</v>
      </c>
      <c r="V288" s="55"/>
    </row>
    <row r="289" spans="2:22" s="50" customFormat="1" ht="11.25" hidden="1">
      <c r="B289" s="69" t="s">
        <v>454</v>
      </c>
      <c r="C289" s="86"/>
      <c r="D289" s="30"/>
      <c r="E289" s="5"/>
      <c r="F289" s="5"/>
      <c r="G289" s="5"/>
      <c r="H289" s="5"/>
      <c r="I289" s="5"/>
      <c r="J289" s="5"/>
      <c r="K289" s="5"/>
      <c r="L289" s="5"/>
      <c r="M289" s="5"/>
      <c r="N289" s="5"/>
      <c r="O289" s="38">
        <f t="shared" si="29"/>
        <v>0</v>
      </c>
      <c r="P289" s="38">
        <f t="shared" si="30"/>
        <v>0</v>
      </c>
      <c r="Q289" s="38">
        <f t="shared" si="31"/>
        <v>0</v>
      </c>
      <c r="R289" s="38">
        <f t="shared" si="32"/>
        <v>0</v>
      </c>
      <c r="S289" s="38">
        <f t="shared" si="33"/>
        <v>0</v>
      </c>
      <c r="T289" s="38">
        <f t="shared" si="34"/>
        <v>0</v>
      </c>
      <c r="U289" s="38">
        <f t="shared" si="35"/>
        <v>0</v>
      </c>
      <c r="V289" s="55"/>
    </row>
    <row r="290" spans="2:22" s="50" customFormat="1" ht="11.25" hidden="1">
      <c r="B290" s="69" t="s">
        <v>454</v>
      </c>
      <c r="C290" s="86"/>
      <c r="D290" s="30"/>
      <c r="E290" s="5"/>
      <c r="F290" s="5"/>
      <c r="G290" s="5"/>
      <c r="H290" s="5"/>
      <c r="I290" s="5"/>
      <c r="J290" s="5"/>
      <c r="K290" s="5"/>
      <c r="L290" s="5"/>
      <c r="M290" s="5"/>
      <c r="N290" s="5"/>
      <c r="O290" s="38">
        <f t="shared" si="29"/>
        <v>0</v>
      </c>
      <c r="P290" s="38">
        <f t="shared" si="30"/>
        <v>0</v>
      </c>
      <c r="Q290" s="38">
        <f t="shared" si="31"/>
        <v>0</v>
      </c>
      <c r="R290" s="38">
        <f t="shared" si="32"/>
        <v>0</v>
      </c>
      <c r="S290" s="38">
        <f t="shared" si="33"/>
        <v>0</v>
      </c>
      <c r="T290" s="38">
        <f t="shared" si="34"/>
        <v>0</v>
      </c>
      <c r="U290" s="38">
        <f t="shared" si="35"/>
        <v>0</v>
      </c>
      <c r="V290" s="55"/>
    </row>
    <row r="291" spans="2:22" s="50" customFormat="1" ht="11.25" hidden="1">
      <c r="B291" s="69" t="s">
        <v>454</v>
      </c>
      <c r="C291" s="86"/>
      <c r="D291" s="30"/>
      <c r="E291" s="5"/>
      <c r="F291" s="5"/>
      <c r="G291" s="5"/>
      <c r="H291" s="5"/>
      <c r="I291" s="5"/>
      <c r="J291" s="5"/>
      <c r="K291" s="5"/>
      <c r="L291" s="5"/>
      <c r="M291" s="5"/>
      <c r="N291" s="5"/>
      <c r="O291" s="38">
        <f t="shared" si="29"/>
        <v>0</v>
      </c>
      <c r="P291" s="38">
        <f t="shared" si="30"/>
        <v>0</v>
      </c>
      <c r="Q291" s="38">
        <f t="shared" si="31"/>
        <v>0</v>
      </c>
      <c r="R291" s="38">
        <f t="shared" si="32"/>
        <v>0</v>
      </c>
      <c r="S291" s="38">
        <f t="shared" si="33"/>
        <v>0</v>
      </c>
      <c r="T291" s="38">
        <f t="shared" si="34"/>
        <v>0</v>
      </c>
      <c r="U291" s="38">
        <f t="shared" si="35"/>
        <v>0</v>
      </c>
      <c r="V291" s="55"/>
    </row>
    <row r="292" spans="2:22" s="50" customFormat="1" ht="11.25" hidden="1">
      <c r="B292" s="69" t="s">
        <v>454</v>
      </c>
      <c r="C292" s="86"/>
      <c r="D292" s="30"/>
      <c r="E292" s="5"/>
      <c r="F292" s="5"/>
      <c r="G292" s="5"/>
      <c r="H292" s="5"/>
      <c r="I292" s="5"/>
      <c r="J292" s="5"/>
      <c r="K292" s="5"/>
      <c r="L292" s="5"/>
      <c r="M292" s="5"/>
      <c r="N292" s="5"/>
      <c r="O292" s="38">
        <f t="shared" si="29"/>
        <v>0</v>
      </c>
      <c r="P292" s="38">
        <f t="shared" si="30"/>
        <v>0</v>
      </c>
      <c r="Q292" s="38">
        <f t="shared" si="31"/>
        <v>0</v>
      </c>
      <c r="R292" s="38">
        <f t="shared" si="32"/>
        <v>0</v>
      </c>
      <c r="S292" s="38">
        <f t="shared" si="33"/>
        <v>0</v>
      </c>
      <c r="T292" s="38">
        <f t="shared" si="34"/>
        <v>0</v>
      </c>
      <c r="U292" s="38">
        <f t="shared" si="35"/>
        <v>0</v>
      </c>
      <c r="V292" s="55"/>
    </row>
    <row r="293" spans="2:22" s="50" customFormat="1" ht="11.25" hidden="1">
      <c r="B293" s="69" t="s">
        <v>454</v>
      </c>
      <c r="C293" s="86"/>
      <c r="D293" s="30"/>
      <c r="E293" s="5"/>
      <c r="F293" s="5"/>
      <c r="G293" s="5"/>
      <c r="H293" s="5"/>
      <c r="I293" s="5"/>
      <c r="J293" s="5"/>
      <c r="K293" s="5"/>
      <c r="L293" s="5"/>
      <c r="M293" s="5"/>
      <c r="N293" s="5"/>
      <c r="O293" s="38">
        <f t="shared" si="29"/>
        <v>0</v>
      </c>
      <c r="P293" s="38">
        <f t="shared" si="30"/>
        <v>0</v>
      </c>
      <c r="Q293" s="38">
        <f t="shared" si="31"/>
        <v>0</v>
      </c>
      <c r="R293" s="38">
        <f t="shared" si="32"/>
        <v>0</v>
      </c>
      <c r="S293" s="38">
        <f t="shared" si="33"/>
        <v>0</v>
      </c>
      <c r="T293" s="38">
        <f t="shared" si="34"/>
        <v>0</v>
      </c>
      <c r="U293" s="38">
        <f t="shared" si="35"/>
        <v>0</v>
      </c>
      <c r="V293" s="55"/>
    </row>
    <row r="294" spans="2:22" s="50" customFormat="1" ht="11.25" hidden="1">
      <c r="B294" s="69" t="s">
        <v>454</v>
      </c>
      <c r="C294" s="86"/>
      <c r="D294" s="30"/>
      <c r="E294" s="5"/>
      <c r="F294" s="5"/>
      <c r="G294" s="5"/>
      <c r="H294" s="5"/>
      <c r="I294" s="5"/>
      <c r="J294" s="5"/>
      <c r="K294" s="5"/>
      <c r="L294" s="5"/>
      <c r="M294" s="5"/>
      <c r="N294" s="5"/>
      <c r="O294" s="38">
        <f t="shared" si="29"/>
        <v>0</v>
      </c>
      <c r="P294" s="38">
        <f t="shared" si="30"/>
        <v>0</v>
      </c>
      <c r="Q294" s="38">
        <f t="shared" si="31"/>
        <v>0</v>
      </c>
      <c r="R294" s="38">
        <f t="shared" si="32"/>
        <v>0</v>
      </c>
      <c r="S294" s="38">
        <f t="shared" si="33"/>
        <v>0</v>
      </c>
      <c r="T294" s="38">
        <f t="shared" si="34"/>
        <v>0</v>
      </c>
      <c r="U294" s="38">
        <f t="shared" si="35"/>
        <v>0</v>
      </c>
      <c r="V294" s="55"/>
    </row>
    <row r="295" spans="2:22" s="50" customFormat="1" ht="11.25" hidden="1">
      <c r="B295" s="69" t="s">
        <v>454</v>
      </c>
      <c r="C295" s="86"/>
      <c r="D295" s="30"/>
      <c r="E295" s="5"/>
      <c r="F295" s="5"/>
      <c r="G295" s="5"/>
      <c r="H295" s="5"/>
      <c r="I295" s="5"/>
      <c r="J295" s="5"/>
      <c r="K295" s="5"/>
      <c r="L295" s="5"/>
      <c r="M295" s="5"/>
      <c r="N295" s="5"/>
      <c r="O295" s="38">
        <f t="shared" si="29"/>
        <v>0</v>
      </c>
      <c r="P295" s="38">
        <f t="shared" si="30"/>
        <v>0</v>
      </c>
      <c r="Q295" s="38">
        <f t="shared" si="31"/>
        <v>0</v>
      </c>
      <c r="R295" s="38">
        <f t="shared" si="32"/>
        <v>0</v>
      </c>
      <c r="S295" s="38">
        <f t="shared" si="33"/>
        <v>0</v>
      </c>
      <c r="T295" s="38">
        <f t="shared" si="34"/>
        <v>0</v>
      </c>
      <c r="U295" s="38">
        <f t="shared" si="35"/>
        <v>0</v>
      </c>
      <c r="V295" s="55"/>
    </row>
    <row r="296" spans="2:22" s="50" customFormat="1" ht="11.25" hidden="1">
      <c r="B296" s="69" t="s">
        <v>454</v>
      </c>
      <c r="C296" s="86"/>
      <c r="D296" s="30"/>
      <c r="E296" s="5"/>
      <c r="F296" s="5"/>
      <c r="G296" s="5"/>
      <c r="H296" s="5"/>
      <c r="I296" s="5"/>
      <c r="J296" s="5"/>
      <c r="K296" s="5"/>
      <c r="L296" s="5"/>
      <c r="M296" s="5"/>
      <c r="N296" s="5"/>
      <c r="O296" s="38">
        <f t="shared" si="29"/>
        <v>0</v>
      </c>
      <c r="P296" s="38">
        <f t="shared" si="30"/>
        <v>0</v>
      </c>
      <c r="Q296" s="38">
        <f t="shared" si="31"/>
        <v>0</v>
      </c>
      <c r="R296" s="38">
        <f t="shared" si="32"/>
        <v>0</v>
      </c>
      <c r="S296" s="38">
        <f t="shared" si="33"/>
        <v>0</v>
      </c>
      <c r="T296" s="38">
        <f t="shared" si="34"/>
        <v>0</v>
      </c>
      <c r="U296" s="38">
        <f t="shared" si="35"/>
        <v>0</v>
      </c>
      <c r="V296" s="55"/>
    </row>
    <row r="297" spans="2:22" s="50" customFormat="1" ht="11.25" hidden="1">
      <c r="B297" s="69" t="s">
        <v>454</v>
      </c>
      <c r="C297" s="86"/>
      <c r="D297" s="30"/>
      <c r="E297" s="5"/>
      <c r="F297" s="5"/>
      <c r="G297" s="5"/>
      <c r="H297" s="5"/>
      <c r="I297" s="5"/>
      <c r="J297" s="5"/>
      <c r="K297" s="5"/>
      <c r="L297" s="5"/>
      <c r="M297" s="5"/>
      <c r="N297" s="5"/>
      <c r="O297" s="38">
        <f t="shared" si="29"/>
        <v>0</v>
      </c>
      <c r="P297" s="38">
        <f t="shared" si="30"/>
        <v>0</v>
      </c>
      <c r="Q297" s="38">
        <f t="shared" si="31"/>
        <v>0</v>
      </c>
      <c r="R297" s="38">
        <f t="shared" si="32"/>
        <v>0</v>
      </c>
      <c r="S297" s="38">
        <f t="shared" si="33"/>
        <v>0</v>
      </c>
      <c r="T297" s="38">
        <f t="shared" si="34"/>
        <v>0</v>
      </c>
      <c r="U297" s="38">
        <f t="shared" si="35"/>
        <v>0</v>
      </c>
      <c r="V297" s="55"/>
    </row>
    <row r="298" spans="2:22" s="50" customFormat="1" ht="11.25" hidden="1">
      <c r="B298" s="69" t="s">
        <v>454</v>
      </c>
      <c r="C298" s="86"/>
      <c r="D298" s="30"/>
      <c r="E298" s="5"/>
      <c r="F298" s="5"/>
      <c r="G298" s="5"/>
      <c r="H298" s="5"/>
      <c r="I298" s="5"/>
      <c r="J298" s="5"/>
      <c r="K298" s="5"/>
      <c r="L298" s="5"/>
      <c r="M298" s="5"/>
      <c r="N298" s="5"/>
      <c r="O298" s="38">
        <f t="shared" si="29"/>
        <v>0</v>
      </c>
      <c r="P298" s="38">
        <f t="shared" si="30"/>
        <v>0</v>
      </c>
      <c r="Q298" s="38">
        <f t="shared" si="31"/>
        <v>0</v>
      </c>
      <c r="R298" s="38">
        <f t="shared" si="32"/>
        <v>0</v>
      </c>
      <c r="S298" s="38">
        <f t="shared" si="33"/>
        <v>0</v>
      </c>
      <c r="T298" s="38">
        <f t="shared" si="34"/>
        <v>0</v>
      </c>
      <c r="U298" s="38">
        <f t="shared" si="35"/>
        <v>0</v>
      </c>
      <c r="V298" s="55"/>
    </row>
    <row r="299" spans="2:22" s="50" customFormat="1" ht="11.25" hidden="1">
      <c r="B299" s="69" t="s">
        <v>454</v>
      </c>
      <c r="C299" s="86"/>
      <c r="D299" s="30"/>
      <c r="E299" s="5"/>
      <c r="F299" s="5"/>
      <c r="G299" s="5"/>
      <c r="H299" s="5"/>
      <c r="I299" s="5"/>
      <c r="J299" s="5"/>
      <c r="K299" s="5"/>
      <c r="L299" s="5"/>
      <c r="M299" s="5"/>
      <c r="N299" s="5"/>
      <c r="O299" s="38">
        <f t="shared" si="29"/>
        <v>0</v>
      </c>
      <c r="P299" s="38">
        <f t="shared" si="30"/>
        <v>0</v>
      </c>
      <c r="Q299" s="38">
        <f t="shared" si="31"/>
        <v>0</v>
      </c>
      <c r="R299" s="38">
        <f t="shared" si="32"/>
        <v>0</v>
      </c>
      <c r="S299" s="38">
        <f t="shared" si="33"/>
        <v>0</v>
      </c>
      <c r="T299" s="38">
        <f t="shared" si="34"/>
        <v>0</v>
      </c>
      <c r="U299" s="38">
        <f t="shared" si="35"/>
        <v>0</v>
      </c>
      <c r="V299" s="55"/>
    </row>
    <row r="300" spans="2:22" s="50" customFormat="1" ht="11.25" hidden="1">
      <c r="B300" s="69" t="s">
        <v>454</v>
      </c>
      <c r="C300" s="86"/>
      <c r="D300" s="30"/>
      <c r="E300" s="5"/>
      <c r="F300" s="5"/>
      <c r="G300" s="5"/>
      <c r="H300" s="5"/>
      <c r="I300" s="5"/>
      <c r="J300" s="5"/>
      <c r="K300" s="5"/>
      <c r="L300" s="5"/>
      <c r="M300" s="5"/>
      <c r="N300" s="5"/>
      <c r="O300" s="38">
        <f t="shared" si="29"/>
        <v>0</v>
      </c>
      <c r="P300" s="38">
        <f t="shared" si="30"/>
        <v>0</v>
      </c>
      <c r="Q300" s="38">
        <f t="shared" si="31"/>
        <v>0</v>
      </c>
      <c r="R300" s="38">
        <f t="shared" si="32"/>
        <v>0</v>
      </c>
      <c r="S300" s="38">
        <f t="shared" si="33"/>
        <v>0</v>
      </c>
      <c r="T300" s="38">
        <f t="shared" si="34"/>
        <v>0</v>
      </c>
      <c r="U300" s="38">
        <f t="shared" si="35"/>
        <v>0</v>
      </c>
      <c r="V300" s="55"/>
    </row>
    <row r="301" spans="2:22" s="50" customFormat="1" ht="11.25" hidden="1">
      <c r="B301" s="69" t="s">
        <v>454</v>
      </c>
      <c r="C301" s="86"/>
      <c r="D301" s="30"/>
      <c r="E301" s="5"/>
      <c r="F301" s="5"/>
      <c r="G301" s="5"/>
      <c r="H301" s="5"/>
      <c r="I301" s="5"/>
      <c r="J301" s="5"/>
      <c r="K301" s="5"/>
      <c r="L301" s="5"/>
      <c r="M301" s="5"/>
      <c r="N301" s="5"/>
      <c r="O301" s="38">
        <f t="shared" si="29"/>
        <v>0</v>
      </c>
      <c r="P301" s="38">
        <f t="shared" si="30"/>
        <v>0</v>
      </c>
      <c r="Q301" s="38">
        <f t="shared" si="31"/>
        <v>0</v>
      </c>
      <c r="R301" s="38">
        <f t="shared" si="32"/>
        <v>0</v>
      </c>
      <c r="S301" s="38">
        <f t="shared" si="33"/>
        <v>0</v>
      </c>
      <c r="T301" s="38">
        <f t="shared" si="34"/>
        <v>0</v>
      </c>
      <c r="U301" s="38">
        <f t="shared" si="35"/>
        <v>0</v>
      </c>
      <c r="V301" s="55"/>
    </row>
    <row r="302" spans="2:22" s="50" customFormat="1" ht="11.25" hidden="1">
      <c r="B302" s="69" t="s">
        <v>454</v>
      </c>
      <c r="C302" s="86"/>
      <c r="D302" s="30"/>
      <c r="E302" s="5"/>
      <c r="F302" s="5"/>
      <c r="G302" s="5"/>
      <c r="H302" s="5"/>
      <c r="I302" s="5"/>
      <c r="J302" s="5"/>
      <c r="K302" s="5"/>
      <c r="L302" s="5"/>
      <c r="M302" s="5"/>
      <c r="N302" s="5"/>
      <c r="O302" s="38">
        <f t="shared" si="29"/>
        <v>0</v>
      </c>
      <c r="P302" s="38">
        <f t="shared" si="30"/>
        <v>0</v>
      </c>
      <c r="Q302" s="38">
        <f t="shared" si="31"/>
        <v>0</v>
      </c>
      <c r="R302" s="38">
        <f t="shared" si="32"/>
        <v>0</v>
      </c>
      <c r="S302" s="38">
        <f t="shared" si="33"/>
        <v>0</v>
      </c>
      <c r="T302" s="38">
        <f t="shared" si="34"/>
        <v>0</v>
      </c>
      <c r="U302" s="38">
        <f t="shared" si="35"/>
        <v>0</v>
      </c>
      <c r="V302" s="55"/>
    </row>
    <row r="303" spans="2:22" s="50" customFormat="1" ht="11.25" hidden="1">
      <c r="B303" s="69" t="s">
        <v>454</v>
      </c>
      <c r="C303" s="86"/>
      <c r="D303" s="30"/>
      <c r="E303" s="5"/>
      <c r="F303" s="5"/>
      <c r="G303" s="5"/>
      <c r="H303" s="5"/>
      <c r="I303" s="5"/>
      <c r="J303" s="5"/>
      <c r="K303" s="5"/>
      <c r="L303" s="5"/>
      <c r="M303" s="5"/>
      <c r="N303" s="5"/>
      <c r="O303" s="38">
        <f t="shared" si="29"/>
        <v>0</v>
      </c>
      <c r="P303" s="38">
        <f t="shared" si="30"/>
        <v>0</v>
      </c>
      <c r="Q303" s="38">
        <f t="shared" si="31"/>
        <v>0</v>
      </c>
      <c r="R303" s="38">
        <f t="shared" si="32"/>
        <v>0</v>
      </c>
      <c r="S303" s="38">
        <f t="shared" si="33"/>
        <v>0</v>
      </c>
      <c r="T303" s="38">
        <f t="shared" si="34"/>
        <v>0</v>
      </c>
      <c r="U303" s="38">
        <f t="shared" si="35"/>
        <v>0</v>
      </c>
      <c r="V303" s="55"/>
    </row>
    <row r="304" spans="2:22" s="50" customFormat="1" ht="11.25" hidden="1">
      <c r="B304" s="69" t="s">
        <v>454</v>
      </c>
      <c r="C304" s="86"/>
      <c r="D304" s="30"/>
      <c r="E304" s="5"/>
      <c r="F304" s="5"/>
      <c r="G304" s="5"/>
      <c r="H304" s="5"/>
      <c r="I304" s="5"/>
      <c r="J304" s="5"/>
      <c r="K304" s="5"/>
      <c r="L304" s="5"/>
      <c r="M304" s="5"/>
      <c r="N304" s="5"/>
      <c r="O304" s="38">
        <f t="shared" si="29"/>
        <v>0</v>
      </c>
      <c r="P304" s="38">
        <f t="shared" si="30"/>
        <v>0</v>
      </c>
      <c r="Q304" s="38">
        <f t="shared" si="31"/>
        <v>0</v>
      </c>
      <c r="R304" s="38">
        <f t="shared" si="32"/>
        <v>0</v>
      </c>
      <c r="S304" s="38">
        <f t="shared" si="33"/>
        <v>0</v>
      </c>
      <c r="T304" s="38">
        <f t="shared" si="34"/>
        <v>0</v>
      </c>
      <c r="U304" s="38">
        <f t="shared" si="35"/>
        <v>0</v>
      </c>
      <c r="V304" s="55"/>
    </row>
    <row r="305" spans="2:22" s="50" customFormat="1" ht="11.25" hidden="1">
      <c r="B305" s="69" t="s">
        <v>454</v>
      </c>
      <c r="C305" s="86"/>
      <c r="D305" s="30"/>
      <c r="E305" s="5"/>
      <c r="F305" s="5"/>
      <c r="G305" s="5"/>
      <c r="H305" s="5"/>
      <c r="I305" s="5"/>
      <c r="J305" s="5"/>
      <c r="K305" s="5"/>
      <c r="L305" s="5"/>
      <c r="M305" s="5"/>
      <c r="N305" s="5"/>
      <c r="O305" s="38">
        <f t="shared" si="29"/>
        <v>0</v>
      </c>
      <c r="P305" s="38">
        <f t="shared" si="30"/>
        <v>0</v>
      </c>
      <c r="Q305" s="38">
        <f t="shared" si="31"/>
        <v>0</v>
      </c>
      <c r="R305" s="38">
        <f t="shared" si="32"/>
        <v>0</v>
      </c>
      <c r="S305" s="38">
        <f t="shared" si="33"/>
        <v>0</v>
      </c>
      <c r="T305" s="38">
        <f t="shared" si="34"/>
        <v>0</v>
      </c>
      <c r="U305" s="38">
        <f t="shared" si="35"/>
        <v>0</v>
      </c>
      <c r="V305" s="55"/>
    </row>
    <row r="306" spans="2:22" s="50" customFormat="1" ht="11.25" hidden="1">
      <c r="B306" s="69" t="s">
        <v>454</v>
      </c>
      <c r="C306" s="86"/>
      <c r="D306" s="30"/>
      <c r="E306" s="5"/>
      <c r="F306" s="5"/>
      <c r="G306" s="5"/>
      <c r="H306" s="5"/>
      <c r="I306" s="5"/>
      <c r="J306" s="5"/>
      <c r="K306" s="5"/>
      <c r="L306" s="5"/>
      <c r="M306" s="5"/>
      <c r="N306" s="5"/>
      <c r="O306" s="38">
        <f t="shared" si="29"/>
        <v>0</v>
      </c>
      <c r="P306" s="38">
        <f t="shared" si="30"/>
        <v>0</v>
      </c>
      <c r="Q306" s="38">
        <f t="shared" si="31"/>
        <v>0</v>
      </c>
      <c r="R306" s="38">
        <f t="shared" si="32"/>
        <v>0</v>
      </c>
      <c r="S306" s="38">
        <f t="shared" si="33"/>
        <v>0</v>
      </c>
      <c r="T306" s="38">
        <f t="shared" si="34"/>
        <v>0</v>
      </c>
      <c r="U306" s="38">
        <f t="shared" si="35"/>
        <v>0</v>
      </c>
      <c r="V306" s="55"/>
    </row>
    <row r="307" spans="2:22" s="50" customFormat="1" ht="11.25" hidden="1">
      <c r="B307" s="69" t="s">
        <v>454</v>
      </c>
      <c r="C307" s="86"/>
      <c r="D307" s="30"/>
      <c r="E307" s="5"/>
      <c r="F307" s="5"/>
      <c r="G307" s="5"/>
      <c r="H307" s="5"/>
      <c r="I307" s="5"/>
      <c r="J307" s="5"/>
      <c r="K307" s="5"/>
      <c r="L307" s="5"/>
      <c r="M307" s="5"/>
      <c r="N307" s="5"/>
      <c r="O307" s="38">
        <f t="shared" si="29"/>
        <v>0</v>
      </c>
      <c r="P307" s="38">
        <f t="shared" si="30"/>
        <v>0</v>
      </c>
      <c r="Q307" s="38">
        <f t="shared" si="31"/>
        <v>0</v>
      </c>
      <c r="R307" s="38">
        <f t="shared" si="32"/>
        <v>0</v>
      </c>
      <c r="S307" s="38">
        <f t="shared" si="33"/>
        <v>0</v>
      </c>
      <c r="T307" s="38">
        <f t="shared" si="34"/>
        <v>0</v>
      </c>
      <c r="U307" s="38">
        <f t="shared" si="35"/>
        <v>0</v>
      </c>
      <c r="V307" s="55"/>
    </row>
    <row r="308" spans="2:22" s="50" customFormat="1" ht="11.25" hidden="1">
      <c r="B308" s="69" t="s">
        <v>454</v>
      </c>
      <c r="C308" s="86"/>
      <c r="D308" s="30"/>
      <c r="E308" s="5"/>
      <c r="F308" s="5"/>
      <c r="G308" s="5"/>
      <c r="H308" s="5"/>
      <c r="I308" s="5"/>
      <c r="J308" s="5"/>
      <c r="K308" s="5"/>
      <c r="L308" s="5"/>
      <c r="M308" s="5"/>
      <c r="N308" s="5"/>
      <c r="O308" s="38">
        <f t="shared" si="29"/>
        <v>0</v>
      </c>
      <c r="P308" s="38">
        <f t="shared" si="30"/>
        <v>0</v>
      </c>
      <c r="Q308" s="38">
        <f t="shared" si="31"/>
        <v>0</v>
      </c>
      <c r="R308" s="38">
        <f t="shared" si="32"/>
        <v>0</v>
      </c>
      <c r="S308" s="38">
        <f t="shared" si="33"/>
        <v>0</v>
      </c>
      <c r="T308" s="38">
        <f t="shared" si="34"/>
        <v>0</v>
      </c>
      <c r="U308" s="38">
        <f t="shared" si="35"/>
        <v>0</v>
      </c>
      <c r="V308" s="55"/>
    </row>
    <row r="309" spans="2:22" s="50" customFormat="1" ht="11.25" hidden="1">
      <c r="B309" s="69" t="s">
        <v>454</v>
      </c>
      <c r="C309" s="86"/>
      <c r="D309" s="30"/>
      <c r="E309" s="5"/>
      <c r="F309" s="5"/>
      <c r="G309" s="5"/>
      <c r="H309" s="5"/>
      <c r="I309" s="5"/>
      <c r="J309" s="5"/>
      <c r="K309" s="5"/>
      <c r="L309" s="5"/>
      <c r="M309" s="5"/>
      <c r="N309" s="5"/>
      <c r="O309" s="38">
        <f t="shared" si="29"/>
        <v>0</v>
      </c>
      <c r="P309" s="38">
        <f t="shared" si="30"/>
        <v>0</v>
      </c>
      <c r="Q309" s="38">
        <f t="shared" si="31"/>
        <v>0</v>
      </c>
      <c r="R309" s="38">
        <f t="shared" si="32"/>
        <v>0</v>
      </c>
      <c r="S309" s="38">
        <f t="shared" si="33"/>
        <v>0</v>
      </c>
      <c r="T309" s="38">
        <f t="shared" si="34"/>
        <v>0</v>
      </c>
      <c r="U309" s="38">
        <f t="shared" si="35"/>
        <v>0</v>
      </c>
      <c r="V309" s="55"/>
    </row>
    <row r="310" spans="2:22" s="50" customFormat="1" ht="11.25">
      <c r="B310" s="69" t="s">
        <v>454</v>
      </c>
      <c r="C310" s="86"/>
      <c r="D310" s="30"/>
      <c r="E310" s="5"/>
      <c r="F310" s="5"/>
      <c r="G310" s="5"/>
      <c r="H310" s="5"/>
      <c r="I310" s="5"/>
      <c r="J310" s="5"/>
      <c r="K310" s="5"/>
      <c r="L310" s="5"/>
      <c r="M310" s="5"/>
      <c r="N310" s="5"/>
      <c r="O310" s="38">
        <f t="shared" si="29"/>
        <v>0</v>
      </c>
      <c r="P310" s="38">
        <f t="shared" si="30"/>
        <v>0</v>
      </c>
      <c r="Q310" s="38">
        <f t="shared" si="31"/>
        <v>0</v>
      </c>
      <c r="R310" s="38">
        <f t="shared" si="32"/>
        <v>0</v>
      </c>
      <c r="S310" s="38">
        <f t="shared" si="33"/>
        <v>0</v>
      </c>
      <c r="T310" s="38">
        <f t="shared" si="34"/>
        <v>0</v>
      </c>
      <c r="U310" s="38">
        <f t="shared" si="35"/>
        <v>0</v>
      </c>
      <c r="V310" s="55"/>
    </row>
    <row r="311" spans="2:22" s="50" customFormat="1" ht="11.25">
      <c r="B311" s="71" t="s">
        <v>457</v>
      </c>
      <c r="C311" s="87"/>
      <c r="D311" s="72"/>
      <c r="E311" s="38">
        <f>SUM(E161:E310)</f>
        <v>0</v>
      </c>
      <c r="F311" s="38"/>
      <c r="G311" s="38">
        <f t="shared" ref="G311:N311" si="36">SUM(G161:G310)</f>
        <v>0</v>
      </c>
      <c r="H311" s="38">
        <f t="shared" si="36"/>
        <v>0</v>
      </c>
      <c r="I311" s="38">
        <f t="shared" si="36"/>
        <v>0</v>
      </c>
      <c r="J311" s="38">
        <f t="shared" si="36"/>
        <v>0</v>
      </c>
      <c r="K311" s="38">
        <f t="shared" si="36"/>
        <v>0</v>
      </c>
      <c r="L311" s="38">
        <f t="shared" si="36"/>
        <v>0</v>
      </c>
      <c r="M311" s="38">
        <f t="shared" si="36"/>
        <v>0</v>
      </c>
      <c r="N311" s="38">
        <f t="shared" si="36"/>
        <v>0</v>
      </c>
      <c r="O311" s="38">
        <f t="shared" si="29"/>
        <v>0</v>
      </c>
      <c r="P311" s="38">
        <f t="shared" si="30"/>
        <v>0</v>
      </c>
      <c r="Q311" s="38">
        <f t="shared" si="31"/>
        <v>0</v>
      </c>
      <c r="R311" s="38">
        <f t="shared" si="32"/>
        <v>0</v>
      </c>
      <c r="S311" s="38">
        <f t="shared" si="33"/>
        <v>0</v>
      </c>
      <c r="T311" s="38">
        <f t="shared" si="34"/>
        <v>0</v>
      </c>
      <c r="U311" s="38">
        <f t="shared" si="35"/>
        <v>0</v>
      </c>
      <c r="V311" s="55"/>
    </row>
    <row r="312" spans="2:22" s="50" customFormat="1" ht="11.25">
      <c r="B312" s="69" t="s">
        <v>456</v>
      </c>
      <c r="C312" s="82"/>
      <c r="D312" s="28"/>
      <c r="E312" s="5"/>
      <c r="F312" s="5"/>
      <c r="G312" s="5"/>
      <c r="H312" s="5"/>
      <c r="I312" s="5"/>
      <c r="J312" s="29"/>
      <c r="K312" s="29"/>
      <c r="L312" s="22"/>
      <c r="M312" s="22"/>
      <c r="N312" s="22"/>
      <c r="O312" s="38">
        <f t="shared" si="29"/>
        <v>0</v>
      </c>
      <c r="P312" s="38">
        <f t="shared" si="30"/>
        <v>0</v>
      </c>
      <c r="Q312" s="38">
        <f t="shared" si="31"/>
        <v>0</v>
      </c>
      <c r="R312" s="38">
        <f t="shared" si="32"/>
        <v>0</v>
      </c>
      <c r="S312" s="38">
        <f t="shared" si="33"/>
        <v>0</v>
      </c>
      <c r="T312" s="38">
        <f t="shared" si="34"/>
        <v>0</v>
      </c>
      <c r="U312" s="38">
        <f t="shared" si="35"/>
        <v>0</v>
      </c>
      <c r="V312" s="55"/>
    </row>
    <row r="313" spans="2:22" s="50" customFormat="1" ht="11.25">
      <c r="B313" s="69" t="s">
        <v>456</v>
      </c>
      <c r="C313" s="82"/>
      <c r="D313" s="28"/>
      <c r="E313" s="5"/>
      <c r="F313" s="5"/>
      <c r="G313" s="5"/>
      <c r="H313" s="5"/>
      <c r="I313" s="5"/>
      <c r="J313" s="29"/>
      <c r="K313" s="29"/>
      <c r="L313" s="22"/>
      <c r="M313" s="22"/>
      <c r="N313" s="22"/>
      <c r="O313" s="38">
        <f t="shared" si="29"/>
        <v>0</v>
      </c>
      <c r="P313" s="38">
        <f t="shared" si="30"/>
        <v>0</v>
      </c>
      <c r="Q313" s="38">
        <f t="shared" si="31"/>
        <v>0</v>
      </c>
      <c r="R313" s="38">
        <f t="shared" si="32"/>
        <v>0</v>
      </c>
      <c r="S313" s="38">
        <f t="shared" si="33"/>
        <v>0</v>
      </c>
      <c r="T313" s="38">
        <f t="shared" si="34"/>
        <v>0</v>
      </c>
      <c r="U313" s="38">
        <f t="shared" si="35"/>
        <v>0</v>
      </c>
      <c r="V313" s="55"/>
    </row>
    <row r="314" spans="2:22" s="50" customFormat="1" ht="11.25">
      <c r="B314" s="69" t="s">
        <v>456</v>
      </c>
      <c r="C314" s="82"/>
      <c r="D314" s="28"/>
      <c r="E314" s="5"/>
      <c r="F314" s="5"/>
      <c r="G314" s="5"/>
      <c r="H314" s="5"/>
      <c r="I314" s="5"/>
      <c r="J314" s="29"/>
      <c r="K314" s="29"/>
      <c r="L314" s="22"/>
      <c r="M314" s="22"/>
      <c r="N314" s="22"/>
      <c r="O314" s="38">
        <f t="shared" si="29"/>
        <v>0</v>
      </c>
      <c r="P314" s="38">
        <f t="shared" si="30"/>
        <v>0</v>
      </c>
      <c r="Q314" s="38">
        <f t="shared" si="31"/>
        <v>0</v>
      </c>
      <c r="R314" s="38">
        <f t="shared" si="32"/>
        <v>0</v>
      </c>
      <c r="S314" s="38">
        <f t="shared" si="33"/>
        <v>0</v>
      </c>
      <c r="T314" s="38">
        <f t="shared" si="34"/>
        <v>0</v>
      </c>
      <c r="U314" s="38">
        <f t="shared" si="35"/>
        <v>0</v>
      </c>
      <c r="V314" s="55"/>
    </row>
    <row r="315" spans="2:22" s="50" customFormat="1" ht="11.25">
      <c r="B315" s="69" t="s">
        <v>456</v>
      </c>
      <c r="C315" s="82"/>
      <c r="D315" s="28"/>
      <c r="E315" s="5"/>
      <c r="F315" s="5"/>
      <c r="G315" s="5"/>
      <c r="H315" s="5"/>
      <c r="I315" s="5"/>
      <c r="J315" s="29"/>
      <c r="K315" s="29"/>
      <c r="L315" s="22"/>
      <c r="M315" s="22"/>
      <c r="N315" s="22"/>
      <c r="O315" s="38">
        <f t="shared" si="29"/>
        <v>0</v>
      </c>
      <c r="P315" s="38">
        <f t="shared" si="30"/>
        <v>0</v>
      </c>
      <c r="Q315" s="38">
        <f t="shared" si="31"/>
        <v>0</v>
      </c>
      <c r="R315" s="38">
        <f t="shared" si="32"/>
        <v>0</v>
      </c>
      <c r="S315" s="38">
        <f t="shared" si="33"/>
        <v>0</v>
      </c>
      <c r="T315" s="38">
        <f t="shared" si="34"/>
        <v>0</v>
      </c>
      <c r="U315" s="38">
        <f t="shared" si="35"/>
        <v>0</v>
      </c>
      <c r="V315" s="55"/>
    </row>
    <row r="316" spans="2:22" s="50" customFormat="1" ht="11.25" hidden="1">
      <c r="B316" s="69" t="s">
        <v>456</v>
      </c>
      <c r="C316" s="82"/>
      <c r="D316" s="28"/>
      <c r="E316" s="5"/>
      <c r="F316" s="5"/>
      <c r="G316" s="5"/>
      <c r="H316" s="5"/>
      <c r="I316" s="5"/>
      <c r="J316" s="29"/>
      <c r="K316" s="29"/>
      <c r="L316" s="22"/>
      <c r="M316" s="22"/>
      <c r="N316" s="22"/>
      <c r="O316" s="38">
        <f t="shared" si="29"/>
        <v>0</v>
      </c>
      <c r="P316" s="38">
        <f t="shared" si="30"/>
        <v>0</v>
      </c>
      <c r="Q316" s="38">
        <f t="shared" si="31"/>
        <v>0</v>
      </c>
      <c r="R316" s="38">
        <f t="shared" si="32"/>
        <v>0</v>
      </c>
      <c r="S316" s="38">
        <f t="shared" si="33"/>
        <v>0</v>
      </c>
      <c r="T316" s="38">
        <f t="shared" si="34"/>
        <v>0</v>
      </c>
      <c r="U316" s="38">
        <f t="shared" si="35"/>
        <v>0</v>
      </c>
      <c r="V316" s="55"/>
    </row>
    <row r="317" spans="2:22" s="50" customFormat="1" ht="11.25" hidden="1">
      <c r="B317" s="69" t="s">
        <v>456</v>
      </c>
      <c r="C317" s="82"/>
      <c r="D317" s="28"/>
      <c r="E317" s="5"/>
      <c r="F317" s="5"/>
      <c r="G317" s="5"/>
      <c r="H317" s="5"/>
      <c r="I317" s="5"/>
      <c r="J317" s="29"/>
      <c r="K317" s="29"/>
      <c r="L317" s="22"/>
      <c r="M317" s="22"/>
      <c r="N317" s="22"/>
      <c r="O317" s="38">
        <f t="shared" si="29"/>
        <v>0</v>
      </c>
      <c r="P317" s="38">
        <f t="shared" si="30"/>
        <v>0</v>
      </c>
      <c r="Q317" s="38">
        <f t="shared" si="31"/>
        <v>0</v>
      </c>
      <c r="R317" s="38">
        <f t="shared" si="32"/>
        <v>0</v>
      </c>
      <c r="S317" s="38">
        <f t="shared" si="33"/>
        <v>0</v>
      </c>
      <c r="T317" s="38">
        <f t="shared" si="34"/>
        <v>0</v>
      </c>
      <c r="U317" s="38">
        <f t="shared" si="35"/>
        <v>0</v>
      </c>
      <c r="V317" s="55"/>
    </row>
    <row r="318" spans="2:22" s="50" customFormat="1" ht="11.25" hidden="1">
      <c r="B318" s="69" t="s">
        <v>456</v>
      </c>
      <c r="C318" s="82"/>
      <c r="D318" s="28"/>
      <c r="E318" s="5"/>
      <c r="F318" s="5"/>
      <c r="G318" s="5"/>
      <c r="H318" s="5"/>
      <c r="I318" s="5"/>
      <c r="J318" s="29"/>
      <c r="K318" s="29"/>
      <c r="L318" s="22"/>
      <c r="M318" s="22"/>
      <c r="N318" s="22"/>
      <c r="O318" s="38">
        <f t="shared" si="29"/>
        <v>0</v>
      </c>
      <c r="P318" s="38">
        <f t="shared" si="30"/>
        <v>0</v>
      </c>
      <c r="Q318" s="38">
        <f t="shared" si="31"/>
        <v>0</v>
      </c>
      <c r="R318" s="38">
        <f t="shared" si="32"/>
        <v>0</v>
      </c>
      <c r="S318" s="38">
        <f t="shared" si="33"/>
        <v>0</v>
      </c>
      <c r="T318" s="38">
        <f t="shared" si="34"/>
        <v>0</v>
      </c>
      <c r="U318" s="38">
        <f t="shared" si="35"/>
        <v>0</v>
      </c>
      <c r="V318" s="55"/>
    </row>
    <row r="319" spans="2:22" s="50" customFormat="1" ht="11.25" hidden="1">
      <c r="B319" s="69" t="s">
        <v>456</v>
      </c>
      <c r="C319" s="82"/>
      <c r="D319" s="28"/>
      <c r="E319" s="5"/>
      <c r="F319" s="5"/>
      <c r="G319" s="5"/>
      <c r="H319" s="5"/>
      <c r="I319" s="5"/>
      <c r="J319" s="29"/>
      <c r="K319" s="29"/>
      <c r="L319" s="22"/>
      <c r="M319" s="22"/>
      <c r="N319" s="22"/>
      <c r="O319" s="38">
        <f t="shared" si="29"/>
        <v>0</v>
      </c>
      <c r="P319" s="38">
        <f t="shared" si="30"/>
        <v>0</v>
      </c>
      <c r="Q319" s="38">
        <f t="shared" si="31"/>
        <v>0</v>
      </c>
      <c r="R319" s="38">
        <f t="shared" si="32"/>
        <v>0</v>
      </c>
      <c r="S319" s="38">
        <f t="shared" si="33"/>
        <v>0</v>
      </c>
      <c r="T319" s="38">
        <f t="shared" si="34"/>
        <v>0</v>
      </c>
      <c r="U319" s="38">
        <f t="shared" si="35"/>
        <v>0</v>
      </c>
      <c r="V319" s="55"/>
    </row>
    <row r="320" spans="2:22" s="50" customFormat="1" ht="11.25" hidden="1">
      <c r="B320" s="69" t="s">
        <v>456</v>
      </c>
      <c r="C320" s="86"/>
      <c r="D320" s="30"/>
      <c r="E320" s="5"/>
      <c r="F320" s="5"/>
      <c r="G320" s="5"/>
      <c r="H320" s="5"/>
      <c r="I320" s="29"/>
      <c r="J320" s="29"/>
      <c r="K320" s="29"/>
      <c r="L320" s="29"/>
      <c r="M320" s="29"/>
      <c r="N320" s="29"/>
      <c r="O320" s="38">
        <f t="shared" si="29"/>
        <v>0</v>
      </c>
      <c r="P320" s="38">
        <f t="shared" si="30"/>
        <v>0</v>
      </c>
      <c r="Q320" s="38">
        <f t="shared" si="31"/>
        <v>0</v>
      </c>
      <c r="R320" s="38">
        <f t="shared" si="32"/>
        <v>0</v>
      </c>
      <c r="S320" s="38">
        <f t="shared" si="33"/>
        <v>0</v>
      </c>
      <c r="T320" s="38">
        <f t="shared" si="34"/>
        <v>0</v>
      </c>
      <c r="U320" s="38">
        <f t="shared" si="35"/>
        <v>0</v>
      </c>
      <c r="V320" s="55"/>
    </row>
    <row r="321" spans="2:22" s="50" customFormat="1" ht="11.25" hidden="1">
      <c r="B321" s="69" t="s">
        <v>456</v>
      </c>
      <c r="C321" s="86"/>
      <c r="D321" s="30"/>
      <c r="E321" s="5"/>
      <c r="F321" s="5"/>
      <c r="G321" s="5"/>
      <c r="H321" s="5"/>
      <c r="I321" s="29"/>
      <c r="J321" s="29"/>
      <c r="K321" s="29"/>
      <c r="L321" s="29"/>
      <c r="M321" s="29"/>
      <c r="N321" s="29"/>
      <c r="O321" s="38">
        <f t="shared" si="29"/>
        <v>0</v>
      </c>
      <c r="P321" s="38">
        <f t="shared" si="30"/>
        <v>0</v>
      </c>
      <c r="Q321" s="38">
        <f t="shared" si="31"/>
        <v>0</v>
      </c>
      <c r="R321" s="38">
        <f t="shared" si="32"/>
        <v>0</v>
      </c>
      <c r="S321" s="38">
        <f t="shared" si="33"/>
        <v>0</v>
      </c>
      <c r="T321" s="38">
        <f t="shared" si="34"/>
        <v>0</v>
      </c>
      <c r="U321" s="38">
        <f t="shared" si="35"/>
        <v>0</v>
      </c>
      <c r="V321" s="55"/>
    </row>
    <row r="322" spans="2:22" s="50" customFormat="1" ht="11.25" hidden="1">
      <c r="B322" s="69" t="s">
        <v>456</v>
      </c>
      <c r="C322" s="86"/>
      <c r="D322" s="30"/>
      <c r="E322" s="5"/>
      <c r="F322" s="5"/>
      <c r="G322" s="5"/>
      <c r="H322" s="5"/>
      <c r="I322" s="29"/>
      <c r="J322" s="29"/>
      <c r="K322" s="29"/>
      <c r="L322" s="29"/>
      <c r="M322" s="29"/>
      <c r="N322" s="29"/>
      <c r="O322" s="38">
        <f t="shared" si="29"/>
        <v>0</v>
      </c>
      <c r="P322" s="38">
        <f t="shared" si="30"/>
        <v>0</v>
      </c>
      <c r="Q322" s="38">
        <f t="shared" si="31"/>
        <v>0</v>
      </c>
      <c r="R322" s="38">
        <f t="shared" si="32"/>
        <v>0</v>
      </c>
      <c r="S322" s="38">
        <f t="shared" si="33"/>
        <v>0</v>
      </c>
      <c r="T322" s="38">
        <f t="shared" si="34"/>
        <v>0</v>
      </c>
      <c r="U322" s="38">
        <f t="shared" si="35"/>
        <v>0</v>
      </c>
      <c r="V322" s="55"/>
    </row>
    <row r="323" spans="2:22" s="50" customFormat="1" ht="11.25" hidden="1">
      <c r="B323" s="69" t="s">
        <v>456</v>
      </c>
      <c r="C323" s="86"/>
      <c r="D323" s="30"/>
      <c r="E323" s="5"/>
      <c r="F323" s="5"/>
      <c r="G323" s="5"/>
      <c r="H323" s="5"/>
      <c r="I323" s="29"/>
      <c r="J323" s="29"/>
      <c r="K323" s="29"/>
      <c r="L323" s="29"/>
      <c r="M323" s="29"/>
      <c r="N323" s="29"/>
      <c r="O323" s="38">
        <f t="shared" si="29"/>
        <v>0</v>
      </c>
      <c r="P323" s="38">
        <f t="shared" si="30"/>
        <v>0</v>
      </c>
      <c r="Q323" s="38">
        <f t="shared" si="31"/>
        <v>0</v>
      </c>
      <c r="R323" s="38">
        <f t="shared" si="32"/>
        <v>0</v>
      </c>
      <c r="S323" s="38">
        <f t="shared" si="33"/>
        <v>0</v>
      </c>
      <c r="T323" s="38">
        <f t="shared" si="34"/>
        <v>0</v>
      </c>
      <c r="U323" s="38">
        <f t="shared" si="35"/>
        <v>0</v>
      </c>
      <c r="V323" s="55"/>
    </row>
    <row r="324" spans="2:22" s="50" customFormat="1" ht="11.25" hidden="1">
      <c r="B324" s="69" t="s">
        <v>456</v>
      </c>
      <c r="C324" s="86"/>
      <c r="D324" s="30"/>
      <c r="E324" s="5"/>
      <c r="F324" s="5"/>
      <c r="G324" s="5"/>
      <c r="H324" s="5"/>
      <c r="I324" s="29"/>
      <c r="J324" s="29"/>
      <c r="K324" s="29"/>
      <c r="L324" s="29"/>
      <c r="M324" s="29"/>
      <c r="N324" s="29"/>
      <c r="O324" s="38">
        <f t="shared" si="29"/>
        <v>0</v>
      </c>
      <c r="P324" s="38">
        <f t="shared" si="30"/>
        <v>0</v>
      </c>
      <c r="Q324" s="38">
        <f t="shared" si="31"/>
        <v>0</v>
      </c>
      <c r="R324" s="38">
        <f t="shared" si="32"/>
        <v>0</v>
      </c>
      <c r="S324" s="38">
        <f t="shared" si="33"/>
        <v>0</v>
      </c>
      <c r="T324" s="38">
        <f t="shared" si="34"/>
        <v>0</v>
      </c>
      <c r="U324" s="38">
        <f t="shared" si="35"/>
        <v>0</v>
      </c>
      <c r="V324" s="55"/>
    </row>
    <row r="325" spans="2:22" s="50" customFormat="1" ht="11.25" hidden="1">
      <c r="B325" s="69" t="s">
        <v>456</v>
      </c>
      <c r="C325" s="86"/>
      <c r="D325" s="30"/>
      <c r="E325" s="5"/>
      <c r="F325" s="5"/>
      <c r="G325" s="5"/>
      <c r="H325" s="5"/>
      <c r="I325" s="29"/>
      <c r="J325" s="29"/>
      <c r="K325" s="29"/>
      <c r="L325" s="29"/>
      <c r="M325" s="29"/>
      <c r="N325" s="29"/>
      <c r="O325" s="38">
        <f t="shared" si="29"/>
        <v>0</v>
      </c>
      <c r="P325" s="38">
        <f t="shared" si="30"/>
        <v>0</v>
      </c>
      <c r="Q325" s="38">
        <f t="shared" si="31"/>
        <v>0</v>
      </c>
      <c r="R325" s="38">
        <f t="shared" si="32"/>
        <v>0</v>
      </c>
      <c r="S325" s="38">
        <f t="shared" si="33"/>
        <v>0</v>
      </c>
      <c r="T325" s="38">
        <f t="shared" si="34"/>
        <v>0</v>
      </c>
      <c r="U325" s="38">
        <f t="shared" si="35"/>
        <v>0</v>
      </c>
      <c r="V325" s="55"/>
    </row>
    <row r="326" spans="2:22" s="50" customFormat="1" ht="11.25" hidden="1">
      <c r="B326" s="69" t="s">
        <v>456</v>
      </c>
      <c r="C326" s="86"/>
      <c r="D326" s="30"/>
      <c r="E326" s="5"/>
      <c r="F326" s="5"/>
      <c r="G326" s="5"/>
      <c r="H326" s="5"/>
      <c r="I326" s="29"/>
      <c r="J326" s="29"/>
      <c r="K326" s="29"/>
      <c r="L326" s="29"/>
      <c r="M326" s="29"/>
      <c r="N326" s="29"/>
      <c r="O326" s="38">
        <f t="shared" si="29"/>
        <v>0</v>
      </c>
      <c r="P326" s="38">
        <f t="shared" si="30"/>
        <v>0</v>
      </c>
      <c r="Q326" s="38">
        <f t="shared" si="31"/>
        <v>0</v>
      </c>
      <c r="R326" s="38">
        <f t="shared" si="32"/>
        <v>0</v>
      </c>
      <c r="S326" s="38">
        <f t="shared" si="33"/>
        <v>0</v>
      </c>
      <c r="T326" s="38">
        <f t="shared" si="34"/>
        <v>0</v>
      </c>
      <c r="U326" s="38">
        <f t="shared" si="35"/>
        <v>0</v>
      </c>
      <c r="V326" s="55"/>
    </row>
    <row r="327" spans="2:22" s="50" customFormat="1" ht="11.25" hidden="1">
      <c r="B327" s="69" t="s">
        <v>456</v>
      </c>
      <c r="C327" s="86"/>
      <c r="D327" s="30"/>
      <c r="E327" s="5"/>
      <c r="F327" s="5"/>
      <c r="G327" s="5"/>
      <c r="H327" s="5"/>
      <c r="I327" s="29"/>
      <c r="J327" s="29"/>
      <c r="K327" s="29"/>
      <c r="L327" s="29"/>
      <c r="M327" s="29"/>
      <c r="N327" s="29"/>
      <c r="O327" s="38">
        <f t="shared" si="29"/>
        <v>0</v>
      </c>
      <c r="P327" s="38">
        <f t="shared" si="30"/>
        <v>0</v>
      </c>
      <c r="Q327" s="38">
        <f t="shared" si="31"/>
        <v>0</v>
      </c>
      <c r="R327" s="38">
        <f t="shared" si="32"/>
        <v>0</v>
      </c>
      <c r="S327" s="38">
        <f t="shared" si="33"/>
        <v>0</v>
      </c>
      <c r="T327" s="38">
        <f t="shared" si="34"/>
        <v>0</v>
      </c>
      <c r="U327" s="38">
        <f t="shared" si="35"/>
        <v>0</v>
      </c>
      <c r="V327" s="55"/>
    </row>
    <row r="328" spans="2:22" s="50" customFormat="1" ht="11.25" hidden="1">
      <c r="B328" s="69" t="s">
        <v>456</v>
      </c>
      <c r="C328" s="86"/>
      <c r="D328" s="30"/>
      <c r="E328" s="5"/>
      <c r="F328" s="5"/>
      <c r="G328" s="5"/>
      <c r="H328" s="5"/>
      <c r="I328" s="29"/>
      <c r="J328" s="29"/>
      <c r="K328" s="29"/>
      <c r="L328" s="29"/>
      <c r="M328" s="29"/>
      <c r="N328" s="29"/>
      <c r="O328" s="38">
        <f t="shared" si="29"/>
        <v>0</v>
      </c>
      <c r="P328" s="38">
        <f t="shared" si="30"/>
        <v>0</v>
      </c>
      <c r="Q328" s="38">
        <f t="shared" si="31"/>
        <v>0</v>
      </c>
      <c r="R328" s="38">
        <f t="shared" si="32"/>
        <v>0</v>
      </c>
      <c r="S328" s="38">
        <f t="shared" si="33"/>
        <v>0</v>
      </c>
      <c r="T328" s="38">
        <f t="shared" si="34"/>
        <v>0</v>
      </c>
      <c r="U328" s="38">
        <f t="shared" si="35"/>
        <v>0</v>
      </c>
      <c r="V328" s="55"/>
    </row>
    <row r="329" spans="2:22" s="50" customFormat="1" ht="11.25" hidden="1">
      <c r="B329" s="69" t="s">
        <v>456</v>
      </c>
      <c r="C329" s="86"/>
      <c r="D329" s="30"/>
      <c r="E329" s="5"/>
      <c r="F329" s="5"/>
      <c r="G329" s="5"/>
      <c r="H329" s="5"/>
      <c r="I329" s="29"/>
      <c r="J329" s="29"/>
      <c r="K329" s="29"/>
      <c r="L329" s="29"/>
      <c r="M329" s="29"/>
      <c r="N329" s="29"/>
      <c r="O329" s="38">
        <f t="shared" si="29"/>
        <v>0</v>
      </c>
      <c r="P329" s="38">
        <f t="shared" si="30"/>
        <v>0</v>
      </c>
      <c r="Q329" s="38">
        <f t="shared" si="31"/>
        <v>0</v>
      </c>
      <c r="R329" s="38">
        <f t="shared" si="32"/>
        <v>0</v>
      </c>
      <c r="S329" s="38">
        <f t="shared" si="33"/>
        <v>0</v>
      </c>
      <c r="T329" s="38">
        <f t="shared" si="34"/>
        <v>0</v>
      </c>
      <c r="U329" s="38">
        <f t="shared" si="35"/>
        <v>0</v>
      </c>
      <c r="V329" s="55"/>
    </row>
    <row r="330" spans="2:22" s="50" customFormat="1" ht="11.25" hidden="1">
      <c r="B330" s="69" t="s">
        <v>456</v>
      </c>
      <c r="C330" s="86"/>
      <c r="D330" s="30"/>
      <c r="E330" s="5"/>
      <c r="F330" s="5"/>
      <c r="G330" s="5"/>
      <c r="H330" s="5"/>
      <c r="I330" s="29"/>
      <c r="J330" s="29"/>
      <c r="K330" s="29"/>
      <c r="L330" s="29"/>
      <c r="M330" s="29"/>
      <c r="N330" s="29"/>
      <c r="O330" s="38">
        <f t="shared" ref="O330:O393" si="37">SUM(J330:N330)</f>
        <v>0</v>
      </c>
      <c r="P330" s="38">
        <f t="shared" ref="P330:P393" si="38">IF(I330=0,0,J330/I330*10)</f>
        <v>0</v>
      </c>
      <c r="Q330" s="38">
        <f t="shared" ref="Q330:Q393" si="39">IF(I330=0,0,L330/I330*10)</f>
        <v>0</v>
      </c>
      <c r="R330" s="38">
        <f t="shared" ref="R330:R393" si="40">IF(I330=0,0,M330/I330*10)</f>
        <v>0</v>
      </c>
      <c r="S330" s="38">
        <f t="shared" ref="S330:S393" si="41">IF(I330=0,0,N330/I330*10)</f>
        <v>0</v>
      </c>
      <c r="T330" s="38">
        <f t="shared" ref="T330:T393" si="42">IF(I330=0,0,K330/I330*10)</f>
        <v>0</v>
      </c>
      <c r="U330" s="38">
        <f t="shared" ref="U330:U393" si="43">IF(I330=0,0,O330/I330*10)</f>
        <v>0</v>
      </c>
      <c r="V330" s="55"/>
    </row>
    <row r="331" spans="2:22" s="50" customFormat="1" ht="11.25" hidden="1">
      <c r="B331" s="69" t="s">
        <v>456</v>
      </c>
      <c r="C331" s="86"/>
      <c r="D331" s="30"/>
      <c r="E331" s="5"/>
      <c r="F331" s="5"/>
      <c r="G331" s="5"/>
      <c r="H331" s="5"/>
      <c r="I331" s="29"/>
      <c r="J331" s="29"/>
      <c r="K331" s="29"/>
      <c r="L331" s="29"/>
      <c r="M331" s="29"/>
      <c r="N331" s="29"/>
      <c r="O331" s="38">
        <f t="shared" si="37"/>
        <v>0</v>
      </c>
      <c r="P331" s="38">
        <f t="shared" si="38"/>
        <v>0</v>
      </c>
      <c r="Q331" s="38">
        <f t="shared" si="39"/>
        <v>0</v>
      </c>
      <c r="R331" s="38">
        <f t="shared" si="40"/>
        <v>0</v>
      </c>
      <c r="S331" s="38">
        <f t="shared" si="41"/>
        <v>0</v>
      </c>
      <c r="T331" s="38">
        <f t="shared" si="42"/>
        <v>0</v>
      </c>
      <c r="U331" s="38">
        <f t="shared" si="43"/>
        <v>0</v>
      </c>
      <c r="V331" s="55"/>
    </row>
    <row r="332" spans="2:22" s="50" customFormat="1" ht="11.25" hidden="1">
      <c r="B332" s="69" t="s">
        <v>456</v>
      </c>
      <c r="C332" s="86"/>
      <c r="D332" s="30"/>
      <c r="E332" s="5"/>
      <c r="F332" s="5"/>
      <c r="G332" s="5"/>
      <c r="H332" s="5"/>
      <c r="I332" s="29"/>
      <c r="J332" s="29"/>
      <c r="K332" s="29"/>
      <c r="L332" s="29"/>
      <c r="M332" s="29"/>
      <c r="N332" s="29"/>
      <c r="O332" s="38">
        <f t="shared" si="37"/>
        <v>0</v>
      </c>
      <c r="P332" s="38">
        <f t="shared" si="38"/>
        <v>0</v>
      </c>
      <c r="Q332" s="38">
        <f t="shared" si="39"/>
        <v>0</v>
      </c>
      <c r="R332" s="38">
        <f t="shared" si="40"/>
        <v>0</v>
      </c>
      <c r="S332" s="38">
        <f t="shared" si="41"/>
        <v>0</v>
      </c>
      <c r="T332" s="38">
        <f t="shared" si="42"/>
        <v>0</v>
      </c>
      <c r="U332" s="38">
        <f t="shared" si="43"/>
        <v>0</v>
      </c>
      <c r="V332" s="55"/>
    </row>
    <row r="333" spans="2:22" s="50" customFormat="1" ht="11.25" hidden="1">
      <c r="B333" s="69" t="s">
        <v>456</v>
      </c>
      <c r="C333" s="86"/>
      <c r="D333" s="30"/>
      <c r="E333" s="5"/>
      <c r="F333" s="5"/>
      <c r="G333" s="5"/>
      <c r="H333" s="5"/>
      <c r="I333" s="29"/>
      <c r="J333" s="29"/>
      <c r="K333" s="29"/>
      <c r="L333" s="29"/>
      <c r="M333" s="29"/>
      <c r="N333" s="29"/>
      <c r="O333" s="38">
        <f t="shared" si="37"/>
        <v>0</v>
      </c>
      <c r="P333" s="38">
        <f t="shared" si="38"/>
        <v>0</v>
      </c>
      <c r="Q333" s="38">
        <f t="shared" si="39"/>
        <v>0</v>
      </c>
      <c r="R333" s="38">
        <f t="shared" si="40"/>
        <v>0</v>
      </c>
      <c r="S333" s="38">
        <f t="shared" si="41"/>
        <v>0</v>
      </c>
      <c r="T333" s="38">
        <f t="shared" si="42"/>
        <v>0</v>
      </c>
      <c r="U333" s="38">
        <f t="shared" si="43"/>
        <v>0</v>
      </c>
      <c r="V333" s="55"/>
    </row>
    <row r="334" spans="2:22" s="50" customFormat="1" ht="11.25" hidden="1">
      <c r="B334" s="69" t="s">
        <v>456</v>
      </c>
      <c r="C334" s="86"/>
      <c r="D334" s="30"/>
      <c r="E334" s="5"/>
      <c r="F334" s="5"/>
      <c r="G334" s="5"/>
      <c r="H334" s="5"/>
      <c r="I334" s="29"/>
      <c r="J334" s="29"/>
      <c r="K334" s="29"/>
      <c r="L334" s="29"/>
      <c r="M334" s="29"/>
      <c r="N334" s="29"/>
      <c r="O334" s="38">
        <f t="shared" si="37"/>
        <v>0</v>
      </c>
      <c r="P334" s="38">
        <f t="shared" si="38"/>
        <v>0</v>
      </c>
      <c r="Q334" s="38">
        <f t="shared" si="39"/>
        <v>0</v>
      </c>
      <c r="R334" s="38">
        <f t="shared" si="40"/>
        <v>0</v>
      </c>
      <c r="S334" s="38">
        <f t="shared" si="41"/>
        <v>0</v>
      </c>
      <c r="T334" s="38">
        <f t="shared" si="42"/>
        <v>0</v>
      </c>
      <c r="U334" s="38">
        <f t="shared" si="43"/>
        <v>0</v>
      </c>
      <c r="V334" s="55"/>
    </row>
    <row r="335" spans="2:22" s="50" customFormat="1" ht="11.25" hidden="1">
      <c r="B335" s="69" t="s">
        <v>456</v>
      </c>
      <c r="C335" s="86"/>
      <c r="D335" s="30"/>
      <c r="E335" s="5"/>
      <c r="F335" s="5"/>
      <c r="G335" s="5"/>
      <c r="H335" s="5"/>
      <c r="I335" s="29"/>
      <c r="J335" s="29"/>
      <c r="K335" s="29"/>
      <c r="L335" s="29"/>
      <c r="M335" s="29"/>
      <c r="N335" s="29"/>
      <c r="O335" s="38">
        <f t="shared" si="37"/>
        <v>0</v>
      </c>
      <c r="P335" s="38">
        <f t="shared" si="38"/>
        <v>0</v>
      </c>
      <c r="Q335" s="38">
        <f t="shared" si="39"/>
        <v>0</v>
      </c>
      <c r="R335" s="38">
        <f t="shared" si="40"/>
        <v>0</v>
      </c>
      <c r="S335" s="38">
        <f t="shared" si="41"/>
        <v>0</v>
      </c>
      <c r="T335" s="38">
        <f t="shared" si="42"/>
        <v>0</v>
      </c>
      <c r="U335" s="38">
        <f t="shared" si="43"/>
        <v>0</v>
      </c>
      <c r="V335" s="55"/>
    </row>
    <row r="336" spans="2:22" s="50" customFormat="1" ht="11.25" hidden="1">
      <c r="B336" s="69" t="s">
        <v>456</v>
      </c>
      <c r="C336" s="86"/>
      <c r="D336" s="30"/>
      <c r="E336" s="5"/>
      <c r="F336" s="5"/>
      <c r="G336" s="5"/>
      <c r="H336" s="5"/>
      <c r="I336" s="29"/>
      <c r="J336" s="29"/>
      <c r="K336" s="29"/>
      <c r="L336" s="29"/>
      <c r="M336" s="29"/>
      <c r="N336" s="29"/>
      <c r="O336" s="38">
        <f t="shared" si="37"/>
        <v>0</v>
      </c>
      <c r="P336" s="38">
        <f t="shared" si="38"/>
        <v>0</v>
      </c>
      <c r="Q336" s="38">
        <f t="shared" si="39"/>
        <v>0</v>
      </c>
      <c r="R336" s="38">
        <f t="shared" si="40"/>
        <v>0</v>
      </c>
      <c r="S336" s="38">
        <f t="shared" si="41"/>
        <v>0</v>
      </c>
      <c r="T336" s="38">
        <f t="shared" si="42"/>
        <v>0</v>
      </c>
      <c r="U336" s="38">
        <f t="shared" si="43"/>
        <v>0</v>
      </c>
      <c r="V336" s="55"/>
    </row>
    <row r="337" spans="2:22" s="50" customFormat="1" ht="11.25" hidden="1">
      <c r="B337" s="69" t="s">
        <v>456</v>
      </c>
      <c r="C337" s="86"/>
      <c r="D337" s="30"/>
      <c r="E337" s="5"/>
      <c r="F337" s="5"/>
      <c r="G337" s="5"/>
      <c r="H337" s="5"/>
      <c r="I337" s="29"/>
      <c r="J337" s="29"/>
      <c r="K337" s="29"/>
      <c r="L337" s="29"/>
      <c r="M337" s="29"/>
      <c r="N337" s="29"/>
      <c r="O337" s="38">
        <f t="shared" si="37"/>
        <v>0</v>
      </c>
      <c r="P337" s="38">
        <f t="shared" si="38"/>
        <v>0</v>
      </c>
      <c r="Q337" s="38">
        <f t="shared" si="39"/>
        <v>0</v>
      </c>
      <c r="R337" s="38">
        <f t="shared" si="40"/>
        <v>0</v>
      </c>
      <c r="S337" s="38">
        <f t="shared" si="41"/>
        <v>0</v>
      </c>
      <c r="T337" s="38">
        <f t="shared" si="42"/>
        <v>0</v>
      </c>
      <c r="U337" s="38">
        <f t="shared" si="43"/>
        <v>0</v>
      </c>
      <c r="V337" s="55"/>
    </row>
    <row r="338" spans="2:22" s="50" customFormat="1" ht="11.25" hidden="1">
      <c r="B338" s="69" t="s">
        <v>456</v>
      </c>
      <c r="C338" s="86"/>
      <c r="D338" s="30"/>
      <c r="E338" s="5"/>
      <c r="F338" s="5"/>
      <c r="G338" s="5"/>
      <c r="H338" s="5"/>
      <c r="I338" s="29"/>
      <c r="J338" s="29"/>
      <c r="K338" s="29"/>
      <c r="L338" s="29"/>
      <c r="M338" s="29"/>
      <c r="N338" s="29"/>
      <c r="O338" s="38">
        <f t="shared" si="37"/>
        <v>0</v>
      </c>
      <c r="P338" s="38">
        <f t="shared" si="38"/>
        <v>0</v>
      </c>
      <c r="Q338" s="38">
        <f t="shared" si="39"/>
        <v>0</v>
      </c>
      <c r="R338" s="38">
        <f t="shared" si="40"/>
        <v>0</v>
      </c>
      <c r="S338" s="38">
        <f t="shared" si="41"/>
        <v>0</v>
      </c>
      <c r="T338" s="38">
        <f t="shared" si="42"/>
        <v>0</v>
      </c>
      <c r="U338" s="38">
        <f t="shared" si="43"/>
        <v>0</v>
      </c>
      <c r="V338" s="55"/>
    </row>
    <row r="339" spans="2:22" s="50" customFormat="1" ht="11.25" hidden="1">
      <c r="B339" s="69" t="s">
        <v>456</v>
      </c>
      <c r="C339" s="86"/>
      <c r="D339" s="30"/>
      <c r="E339" s="5"/>
      <c r="F339" s="5"/>
      <c r="G339" s="5"/>
      <c r="H339" s="5"/>
      <c r="I339" s="29"/>
      <c r="J339" s="29"/>
      <c r="K339" s="29"/>
      <c r="L339" s="29"/>
      <c r="M339" s="29"/>
      <c r="N339" s="29"/>
      <c r="O339" s="38">
        <f t="shared" si="37"/>
        <v>0</v>
      </c>
      <c r="P339" s="38">
        <f t="shared" si="38"/>
        <v>0</v>
      </c>
      <c r="Q339" s="38">
        <f t="shared" si="39"/>
        <v>0</v>
      </c>
      <c r="R339" s="38">
        <f t="shared" si="40"/>
        <v>0</v>
      </c>
      <c r="S339" s="38">
        <f t="shared" si="41"/>
        <v>0</v>
      </c>
      <c r="T339" s="38">
        <f t="shared" si="42"/>
        <v>0</v>
      </c>
      <c r="U339" s="38">
        <f t="shared" si="43"/>
        <v>0</v>
      </c>
      <c r="V339" s="55"/>
    </row>
    <row r="340" spans="2:22" s="50" customFormat="1" ht="11.25" hidden="1">
      <c r="B340" s="69" t="s">
        <v>456</v>
      </c>
      <c r="C340" s="86"/>
      <c r="D340" s="30"/>
      <c r="E340" s="5"/>
      <c r="F340" s="5"/>
      <c r="G340" s="5"/>
      <c r="H340" s="5"/>
      <c r="I340" s="29"/>
      <c r="J340" s="29"/>
      <c r="K340" s="29"/>
      <c r="L340" s="29"/>
      <c r="M340" s="29"/>
      <c r="N340" s="29"/>
      <c r="O340" s="38">
        <f t="shared" si="37"/>
        <v>0</v>
      </c>
      <c r="P340" s="38">
        <f t="shared" si="38"/>
        <v>0</v>
      </c>
      <c r="Q340" s="38">
        <f t="shared" si="39"/>
        <v>0</v>
      </c>
      <c r="R340" s="38">
        <f t="shared" si="40"/>
        <v>0</v>
      </c>
      <c r="S340" s="38">
        <f t="shared" si="41"/>
        <v>0</v>
      </c>
      <c r="T340" s="38">
        <f t="shared" si="42"/>
        <v>0</v>
      </c>
      <c r="U340" s="38">
        <f t="shared" si="43"/>
        <v>0</v>
      </c>
      <c r="V340" s="55"/>
    </row>
    <row r="341" spans="2:22" s="50" customFormat="1" ht="11.25" hidden="1">
      <c r="B341" s="69" t="s">
        <v>456</v>
      </c>
      <c r="C341" s="86"/>
      <c r="D341" s="30"/>
      <c r="E341" s="5"/>
      <c r="F341" s="5"/>
      <c r="G341" s="5"/>
      <c r="H341" s="5"/>
      <c r="I341" s="29"/>
      <c r="J341" s="29"/>
      <c r="K341" s="29"/>
      <c r="L341" s="29"/>
      <c r="M341" s="29"/>
      <c r="N341" s="29"/>
      <c r="O341" s="38">
        <f t="shared" si="37"/>
        <v>0</v>
      </c>
      <c r="P341" s="38">
        <f t="shared" si="38"/>
        <v>0</v>
      </c>
      <c r="Q341" s="38">
        <f t="shared" si="39"/>
        <v>0</v>
      </c>
      <c r="R341" s="38">
        <f t="shared" si="40"/>
        <v>0</v>
      </c>
      <c r="S341" s="38">
        <f t="shared" si="41"/>
        <v>0</v>
      </c>
      <c r="T341" s="38">
        <f t="shared" si="42"/>
        <v>0</v>
      </c>
      <c r="U341" s="38">
        <f t="shared" si="43"/>
        <v>0</v>
      </c>
      <c r="V341" s="55"/>
    </row>
    <row r="342" spans="2:22" s="50" customFormat="1" ht="11.25" hidden="1">
      <c r="B342" s="69" t="s">
        <v>456</v>
      </c>
      <c r="C342" s="86"/>
      <c r="D342" s="30"/>
      <c r="E342" s="5"/>
      <c r="F342" s="5"/>
      <c r="G342" s="5"/>
      <c r="H342" s="5"/>
      <c r="I342" s="29"/>
      <c r="J342" s="29"/>
      <c r="K342" s="29"/>
      <c r="L342" s="29"/>
      <c r="M342" s="29"/>
      <c r="N342" s="29"/>
      <c r="O342" s="38">
        <f t="shared" si="37"/>
        <v>0</v>
      </c>
      <c r="P342" s="38">
        <f t="shared" si="38"/>
        <v>0</v>
      </c>
      <c r="Q342" s="38">
        <f t="shared" si="39"/>
        <v>0</v>
      </c>
      <c r="R342" s="38">
        <f t="shared" si="40"/>
        <v>0</v>
      </c>
      <c r="S342" s="38">
        <f t="shared" si="41"/>
        <v>0</v>
      </c>
      <c r="T342" s="38">
        <f t="shared" si="42"/>
        <v>0</v>
      </c>
      <c r="U342" s="38">
        <f t="shared" si="43"/>
        <v>0</v>
      </c>
      <c r="V342" s="55"/>
    </row>
    <row r="343" spans="2:22" s="50" customFormat="1" ht="11.25" hidden="1">
      <c r="B343" s="69" t="s">
        <v>456</v>
      </c>
      <c r="C343" s="86"/>
      <c r="D343" s="30"/>
      <c r="E343" s="5"/>
      <c r="F343" s="5"/>
      <c r="G343" s="5"/>
      <c r="H343" s="5"/>
      <c r="I343" s="29"/>
      <c r="J343" s="29"/>
      <c r="K343" s="29"/>
      <c r="L343" s="29"/>
      <c r="M343" s="29"/>
      <c r="N343" s="29"/>
      <c r="O343" s="38">
        <f t="shared" si="37"/>
        <v>0</v>
      </c>
      <c r="P343" s="38">
        <f t="shared" si="38"/>
        <v>0</v>
      </c>
      <c r="Q343" s="38">
        <f t="shared" si="39"/>
        <v>0</v>
      </c>
      <c r="R343" s="38">
        <f t="shared" si="40"/>
        <v>0</v>
      </c>
      <c r="S343" s="38">
        <f t="shared" si="41"/>
        <v>0</v>
      </c>
      <c r="T343" s="38">
        <f t="shared" si="42"/>
        <v>0</v>
      </c>
      <c r="U343" s="38">
        <f t="shared" si="43"/>
        <v>0</v>
      </c>
      <c r="V343" s="55"/>
    </row>
    <row r="344" spans="2:22" s="50" customFormat="1" ht="11.25" hidden="1">
      <c r="B344" s="69" t="s">
        <v>456</v>
      </c>
      <c r="C344" s="86"/>
      <c r="D344" s="30"/>
      <c r="E344" s="5"/>
      <c r="F344" s="5"/>
      <c r="G344" s="5"/>
      <c r="H344" s="5"/>
      <c r="I344" s="29"/>
      <c r="J344" s="29"/>
      <c r="K344" s="29"/>
      <c r="L344" s="29"/>
      <c r="M344" s="29"/>
      <c r="N344" s="29"/>
      <c r="O344" s="38">
        <f t="shared" si="37"/>
        <v>0</v>
      </c>
      <c r="P344" s="38">
        <f t="shared" si="38"/>
        <v>0</v>
      </c>
      <c r="Q344" s="38">
        <f t="shared" si="39"/>
        <v>0</v>
      </c>
      <c r="R344" s="38">
        <f t="shared" si="40"/>
        <v>0</v>
      </c>
      <c r="S344" s="38">
        <f t="shared" si="41"/>
        <v>0</v>
      </c>
      <c r="T344" s="38">
        <f t="shared" si="42"/>
        <v>0</v>
      </c>
      <c r="U344" s="38">
        <f t="shared" si="43"/>
        <v>0</v>
      </c>
      <c r="V344" s="55"/>
    </row>
    <row r="345" spans="2:22" s="50" customFormat="1" ht="11.25" hidden="1">
      <c r="B345" s="69" t="s">
        <v>456</v>
      </c>
      <c r="C345" s="86"/>
      <c r="D345" s="30"/>
      <c r="E345" s="5"/>
      <c r="F345" s="5"/>
      <c r="G345" s="5"/>
      <c r="H345" s="5"/>
      <c r="I345" s="29"/>
      <c r="J345" s="29"/>
      <c r="K345" s="29"/>
      <c r="L345" s="29"/>
      <c r="M345" s="29"/>
      <c r="N345" s="29"/>
      <c r="O345" s="38">
        <f t="shared" si="37"/>
        <v>0</v>
      </c>
      <c r="P345" s="38">
        <f t="shared" si="38"/>
        <v>0</v>
      </c>
      <c r="Q345" s="38">
        <f t="shared" si="39"/>
        <v>0</v>
      </c>
      <c r="R345" s="38">
        <f t="shared" si="40"/>
        <v>0</v>
      </c>
      <c r="S345" s="38">
        <f t="shared" si="41"/>
        <v>0</v>
      </c>
      <c r="T345" s="38">
        <f t="shared" si="42"/>
        <v>0</v>
      </c>
      <c r="U345" s="38">
        <f t="shared" si="43"/>
        <v>0</v>
      </c>
      <c r="V345" s="55"/>
    </row>
    <row r="346" spans="2:22" s="50" customFormat="1" ht="11.25" hidden="1">
      <c r="B346" s="69" t="s">
        <v>456</v>
      </c>
      <c r="C346" s="86"/>
      <c r="D346" s="30"/>
      <c r="E346" s="5"/>
      <c r="F346" s="5"/>
      <c r="G346" s="5"/>
      <c r="H346" s="5"/>
      <c r="I346" s="29"/>
      <c r="J346" s="29"/>
      <c r="K346" s="29"/>
      <c r="L346" s="29"/>
      <c r="M346" s="29"/>
      <c r="N346" s="29"/>
      <c r="O346" s="38">
        <f t="shared" si="37"/>
        <v>0</v>
      </c>
      <c r="P346" s="38">
        <f t="shared" si="38"/>
        <v>0</v>
      </c>
      <c r="Q346" s="38">
        <f t="shared" si="39"/>
        <v>0</v>
      </c>
      <c r="R346" s="38">
        <f t="shared" si="40"/>
        <v>0</v>
      </c>
      <c r="S346" s="38">
        <f t="shared" si="41"/>
        <v>0</v>
      </c>
      <c r="T346" s="38">
        <f t="shared" si="42"/>
        <v>0</v>
      </c>
      <c r="U346" s="38">
        <f t="shared" si="43"/>
        <v>0</v>
      </c>
      <c r="V346" s="55"/>
    </row>
    <row r="347" spans="2:22" s="50" customFormat="1" ht="11.25" hidden="1">
      <c r="B347" s="69" t="s">
        <v>456</v>
      </c>
      <c r="C347" s="86"/>
      <c r="D347" s="30"/>
      <c r="E347" s="5"/>
      <c r="F347" s="5"/>
      <c r="G347" s="5"/>
      <c r="H347" s="5"/>
      <c r="I347" s="29"/>
      <c r="J347" s="29"/>
      <c r="K347" s="29"/>
      <c r="L347" s="29"/>
      <c r="M347" s="29"/>
      <c r="N347" s="29"/>
      <c r="O347" s="38">
        <f t="shared" si="37"/>
        <v>0</v>
      </c>
      <c r="P347" s="38">
        <f t="shared" si="38"/>
        <v>0</v>
      </c>
      <c r="Q347" s="38">
        <f t="shared" si="39"/>
        <v>0</v>
      </c>
      <c r="R347" s="38">
        <f t="shared" si="40"/>
        <v>0</v>
      </c>
      <c r="S347" s="38">
        <f t="shared" si="41"/>
        <v>0</v>
      </c>
      <c r="T347" s="38">
        <f t="shared" si="42"/>
        <v>0</v>
      </c>
      <c r="U347" s="38">
        <f t="shared" si="43"/>
        <v>0</v>
      </c>
      <c r="V347" s="55"/>
    </row>
    <row r="348" spans="2:22" s="50" customFormat="1" ht="11.25" hidden="1">
      <c r="B348" s="69" t="s">
        <v>456</v>
      </c>
      <c r="C348" s="86"/>
      <c r="D348" s="30"/>
      <c r="E348" s="5"/>
      <c r="F348" s="5"/>
      <c r="G348" s="5"/>
      <c r="H348" s="5"/>
      <c r="I348" s="29"/>
      <c r="J348" s="29"/>
      <c r="K348" s="29"/>
      <c r="L348" s="29"/>
      <c r="M348" s="29"/>
      <c r="N348" s="29"/>
      <c r="O348" s="38">
        <f t="shared" si="37"/>
        <v>0</v>
      </c>
      <c r="P348" s="38">
        <f t="shared" si="38"/>
        <v>0</v>
      </c>
      <c r="Q348" s="38">
        <f t="shared" si="39"/>
        <v>0</v>
      </c>
      <c r="R348" s="38">
        <f t="shared" si="40"/>
        <v>0</v>
      </c>
      <c r="S348" s="38">
        <f t="shared" si="41"/>
        <v>0</v>
      </c>
      <c r="T348" s="38">
        <f t="shared" si="42"/>
        <v>0</v>
      </c>
      <c r="U348" s="38">
        <f t="shared" si="43"/>
        <v>0</v>
      </c>
      <c r="V348" s="55"/>
    </row>
    <row r="349" spans="2:22" s="50" customFormat="1" ht="11.25" hidden="1">
      <c r="B349" s="69" t="s">
        <v>456</v>
      </c>
      <c r="C349" s="86"/>
      <c r="D349" s="30"/>
      <c r="E349" s="5"/>
      <c r="F349" s="5"/>
      <c r="G349" s="5"/>
      <c r="H349" s="5"/>
      <c r="I349" s="29"/>
      <c r="J349" s="29"/>
      <c r="K349" s="29"/>
      <c r="L349" s="29"/>
      <c r="M349" s="29"/>
      <c r="N349" s="29"/>
      <c r="O349" s="38">
        <f t="shared" si="37"/>
        <v>0</v>
      </c>
      <c r="P349" s="38">
        <f t="shared" si="38"/>
        <v>0</v>
      </c>
      <c r="Q349" s="38">
        <f t="shared" si="39"/>
        <v>0</v>
      </c>
      <c r="R349" s="38">
        <f t="shared" si="40"/>
        <v>0</v>
      </c>
      <c r="S349" s="38">
        <f t="shared" si="41"/>
        <v>0</v>
      </c>
      <c r="T349" s="38">
        <f t="shared" si="42"/>
        <v>0</v>
      </c>
      <c r="U349" s="38">
        <f t="shared" si="43"/>
        <v>0</v>
      </c>
      <c r="V349" s="55"/>
    </row>
    <row r="350" spans="2:22" s="50" customFormat="1" ht="11.25" hidden="1">
      <c r="B350" s="69" t="s">
        <v>456</v>
      </c>
      <c r="C350" s="86"/>
      <c r="D350" s="30"/>
      <c r="E350" s="5"/>
      <c r="F350" s="5"/>
      <c r="G350" s="5"/>
      <c r="H350" s="5"/>
      <c r="I350" s="29"/>
      <c r="J350" s="29"/>
      <c r="K350" s="29"/>
      <c r="L350" s="29"/>
      <c r="M350" s="29"/>
      <c r="N350" s="29"/>
      <c r="O350" s="38">
        <f t="shared" si="37"/>
        <v>0</v>
      </c>
      <c r="P350" s="38">
        <f t="shared" si="38"/>
        <v>0</v>
      </c>
      <c r="Q350" s="38">
        <f t="shared" si="39"/>
        <v>0</v>
      </c>
      <c r="R350" s="38">
        <f t="shared" si="40"/>
        <v>0</v>
      </c>
      <c r="S350" s="38">
        <f t="shared" si="41"/>
        <v>0</v>
      </c>
      <c r="T350" s="38">
        <f t="shared" si="42"/>
        <v>0</v>
      </c>
      <c r="U350" s="38">
        <f t="shared" si="43"/>
        <v>0</v>
      </c>
      <c r="V350" s="55"/>
    </row>
    <row r="351" spans="2:22" s="50" customFormat="1" ht="11.25" hidden="1">
      <c r="B351" s="69" t="s">
        <v>456</v>
      </c>
      <c r="C351" s="86"/>
      <c r="D351" s="30"/>
      <c r="E351" s="5"/>
      <c r="F351" s="5"/>
      <c r="G351" s="5"/>
      <c r="H351" s="5"/>
      <c r="I351" s="29"/>
      <c r="J351" s="29"/>
      <c r="K351" s="29"/>
      <c r="L351" s="29"/>
      <c r="M351" s="29"/>
      <c r="N351" s="29"/>
      <c r="O351" s="38">
        <f t="shared" si="37"/>
        <v>0</v>
      </c>
      <c r="P351" s="38">
        <f t="shared" si="38"/>
        <v>0</v>
      </c>
      <c r="Q351" s="38">
        <f t="shared" si="39"/>
        <v>0</v>
      </c>
      <c r="R351" s="38">
        <f t="shared" si="40"/>
        <v>0</v>
      </c>
      <c r="S351" s="38">
        <f t="shared" si="41"/>
        <v>0</v>
      </c>
      <c r="T351" s="38">
        <f t="shared" si="42"/>
        <v>0</v>
      </c>
      <c r="U351" s="38">
        <f t="shared" si="43"/>
        <v>0</v>
      </c>
      <c r="V351" s="55"/>
    </row>
    <row r="352" spans="2:22" s="50" customFormat="1" ht="11.25" hidden="1">
      <c r="B352" s="69" t="s">
        <v>456</v>
      </c>
      <c r="C352" s="86"/>
      <c r="D352" s="30"/>
      <c r="E352" s="5"/>
      <c r="F352" s="5"/>
      <c r="G352" s="5"/>
      <c r="H352" s="5"/>
      <c r="I352" s="29"/>
      <c r="J352" s="29"/>
      <c r="K352" s="29"/>
      <c r="L352" s="29"/>
      <c r="M352" s="29"/>
      <c r="N352" s="29"/>
      <c r="O352" s="38">
        <f t="shared" si="37"/>
        <v>0</v>
      </c>
      <c r="P352" s="38">
        <f t="shared" si="38"/>
        <v>0</v>
      </c>
      <c r="Q352" s="38">
        <f t="shared" si="39"/>
        <v>0</v>
      </c>
      <c r="R352" s="38">
        <f t="shared" si="40"/>
        <v>0</v>
      </c>
      <c r="S352" s="38">
        <f t="shared" si="41"/>
        <v>0</v>
      </c>
      <c r="T352" s="38">
        <f t="shared" si="42"/>
        <v>0</v>
      </c>
      <c r="U352" s="38">
        <f t="shared" si="43"/>
        <v>0</v>
      </c>
      <c r="V352" s="55"/>
    </row>
    <row r="353" spans="2:22" s="50" customFormat="1" ht="11.25" hidden="1">
      <c r="B353" s="69" t="s">
        <v>456</v>
      </c>
      <c r="C353" s="86"/>
      <c r="D353" s="30"/>
      <c r="E353" s="5"/>
      <c r="F353" s="5"/>
      <c r="G353" s="5"/>
      <c r="H353" s="5"/>
      <c r="I353" s="29"/>
      <c r="J353" s="29"/>
      <c r="K353" s="29"/>
      <c r="L353" s="29"/>
      <c r="M353" s="29"/>
      <c r="N353" s="29"/>
      <c r="O353" s="38">
        <f t="shared" si="37"/>
        <v>0</v>
      </c>
      <c r="P353" s="38">
        <f t="shared" si="38"/>
        <v>0</v>
      </c>
      <c r="Q353" s="38">
        <f t="shared" si="39"/>
        <v>0</v>
      </c>
      <c r="R353" s="38">
        <f t="shared" si="40"/>
        <v>0</v>
      </c>
      <c r="S353" s="38">
        <f t="shared" si="41"/>
        <v>0</v>
      </c>
      <c r="T353" s="38">
        <f t="shared" si="42"/>
        <v>0</v>
      </c>
      <c r="U353" s="38">
        <f t="shared" si="43"/>
        <v>0</v>
      </c>
      <c r="V353" s="55"/>
    </row>
    <row r="354" spans="2:22" s="50" customFormat="1" ht="11.25" hidden="1">
      <c r="B354" s="69" t="s">
        <v>456</v>
      </c>
      <c r="C354" s="86"/>
      <c r="D354" s="30"/>
      <c r="E354" s="5"/>
      <c r="F354" s="5"/>
      <c r="G354" s="5"/>
      <c r="H354" s="5"/>
      <c r="I354" s="29"/>
      <c r="J354" s="29"/>
      <c r="K354" s="29"/>
      <c r="L354" s="29"/>
      <c r="M354" s="29"/>
      <c r="N354" s="29"/>
      <c r="O354" s="38">
        <f t="shared" si="37"/>
        <v>0</v>
      </c>
      <c r="P354" s="38">
        <f t="shared" si="38"/>
        <v>0</v>
      </c>
      <c r="Q354" s="38">
        <f t="shared" si="39"/>
        <v>0</v>
      </c>
      <c r="R354" s="38">
        <f t="shared" si="40"/>
        <v>0</v>
      </c>
      <c r="S354" s="38">
        <f t="shared" si="41"/>
        <v>0</v>
      </c>
      <c r="T354" s="38">
        <f t="shared" si="42"/>
        <v>0</v>
      </c>
      <c r="U354" s="38">
        <f t="shared" si="43"/>
        <v>0</v>
      </c>
      <c r="V354" s="55"/>
    </row>
    <row r="355" spans="2:22" s="50" customFormat="1" ht="11.25" hidden="1">
      <c r="B355" s="69" t="s">
        <v>456</v>
      </c>
      <c r="C355" s="86"/>
      <c r="D355" s="30"/>
      <c r="E355" s="5"/>
      <c r="F355" s="5"/>
      <c r="G355" s="5"/>
      <c r="H355" s="5"/>
      <c r="I355" s="29"/>
      <c r="J355" s="29"/>
      <c r="K355" s="29"/>
      <c r="L355" s="29"/>
      <c r="M355" s="29"/>
      <c r="N355" s="29"/>
      <c r="O355" s="38">
        <f t="shared" si="37"/>
        <v>0</v>
      </c>
      <c r="P355" s="38">
        <f t="shared" si="38"/>
        <v>0</v>
      </c>
      <c r="Q355" s="38">
        <f t="shared" si="39"/>
        <v>0</v>
      </c>
      <c r="R355" s="38">
        <f t="shared" si="40"/>
        <v>0</v>
      </c>
      <c r="S355" s="38">
        <f t="shared" si="41"/>
        <v>0</v>
      </c>
      <c r="T355" s="38">
        <f t="shared" si="42"/>
        <v>0</v>
      </c>
      <c r="U355" s="38">
        <f t="shared" si="43"/>
        <v>0</v>
      </c>
      <c r="V355" s="55"/>
    </row>
    <row r="356" spans="2:22" s="50" customFormat="1" ht="11.25" hidden="1">
      <c r="B356" s="69" t="s">
        <v>456</v>
      </c>
      <c r="C356" s="86"/>
      <c r="D356" s="30"/>
      <c r="E356" s="5"/>
      <c r="F356" s="5"/>
      <c r="G356" s="5"/>
      <c r="H356" s="5"/>
      <c r="I356" s="29"/>
      <c r="J356" s="29"/>
      <c r="K356" s="29"/>
      <c r="L356" s="29"/>
      <c r="M356" s="29"/>
      <c r="N356" s="29"/>
      <c r="O356" s="38">
        <f t="shared" si="37"/>
        <v>0</v>
      </c>
      <c r="P356" s="38">
        <f t="shared" si="38"/>
        <v>0</v>
      </c>
      <c r="Q356" s="38">
        <f t="shared" si="39"/>
        <v>0</v>
      </c>
      <c r="R356" s="38">
        <f t="shared" si="40"/>
        <v>0</v>
      </c>
      <c r="S356" s="38">
        <f t="shared" si="41"/>
        <v>0</v>
      </c>
      <c r="T356" s="38">
        <f t="shared" si="42"/>
        <v>0</v>
      </c>
      <c r="U356" s="38">
        <f t="shared" si="43"/>
        <v>0</v>
      </c>
      <c r="V356" s="55"/>
    </row>
    <row r="357" spans="2:22" s="50" customFormat="1" ht="11.25" hidden="1">
      <c r="B357" s="69" t="s">
        <v>456</v>
      </c>
      <c r="C357" s="86"/>
      <c r="D357" s="30"/>
      <c r="E357" s="5"/>
      <c r="F357" s="5"/>
      <c r="G357" s="5"/>
      <c r="H357" s="5"/>
      <c r="I357" s="29"/>
      <c r="J357" s="29"/>
      <c r="K357" s="29"/>
      <c r="L357" s="29"/>
      <c r="M357" s="29"/>
      <c r="N357" s="29"/>
      <c r="O357" s="38">
        <f t="shared" si="37"/>
        <v>0</v>
      </c>
      <c r="P357" s="38">
        <f t="shared" si="38"/>
        <v>0</v>
      </c>
      <c r="Q357" s="38">
        <f t="shared" si="39"/>
        <v>0</v>
      </c>
      <c r="R357" s="38">
        <f t="shared" si="40"/>
        <v>0</v>
      </c>
      <c r="S357" s="38">
        <f t="shared" si="41"/>
        <v>0</v>
      </c>
      <c r="T357" s="38">
        <f t="shared" si="42"/>
        <v>0</v>
      </c>
      <c r="U357" s="38">
        <f t="shared" si="43"/>
        <v>0</v>
      </c>
      <c r="V357" s="55"/>
    </row>
    <row r="358" spans="2:22" s="50" customFormat="1" ht="11.25" hidden="1">
      <c r="B358" s="69" t="s">
        <v>456</v>
      </c>
      <c r="C358" s="86"/>
      <c r="D358" s="30"/>
      <c r="E358" s="5"/>
      <c r="F358" s="5"/>
      <c r="G358" s="5"/>
      <c r="H358" s="5"/>
      <c r="I358" s="29"/>
      <c r="J358" s="29"/>
      <c r="K358" s="29"/>
      <c r="L358" s="29"/>
      <c r="M358" s="29"/>
      <c r="N358" s="29"/>
      <c r="O358" s="38">
        <f t="shared" si="37"/>
        <v>0</v>
      </c>
      <c r="P358" s="38">
        <f t="shared" si="38"/>
        <v>0</v>
      </c>
      <c r="Q358" s="38">
        <f t="shared" si="39"/>
        <v>0</v>
      </c>
      <c r="R358" s="38">
        <f t="shared" si="40"/>
        <v>0</v>
      </c>
      <c r="S358" s="38">
        <f t="shared" si="41"/>
        <v>0</v>
      </c>
      <c r="T358" s="38">
        <f t="shared" si="42"/>
        <v>0</v>
      </c>
      <c r="U358" s="38">
        <f t="shared" si="43"/>
        <v>0</v>
      </c>
      <c r="V358" s="55"/>
    </row>
    <row r="359" spans="2:22" s="50" customFormat="1" ht="11.25" hidden="1">
      <c r="B359" s="69" t="s">
        <v>456</v>
      </c>
      <c r="C359" s="86"/>
      <c r="D359" s="30"/>
      <c r="E359" s="5"/>
      <c r="F359" s="5"/>
      <c r="G359" s="5"/>
      <c r="H359" s="5"/>
      <c r="I359" s="29"/>
      <c r="J359" s="29"/>
      <c r="K359" s="29"/>
      <c r="L359" s="29"/>
      <c r="M359" s="29"/>
      <c r="N359" s="29"/>
      <c r="O359" s="38">
        <f t="shared" si="37"/>
        <v>0</v>
      </c>
      <c r="P359" s="38">
        <f t="shared" si="38"/>
        <v>0</v>
      </c>
      <c r="Q359" s="38">
        <f t="shared" si="39"/>
        <v>0</v>
      </c>
      <c r="R359" s="38">
        <f t="shared" si="40"/>
        <v>0</v>
      </c>
      <c r="S359" s="38">
        <f t="shared" si="41"/>
        <v>0</v>
      </c>
      <c r="T359" s="38">
        <f t="shared" si="42"/>
        <v>0</v>
      </c>
      <c r="U359" s="38">
        <f t="shared" si="43"/>
        <v>0</v>
      </c>
      <c r="V359" s="55"/>
    </row>
    <row r="360" spans="2:22" s="50" customFormat="1" ht="11.25" hidden="1">
      <c r="B360" s="69" t="s">
        <v>456</v>
      </c>
      <c r="C360" s="86"/>
      <c r="D360" s="30"/>
      <c r="E360" s="5"/>
      <c r="F360" s="5"/>
      <c r="G360" s="5"/>
      <c r="H360" s="5"/>
      <c r="I360" s="29"/>
      <c r="J360" s="29"/>
      <c r="K360" s="29"/>
      <c r="L360" s="29"/>
      <c r="M360" s="29"/>
      <c r="N360" s="29"/>
      <c r="O360" s="38">
        <f t="shared" si="37"/>
        <v>0</v>
      </c>
      <c r="P360" s="38">
        <f t="shared" si="38"/>
        <v>0</v>
      </c>
      <c r="Q360" s="38">
        <f t="shared" si="39"/>
        <v>0</v>
      </c>
      <c r="R360" s="38">
        <f t="shared" si="40"/>
        <v>0</v>
      </c>
      <c r="S360" s="38">
        <f t="shared" si="41"/>
        <v>0</v>
      </c>
      <c r="T360" s="38">
        <f t="shared" si="42"/>
        <v>0</v>
      </c>
      <c r="U360" s="38">
        <f t="shared" si="43"/>
        <v>0</v>
      </c>
      <c r="V360" s="55"/>
    </row>
    <row r="361" spans="2:22" s="50" customFormat="1" ht="11.25" hidden="1">
      <c r="B361" s="69" t="s">
        <v>456</v>
      </c>
      <c r="C361" s="86"/>
      <c r="D361" s="30"/>
      <c r="E361" s="5"/>
      <c r="F361" s="5"/>
      <c r="G361" s="5"/>
      <c r="H361" s="5"/>
      <c r="I361" s="29"/>
      <c r="J361" s="29"/>
      <c r="K361" s="29"/>
      <c r="L361" s="29"/>
      <c r="M361" s="29"/>
      <c r="N361" s="29"/>
      <c r="O361" s="38">
        <f t="shared" si="37"/>
        <v>0</v>
      </c>
      <c r="P361" s="38">
        <f t="shared" si="38"/>
        <v>0</v>
      </c>
      <c r="Q361" s="38">
        <f t="shared" si="39"/>
        <v>0</v>
      </c>
      <c r="R361" s="38">
        <f t="shared" si="40"/>
        <v>0</v>
      </c>
      <c r="S361" s="38">
        <f t="shared" si="41"/>
        <v>0</v>
      </c>
      <c r="T361" s="38">
        <f t="shared" si="42"/>
        <v>0</v>
      </c>
      <c r="U361" s="38">
        <f t="shared" si="43"/>
        <v>0</v>
      </c>
      <c r="V361" s="55"/>
    </row>
    <row r="362" spans="2:22" s="50" customFormat="1" ht="11.25" hidden="1">
      <c r="B362" s="69" t="s">
        <v>456</v>
      </c>
      <c r="C362" s="86"/>
      <c r="D362" s="30"/>
      <c r="E362" s="5"/>
      <c r="F362" s="5"/>
      <c r="G362" s="5"/>
      <c r="H362" s="5"/>
      <c r="I362" s="29"/>
      <c r="J362" s="29"/>
      <c r="K362" s="29"/>
      <c r="L362" s="29"/>
      <c r="M362" s="29"/>
      <c r="N362" s="29"/>
      <c r="O362" s="38">
        <f t="shared" si="37"/>
        <v>0</v>
      </c>
      <c r="P362" s="38">
        <f t="shared" si="38"/>
        <v>0</v>
      </c>
      <c r="Q362" s="38">
        <f t="shared" si="39"/>
        <v>0</v>
      </c>
      <c r="R362" s="38">
        <f t="shared" si="40"/>
        <v>0</v>
      </c>
      <c r="S362" s="38">
        <f t="shared" si="41"/>
        <v>0</v>
      </c>
      <c r="T362" s="38">
        <f t="shared" si="42"/>
        <v>0</v>
      </c>
      <c r="U362" s="38">
        <f t="shared" si="43"/>
        <v>0</v>
      </c>
      <c r="V362" s="55"/>
    </row>
    <row r="363" spans="2:22" s="50" customFormat="1" ht="11.25" hidden="1">
      <c r="B363" s="69" t="s">
        <v>456</v>
      </c>
      <c r="C363" s="86"/>
      <c r="D363" s="30"/>
      <c r="E363" s="5"/>
      <c r="F363" s="5"/>
      <c r="G363" s="5"/>
      <c r="H363" s="5"/>
      <c r="I363" s="29"/>
      <c r="J363" s="29"/>
      <c r="K363" s="29"/>
      <c r="L363" s="29"/>
      <c r="M363" s="29"/>
      <c r="N363" s="29"/>
      <c r="O363" s="38">
        <f t="shared" si="37"/>
        <v>0</v>
      </c>
      <c r="P363" s="38">
        <f t="shared" si="38"/>
        <v>0</v>
      </c>
      <c r="Q363" s="38">
        <f t="shared" si="39"/>
        <v>0</v>
      </c>
      <c r="R363" s="38">
        <f t="shared" si="40"/>
        <v>0</v>
      </c>
      <c r="S363" s="38">
        <f t="shared" si="41"/>
        <v>0</v>
      </c>
      <c r="T363" s="38">
        <f t="shared" si="42"/>
        <v>0</v>
      </c>
      <c r="U363" s="38">
        <f t="shared" si="43"/>
        <v>0</v>
      </c>
      <c r="V363" s="55"/>
    </row>
    <row r="364" spans="2:22" s="50" customFormat="1" ht="11.25" hidden="1">
      <c r="B364" s="69" t="s">
        <v>456</v>
      </c>
      <c r="C364" s="86"/>
      <c r="D364" s="30"/>
      <c r="E364" s="5"/>
      <c r="F364" s="5"/>
      <c r="G364" s="5"/>
      <c r="H364" s="5"/>
      <c r="I364" s="29"/>
      <c r="J364" s="29"/>
      <c r="K364" s="29"/>
      <c r="L364" s="29"/>
      <c r="M364" s="29"/>
      <c r="N364" s="29"/>
      <c r="O364" s="38">
        <f t="shared" si="37"/>
        <v>0</v>
      </c>
      <c r="P364" s="38">
        <f t="shared" si="38"/>
        <v>0</v>
      </c>
      <c r="Q364" s="38">
        <f t="shared" si="39"/>
        <v>0</v>
      </c>
      <c r="R364" s="38">
        <f t="shared" si="40"/>
        <v>0</v>
      </c>
      <c r="S364" s="38">
        <f t="shared" si="41"/>
        <v>0</v>
      </c>
      <c r="T364" s="38">
        <f t="shared" si="42"/>
        <v>0</v>
      </c>
      <c r="U364" s="38">
        <f t="shared" si="43"/>
        <v>0</v>
      </c>
      <c r="V364" s="55"/>
    </row>
    <row r="365" spans="2:22" s="50" customFormat="1" ht="11.25" hidden="1">
      <c r="B365" s="69" t="s">
        <v>456</v>
      </c>
      <c r="C365" s="86"/>
      <c r="D365" s="30"/>
      <c r="E365" s="5"/>
      <c r="F365" s="5"/>
      <c r="G365" s="5"/>
      <c r="H365" s="5"/>
      <c r="I365" s="29"/>
      <c r="J365" s="29"/>
      <c r="K365" s="29"/>
      <c r="L365" s="29"/>
      <c r="M365" s="29"/>
      <c r="N365" s="29"/>
      <c r="O365" s="38">
        <f t="shared" si="37"/>
        <v>0</v>
      </c>
      <c r="P365" s="38">
        <f t="shared" si="38"/>
        <v>0</v>
      </c>
      <c r="Q365" s="38">
        <f t="shared" si="39"/>
        <v>0</v>
      </c>
      <c r="R365" s="38">
        <f t="shared" si="40"/>
        <v>0</v>
      </c>
      <c r="S365" s="38">
        <f t="shared" si="41"/>
        <v>0</v>
      </c>
      <c r="T365" s="38">
        <f t="shared" si="42"/>
        <v>0</v>
      </c>
      <c r="U365" s="38">
        <f t="shared" si="43"/>
        <v>0</v>
      </c>
      <c r="V365" s="55"/>
    </row>
    <row r="366" spans="2:22" s="50" customFormat="1" ht="11.25" hidden="1">
      <c r="B366" s="69" t="s">
        <v>456</v>
      </c>
      <c r="C366" s="86"/>
      <c r="D366" s="30"/>
      <c r="E366" s="5"/>
      <c r="F366" s="5"/>
      <c r="G366" s="5"/>
      <c r="H366" s="5"/>
      <c r="I366" s="29"/>
      <c r="J366" s="29"/>
      <c r="K366" s="29"/>
      <c r="L366" s="29"/>
      <c r="M366" s="29"/>
      <c r="N366" s="29"/>
      <c r="O366" s="38">
        <f t="shared" si="37"/>
        <v>0</v>
      </c>
      <c r="P366" s="38">
        <f t="shared" si="38"/>
        <v>0</v>
      </c>
      <c r="Q366" s="38">
        <f t="shared" si="39"/>
        <v>0</v>
      </c>
      <c r="R366" s="38">
        <f t="shared" si="40"/>
        <v>0</v>
      </c>
      <c r="S366" s="38">
        <f t="shared" si="41"/>
        <v>0</v>
      </c>
      <c r="T366" s="38">
        <f t="shared" si="42"/>
        <v>0</v>
      </c>
      <c r="U366" s="38">
        <f t="shared" si="43"/>
        <v>0</v>
      </c>
      <c r="V366" s="55"/>
    </row>
    <row r="367" spans="2:22" s="50" customFormat="1" ht="11.25" hidden="1">
      <c r="B367" s="69" t="s">
        <v>456</v>
      </c>
      <c r="C367" s="86"/>
      <c r="D367" s="30"/>
      <c r="E367" s="5"/>
      <c r="F367" s="5"/>
      <c r="G367" s="5"/>
      <c r="H367" s="5"/>
      <c r="I367" s="29"/>
      <c r="J367" s="29"/>
      <c r="K367" s="29"/>
      <c r="L367" s="29"/>
      <c r="M367" s="29"/>
      <c r="N367" s="29"/>
      <c r="O367" s="38">
        <f t="shared" si="37"/>
        <v>0</v>
      </c>
      <c r="P367" s="38">
        <f t="shared" si="38"/>
        <v>0</v>
      </c>
      <c r="Q367" s="38">
        <f t="shared" si="39"/>
        <v>0</v>
      </c>
      <c r="R367" s="38">
        <f t="shared" si="40"/>
        <v>0</v>
      </c>
      <c r="S367" s="38">
        <f t="shared" si="41"/>
        <v>0</v>
      </c>
      <c r="T367" s="38">
        <f t="shared" si="42"/>
        <v>0</v>
      </c>
      <c r="U367" s="38">
        <f t="shared" si="43"/>
        <v>0</v>
      </c>
      <c r="V367" s="55"/>
    </row>
    <row r="368" spans="2:22" s="50" customFormat="1" ht="11.25" hidden="1">
      <c r="B368" s="69" t="s">
        <v>456</v>
      </c>
      <c r="C368" s="86"/>
      <c r="D368" s="30"/>
      <c r="E368" s="5"/>
      <c r="F368" s="5"/>
      <c r="G368" s="5"/>
      <c r="H368" s="5"/>
      <c r="I368" s="29"/>
      <c r="J368" s="29"/>
      <c r="K368" s="29"/>
      <c r="L368" s="29"/>
      <c r="M368" s="29"/>
      <c r="N368" s="29"/>
      <c r="O368" s="38">
        <f t="shared" si="37"/>
        <v>0</v>
      </c>
      <c r="P368" s="38">
        <f t="shared" si="38"/>
        <v>0</v>
      </c>
      <c r="Q368" s="38">
        <f t="shared" si="39"/>
        <v>0</v>
      </c>
      <c r="R368" s="38">
        <f t="shared" si="40"/>
        <v>0</v>
      </c>
      <c r="S368" s="38">
        <f t="shared" si="41"/>
        <v>0</v>
      </c>
      <c r="T368" s="38">
        <f t="shared" si="42"/>
        <v>0</v>
      </c>
      <c r="U368" s="38">
        <f t="shared" si="43"/>
        <v>0</v>
      </c>
      <c r="V368" s="55"/>
    </row>
    <row r="369" spans="2:22" s="50" customFormat="1" ht="11.25" hidden="1">
      <c r="B369" s="69" t="s">
        <v>456</v>
      </c>
      <c r="C369" s="86"/>
      <c r="D369" s="30"/>
      <c r="E369" s="5"/>
      <c r="F369" s="5"/>
      <c r="G369" s="5"/>
      <c r="H369" s="5"/>
      <c r="I369" s="29"/>
      <c r="J369" s="29"/>
      <c r="K369" s="29"/>
      <c r="L369" s="29"/>
      <c r="M369" s="29"/>
      <c r="N369" s="29"/>
      <c r="O369" s="38">
        <f t="shared" si="37"/>
        <v>0</v>
      </c>
      <c r="P369" s="38">
        <f t="shared" si="38"/>
        <v>0</v>
      </c>
      <c r="Q369" s="38">
        <f t="shared" si="39"/>
        <v>0</v>
      </c>
      <c r="R369" s="38">
        <f t="shared" si="40"/>
        <v>0</v>
      </c>
      <c r="S369" s="38">
        <f t="shared" si="41"/>
        <v>0</v>
      </c>
      <c r="T369" s="38">
        <f t="shared" si="42"/>
        <v>0</v>
      </c>
      <c r="U369" s="38">
        <f t="shared" si="43"/>
        <v>0</v>
      </c>
      <c r="V369" s="55"/>
    </row>
    <row r="370" spans="2:22" s="50" customFormat="1" ht="11.25" hidden="1">
      <c r="B370" s="69" t="s">
        <v>456</v>
      </c>
      <c r="C370" s="86"/>
      <c r="D370" s="30"/>
      <c r="E370" s="5"/>
      <c r="F370" s="5"/>
      <c r="G370" s="5"/>
      <c r="H370" s="5"/>
      <c r="I370" s="29"/>
      <c r="J370" s="29"/>
      <c r="K370" s="29"/>
      <c r="L370" s="29"/>
      <c r="M370" s="29"/>
      <c r="N370" s="29"/>
      <c r="O370" s="38">
        <f t="shared" si="37"/>
        <v>0</v>
      </c>
      <c r="P370" s="38">
        <f t="shared" si="38"/>
        <v>0</v>
      </c>
      <c r="Q370" s="38">
        <f t="shared" si="39"/>
        <v>0</v>
      </c>
      <c r="R370" s="38">
        <f t="shared" si="40"/>
        <v>0</v>
      </c>
      <c r="S370" s="38">
        <f t="shared" si="41"/>
        <v>0</v>
      </c>
      <c r="T370" s="38">
        <f t="shared" si="42"/>
        <v>0</v>
      </c>
      <c r="U370" s="38">
        <f t="shared" si="43"/>
        <v>0</v>
      </c>
      <c r="V370" s="55"/>
    </row>
    <row r="371" spans="2:22" s="50" customFormat="1" ht="11.25" hidden="1">
      <c r="B371" s="69" t="s">
        <v>456</v>
      </c>
      <c r="C371" s="86"/>
      <c r="D371" s="30"/>
      <c r="E371" s="5"/>
      <c r="F371" s="5"/>
      <c r="G371" s="5"/>
      <c r="H371" s="5"/>
      <c r="I371" s="29"/>
      <c r="J371" s="29"/>
      <c r="K371" s="29"/>
      <c r="L371" s="29"/>
      <c r="M371" s="29"/>
      <c r="N371" s="29"/>
      <c r="O371" s="38">
        <f t="shared" si="37"/>
        <v>0</v>
      </c>
      <c r="P371" s="38">
        <f t="shared" si="38"/>
        <v>0</v>
      </c>
      <c r="Q371" s="38">
        <f t="shared" si="39"/>
        <v>0</v>
      </c>
      <c r="R371" s="38">
        <f t="shared" si="40"/>
        <v>0</v>
      </c>
      <c r="S371" s="38">
        <f t="shared" si="41"/>
        <v>0</v>
      </c>
      <c r="T371" s="38">
        <f t="shared" si="42"/>
        <v>0</v>
      </c>
      <c r="U371" s="38">
        <f t="shared" si="43"/>
        <v>0</v>
      </c>
      <c r="V371" s="55"/>
    </row>
    <row r="372" spans="2:22" s="50" customFormat="1" ht="11.25" hidden="1">
      <c r="B372" s="69" t="s">
        <v>456</v>
      </c>
      <c r="C372" s="86"/>
      <c r="D372" s="30"/>
      <c r="E372" s="5"/>
      <c r="F372" s="5"/>
      <c r="G372" s="5"/>
      <c r="H372" s="5"/>
      <c r="I372" s="29"/>
      <c r="J372" s="29"/>
      <c r="K372" s="29"/>
      <c r="L372" s="29"/>
      <c r="M372" s="29"/>
      <c r="N372" s="29"/>
      <c r="O372" s="38">
        <f t="shared" si="37"/>
        <v>0</v>
      </c>
      <c r="P372" s="38">
        <f t="shared" si="38"/>
        <v>0</v>
      </c>
      <c r="Q372" s="38">
        <f t="shared" si="39"/>
        <v>0</v>
      </c>
      <c r="R372" s="38">
        <f t="shared" si="40"/>
        <v>0</v>
      </c>
      <c r="S372" s="38">
        <f t="shared" si="41"/>
        <v>0</v>
      </c>
      <c r="T372" s="38">
        <f t="shared" si="42"/>
        <v>0</v>
      </c>
      <c r="U372" s="38">
        <f t="shared" si="43"/>
        <v>0</v>
      </c>
      <c r="V372" s="55"/>
    </row>
    <row r="373" spans="2:22" s="50" customFormat="1" ht="11.25" hidden="1">
      <c r="B373" s="69" t="s">
        <v>456</v>
      </c>
      <c r="C373" s="86"/>
      <c r="D373" s="30"/>
      <c r="E373" s="5"/>
      <c r="F373" s="5"/>
      <c r="G373" s="5"/>
      <c r="H373" s="5"/>
      <c r="I373" s="29"/>
      <c r="J373" s="29"/>
      <c r="K373" s="29"/>
      <c r="L373" s="29"/>
      <c r="M373" s="29"/>
      <c r="N373" s="29"/>
      <c r="O373" s="38">
        <f t="shared" si="37"/>
        <v>0</v>
      </c>
      <c r="P373" s="38">
        <f t="shared" si="38"/>
        <v>0</v>
      </c>
      <c r="Q373" s="38">
        <f t="shared" si="39"/>
        <v>0</v>
      </c>
      <c r="R373" s="38">
        <f t="shared" si="40"/>
        <v>0</v>
      </c>
      <c r="S373" s="38">
        <f t="shared" si="41"/>
        <v>0</v>
      </c>
      <c r="T373" s="38">
        <f t="shared" si="42"/>
        <v>0</v>
      </c>
      <c r="U373" s="38">
        <f t="shared" si="43"/>
        <v>0</v>
      </c>
      <c r="V373" s="55"/>
    </row>
    <row r="374" spans="2:22" s="50" customFormat="1" ht="11.25" hidden="1">
      <c r="B374" s="69" t="s">
        <v>456</v>
      </c>
      <c r="C374" s="86"/>
      <c r="D374" s="30"/>
      <c r="E374" s="5"/>
      <c r="F374" s="5"/>
      <c r="G374" s="5"/>
      <c r="H374" s="5"/>
      <c r="I374" s="29"/>
      <c r="J374" s="29"/>
      <c r="K374" s="29"/>
      <c r="L374" s="29"/>
      <c r="M374" s="29"/>
      <c r="N374" s="29"/>
      <c r="O374" s="38">
        <f t="shared" si="37"/>
        <v>0</v>
      </c>
      <c r="P374" s="38">
        <f t="shared" si="38"/>
        <v>0</v>
      </c>
      <c r="Q374" s="38">
        <f t="shared" si="39"/>
        <v>0</v>
      </c>
      <c r="R374" s="38">
        <f t="shared" si="40"/>
        <v>0</v>
      </c>
      <c r="S374" s="38">
        <f t="shared" si="41"/>
        <v>0</v>
      </c>
      <c r="T374" s="38">
        <f t="shared" si="42"/>
        <v>0</v>
      </c>
      <c r="U374" s="38">
        <f t="shared" si="43"/>
        <v>0</v>
      </c>
      <c r="V374" s="55"/>
    </row>
    <row r="375" spans="2:22" s="50" customFormat="1" ht="11.25" hidden="1">
      <c r="B375" s="69" t="s">
        <v>456</v>
      </c>
      <c r="C375" s="86"/>
      <c r="D375" s="30"/>
      <c r="E375" s="5"/>
      <c r="F375" s="5"/>
      <c r="G375" s="5"/>
      <c r="H375" s="5"/>
      <c r="I375" s="29"/>
      <c r="J375" s="29"/>
      <c r="K375" s="29"/>
      <c r="L375" s="29"/>
      <c r="M375" s="29"/>
      <c r="N375" s="29"/>
      <c r="O375" s="38">
        <f t="shared" si="37"/>
        <v>0</v>
      </c>
      <c r="P375" s="38">
        <f t="shared" si="38"/>
        <v>0</v>
      </c>
      <c r="Q375" s="38">
        <f t="shared" si="39"/>
        <v>0</v>
      </c>
      <c r="R375" s="38">
        <f t="shared" si="40"/>
        <v>0</v>
      </c>
      <c r="S375" s="38">
        <f t="shared" si="41"/>
        <v>0</v>
      </c>
      <c r="T375" s="38">
        <f t="shared" si="42"/>
        <v>0</v>
      </c>
      <c r="U375" s="38">
        <f t="shared" si="43"/>
        <v>0</v>
      </c>
      <c r="V375" s="55"/>
    </row>
    <row r="376" spans="2:22" s="50" customFormat="1" ht="11.25" hidden="1">
      <c r="B376" s="69" t="s">
        <v>456</v>
      </c>
      <c r="C376" s="86"/>
      <c r="D376" s="30"/>
      <c r="E376" s="5"/>
      <c r="F376" s="5"/>
      <c r="G376" s="5"/>
      <c r="H376" s="5"/>
      <c r="I376" s="29"/>
      <c r="J376" s="29"/>
      <c r="K376" s="29"/>
      <c r="L376" s="29"/>
      <c r="M376" s="29"/>
      <c r="N376" s="29"/>
      <c r="O376" s="38">
        <f t="shared" si="37"/>
        <v>0</v>
      </c>
      <c r="P376" s="38">
        <f t="shared" si="38"/>
        <v>0</v>
      </c>
      <c r="Q376" s="38">
        <f t="shared" si="39"/>
        <v>0</v>
      </c>
      <c r="R376" s="38">
        <f t="shared" si="40"/>
        <v>0</v>
      </c>
      <c r="S376" s="38">
        <f t="shared" si="41"/>
        <v>0</v>
      </c>
      <c r="T376" s="38">
        <f t="shared" si="42"/>
        <v>0</v>
      </c>
      <c r="U376" s="38">
        <f t="shared" si="43"/>
        <v>0</v>
      </c>
      <c r="V376" s="55"/>
    </row>
    <row r="377" spans="2:22" s="50" customFormat="1" ht="11.25" hidden="1">
      <c r="B377" s="69" t="s">
        <v>456</v>
      </c>
      <c r="C377" s="86"/>
      <c r="D377" s="30"/>
      <c r="E377" s="5"/>
      <c r="F377" s="5"/>
      <c r="G377" s="5"/>
      <c r="H377" s="5"/>
      <c r="I377" s="29"/>
      <c r="J377" s="29"/>
      <c r="K377" s="29"/>
      <c r="L377" s="29"/>
      <c r="M377" s="29"/>
      <c r="N377" s="29"/>
      <c r="O377" s="38">
        <f t="shared" si="37"/>
        <v>0</v>
      </c>
      <c r="P377" s="38">
        <f t="shared" si="38"/>
        <v>0</v>
      </c>
      <c r="Q377" s="38">
        <f t="shared" si="39"/>
        <v>0</v>
      </c>
      <c r="R377" s="38">
        <f t="shared" si="40"/>
        <v>0</v>
      </c>
      <c r="S377" s="38">
        <f t="shared" si="41"/>
        <v>0</v>
      </c>
      <c r="T377" s="38">
        <f t="shared" si="42"/>
        <v>0</v>
      </c>
      <c r="U377" s="38">
        <f t="shared" si="43"/>
        <v>0</v>
      </c>
      <c r="V377" s="55"/>
    </row>
    <row r="378" spans="2:22" s="50" customFormat="1" ht="11.25" hidden="1">
      <c r="B378" s="69" t="s">
        <v>456</v>
      </c>
      <c r="C378" s="86"/>
      <c r="D378" s="30"/>
      <c r="E378" s="5"/>
      <c r="F378" s="5"/>
      <c r="G378" s="5"/>
      <c r="H378" s="5"/>
      <c r="I378" s="29"/>
      <c r="J378" s="29"/>
      <c r="K378" s="29"/>
      <c r="L378" s="29"/>
      <c r="M378" s="29"/>
      <c r="N378" s="29"/>
      <c r="O378" s="38">
        <f t="shared" si="37"/>
        <v>0</v>
      </c>
      <c r="P378" s="38">
        <f t="shared" si="38"/>
        <v>0</v>
      </c>
      <c r="Q378" s="38">
        <f t="shared" si="39"/>
        <v>0</v>
      </c>
      <c r="R378" s="38">
        <f t="shared" si="40"/>
        <v>0</v>
      </c>
      <c r="S378" s="38">
        <f t="shared" si="41"/>
        <v>0</v>
      </c>
      <c r="T378" s="38">
        <f t="shared" si="42"/>
        <v>0</v>
      </c>
      <c r="U378" s="38">
        <f t="shared" si="43"/>
        <v>0</v>
      </c>
      <c r="V378" s="55"/>
    </row>
    <row r="379" spans="2:22" s="50" customFormat="1" ht="11.25" hidden="1">
      <c r="B379" s="69" t="s">
        <v>456</v>
      </c>
      <c r="C379" s="86"/>
      <c r="D379" s="30"/>
      <c r="E379" s="5"/>
      <c r="F379" s="5"/>
      <c r="G379" s="5"/>
      <c r="H379" s="5"/>
      <c r="I379" s="29"/>
      <c r="J379" s="29"/>
      <c r="K379" s="29"/>
      <c r="L379" s="29"/>
      <c r="M379" s="29"/>
      <c r="N379" s="29"/>
      <c r="O379" s="38">
        <f t="shared" si="37"/>
        <v>0</v>
      </c>
      <c r="P379" s="38">
        <f t="shared" si="38"/>
        <v>0</v>
      </c>
      <c r="Q379" s="38">
        <f t="shared" si="39"/>
        <v>0</v>
      </c>
      <c r="R379" s="38">
        <f t="shared" si="40"/>
        <v>0</v>
      </c>
      <c r="S379" s="38">
        <f t="shared" si="41"/>
        <v>0</v>
      </c>
      <c r="T379" s="38">
        <f t="shared" si="42"/>
        <v>0</v>
      </c>
      <c r="U379" s="38">
        <f t="shared" si="43"/>
        <v>0</v>
      </c>
      <c r="V379" s="55"/>
    </row>
    <row r="380" spans="2:22" s="50" customFormat="1" ht="11.25" hidden="1">
      <c r="B380" s="69" t="s">
        <v>456</v>
      </c>
      <c r="C380" s="86"/>
      <c r="D380" s="30"/>
      <c r="E380" s="5"/>
      <c r="F380" s="5"/>
      <c r="G380" s="5"/>
      <c r="H380" s="5"/>
      <c r="I380" s="29"/>
      <c r="J380" s="29"/>
      <c r="K380" s="29"/>
      <c r="L380" s="29"/>
      <c r="M380" s="29"/>
      <c r="N380" s="29"/>
      <c r="O380" s="38">
        <f t="shared" si="37"/>
        <v>0</v>
      </c>
      <c r="P380" s="38">
        <f t="shared" si="38"/>
        <v>0</v>
      </c>
      <c r="Q380" s="38">
        <f t="shared" si="39"/>
        <v>0</v>
      </c>
      <c r="R380" s="38">
        <f t="shared" si="40"/>
        <v>0</v>
      </c>
      <c r="S380" s="38">
        <f t="shared" si="41"/>
        <v>0</v>
      </c>
      <c r="T380" s="38">
        <f t="shared" si="42"/>
        <v>0</v>
      </c>
      <c r="U380" s="38">
        <f t="shared" si="43"/>
        <v>0</v>
      </c>
      <c r="V380" s="55"/>
    </row>
    <row r="381" spans="2:22" s="50" customFormat="1" ht="11.25" hidden="1">
      <c r="B381" s="69" t="s">
        <v>456</v>
      </c>
      <c r="C381" s="86"/>
      <c r="D381" s="30"/>
      <c r="E381" s="5"/>
      <c r="F381" s="5"/>
      <c r="G381" s="5"/>
      <c r="H381" s="5"/>
      <c r="I381" s="29"/>
      <c r="J381" s="29"/>
      <c r="K381" s="29"/>
      <c r="L381" s="29"/>
      <c r="M381" s="29"/>
      <c r="N381" s="29"/>
      <c r="O381" s="38">
        <f t="shared" si="37"/>
        <v>0</v>
      </c>
      <c r="P381" s="38">
        <f t="shared" si="38"/>
        <v>0</v>
      </c>
      <c r="Q381" s="38">
        <f t="shared" si="39"/>
        <v>0</v>
      </c>
      <c r="R381" s="38">
        <f t="shared" si="40"/>
        <v>0</v>
      </c>
      <c r="S381" s="38">
        <f t="shared" si="41"/>
        <v>0</v>
      </c>
      <c r="T381" s="38">
        <f t="shared" si="42"/>
        <v>0</v>
      </c>
      <c r="U381" s="38">
        <f t="shared" si="43"/>
        <v>0</v>
      </c>
      <c r="V381" s="55"/>
    </row>
    <row r="382" spans="2:22" s="50" customFormat="1" ht="11.25" hidden="1">
      <c r="B382" s="69" t="s">
        <v>456</v>
      </c>
      <c r="C382" s="86"/>
      <c r="D382" s="30"/>
      <c r="E382" s="5"/>
      <c r="F382" s="5"/>
      <c r="G382" s="5"/>
      <c r="H382" s="5"/>
      <c r="I382" s="29"/>
      <c r="J382" s="29"/>
      <c r="K382" s="29"/>
      <c r="L382" s="29"/>
      <c r="M382" s="29"/>
      <c r="N382" s="29"/>
      <c r="O382" s="38">
        <f t="shared" si="37"/>
        <v>0</v>
      </c>
      <c r="P382" s="38">
        <f t="shared" si="38"/>
        <v>0</v>
      </c>
      <c r="Q382" s="38">
        <f t="shared" si="39"/>
        <v>0</v>
      </c>
      <c r="R382" s="38">
        <f t="shared" si="40"/>
        <v>0</v>
      </c>
      <c r="S382" s="38">
        <f t="shared" si="41"/>
        <v>0</v>
      </c>
      <c r="T382" s="38">
        <f t="shared" si="42"/>
        <v>0</v>
      </c>
      <c r="U382" s="38">
        <f t="shared" si="43"/>
        <v>0</v>
      </c>
      <c r="V382" s="55"/>
    </row>
    <row r="383" spans="2:22" s="50" customFormat="1" ht="11.25" hidden="1">
      <c r="B383" s="69" t="s">
        <v>456</v>
      </c>
      <c r="C383" s="86"/>
      <c r="D383" s="30"/>
      <c r="E383" s="5"/>
      <c r="F383" s="5"/>
      <c r="G383" s="5"/>
      <c r="H383" s="5"/>
      <c r="I383" s="29"/>
      <c r="J383" s="29"/>
      <c r="K383" s="29"/>
      <c r="L383" s="29"/>
      <c r="M383" s="29"/>
      <c r="N383" s="29"/>
      <c r="O383" s="38">
        <f t="shared" si="37"/>
        <v>0</v>
      </c>
      <c r="P383" s="38">
        <f t="shared" si="38"/>
        <v>0</v>
      </c>
      <c r="Q383" s="38">
        <f t="shared" si="39"/>
        <v>0</v>
      </c>
      <c r="R383" s="38">
        <f t="shared" si="40"/>
        <v>0</v>
      </c>
      <c r="S383" s="38">
        <f t="shared" si="41"/>
        <v>0</v>
      </c>
      <c r="T383" s="38">
        <f t="shared" si="42"/>
        <v>0</v>
      </c>
      <c r="U383" s="38">
        <f t="shared" si="43"/>
        <v>0</v>
      </c>
      <c r="V383" s="55"/>
    </row>
    <row r="384" spans="2:22" s="50" customFormat="1" ht="11.25" hidden="1">
      <c r="B384" s="69" t="s">
        <v>456</v>
      </c>
      <c r="C384" s="86"/>
      <c r="D384" s="30"/>
      <c r="E384" s="5"/>
      <c r="F384" s="5"/>
      <c r="G384" s="5"/>
      <c r="H384" s="5"/>
      <c r="I384" s="29"/>
      <c r="J384" s="29"/>
      <c r="K384" s="29"/>
      <c r="L384" s="29"/>
      <c r="M384" s="29"/>
      <c r="N384" s="29"/>
      <c r="O384" s="38">
        <f t="shared" si="37"/>
        <v>0</v>
      </c>
      <c r="P384" s="38">
        <f t="shared" si="38"/>
        <v>0</v>
      </c>
      <c r="Q384" s="38">
        <f t="shared" si="39"/>
        <v>0</v>
      </c>
      <c r="R384" s="38">
        <f t="shared" si="40"/>
        <v>0</v>
      </c>
      <c r="S384" s="38">
        <f t="shared" si="41"/>
        <v>0</v>
      </c>
      <c r="T384" s="38">
        <f t="shared" si="42"/>
        <v>0</v>
      </c>
      <c r="U384" s="38">
        <f t="shared" si="43"/>
        <v>0</v>
      </c>
      <c r="V384" s="55"/>
    </row>
    <row r="385" spans="2:22" s="50" customFormat="1" ht="11.25" hidden="1">
      <c r="B385" s="69" t="s">
        <v>456</v>
      </c>
      <c r="C385" s="86"/>
      <c r="D385" s="30"/>
      <c r="E385" s="5"/>
      <c r="F385" s="5"/>
      <c r="G385" s="5"/>
      <c r="H385" s="5"/>
      <c r="I385" s="29"/>
      <c r="J385" s="29"/>
      <c r="K385" s="29"/>
      <c r="L385" s="29"/>
      <c r="M385" s="29"/>
      <c r="N385" s="29"/>
      <c r="O385" s="38">
        <f t="shared" si="37"/>
        <v>0</v>
      </c>
      <c r="P385" s="38">
        <f t="shared" si="38"/>
        <v>0</v>
      </c>
      <c r="Q385" s="38">
        <f t="shared" si="39"/>
        <v>0</v>
      </c>
      <c r="R385" s="38">
        <f t="shared" si="40"/>
        <v>0</v>
      </c>
      <c r="S385" s="38">
        <f t="shared" si="41"/>
        <v>0</v>
      </c>
      <c r="T385" s="38">
        <f t="shared" si="42"/>
        <v>0</v>
      </c>
      <c r="U385" s="38">
        <f t="shared" si="43"/>
        <v>0</v>
      </c>
      <c r="V385" s="55"/>
    </row>
    <row r="386" spans="2:22" s="50" customFormat="1" ht="11.25" hidden="1">
      <c r="B386" s="69" t="s">
        <v>456</v>
      </c>
      <c r="C386" s="86"/>
      <c r="D386" s="30"/>
      <c r="E386" s="5"/>
      <c r="F386" s="5"/>
      <c r="G386" s="5"/>
      <c r="H386" s="5"/>
      <c r="I386" s="29"/>
      <c r="J386" s="29"/>
      <c r="K386" s="29"/>
      <c r="L386" s="29"/>
      <c r="M386" s="29"/>
      <c r="N386" s="29"/>
      <c r="O386" s="38">
        <f t="shared" si="37"/>
        <v>0</v>
      </c>
      <c r="P386" s="38">
        <f t="shared" si="38"/>
        <v>0</v>
      </c>
      <c r="Q386" s="38">
        <f t="shared" si="39"/>
        <v>0</v>
      </c>
      <c r="R386" s="38">
        <f t="shared" si="40"/>
        <v>0</v>
      </c>
      <c r="S386" s="38">
        <f t="shared" si="41"/>
        <v>0</v>
      </c>
      <c r="T386" s="38">
        <f t="shared" si="42"/>
        <v>0</v>
      </c>
      <c r="U386" s="38">
        <f t="shared" si="43"/>
        <v>0</v>
      </c>
      <c r="V386" s="55"/>
    </row>
    <row r="387" spans="2:22" s="50" customFormat="1" ht="11.25" hidden="1">
      <c r="B387" s="69" t="s">
        <v>456</v>
      </c>
      <c r="C387" s="86"/>
      <c r="D387" s="30"/>
      <c r="E387" s="5"/>
      <c r="F387" s="5"/>
      <c r="G387" s="5"/>
      <c r="H387" s="5"/>
      <c r="I387" s="29"/>
      <c r="J387" s="29"/>
      <c r="K387" s="29"/>
      <c r="L387" s="29"/>
      <c r="M387" s="29"/>
      <c r="N387" s="29"/>
      <c r="O387" s="38">
        <f t="shared" si="37"/>
        <v>0</v>
      </c>
      <c r="P387" s="38">
        <f t="shared" si="38"/>
        <v>0</v>
      </c>
      <c r="Q387" s="38">
        <f t="shared" si="39"/>
        <v>0</v>
      </c>
      <c r="R387" s="38">
        <f t="shared" si="40"/>
        <v>0</v>
      </c>
      <c r="S387" s="38">
        <f t="shared" si="41"/>
        <v>0</v>
      </c>
      <c r="T387" s="38">
        <f t="shared" si="42"/>
        <v>0</v>
      </c>
      <c r="U387" s="38">
        <f t="shared" si="43"/>
        <v>0</v>
      </c>
      <c r="V387" s="55"/>
    </row>
    <row r="388" spans="2:22" s="50" customFormat="1" ht="11.25" hidden="1">
      <c r="B388" s="69" t="s">
        <v>456</v>
      </c>
      <c r="C388" s="86"/>
      <c r="D388" s="30"/>
      <c r="E388" s="5"/>
      <c r="F388" s="5"/>
      <c r="G388" s="5"/>
      <c r="H388" s="5"/>
      <c r="I388" s="29"/>
      <c r="J388" s="29"/>
      <c r="K388" s="29"/>
      <c r="L388" s="29"/>
      <c r="M388" s="29"/>
      <c r="N388" s="29"/>
      <c r="O388" s="38">
        <f t="shared" si="37"/>
        <v>0</v>
      </c>
      <c r="P388" s="38">
        <f t="shared" si="38"/>
        <v>0</v>
      </c>
      <c r="Q388" s="38">
        <f t="shared" si="39"/>
        <v>0</v>
      </c>
      <c r="R388" s="38">
        <f t="shared" si="40"/>
        <v>0</v>
      </c>
      <c r="S388" s="38">
        <f t="shared" si="41"/>
        <v>0</v>
      </c>
      <c r="T388" s="38">
        <f t="shared" si="42"/>
        <v>0</v>
      </c>
      <c r="U388" s="38">
        <f t="shared" si="43"/>
        <v>0</v>
      </c>
      <c r="V388" s="55"/>
    </row>
    <row r="389" spans="2:22" s="50" customFormat="1" ht="11.25" hidden="1">
      <c r="B389" s="69" t="s">
        <v>456</v>
      </c>
      <c r="C389" s="86"/>
      <c r="D389" s="30"/>
      <c r="E389" s="5"/>
      <c r="F389" s="5"/>
      <c r="G389" s="5"/>
      <c r="H389" s="5"/>
      <c r="I389" s="29"/>
      <c r="J389" s="29"/>
      <c r="K389" s="29"/>
      <c r="L389" s="29"/>
      <c r="M389" s="29"/>
      <c r="N389" s="29"/>
      <c r="O389" s="38">
        <f t="shared" si="37"/>
        <v>0</v>
      </c>
      <c r="P389" s="38">
        <f t="shared" si="38"/>
        <v>0</v>
      </c>
      <c r="Q389" s="38">
        <f t="shared" si="39"/>
        <v>0</v>
      </c>
      <c r="R389" s="38">
        <f t="shared" si="40"/>
        <v>0</v>
      </c>
      <c r="S389" s="38">
        <f t="shared" si="41"/>
        <v>0</v>
      </c>
      <c r="T389" s="38">
        <f t="shared" si="42"/>
        <v>0</v>
      </c>
      <c r="U389" s="38">
        <f t="shared" si="43"/>
        <v>0</v>
      </c>
      <c r="V389" s="55"/>
    </row>
    <row r="390" spans="2:22" s="50" customFormat="1" ht="11.25" hidden="1">
      <c r="B390" s="69" t="s">
        <v>456</v>
      </c>
      <c r="C390" s="86"/>
      <c r="D390" s="30"/>
      <c r="E390" s="5"/>
      <c r="F390" s="5"/>
      <c r="G390" s="5"/>
      <c r="H390" s="5"/>
      <c r="I390" s="29"/>
      <c r="J390" s="29"/>
      <c r="K390" s="29"/>
      <c r="L390" s="29"/>
      <c r="M390" s="29"/>
      <c r="N390" s="29"/>
      <c r="O390" s="38">
        <f t="shared" si="37"/>
        <v>0</v>
      </c>
      <c r="P390" s="38">
        <f t="shared" si="38"/>
        <v>0</v>
      </c>
      <c r="Q390" s="38">
        <f t="shared" si="39"/>
        <v>0</v>
      </c>
      <c r="R390" s="38">
        <f t="shared" si="40"/>
        <v>0</v>
      </c>
      <c r="S390" s="38">
        <f t="shared" si="41"/>
        <v>0</v>
      </c>
      <c r="T390" s="38">
        <f t="shared" si="42"/>
        <v>0</v>
      </c>
      <c r="U390" s="38">
        <f t="shared" si="43"/>
        <v>0</v>
      </c>
      <c r="V390" s="55"/>
    </row>
    <row r="391" spans="2:22" s="50" customFormat="1" ht="11.25" hidden="1">
      <c r="B391" s="69" t="s">
        <v>456</v>
      </c>
      <c r="C391" s="86"/>
      <c r="D391" s="30"/>
      <c r="E391" s="5"/>
      <c r="F391" s="5"/>
      <c r="G391" s="5"/>
      <c r="H391" s="5"/>
      <c r="I391" s="29"/>
      <c r="J391" s="29"/>
      <c r="K391" s="29"/>
      <c r="L391" s="29"/>
      <c r="M391" s="29"/>
      <c r="N391" s="29"/>
      <c r="O391" s="38">
        <f t="shared" si="37"/>
        <v>0</v>
      </c>
      <c r="P391" s="38">
        <f t="shared" si="38"/>
        <v>0</v>
      </c>
      <c r="Q391" s="38">
        <f t="shared" si="39"/>
        <v>0</v>
      </c>
      <c r="R391" s="38">
        <f t="shared" si="40"/>
        <v>0</v>
      </c>
      <c r="S391" s="38">
        <f t="shared" si="41"/>
        <v>0</v>
      </c>
      <c r="T391" s="38">
        <f t="shared" si="42"/>
        <v>0</v>
      </c>
      <c r="U391" s="38">
        <f t="shared" si="43"/>
        <v>0</v>
      </c>
      <c r="V391" s="55"/>
    </row>
    <row r="392" spans="2:22" s="50" customFormat="1" ht="11.25" hidden="1">
      <c r="B392" s="69" t="s">
        <v>456</v>
      </c>
      <c r="C392" s="86"/>
      <c r="D392" s="30"/>
      <c r="E392" s="5"/>
      <c r="F392" s="5"/>
      <c r="G392" s="5"/>
      <c r="H392" s="5"/>
      <c r="I392" s="29"/>
      <c r="J392" s="29"/>
      <c r="K392" s="29"/>
      <c r="L392" s="29"/>
      <c r="M392" s="29"/>
      <c r="N392" s="29"/>
      <c r="O392" s="38">
        <f t="shared" si="37"/>
        <v>0</v>
      </c>
      <c r="P392" s="38">
        <f t="shared" si="38"/>
        <v>0</v>
      </c>
      <c r="Q392" s="38">
        <f t="shared" si="39"/>
        <v>0</v>
      </c>
      <c r="R392" s="38">
        <f t="shared" si="40"/>
        <v>0</v>
      </c>
      <c r="S392" s="38">
        <f t="shared" si="41"/>
        <v>0</v>
      </c>
      <c r="T392" s="38">
        <f t="shared" si="42"/>
        <v>0</v>
      </c>
      <c r="U392" s="38">
        <f t="shared" si="43"/>
        <v>0</v>
      </c>
      <c r="V392" s="55"/>
    </row>
    <row r="393" spans="2:22" s="50" customFormat="1" ht="11.25" hidden="1">
      <c r="B393" s="69" t="s">
        <v>456</v>
      </c>
      <c r="C393" s="86"/>
      <c r="D393" s="30"/>
      <c r="E393" s="5"/>
      <c r="F393" s="5"/>
      <c r="G393" s="5"/>
      <c r="H393" s="5"/>
      <c r="I393" s="29"/>
      <c r="J393" s="29"/>
      <c r="K393" s="29"/>
      <c r="L393" s="29"/>
      <c r="M393" s="29"/>
      <c r="N393" s="29"/>
      <c r="O393" s="38">
        <f t="shared" si="37"/>
        <v>0</v>
      </c>
      <c r="P393" s="38">
        <f t="shared" si="38"/>
        <v>0</v>
      </c>
      <c r="Q393" s="38">
        <f t="shared" si="39"/>
        <v>0</v>
      </c>
      <c r="R393" s="38">
        <f t="shared" si="40"/>
        <v>0</v>
      </c>
      <c r="S393" s="38">
        <f t="shared" si="41"/>
        <v>0</v>
      </c>
      <c r="T393" s="38">
        <f t="shared" si="42"/>
        <v>0</v>
      </c>
      <c r="U393" s="38">
        <f t="shared" si="43"/>
        <v>0</v>
      </c>
      <c r="V393" s="55"/>
    </row>
    <row r="394" spans="2:22" s="50" customFormat="1" ht="11.25" hidden="1">
      <c r="B394" s="69" t="s">
        <v>456</v>
      </c>
      <c r="C394" s="86"/>
      <c r="D394" s="30"/>
      <c r="E394" s="5"/>
      <c r="F394" s="5"/>
      <c r="G394" s="5"/>
      <c r="H394" s="5"/>
      <c r="I394" s="29"/>
      <c r="J394" s="29"/>
      <c r="K394" s="29"/>
      <c r="L394" s="29"/>
      <c r="M394" s="29"/>
      <c r="N394" s="29"/>
      <c r="O394" s="38">
        <f t="shared" ref="O394:O457" si="44">SUM(J394:N394)</f>
        <v>0</v>
      </c>
      <c r="P394" s="38">
        <f t="shared" ref="P394:P457" si="45">IF(I394=0,0,J394/I394*10)</f>
        <v>0</v>
      </c>
      <c r="Q394" s="38">
        <f t="shared" ref="Q394:Q457" si="46">IF(I394=0,0,L394/I394*10)</f>
        <v>0</v>
      </c>
      <c r="R394" s="38">
        <f t="shared" ref="R394:R457" si="47">IF(I394=0,0,M394/I394*10)</f>
        <v>0</v>
      </c>
      <c r="S394" s="38">
        <f t="shared" ref="S394:S457" si="48">IF(I394=0,0,N394/I394*10)</f>
        <v>0</v>
      </c>
      <c r="T394" s="38">
        <f t="shared" ref="T394:T457" si="49">IF(I394=0,0,K394/I394*10)</f>
        <v>0</v>
      </c>
      <c r="U394" s="38">
        <f t="shared" ref="U394:U457" si="50">IF(I394=0,0,O394/I394*10)</f>
        <v>0</v>
      </c>
      <c r="V394" s="55"/>
    </row>
    <row r="395" spans="2:22" s="50" customFormat="1" ht="11.25" hidden="1">
      <c r="B395" s="69" t="s">
        <v>456</v>
      </c>
      <c r="C395" s="86"/>
      <c r="D395" s="30"/>
      <c r="E395" s="5"/>
      <c r="F395" s="5"/>
      <c r="G395" s="5"/>
      <c r="H395" s="5"/>
      <c r="I395" s="29"/>
      <c r="J395" s="29"/>
      <c r="K395" s="29"/>
      <c r="L395" s="29"/>
      <c r="M395" s="29"/>
      <c r="N395" s="29"/>
      <c r="O395" s="38">
        <f t="shared" si="44"/>
        <v>0</v>
      </c>
      <c r="P395" s="38">
        <f t="shared" si="45"/>
        <v>0</v>
      </c>
      <c r="Q395" s="38">
        <f t="shared" si="46"/>
        <v>0</v>
      </c>
      <c r="R395" s="38">
        <f t="shared" si="47"/>
        <v>0</v>
      </c>
      <c r="S395" s="38">
        <f t="shared" si="48"/>
        <v>0</v>
      </c>
      <c r="T395" s="38">
        <f t="shared" si="49"/>
        <v>0</v>
      </c>
      <c r="U395" s="38">
        <f t="shared" si="50"/>
        <v>0</v>
      </c>
      <c r="V395" s="55"/>
    </row>
    <row r="396" spans="2:22" s="50" customFormat="1" ht="11.25" hidden="1">
      <c r="B396" s="69" t="s">
        <v>456</v>
      </c>
      <c r="C396" s="86"/>
      <c r="D396" s="30"/>
      <c r="E396" s="5"/>
      <c r="F396" s="5"/>
      <c r="G396" s="5"/>
      <c r="H396" s="5"/>
      <c r="I396" s="29"/>
      <c r="J396" s="29"/>
      <c r="K396" s="29"/>
      <c r="L396" s="29"/>
      <c r="M396" s="29"/>
      <c r="N396" s="29"/>
      <c r="O396" s="38">
        <f t="shared" si="44"/>
        <v>0</v>
      </c>
      <c r="P396" s="38">
        <f t="shared" si="45"/>
        <v>0</v>
      </c>
      <c r="Q396" s="38">
        <f t="shared" si="46"/>
        <v>0</v>
      </c>
      <c r="R396" s="38">
        <f t="shared" si="47"/>
        <v>0</v>
      </c>
      <c r="S396" s="38">
        <f t="shared" si="48"/>
        <v>0</v>
      </c>
      <c r="T396" s="38">
        <f t="shared" si="49"/>
        <v>0</v>
      </c>
      <c r="U396" s="38">
        <f t="shared" si="50"/>
        <v>0</v>
      </c>
      <c r="V396" s="55"/>
    </row>
    <row r="397" spans="2:22" s="50" customFormat="1" ht="11.25" hidden="1">
      <c r="B397" s="69" t="s">
        <v>456</v>
      </c>
      <c r="C397" s="86"/>
      <c r="D397" s="30"/>
      <c r="E397" s="5"/>
      <c r="F397" s="5"/>
      <c r="G397" s="5"/>
      <c r="H397" s="5"/>
      <c r="I397" s="29"/>
      <c r="J397" s="29"/>
      <c r="K397" s="29"/>
      <c r="L397" s="29"/>
      <c r="M397" s="29"/>
      <c r="N397" s="29"/>
      <c r="O397" s="38">
        <f t="shared" si="44"/>
        <v>0</v>
      </c>
      <c r="P397" s="38">
        <f t="shared" si="45"/>
        <v>0</v>
      </c>
      <c r="Q397" s="38">
        <f t="shared" si="46"/>
        <v>0</v>
      </c>
      <c r="R397" s="38">
        <f t="shared" si="47"/>
        <v>0</v>
      </c>
      <c r="S397" s="38">
        <f t="shared" si="48"/>
        <v>0</v>
      </c>
      <c r="T397" s="38">
        <f t="shared" si="49"/>
        <v>0</v>
      </c>
      <c r="U397" s="38">
        <f t="shared" si="50"/>
        <v>0</v>
      </c>
      <c r="V397" s="55"/>
    </row>
    <row r="398" spans="2:22" s="50" customFormat="1" ht="11.25" hidden="1">
      <c r="B398" s="69" t="s">
        <v>456</v>
      </c>
      <c r="C398" s="86"/>
      <c r="D398" s="30"/>
      <c r="E398" s="5"/>
      <c r="F398" s="5"/>
      <c r="G398" s="5"/>
      <c r="H398" s="5"/>
      <c r="I398" s="29"/>
      <c r="J398" s="29"/>
      <c r="K398" s="29"/>
      <c r="L398" s="29"/>
      <c r="M398" s="29"/>
      <c r="N398" s="29"/>
      <c r="O398" s="38">
        <f t="shared" si="44"/>
        <v>0</v>
      </c>
      <c r="P398" s="38">
        <f t="shared" si="45"/>
        <v>0</v>
      </c>
      <c r="Q398" s="38">
        <f t="shared" si="46"/>
        <v>0</v>
      </c>
      <c r="R398" s="38">
        <f t="shared" si="47"/>
        <v>0</v>
      </c>
      <c r="S398" s="38">
        <f t="shared" si="48"/>
        <v>0</v>
      </c>
      <c r="T398" s="38">
        <f t="shared" si="49"/>
        <v>0</v>
      </c>
      <c r="U398" s="38">
        <f t="shared" si="50"/>
        <v>0</v>
      </c>
      <c r="V398" s="55"/>
    </row>
    <row r="399" spans="2:22" s="50" customFormat="1" ht="11.25" hidden="1">
      <c r="B399" s="69" t="s">
        <v>456</v>
      </c>
      <c r="C399" s="86"/>
      <c r="D399" s="30"/>
      <c r="E399" s="5"/>
      <c r="F399" s="5"/>
      <c r="G399" s="5"/>
      <c r="H399" s="5"/>
      <c r="I399" s="29"/>
      <c r="J399" s="29"/>
      <c r="K399" s="29"/>
      <c r="L399" s="29"/>
      <c r="M399" s="29"/>
      <c r="N399" s="29"/>
      <c r="O399" s="38">
        <f t="shared" si="44"/>
        <v>0</v>
      </c>
      <c r="P399" s="38">
        <f t="shared" si="45"/>
        <v>0</v>
      </c>
      <c r="Q399" s="38">
        <f t="shared" si="46"/>
        <v>0</v>
      </c>
      <c r="R399" s="38">
        <f t="shared" si="47"/>
        <v>0</v>
      </c>
      <c r="S399" s="38">
        <f t="shared" si="48"/>
        <v>0</v>
      </c>
      <c r="T399" s="38">
        <f t="shared" si="49"/>
        <v>0</v>
      </c>
      <c r="U399" s="38">
        <f t="shared" si="50"/>
        <v>0</v>
      </c>
      <c r="V399" s="55"/>
    </row>
    <row r="400" spans="2:22" s="50" customFormat="1" ht="11.25" hidden="1">
      <c r="B400" s="69" t="s">
        <v>456</v>
      </c>
      <c r="C400" s="86"/>
      <c r="D400" s="30"/>
      <c r="E400" s="5"/>
      <c r="F400" s="5"/>
      <c r="G400" s="5"/>
      <c r="H400" s="5"/>
      <c r="I400" s="29"/>
      <c r="J400" s="29"/>
      <c r="K400" s="29"/>
      <c r="L400" s="29"/>
      <c r="M400" s="29"/>
      <c r="N400" s="29"/>
      <c r="O400" s="38">
        <f t="shared" si="44"/>
        <v>0</v>
      </c>
      <c r="P400" s="38">
        <f t="shared" si="45"/>
        <v>0</v>
      </c>
      <c r="Q400" s="38">
        <f t="shared" si="46"/>
        <v>0</v>
      </c>
      <c r="R400" s="38">
        <f t="shared" si="47"/>
        <v>0</v>
      </c>
      <c r="S400" s="38">
        <f t="shared" si="48"/>
        <v>0</v>
      </c>
      <c r="T400" s="38">
        <f t="shared" si="49"/>
        <v>0</v>
      </c>
      <c r="U400" s="38">
        <f t="shared" si="50"/>
        <v>0</v>
      </c>
      <c r="V400" s="55"/>
    </row>
    <row r="401" spans="2:22" s="50" customFormat="1" ht="11.25" hidden="1">
      <c r="B401" s="69" t="s">
        <v>456</v>
      </c>
      <c r="C401" s="86"/>
      <c r="D401" s="30"/>
      <c r="E401" s="5"/>
      <c r="F401" s="5"/>
      <c r="G401" s="5"/>
      <c r="H401" s="5"/>
      <c r="I401" s="29"/>
      <c r="J401" s="29"/>
      <c r="K401" s="29"/>
      <c r="L401" s="29"/>
      <c r="M401" s="29"/>
      <c r="N401" s="29"/>
      <c r="O401" s="38">
        <f t="shared" si="44"/>
        <v>0</v>
      </c>
      <c r="P401" s="38">
        <f t="shared" si="45"/>
        <v>0</v>
      </c>
      <c r="Q401" s="38">
        <f t="shared" si="46"/>
        <v>0</v>
      </c>
      <c r="R401" s="38">
        <f t="shared" si="47"/>
        <v>0</v>
      </c>
      <c r="S401" s="38">
        <f t="shared" si="48"/>
        <v>0</v>
      </c>
      <c r="T401" s="38">
        <f t="shared" si="49"/>
        <v>0</v>
      </c>
      <c r="U401" s="38">
        <f t="shared" si="50"/>
        <v>0</v>
      </c>
      <c r="V401" s="55"/>
    </row>
    <row r="402" spans="2:22" s="50" customFormat="1" ht="11.25" hidden="1">
      <c r="B402" s="69" t="s">
        <v>456</v>
      </c>
      <c r="C402" s="86"/>
      <c r="D402" s="30"/>
      <c r="E402" s="5"/>
      <c r="F402" s="5"/>
      <c r="G402" s="5"/>
      <c r="H402" s="5"/>
      <c r="I402" s="29"/>
      <c r="J402" s="29"/>
      <c r="K402" s="29"/>
      <c r="L402" s="29"/>
      <c r="M402" s="29"/>
      <c r="N402" s="29"/>
      <c r="O402" s="38">
        <f t="shared" si="44"/>
        <v>0</v>
      </c>
      <c r="P402" s="38">
        <f t="shared" si="45"/>
        <v>0</v>
      </c>
      <c r="Q402" s="38">
        <f t="shared" si="46"/>
        <v>0</v>
      </c>
      <c r="R402" s="38">
        <f t="shared" si="47"/>
        <v>0</v>
      </c>
      <c r="S402" s="38">
        <f t="shared" si="48"/>
        <v>0</v>
      </c>
      <c r="T402" s="38">
        <f t="shared" si="49"/>
        <v>0</v>
      </c>
      <c r="U402" s="38">
        <f t="shared" si="50"/>
        <v>0</v>
      </c>
      <c r="V402" s="55"/>
    </row>
    <row r="403" spans="2:22" s="50" customFormat="1" ht="11.25" hidden="1">
      <c r="B403" s="69" t="s">
        <v>456</v>
      </c>
      <c r="C403" s="86"/>
      <c r="D403" s="30"/>
      <c r="E403" s="5"/>
      <c r="F403" s="5"/>
      <c r="G403" s="5"/>
      <c r="H403" s="5"/>
      <c r="I403" s="29"/>
      <c r="J403" s="29"/>
      <c r="K403" s="29"/>
      <c r="L403" s="29"/>
      <c r="M403" s="29"/>
      <c r="N403" s="29"/>
      <c r="O403" s="38">
        <f t="shared" si="44"/>
        <v>0</v>
      </c>
      <c r="P403" s="38">
        <f t="shared" si="45"/>
        <v>0</v>
      </c>
      <c r="Q403" s="38">
        <f t="shared" si="46"/>
        <v>0</v>
      </c>
      <c r="R403" s="38">
        <f t="shared" si="47"/>
        <v>0</v>
      </c>
      <c r="S403" s="38">
        <f t="shared" si="48"/>
        <v>0</v>
      </c>
      <c r="T403" s="38">
        <f t="shared" si="49"/>
        <v>0</v>
      </c>
      <c r="U403" s="38">
        <f t="shared" si="50"/>
        <v>0</v>
      </c>
      <c r="V403" s="55"/>
    </row>
    <row r="404" spans="2:22" s="50" customFormat="1" ht="11.25" hidden="1">
      <c r="B404" s="69" t="s">
        <v>456</v>
      </c>
      <c r="C404" s="86"/>
      <c r="D404" s="30"/>
      <c r="E404" s="5"/>
      <c r="F404" s="5"/>
      <c r="G404" s="5"/>
      <c r="H404" s="5"/>
      <c r="I404" s="29"/>
      <c r="J404" s="29"/>
      <c r="K404" s="29"/>
      <c r="L404" s="29"/>
      <c r="M404" s="29"/>
      <c r="N404" s="29"/>
      <c r="O404" s="38">
        <f t="shared" si="44"/>
        <v>0</v>
      </c>
      <c r="P404" s="38">
        <f t="shared" si="45"/>
        <v>0</v>
      </c>
      <c r="Q404" s="38">
        <f t="shared" si="46"/>
        <v>0</v>
      </c>
      <c r="R404" s="38">
        <f t="shared" si="47"/>
        <v>0</v>
      </c>
      <c r="S404" s="38">
        <f t="shared" si="48"/>
        <v>0</v>
      </c>
      <c r="T404" s="38">
        <f t="shared" si="49"/>
        <v>0</v>
      </c>
      <c r="U404" s="38">
        <f t="shared" si="50"/>
        <v>0</v>
      </c>
      <c r="V404" s="55"/>
    </row>
    <row r="405" spans="2:22" s="50" customFormat="1" ht="11.25" hidden="1">
      <c r="B405" s="69" t="s">
        <v>456</v>
      </c>
      <c r="C405" s="86"/>
      <c r="D405" s="30"/>
      <c r="E405" s="5"/>
      <c r="F405" s="5"/>
      <c r="G405" s="5"/>
      <c r="H405" s="5"/>
      <c r="I405" s="29"/>
      <c r="J405" s="29"/>
      <c r="K405" s="29"/>
      <c r="L405" s="29"/>
      <c r="M405" s="29"/>
      <c r="N405" s="29"/>
      <c r="O405" s="38">
        <f t="shared" si="44"/>
        <v>0</v>
      </c>
      <c r="P405" s="38">
        <f t="shared" si="45"/>
        <v>0</v>
      </c>
      <c r="Q405" s="38">
        <f t="shared" si="46"/>
        <v>0</v>
      </c>
      <c r="R405" s="38">
        <f t="shared" si="47"/>
        <v>0</v>
      </c>
      <c r="S405" s="38">
        <f t="shared" si="48"/>
        <v>0</v>
      </c>
      <c r="T405" s="38">
        <f t="shared" si="49"/>
        <v>0</v>
      </c>
      <c r="U405" s="38">
        <f t="shared" si="50"/>
        <v>0</v>
      </c>
      <c r="V405" s="55"/>
    </row>
    <row r="406" spans="2:22" s="50" customFormat="1" ht="11.25" hidden="1">
      <c r="B406" s="69" t="s">
        <v>456</v>
      </c>
      <c r="C406" s="86"/>
      <c r="D406" s="30"/>
      <c r="E406" s="5"/>
      <c r="F406" s="5"/>
      <c r="G406" s="5"/>
      <c r="H406" s="5"/>
      <c r="I406" s="29"/>
      <c r="J406" s="29"/>
      <c r="K406" s="29"/>
      <c r="L406" s="29"/>
      <c r="M406" s="29"/>
      <c r="N406" s="29"/>
      <c r="O406" s="38">
        <f t="shared" si="44"/>
        <v>0</v>
      </c>
      <c r="P406" s="38">
        <f t="shared" si="45"/>
        <v>0</v>
      </c>
      <c r="Q406" s="38">
        <f t="shared" si="46"/>
        <v>0</v>
      </c>
      <c r="R406" s="38">
        <f t="shared" si="47"/>
        <v>0</v>
      </c>
      <c r="S406" s="38">
        <f t="shared" si="48"/>
        <v>0</v>
      </c>
      <c r="T406" s="38">
        <f t="shared" si="49"/>
        <v>0</v>
      </c>
      <c r="U406" s="38">
        <f t="shared" si="50"/>
        <v>0</v>
      </c>
      <c r="V406" s="55"/>
    </row>
    <row r="407" spans="2:22" s="50" customFormat="1" ht="11.25" hidden="1">
      <c r="B407" s="69" t="s">
        <v>456</v>
      </c>
      <c r="C407" s="86"/>
      <c r="D407" s="30"/>
      <c r="E407" s="5"/>
      <c r="F407" s="5"/>
      <c r="G407" s="5"/>
      <c r="H407" s="5"/>
      <c r="I407" s="29"/>
      <c r="J407" s="29"/>
      <c r="K407" s="29"/>
      <c r="L407" s="29"/>
      <c r="M407" s="29"/>
      <c r="N407" s="29"/>
      <c r="O407" s="38">
        <f t="shared" si="44"/>
        <v>0</v>
      </c>
      <c r="P407" s="38">
        <f t="shared" si="45"/>
        <v>0</v>
      </c>
      <c r="Q407" s="38">
        <f t="shared" si="46"/>
        <v>0</v>
      </c>
      <c r="R407" s="38">
        <f t="shared" si="47"/>
        <v>0</v>
      </c>
      <c r="S407" s="38">
        <f t="shared" si="48"/>
        <v>0</v>
      </c>
      <c r="T407" s="38">
        <f t="shared" si="49"/>
        <v>0</v>
      </c>
      <c r="U407" s="38">
        <f t="shared" si="50"/>
        <v>0</v>
      </c>
      <c r="V407" s="55"/>
    </row>
    <row r="408" spans="2:22" s="50" customFormat="1" ht="11.25" hidden="1">
      <c r="B408" s="69" t="s">
        <v>456</v>
      </c>
      <c r="C408" s="86"/>
      <c r="D408" s="30"/>
      <c r="E408" s="5"/>
      <c r="F408" s="5"/>
      <c r="G408" s="5"/>
      <c r="H408" s="5"/>
      <c r="I408" s="29"/>
      <c r="J408" s="29"/>
      <c r="K408" s="29"/>
      <c r="L408" s="29"/>
      <c r="M408" s="29"/>
      <c r="N408" s="29"/>
      <c r="O408" s="38">
        <f t="shared" si="44"/>
        <v>0</v>
      </c>
      <c r="P408" s="38">
        <f t="shared" si="45"/>
        <v>0</v>
      </c>
      <c r="Q408" s="38">
        <f t="shared" si="46"/>
        <v>0</v>
      </c>
      <c r="R408" s="38">
        <f t="shared" si="47"/>
        <v>0</v>
      </c>
      <c r="S408" s="38">
        <f t="shared" si="48"/>
        <v>0</v>
      </c>
      <c r="T408" s="38">
        <f t="shared" si="49"/>
        <v>0</v>
      </c>
      <c r="U408" s="38">
        <f t="shared" si="50"/>
        <v>0</v>
      </c>
      <c r="V408" s="55"/>
    </row>
    <row r="409" spans="2:22" s="50" customFormat="1" ht="11.25" hidden="1">
      <c r="B409" s="69" t="s">
        <v>456</v>
      </c>
      <c r="C409" s="86"/>
      <c r="D409" s="30"/>
      <c r="E409" s="5"/>
      <c r="F409" s="5"/>
      <c r="G409" s="5"/>
      <c r="H409" s="5"/>
      <c r="I409" s="29"/>
      <c r="J409" s="29"/>
      <c r="K409" s="29"/>
      <c r="L409" s="29"/>
      <c r="M409" s="29"/>
      <c r="N409" s="29"/>
      <c r="O409" s="38">
        <f t="shared" si="44"/>
        <v>0</v>
      </c>
      <c r="P409" s="38">
        <f t="shared" si="45"/>
        <v>0</v>
      </c>
      <c r="Q409" s="38">
        <f t="shared" si="46"/>
        <v>0</v>
      </c>
      <c r="R409" s="38">
        <f t="shared" si="47"/>
        <v>0</v>
      </c>
      <c r="S409" s="38">
        <f t="shared" si="48"/>
        <v>0</v>
      </c>
      <c r="T409" s="38">
        <f t="shared" si="49"/>
        <v>0</v>
      </c>
      <c r="U409" s="38">
        <f t="shared" si="50"/>
        <v>0</v>
      </c>
      <c r="V409" s="55"/>
    </row>
    <row r="410" spans="2:22" s="50" customFormat="1" ht="11.25" hidden="1">
      <c r="B410" s="69" t="s">
        <v>456</v>
      </c>
      <c r="C410" s="86"/>
      <c r="D410" s="30"/>
      <c r="E410" s="5"/>
      <c r="F410" s="5"/>
      <c r="G410" s="5"/>
      <c r="H410" s="5"/>
      <c r="I410" s="29"/>
      <c r="J410" s="29"/>
      <c r="K410" s="29"/>
      <c r="L410" s="29"/>
      <c r="M410" s="29"/>
      <c r="N410" s="29"/>
      <c r="O410" s="38">
        <f t="shared" si="44"/>
        <v>0</v>
      </c>
      <c r="P410" s="38">
        <f t="shared" si="45"/>
        <v>0</v>
      </c>
      <c r="Q410" s="38">
        <f t="shared" si="46"/>
        <v>0</v>
      </c>
      <c r="R410" s="38">
        <f t="shared" si="47"/>
        <v>0</v>
      </c>
      <c r="S410" s="38">
        <f t="shared" si="48"/>
        <v>0</v>
      </c>
      <c r="T410" s="38">
        <f t="shared" si="49"/>
        <v>0</v>
      </c>
      <c r="U410" s="38">
        <f t="shared" si="50"/>
        <v>0</v>
      </c>
      <c r="V410" s="55"/>
    </row>
    <row r="411" spans="2:22" s="50" customFormat="1" ht="11.25" hidden="1">
      <c r="B411" s="69" t="s">
        <v>456</v>
      </c>
      <c r="C411" s="86"/>
      <c r="D411" s="30"/>
      <c r="E411" s="5"/>
      <c r="F411" s="5"/>
      <c r="G411" s="5"/>
      <c r="H411" s="5"/>
      <c r="I411" s="29"/>
      <c r="J411" s="29"/>
      <c r="K411" s="29"/>
      <c r="L411" s="29"/>
      <c r="M411" s="29"/>
      <c r="N411" s="29"/>
      <c r="O411" s="38">
        <f t="shared" si="44"/>
        <v>0</v>
      </c>
      <c r="P411" s="38">
        <f t="shared" si="45"/>
        <v>0</v>
      </c>
      <c r="Q411" s="38">
        <f t="shared" si="46"/>
        <v>0</v>
      </c>
      <c r="R411" s="38">
        <f t="shared" si="47"/>
        <v>0</v>
      </c>
      <c r="S411" s="38">
        <f t="shared" si="48"/>
        <v>0</v>
      </c>
      <c r="T411" s="38">
        <f t="shared" si="49"/>
        <v>0</v>
      </c>
      <c r="U411" s="38">
        <f t="shared" si="50"/>
        <v>0</v>
      </c>
      <c r="V411" s="55"/>
    </row>
    <row r="412" spans="2:22" s="50" customFormat="1" ht="11.25" hidden="1">
      <c r="B412" s="69" t="s">
        <v>456</v>
      </c>
      <c r="C412" s="86"/>
      <c r="D412" s="30"/>
      <c r="E412" s="5"/>
      <c r="F412" s="5"/>
      <c r="G412" s="5"/>
      <c r="H412" s="5"/>
      <c r="I412" s="29"/>
      <c r="J412" s="29"/>
      <c r="K412" s="29"/>
      <c r="L412" s="29"/>
      <c r="M412" s="29"/>
      <c r="N412" s="29"/>
      <c r="O412" s="38">
        <f t="shared" si="44"/>
        <v>0</v>
      </c>
      <c r="P412" s="38">
        <f t="shared" si="45"/>
        <v>0</v>
      </c>
      <c r="Q412" s="38">
        <f t="shared" si="46"/>
        <v>0</v>
      </c>
      <c r="R412" s="38">
        <f t="shared" si="47"/>
        <v>0</v>
      </c>
      <c r="S412" s="38">
        <f t="shared" si="48"/>
        <v>0</v>
      </c>
      <c r="T412" s="38">
        <f t="shared" si="49"/>
        <v>0</v>
      </c>
      <c r="U412" s="38">
        <f t="shared" si="50"/>
        <v>0</v>
      </c>
      <c r="V412" s="55"/>
    </row>
    <row r="413" spans="2:22" s="50" customFormat="1" ht="11.25" hidden="1">
      <c r="B413" s="69" t="s">
        <v>456</v>
      </c>
      <c r="C413" s="86"/>
      <c r="D413" s="30"/>
      <c r="E413" s="5"/>
      <c r="F413" s="5"/>
      <c r="G413" s="5"/>
      <c r="H413" s="5"/>
      <c r="I413" s="29"/>
      <c r="J413" s="29"/>
      <c r="K413" s="29"/>
      <c r="L413" s="29"/>
      <c r="M413" s="29"/>
      <c r="N413" s="29"/>
      <c r="O413" s="38">
        <f t="shared" si="44"/>
        <v>0</v>
      </c>
      <c r="P413" s="38">
        <f t="shared" si="45"/>
        <v>0</v>
      </c>
      <c r="Q413" s="38">
        <f t="shared" si="46"/>
        <v>0</v>
      </c>
      <c r="R413" s="38">
        <f t="shared" si="47"/>
        <v>0</v>
      </c>
      <c r="S413" s="38">
        <f t="shared" si="48"/>
        <v>0</v>
      </c>
      <c r="T413" s="38">
        <f t="shared" si="49"/>
        <v>0</v>
      </c>
      <c r="U413" s="38">
        <f t="shared" si="50"/>
        <v>0</v>
      </c>
      <c r="V413" s="55"/>
    </row>
    <row r="414" spans="2:22" s="50" customFormat="1" ht="11.25" hidden="1">
      <c r="B414" s="69" t="s">
        <v>456</v>
      </c>
      <c r="C414" s="86"/>
      <c r="D414" s="30"/>
      <c r="E414" s="5"/>
      <c r="F414" s="5"/>
      <c r="G414" s="5"/>
      <c r="H414" s="5"/>
      <c r="I414" s="29"/>
      <c r="J414" s="29"/>
      <c r="K414" s="29"/>
      <c r="L414" s="29"/>
      <c r="M414" s="29"/>
      <c r="N414" s="29"/>
      <c r="O414" s="38">
        <f t="shared" si="44"/>
        <v>0</v>
      </c>
      <c r="P414" s="38">
        <f t="shared" si="45"/>
        <v>0</v>
      </c>
      <c r="Q414" s="38">
        <f t="shared" si="46"/>
        <v>0</v>
      </c>
      <c r="R414" s="38">
        <f t="shared" si="47"/>
        <v>0</v>
      </c>
      <c r="S414" s="38">
        <f t="shared" si="48"/>
        <v>0</v>
      </c>
      <c r="T414" s="38">
        <f t="shared" si="49"/>
        <v>0</v>
      </c>
      <c r="U414" s="38">
        <f t="shared" si="50"/>
        <v>0</v>
      </c>
      <c r="V414" s="55"/>
    </row>
    <row r="415" spans="2:22" s="50" customFormat="1" ht="11.25" hidden="1">
      <c r="B415" s="69" t="s">
        <v>456</v>
      </c>
      <c r="C415" s="86"/>
      <c r="D415" s="30"/>
      <c r="E415" s="5"/>
      <c r="F415" s="5"/>
      <c r="G415" s="5"/>
      <c r="H415" s="5"/>
      <c r="I415" s="29"/>
      <c r="J415" s="29"/>
      <c r="K415" s="29"/>
      <c r="L415" s="29"/>
      <c r="M415" s="29"/>
      <c r="N415" s="29"/>
      <c r="O415" s="38">
        <f t="shared" si="44"/>
        <v>0</v>
      </c>
      <c r="P415" s="38">
        <f t="shared" si="45"/>
        <v>0</v>
      </c>
      <c r="Q415" s="38">
        <f t="shared" si="46"/>
        <v>0</v>
      </c>
      <c r="R415" s="38">
        <f t="shared" si="47"/>
        <v>0</v>
      </c>
      <c r="S415" s="38">
        <f t="shared" si="48"/>
        <v>0</v>
      </c>
      <c r="T415" s="38">
        <f t="shared" si="49"/>
        <v>0</v>
      </c>
      <c r="U415" s="38">
        <f t="shared" si="50"/>
        <v>0</v>
      </c>
      <c r="V415" s="55"/>
    </row>
    <row r="416" spans="2:22" s="50" customFormat="1" ht="11.25" hidden="1">
      <c r="B416" s="69" t="s">
        <v>456</v>
      </c>
      <c r="C416" s="86"/>
      <c r="D416" s="30"/>
      <c r="E416" s="5"/>
      <c r="F416" s="5"/>
      <c r="G416" s="5"/>
      <c r="H416" s="5"/>
      <c r="I416" s="29"/>
      <c r="J416" s="29"/>
      <c r="K416" s="29"/>
      <c r="L416" s="29"/>
      <c r="M416" s="29"/>
      <c r="N416" s="29"/>
      <c r="O416" s="38">
        <f t="shared" si="44"/>
        <v>0</v>
      </c>
      <c r="P416" s="38">
        <f t="shared" si="45"/>
        <v>0</v>
      </c>
      <c r="Q416" s="38">
        <f t="shared" si="46"/>
        <v>0</v>
      </c>
      <c r="R416" s="38">
        <f t="shared" si="47"/>
        <v>0</v>
      </c>
      <c r="S416" s="38">
        <f t="shared" si="48"/>
        <v>0</v>
      </c>
      <c r="T416" s="38">
        <f t="shared" si="49"/>
        <v>0</v>
      </c>
      <c r="U416" s="38">
        <f t="shared" si="50"/>
        <v>0</v>
      </c>
      <c r="V416" s="55"/>
    </row>
    <row r="417" spans="2:22" s="50" customFormat="1" ht="11.25" hidden="1">
      <c r="B417" s="69" t="s">
        <v>456</v>
      </c>
      <c r="C417" s="86"/>
      <c r="D417" s="30"/>
      <c r="E417" s="5"/>
      <c r="F417" s="5"/>
      <c r="G417" s="5"/>
      <c r="H417" s="5"/>
      <c r="I417" s="29"/>
      <c r="J417" s="29"/>
      <c r="K417" s="29"/>
      <c r="L417" s="29"/>
      <c r="M417" s="29"/>
      <c r="N417" s="29"/>
      <c r="O417" s="38">
        <f t="shared" si="44"/>
        <v>0</v>
      </c>
      <c r="P417" s="38">
        <f t="shared" si="45"/>
        <v>0</v>
      </c>
      <c r="Q417" s="38">
        <f t="shared" si="46"/>
        <v>0</v>
      </c>
      <c r="R417" s="38">
        <f t="shared" si="47"/>
        <v>0</v>
      </c>
      <c r="S417" s="38">
        <f t="shared" si="48"/>
        <v>0</v>
      </c>
      <c r="T417" s="38">
        <f t="shared" si="49"/>
        <v>0</v>
      </c>
      <c r="U417" s="38">
        <f t="shared" si="50"/>
        <v>0</v>
      </c>
      <c r="V417" s="55"/>
    </row>
    <row r="418" spans="2:22" s="50" customFormat="1" ht="11.25" hidden="1">
      <c r="B418" s="69" t="s">
        <v>456</v>
      </c>
      <c r="C418" s="86"/>
      <c r="D418" s="30"/>
      <c r="E418" s="5"/>
      <c r="F418" s="5"/>
      <c r="G418" s="5"/>
      <c r="H418" s="5"/>
      <c r="I418" s="29"/>
      <c r="J418" s="29"/>
      <c r="K418" s="29"/>
      <c r="L418" s="29"/>
      <c r="M418" s="29"/>
      <c r="N418" s="29"/>
      <c r="O418" s="38">
        <f t="shared" si="44"/>
        <v>0</v>
      </c>
      <c r="P418" s="38">
        <f t="shared" si="45"/>
        <v>0</v>
      </c>
      <c r="Q418" s="38">
        <f t="shared" si="46"/>
        <v>0</v>
      </c>
      <c r="R418" s="38">
        <f t="shared" si="47"/>
        <v>0</v>
      </c>
      <c r="S418" s="38">
        <f t="shared" si="48"/>
        <v>0</v>
      </c>
      <c r="T418" s="38">
        <f t="shared" si="49"/>
        <v>0</v>
      </c>
      <c r="U418" s="38">
        <f t="shared" si="50"/>
        <v>0</v>
      </c>
      <c r="V418" s="55"/>
    </row>
    <row r="419" spans="2:22" s="50" customFormat="1" ht="11.25" hidden="1">
      <c r="B419" s="69" t="s">
        <v>456</v>
      </c>
      <c r="C419" s="86"/>
      <c r="D419" s="30"/>
      <c r="E419" s="5"/>
      <c r="F419" s="5"/>
      <c r="G419" s="5"/>
      <c r="H419" s="5"/>
      <c r="I419" s="29"/>
      <c r="J419" s="29"/>
      <c r="K419" s="29"/>
      <c r="L419" s="29"/>
      <c r="M419" s="29"/>
      <c r="N419" s="29"/>
      <c r="O419" s="38">
        <f t="shared" si="44"/>
        <v>0</v>
      </c>
      <c r="P419" s="38">
        <f t="shared" si="45"/>
        <v>0</v>
      </c>
      <c r="Q419" s="38">
        <f t="shared" si="46"/>
        <v>0</v>
      </c>
      <c r="R419" s="38">
        <f t="shared" si="47"/>
        <v>0</v>
      </c>
      <c r="S419" s="38">
        <f t="shared" si="48"/>
        <v>0</v>
      </c>
      <c r="T419" s="38">
        <f t="shared" si="49"/>
        <v>0</v>
      </c>
      <c r="U419" s="38">
        <f t="shared" si="50"/>
        <v>0</v>
      </c>
      <c r="V419" s="55"/>
    </row>
    <row r="420" spans="2:22" s="50" customFormat="1" ht="11.25" hidden="1">
      <c r="B420" s="69" t="s">
        <v>456</v>
      </c>
      <c r="C420" s="86"/>
      <c r="D420" s="30"/>
      <c r="E420" s="5"/>
      <c r="F420" s="5"/>
      <c r="G420" s="5"/>
      <c r="H420" s="5"/>
      <c r="I420" s="29"/>
      <c r="J420" s="29"/>
      <c r="K420" s="29"/>
      <c r="L420" s="29"/>
      <c r="M420" s="29"/>
      <c r="N420" s="29"/>
      <c r="O420" s="38">
        <f t="shared" si="44"/>
        <v>0</v>
      </c>
      <c r="P420" s="38">
        <f t="shared" si="45"/>
        <v>0</v>
      </c>
      <c r="Q420" s="38">
        <f t="shared" si="46"/>
        <v>0</v>
      </c>
      <c r="R420" s="38">
        <f t="shared" si="47"/>
        <v>0</v>
      </c>
      <c r="S420" s="38">
        <f t="shared" si="48"/>
        <v>0</v>
      </c>
      <c r="T420" s="38">
        <f t="shared" si="49"/>
        <v>0</v>
      </c>
      <c r="U420" s="38">
        <f t="shared" si="50"/>
        <v>0</v>
      </c>
      <c r="V420" s="55"/>
    </row>
    <row r="421" spans="2:22" s="50" customFormat="1" ht="11.25" hidden="1">
      <c r="B421" s="69" t="s">
        <v>456</v>
      </c>
      <c r="C421" s="86"/>
      <c r="D421" s="30"/>
      <c r="E421" s="5"/>
      <c r="F421" s="5"/>
      <c r="G421" s="5"/>
      <c r="H421" s="5"/>
      <c r="I421" s="29"/>
      <c r="J421" s="29"/>
      <c r="K421" s="29"/>
      <c r="L421" s="29"/>
      <c r="M421" s="29"/>
      <c r="N421" s="29"/>
      <c r="O421" s="38">
        <f t="shared" si="44"/>
        <v>0</v>
      </c>
      <c r="P421" s="38">
        <f t="shared" si="45"/>
        <v>0</v>
      </c>
      <c r="Q421" s="38">
        <f t="shared" si="46"/>
        <v>0</v>
      </c>
      <c r="R421" s="38">
        <f t="shared" si="47"/>
        <v>0</v>
      </c>
      <c r="S421" s="38">
        <f t="shared" si="48"/>
        <v>0</v>
      </c>
      <c r="T421" s="38">
        <f t="shared" si="49"/>
        <v>0</v>
      </c>
      <c r="U421" s="38">
        <f t="shared" si="50"/>
        <v>0</v>
      </c>
      <c r="V421" s="55"/>
    </row>
    <row r="422" spans="2:22" s="50" customFormat="1" ht="11.25" hidden="1">
      <c r="B422" s="69" t="s">
        <v>456</v>
      </c>
      <c r="C422" s="86"/>
      <c r="D422" s="30"/>
      <c r="E422" s="5"/>
      <c r="F422" s="5"/>
      <c r="G422" s="5"/>
      <c r="H422" s="5"/>
      <c r="I422" s="29"/>
      <c r="J422" s="29"/>
      <c r="K422" s="29"/>
      <c r="L422" s="29"/>
      <c r="M422" s="29"/>
      <c r="N422" s="29"/>
      <c r="O422" s="38">
        <f t="shared" si="44"/>
        <v>0</v>
      </c>
      <c r="P422" s="38">
        <f t="shared" si="45"/>
        <v>0</v>
      </c>
      <c r="Q422" s="38">
        <f t="shared" si="46"/>
        <v>0</v>
      </c>
      <c r="R422" s="38">
        <f t="shared" si="47"/>
        <v>0</v>
      </c>
      <c r="S422" s="38">
        <f t="shared" si="48"/>
        <v>0</v>
      </c>
      <c r="T422" s="38">
        <f t="shared" si="49"/>
        <v>0</v>
      </c>
      <c r="U422" s="38">
        <f t="shared" si="50"/>
        <v>0</v>
      </c>
      <c r="V422" s="55"/>
    </row>
    <row r="423" spans="2:22" s="50" customFormat="1" ht="11.25" hidden="1">
      <c r="B423" s="69" t="s">
        <v>456</v>
      </c>
      <c r="C423" s="86"/>
      <c r="D423" s="30"/>
      <c r="E423" s="5"/>
      <c r="F423" s="5"/>
      <c r="G423" s="5"/>
      <c r="H423" s="5"/>
      <c r="I423" s="29"/>
      <c r="J423" s="29"/>
      <c r="K423" s="29"/>
      <c r="L423" s="29"/>
      <c r="M423" s="29"/>
      <c r="N423" s="29"/>
      <c r="O423" s="38">
        <f t="shared" si="44"/>
        <v>0</v>
      </c>
      <c r="P423" s="38">
        <f t="shared" si="45"/>
        <v>0</v>
      </c>
      <c r="Q423" s="38">
        <f t="shared" si="46"/>
        <v>0</v>
      </c>
      <c r="R423" s="38">
        <f t="shared" si="47"/>
        <v>0</v>
      </c>
      <c r="S423" s="38">
        <f t="shared" si="48"/>
        <v>0</v>
      </c>
      <c r="T423" s="38">
        <f t="shared" si="49"/>
        <v>0</v>
      </c>
      <c r="U423" s="38">
        <f t="shared" si="50"/>
        <v>0</v>
      </c>
      <c r="V423" s="55"/>
    </row>
    <row r="424" spans="2:22" s="50" customFormat="1" ht="11.25" hidden="1">
      <c r="B424" s="69" t="s">
        <v>456</v>
      </c>
      <c r="C424" s="86"/>
      <c r="D424" s="30"/>
      <c r="E424" s="5"/>
      <c r="F424" s="5"/>
      <c r="G424" s="5"/>
      <c r="H424" s="5"/>
      <c r="I424" s="29"/>
      <c r="J424" s="29"/>
      <c r="K424" s="29"/>
      <c r="L424" s="29"/>
      <c r="M424" s="29"/>
      <c r="N424" s="29"/>
      <c r="O424" s="38">
        <f t="shared" si="44"/>
        <v>0</v>
      </c>
      <c r="P424" s="38">
        <f t="shared" si="45"/>
        <v>0</v>
      </c>
      <c r="Q424" s="38">
        <f t="shared" si="46"/>
        <v>0</v>
      </c>
      <c r="R424" s="38">
        <f t="shared" si="47"/>
        <v>0</v>
      </c>
      <c r="S424" s="38">
        <f t="shared" si="48"/>
        <v>0</v>
      </c>
      <c r="T424" s="38">
        <f t="shared" si="49"/>
        <v>0</v>
      </c>
      <c r="U424" s="38">
        <f t="shared" si="50"/>
        <v>0</v>
      </c>
      <c r="V424" s="55"/>
    </row>
    <row r="425" spans="2:22" s="50" customFormat="1" ht="11.25" hidden="1">
      <c r="B425" s="69" t="s">
        <v>456</v>
      </c>
      <c r="C425" s="86"/>
      <c r="D425" s="30"/>
      <c r="E425" s="5"/>
      <c r="F425" s="5"/>
      <c r="G425" s="5"/>
      <c r="H425" s="5"/>
      <c r="I425" s="29"/>
      <c r="J425" s="29"/>
      <c r="K425" s="29"/>
      <c r="L425" s="29"/>
      <c r="M425" s="29"/>
      <c r="N425" s="29"/>
      <c r="O425" s="38">
        <f t="shared" si="44"/>
        <v>0</v>
      </c>
      <c r="P425" s="38">
        <f t="shared" si="45"/>
        <v>0</v>
      </c>
      <c r="Q425" s="38">
        <f t="shared" si="46"/>
        <v>0</v>
      </c>
      <c r="R425" s="38">
        <f t="shared" si="47"/>
        <v>0</v>
      </c>
      <c r="S425" s="38">
        <f t="shared" si="48"/>
        <v>0</v>
      </c>
      <c r="T425" s="38">
        <f t="shared" si="49"/>
        <v>0</v>
      </c>
      <c r="U425" s="38">
        <f t="shared" si="50"/>
        <v>0</v>
      </c>
      <c r="V425" s="55"/>
    </row>
    <row r="426" spans="2:22" s="50" customFormat="1" ht="11.25" hidden="1">
      <c r="B426" s="69" t="s">
        <v>456</v>
      </c>
      <c r="C426" s="86"/>
      <c r="D426" s="30"/>
      <c r="E426" s="5"/>
      <c r="F426" s="5"/>
      <c r="G426" s="5"/>
      <c r="H426" s="5"/>
      <c r="I426" s="29"/>
      <c r="J426" s="29"/>
      <c r="K426" s="29"/>
      <c r="L426" s="29"/>
      <c r="M426" s="29"/>
      <c r="N426" s="29"/>
      <c r="O426" s="38">
        <f t="shared" si="44"/>
        <v>0</v>
      </c>
      <c r="P426" s="38">
        <f t="shared" si="45"/>
        <v>0</v>
      </c>
      <c r="Q426" s="38">
        <f t="shared" si="46"/>
        <v>0</v>
      </c>
      <c r="R426" s="38">
        <f t="shared" si="47"/>
        <v>0</v>
      </c>
      <c r="S426" s="38">
        <f t="shared" si="48"/>
        <v>0</v>
      </c>
      <c r="T426" s="38">
        <f t="shared" si="49"/>
        <v>0</v>
      </c>
      <c r="U426" s="38">
        <f t="shared" si="50"/>
        <v>0</v>
      </c>
      <c r="V426" s="55"/>
    </row>
    <row r="427" spans="2:22" s="50" customFormat="1" ht="11.25" hidden="1">
      <c r="B427" s="69" t="s">
        <v>456</v>
      </c>
      <c r="C427" s="86"/>
      <c r="D427" s="30"/>
      <c r="E427" s="5"/>
      <c r="F427" s="5"/>
      <c r="G427" s="5"/>
      <c r="H427" s="5"/>
      <c r="I427" s="29"/>
      <c r="J427" s="29"/>
      <c r="K427" s="29"/>
      <c r="L427" s="29"/>
      <c r="M427" s="29"/>
      <c r="N427" s="29"/>
      <c r="O427" s="38">
        <f t="shared" si="44"/>
        <v>0</v>
      </c>
      <c r="P427" s="38">
        <f t="shared" si="45"/>
        <v>0</v>
      </c>
      <c r="Q427" s="38">
        <f t="shared" si="46"/>
        <v>0</v>
      </c>
      <c r="R427" s="38">
        <f t="shared" si="47"/>
        <v>0</v>
      </c>
      <c r="S427" s="38">
        <f t="shared" si="48"/>
        <v>0</v>
      </c>
      <c r="T427" s="38">
        <f t="shared" si="49"/>
        <v>0</v>
      </c>
      <c r="U427" s="38">
        <f t="shared" si="50"/>
        <v>0</v>
      </c>
      <c r="V427" s="55"/>
    </row>
    <row r="428" spans="2:22" s="50" customFormat="1" ht="11.25" hidden="1">
      <c r="B428" s="69" t="s">
        <v>456</v>
      </c>
      <c r="C428" s="86"/>
      <c r="D428" s="30"/>
      <c r="E428" s="5"/>
      <c r="F428" s="5"/>
      <c r="G428" s="5"/>
      <c r="H428" s="5"/>
      <c r="I428" s="29"/>
      <c r="J428" s="29"/>
      <c r="K428" s="29"/>
      <c r="L428" s="29"/>
      <c r="M428" s="29"/>
      <c r="N428" s="29"/>
      <c r="O428" s="38">
        <f t="shared" si="44"/>
        <v>0</v>
      </c>
      <c r="P428" s="38">
        <f t="shared" si="45"/>
        <v>0</v>
      </c>
      <c r="Q428" s="38">
        <f t="shared" si="46"/>
        <v>0</v>
      </c>
      <c r="R428" s="38">
        <f t="shared" si="47"/>
        <v>0</v>
      </c>
      <c r="S428" s="38">
        <f t="shared" si="48"/>
        <v>0</v>
      </c>
      <c r="T428" s="38">
        <f t="shared" si="49"/>
        <v>0</v>
      </c>
      <c r="U428" s="38">
        <f t="shared" si="50"/>
        <v>0</v>
      </c>
      <c r="V428" s="55"/>
    </row>
    <row r="429" spans="2:22" s="50" customFormat="1" ht="11.25" hidden="1">
      <c r="B429" s="69" t="s">
        <v>456</v>
      </c>
      <c r="C429" s="86"/>
      <c r="D429" s="30"/>
      <c r="E429" s="5"/>
      <c r="F429" s="5"/>
      <c r="G429" s="5"/>
      <c r="H429" s="5"/>
      <c r="I429" s="29"/>
      <c r="J429" s="29"/>
      <c r="K429" s="29"/>
      <c r="L429" s="29"/>
      <c r="M429" s="29"/>
      <c r="N429" s="29"/>
      <c r="O429" s="38">
        <f t="shared" si="44"/>
        <v>0</v>
      </c>
      <c r="P429" s="38">
        <f t="shared" si="45"/>
        <v>0</v>
      </c>
      <c r="Q429" s="38">
        <f t="shared" si="46"/>
        <v>0</v>
      </c>
      <c r="R429" s="38">
        <f t="shared" si="47"/>
        <v>0</v>
      </c>
      <c r="S429" s="38">
        <f t="shared" si="48"/>
        <v>0</v>
      </c>
      <c r="T429" s="38">
        <f t="shared" si="49"/>
        <v>0</v>
      </c>
      <c r="U429" s="38">
        <f t="shared" si="50"/>
        <v>0</v>
      </c>
      <c r="V429" s="55"/>
    </row>
    <row r="430" spans="2:22" s="50" customFormat="1" ht="11.25" hidden="1">
      <c r="B430" s="69" t="s">
        <v>456</v>
      </c>
      <c r="C430" s="86"/>
      <c r="D430" s="30"/>
      <c r="E430" s="5"/>
      <c r="F430" s="5"/>
      <c r="G430" s="5"/>
      <c r="H430" s="5"/>
      <c r="I430" s="29"/>
      <c r="J430" s="29"/>
      <c r="K430" s="29"/>
      <c r="L430" s="29"/>
      <c r="M430" s="29"/>
      <c r="N430" s="29"/>
      <c r="O430" s="38">
        <f t="shared" si="44"/>
        <v>0</v>
      </c>
      <c r="P430" s="38">
        <f t="shared" si="45"/>
        <v>0</v>
      </c>
      <c r="Q430" s="38">
        <f t="shared" si="46"/>
        <v>0</v>
      </c>
      <c r="R430" s="38">
        <f t="shared" si="47"/>
        <v>0</v>
      </c>
      <c r="S430" s="38">
        <f t="shared" si="48"/>
        <v>0</v>
      </c>
      <c r="T430" s="38">
        <f t="shared" si="49"/>
        <v>0</v>
      </c>
      <c r="U430" s="38">
        <f t="shared" si="50"/>
        <v>0</v>
      </c>
      <c r="V430" s="55"/>
    </row>
    <row r="431" spans="2:22" s="50" customFormat="1" ht="11.25" hidden="1">
      <c r="B431" s="69" t="s">
        <v>456</v>
      </c>
      <c r="C431" s="86"/>
      <c r="D431" s="30"/>
      <c r="E431" s="5"/>
      <c r="F431" s="5"/>
      <c r="G431" s="5"/>
      <c r="H431" s="5"/>
      <c r="I431" s="29"/>
      <c r="J431" s="29"/>
      <c r="K431" s="29"/>
      <c r="L431" s="29"/>
      <c r="M431" s="29"/>
      <c r="N431" s="29"/>
      <c r="O431" s="38">
        <f t="shared" si="44"/>
        <v>0</v>
      </c>
      <c r="P431" s="38">
        <f t="shared" si="45"/>
        <v>0</v>
      </c>
      <c r="Q431" s="38">
        <f t="shared" si="46"/>
        <v>0</v>
      </c>
      <c r="R431" s="38">
        <f t="shared" si="47"/>
        <v>0</v>
      </c>
      <c r="S431" s="38">
        <f t="shared" si="48"/>
        <v>0</v>
      </c>
      <c r="T431" s="38">
        <f t="shared" si="49"/>
        <v>0</v>
      </c>
      <c r="U431" s="38">
        <f t="shared" si="50"/>
        <v>0</v>
      </c>
      <c r="V431" s="55"/>
    </row>
    <row r="432" spans="2:22" s="50" customFormat="1" ht="11.25" hidden="1">
      <c r="B432" s="69" t="s">
        <v>456</v>
      </c>
      <c r="C432" s="86"/>
      <c r="D432" s="30"/>
      <c r="E432" s="5"/>
      <c r="F432" s="5"/>
      <c r="G432" s="5"/>
      <c r="H432" s="5"/>
      <c r="I432" s="29"/>
      <c r="J432" s="29"/>
      <c r="K432" s="29"/>
      <c r="L432" s="29"/>
      <c r="M432" s="29"/>
      <c r="N432" s="29"/>
      <c r="O432" s="38">
        <f t="shared" si="44"/>
        <v>0</v>
      </c>
      <c r="P432" s="38">
        <f t="shared" si="45"/>
        <v>0</v>
      </c>
      <c r="Q432" s="38">
        <f t="shared" si="46"/>
        <v>0</v>
      </c>
      <c r="R432" s="38">
        <f t="shared" si="47"/>
        <v>0</v>
      </c>
      <c r="S432" s="38">
        <f t="shared" si="48"/>
        <v>0</v>
      </c>
      <c r="T432" s="38">
        <f t="shared" si="49"/>
        <v>0</v>
      </c>
      <c r="U432" s="38">
        <f t="shared" si="50"/>
        <v>0</v>
      </c>
      <c r="V432" s="55"/>
    </row>
    <row r="433" spans="2:22" s="50" customFormat="1" ht="11.25" hidden="1">
      <c r="B433" s="69" t="s">
        <v>456</v>
      </c>
      <c r="C433" s="86"/>
      <c r="D433" s="30"/>
      <c r="E433" s="5"/>
      <c r="F433" s="5"/>
      <c r="G433" s="5"/>
      <c r="H433" s="5"/>
      <c r="I433" s="29"/>
      <c r="J433" s="29"/>
      <c r="K433" s="29"/>
      <c r="L433" s="29"/>
      <c r="M433" s="29"/>
      <c r="N433" s="29"/>
      <c r="O433" s="38">
        <f t="shared" si="44"/>
        <v>0</v>
      </c>
      <c r="P433" s="38">
        <f t="shared" si="45"/>
        <v>0</v>
      </c>
      <c r="Q433" s="38">
        <f t="shared" si="46"/>
        <v>0</v>
      </c>
      <c r="R433" s="38">
        <f t="shared" si="47"/>
        <v>0</v>
      </c>
      <c r="S433" s="38">
        <f t="shared" si="48"/>
        <v>0</v>
      </c>
      <c r="T433" s="38">
        <f t="shared" si="49"/>
        <v>0</v>
      </c>
      <c r="U433" s="38">
        <f t="shared" si="50"/>
        <v>0</v>
      </c>
      <c r="V433" s="55"/>
    </row>
    <row r="434" spans="2:22" s="50" customFormat="1" ht="11.25" hidden="1">
      <c r="B434" s="69" t="s">
        <v>456</v>
      </c>
      <c r="C434" s="86"/>
      <c r="D434" s="30"/>
      <c r="E434" s="5"/>
      <c r="F434" s="5"/>
      <c r="G434" s="5"/>
      <c r="H434" s="5"/>
      <c r="I434" s="29"/>
      <c r="J434" s="29"/>
      <c r="K434" s="29"/>
      <c r="L434" s="29"/>
      <c r="M434" s="29"/>
      <c r="N434" s="29"/>
      <c r="O434" s="38">
        <f t="shared" si="44"/>
        <v>0</v>
      </c>
      <c r="P434" s="38">
        <f t="shared" si="45"/>
        <v>0</v>
      </c>
      <c r="Q434" s="38">
        <f t="shared" si="46"/>
        <v>0</v>
      </c>
      <c r="R434" s="38">
        <f t="shared" si="47"/>
        <v>0</v>
      </c>
      <c r="S434" s="38">
        <f t="shared" si="48"/>
        <v>0</v>
      </c>
      <c r="T434" s="38">
        <f t="shared" si="49"/>
        <v>0</v>
      </c>
      <c r="U434" s="38">
        <f t="shared" si="50"/>
        <v>0</v>
      </c>
      <c r="V434" s="55"/>
    </row>
    <row r="435" spans="2:22" s="50" customFormat="1" ht="11.25" hidden="1">
      <c r="B435" s="69" t="s">
        <v>456</v>
      </c>
      <c r="C435" s="86"/>
      <c r="D435" s="30"/>
      <c r="E435" s="5"/>
      <c r="F435" s="5"/>
      <c r="G435" s="5"/>
      <c r="H435" s="5"/>
      <c r="I435" s="29"/>
      <c r="J435" s="29"/>
      <c r="K435" s="29"/>
      <c r="L435" s="29"/>
      <c r="M435" s="29"/>
      <c r="N435" s="29"/>
      <c r="O435" s="38">
        <f t="shared" si="44"/>
        <v>0</v>
      </c>
      <c r="P435" s="38">
        <f t="shared" si="45"/>
        <v>0</v>
      </c>
      <c r="Q435" s="38">
        <f t="shared" si="46"/>
        <v>0</v>
      </c>
      <c r="R435" s="38">
        <f t="shared" si="47"/>
        <v>0</v>
      </c>
      <c r="S435" s="38">
        <f t="shared" si="48"/>
        <v>0</v>
      </c>
      <c r="T435" s="38">
        <f t="shared" si="49"/>
        <v>0</v>
      </c>
      <c r="U435" s="38">
        <f t="shared" si="50"/>
        <v>0</v>
      </c>
      <c r="V435" s="55"/>
    </row>
    <row r="436" spans="2:22" s="50" customFormat="1" ht="11.25" hidden="1">
      <c r="B436" s="69" t="s">
        <v>456</v>
      </c>
      <c r="C436" s="86"/>
      <c r="D436" s="30"/>
      <c r="E436" s="5"/>
      <c r="F436" s="5"/>
      <c r="G436" s="5"/>
      <c r="H436" s="5"/>
      <c r="I436" s="29"/>
      <c r="J436" s="29"/>
      <c r="K436" s="29"/>
      <c r="L436" s="29"/>
      <c r="M436" s="29"/>
      <c r="N436" s="29"/>
      <c r="O436" s="38">
        <f t="shared" si="44"/>
        <v>0</v>
      </c>
      <c r="P436" s="38">
        <f t="shared" si="45"/>
        <v>0</v>
      </c>
      <c r="Q436" s="38">
        <f t="shared" si="46"/>
        <v>0</v>
      </c>
      <c r="R436" s="38">
        <f t="shared" si="47"/>
        <v>0</v>
      </c>
      <c r="S436" s="38">
        <f t="shared" si="48"/>
        <v>0</v>
      </c>
      <c r="T436" s="38">
        <f t="shared" si="49"/>
        <v>0</v>
      </c>
      <c r="U436" s="38">
        <f t="shared" si="50"/>
        <v>0</v>
      </c>
      <c r="V436" s="55"/>
    </row>
    <row r="437" spans="2:22" s="50" customFormat="1" ht="11.25" hidden="1">
      <c r="B437" s="69" t="s">
        <v>456</v>
      </c>
      <c r="C437" s="86"/>
      <c r="D437" s="30"/>
      <c r="E437" s="5"/>
      <c r="F437" s="5"/>
      <c r="G437" s="5"/>
      <c r="H437" s="5"/>
      <c r="I437" s="29"/>
      <c r="J437" s="29"/>
      <c r="K437" s="29"/>
      <c r="L437" s="29"/>
      <c r="M437" s="29"/>
      <c r="N437" s="29"/>
      <c r="O437" s="38">
        <f t="shared" si="44"/>
        <v>0</v>
      </c>
      <c r="P437" s="38">
        <f t="shared" si="45"/>
        <v>0</v>
      </c>
      <c r="Q437" s="38">
        <f t="shared" si="46"/>
        <v>0</v>
      </c>
      <c r="R437" s="38">
        <f t="shared" si="47"/>
        <v>0</v>
      </c>
      <c r="S437" s="38">
        <f t="shared" si="48"/>
        <v>0</v>
      </c>
      <c r="T437" s="38">
        <f t="shared" si="49"/>
        <v>0</v>
      </c>
      <c r="U437" s="38">
        <f t="shared" si="50"/>
        <v>0</v>
      </c>
      <c r="V437" s="55"/>
    </row>
    <row r="438" spans="2:22" s="50" customFormat="1" ht="11.25" hidden="1">
      <c r="B438" s="69" t="s">
        <v>456</v>
      </c>
      <c r="C438" s="86"/>
      <c r="D438" s="30"/>
      <c r="E438" s="5"/>
      <c r="F438" s="5"/>
      <c r="G438" s="5"/>
      <c r="H438" s="5"/>
      <c r="I438" s="29"/>
      <c r="J438" s="29"/>
      <c r="K438" s="29"/>
      <c r="L438" s="29"/>
      <c r="M438" s="29"/>
      <c r="N438" s="29"/>
      <c r="O438" s="38">
        <f t="shared" si="44"/>
        <v>0</v>
      </c>
      <c r="P438" s="38">
        <f t="shared" si="45"/>
        <v>0</v>
      </c>
      <c r="Q438" s="38">
        <f t="shared" si="46"/>
        <v>0</v>
      </c>
      <c r="R438" s="38">
        <f t="shared" si="47"/>
        <v>0</v>
      </c>
      <c r="S438" s="38">
        <f t="shared" si="48"/>
        <v>0</v>
      </c>
      <c r="T438" s="38">
        <f t="shared" si="49"/>
        <v>0</v>
      </c>
      <c r="U438" s="38">
        <f t="shared" si="50"/>
        <v>0</v>
      </c>
      <c r="V438" s="55"/>
    </row>
    <row r="439" spans="2:22" s="50" customFormat="1" ht="11.25" hidden="1">
      <c r="B439" s="69" t="s">
        <v>456</v>
      </c>
      <c r="C439" s="86"/>
      <c r="D439" s="30"/>
      <c r="E439" s="5"/>
      <c r="F439" s="5"/>
      <c r="G439" s="5"/>
      <c r="H439" s="5"/>
      <c r="I439" s="29"/>
      <c r="J439" s="29"/>
      <c r="K439" s="29"/>
      <c r="L439" s="29"/>
      <c r="M439" s="29"/>
      <c r="N439" s="29"/>
      <c r="O439" s="38">
        <f t="shared" si="44"/>
        <v>0</v>
      </c>
      <c r="P439" s="38">
        <f t="shared" si="45"/>
        <v>0</v>
      </c>
      <c r="Q439" s="38">
        <f t="shared" si="46"/>
        <v>0</v>
      </c>
      <c r="R439" s="38">
        <f t="shared" si="47"/>
        <v>0</v>
      </c>
      <c r="S439" s="38">
        <f t="shared" si="48"/>
        <v>0</v>
      </c>
      <c r="T439" s="38">
        <f t="shared" si="49"/>
        <v>0</v>
      </c>
      <c r="U439" s="38">
        <f t="shared" si="50"/>
        <v>0</v>
      </c>
      <c r="V439" s="55"/>
    </row>
    <row r="440" spans="2:22" s="50" customFormat="1" ht="11.25" hidden="1">
      <c r="B440" s="69" t="s">
        <v>456</v>
      </c>
      <c r="C440" s="86"/>
      <c r="D440" s="30"/>
      <c r="E440" s="5"/>
      <c r="F440" s="5"/>
      <c r="G440" s="5"/>
      <c r="H440" s="5"/>
      <c r="I440" s="29"/>
      <c r="J440" s="29"/>
      <c r="K440" s="29"/>
      <c r="L440" s="29"/>
      <c r="M440" s="29"/>
      <c r="N440" s="29"/>
      <c r="O440" s="38">
        <f t="shared" si="44"/>
        <v>0</v>
      </c>
      <c r="P440" s="38">
        <f t="shared" si="45"/>
        <v>0</v>
      </c>
      <c r="Q440" s="38">
        <f t="shared" si="46"/>
        <v>0</v>
      </c>
      <c r="R440" s="38">
        <f t="shared" si="47"/>
        <v>0</v>
      </c>
      <c r="S440" s="38">
        <f t="shared" si="48"/>
        <v>0</v>
      </c>
      <c r="T440" s="38">
        <f t="shared" si="49"/>
        <v>0</v>
      </c>
      <c r="U440" s="38">
        <f t="shared" si="50"/>
        <v>0</v>
      </c>
      <c r="V440" s="55"/>
    </row>
    <row r="441" spans="2:22" s="50" customFormat="1" ht="11.25" hidden="1">
      <c r="B441" s="69" t="s">
        <v>456</v>
      </c>
      <c r="C441" s="86"/>
      <c r="D441" s="30"/>
      <c r="E441" s="5"/>
      <c r="F441" s="5"/>
      <c r="G441" s="5"/>
      <c r="H441" s="5"/>
      <c r="I441" s="29"/>
      <c r="J441" s="29"/>
      <c r="K441" s="29"/>
      <c r="L441" s="29"/>
      <c r="M441" s="29"/>
      <c r="N441" s="29"/>
      <c r="O441" s="38">
        <f t="shared" si="44"/>
        <v>0</v>
      </c>
      <c r="P441" s="38">
        <f t="shared" si="45"/>
        <v>0</v>
      </c>
      <c r="Q441" s="38">
        <f t="shared" si="46"/>
        <v>0</v>
      </c>
      <c r="R441" s="38">
        <f t="shared" si="47"/>
        <v>0</v>
      </c>
      <c r="S441" s="38">
        <f t="shared" si="48"/>
        <v>0</v>
      </c>
      <c r="T441" s="38">
        <f t="shared" si="49"/>
        <v>0</v>
      </c>
      <c r="U441" s="38">
        <f t="shared" si="50"/>
        <v>0</v>
      </c>
      <c r="V441" s="55"/>
    </row>
    <row r="442" spans="2:22" s="50" customFormat="1" ht="11.25" hidden="1">
      <c r="B442" s="69" t="s">
        <v>456</v>
      </c>
      <c r="C442" s="86"/>
      <c r="D442" s="30"/>
      <c r="E442" s="5"/>
      <c r="F442" s="5"/>
      <c r="G442" s="5"/>
      <c r="H442" s="5"/>
      <c r="I442" s="29"/>
      <c r="J442" s="29"/>
      <c r="K442" s="29"/>
      <c r="L442" s="29"/>
      <c r="M442" s="29"/>
      <c r="N442" s="29"/>
      <c r="O442" s="38">
        <f t="shared" si="44"/>
        <v>0</v>
      </c>
      <c r="P442" s="38">
        <f t="shared" si="45"/>
        <v>0</v>
      </c>
      <c r="Q442" s="38">
        <f t="shared" si="46"/>
        <v>0</v>
      </c>
      <c r="R442" s="38">
        <f t="shared" si="47"/>
        <v>0</v>
      </c>
      <c r="S442" s="38">
        <f t="shared" si="48"/>
        <v>0</v>
      </c>
      <c r="T442" s="38">
        <f t="shared" si="49"/>
        <v>0</v>
      </c>
      <c r="U442" s="38">
        <f t="shared" si="50"/>
        <v>0</v>
      </c>
      <c r="V442" s="55"/>
    </row>
    <row r="443" spans="2:22" s="50" customFormat="1" ht="11.25" hidden="1">
      <c r="B443" s="69" t="s">
        <v>456</v>
      </c>
      <c r="C443" s="86"/>
      <c r="D443" s="30"/>
      <c r="E443" s="5"/>
      <c r="F443" s="5"/>
      <c r="G443" s="5"/>
      <c r="H443" s="5"/>
      <c r="I443" s="29"/>
      <c r="J443" s="29"/>
      <c r="K443" s="29"/>
      <c r="L443" s="29"/>
      <c r="M443" s="29"/>
      <c r="N443" s="29"/>
      <c r="O443" s="38">
        <f t="shared" si="44"/>
        <v>0</v>
      </c>
      <c r="P443" s="38">
        <f t="shared" si="45"/>
        <v>0</v>
      </c>
      <c r="Q443" s="38">
        <f t="shared" si="46"/>
        <v>0</v>
      </c>
      <c r="R443" s="38">
        <f t="shared" si="47"/>
        <v>0</v>
      </c>
      <c r="S443" s="38">
        <f t="shared" si="48"/>
        <v>0</v>
      </c>
      <c r="T443" s="38">
        <f t="shared" si="49"/>
        <v>0</v>
      </c>
      <c r="U443" s="38">
        <f t="shared" si="50"/>
        <v>0</v>
      </c>
      <c r="V443" s="55"/>
    </row>
    <row r="444" spans="2:22" s="50" customFormat="1" ht="11.25" hidden="1">
      <c r="B444" s="69" t="s">
        <v>456</v>
      </c>
      <c r="C444" s="86"/>
      <c r="D444" s="30"/>
      <c r="E444" s="5"/>
      <c r="F444" s="5"/>
      <c r="G444" s="5"/>
      <c r="H444" s="5"/>
      <c r="I444" s="29"/>
      <c r="J444" s="29"/>
      <c r="K444" s="29"/>
      <c r="L444" s="29"/>
      <c r="M444" s="29"/>
      <c r="N444" s="29"/>
      <c r="O444" s="38">
        <f t="shared" si="44"/>
        <v>0</v>
      </c>
      <c r="P444" s="38">
        <f t="shared" si="45"/>
        <v>0</v>
      </c>
      <c r="Q444" s="38">
        <f t="shared" si="46"/>
        <v>0</v>
      </c>
      <c r="R444" s="38">
        <f t="shared" si="47"/>
        <v>0</v>
      </c>
      <c r="S444" s="38">
        <f t="shared" si="48"/>
        <v>0</v>
      </c>
      <c r="T444" s="38">
        <f t="shared" si="49"/>
        <v>0</v>
      </c>
      <c r="U444" s="38">
        <f t="shared" si="50"/>
        <v>0</v>
      </c>
      <c r="V444" s="55"/>
    </row>
    <row r="445" spans="2:22" s="50" customFormat="1" ht="11.25" hidden="1">
      <c r="B445" s="69" t="s">
        <v>456</v>
      </c>
      <c r="C445" s="86"/>
      <c r="D445" s="30"/>
      <c r="E445" s="5"/>
      <c r="F445" s="5"/>
      <c r="G445" s="5"/>
      <c r="H445" s="5"/>
      <c r="I445" s="29"/>
      <c r="J445" s="29"/>
      <c r="K445" s="29"/>
      <c r="L445" s="29"/>
      <c r="M445" s="29"/>
      <c r="N445" s="29"/>
      <c r="O445" s="38">
        <f t="shared" si="44"/>
        <v>0</v>
      </c>
      <c r="P445" s="38">
        <f t="shared" si="45"/>
        <v>0</v>
      </c>
      <c r="Q445" s="38">
        <f t="shared" si="46"/>
        <v>0</v>
      </c>
      <c r="R445" s="38">
        <f t="shared" si="47"/>
        <v>0</v>
      </c>
      <c r="S445" s="38">
        <f t="shared" si="48"/>
        <v>0</v>
      </c>
      <c r="T445" s="38">
        <f t="shared" si="49"/>
        <v>0</v>
      </c>
      <c r="U445" s="38">
        <f t="shared" si="50"/>
        <v>0</v>
      </c>
      <c r="V445" s="55"/>
    </row>
    <row r="446" spans="2:22" s="50" customFormat="1" ht="11.25" hidden="1">
      <c r="B446" s="69" t="s">
        <v>456</v>
      </c>
      <c r="C446" s="86"/>
      <c r="D446" s="30"/>
      <c r="E446" s="5"/>
      <c r="F446" s="5"/>
      <c r="G446" s="5"/>
      <c r="H446" s="5"/>
      <c r="I446" s="29"/>
      <c r="J446" s="29"/>
      <c r="K446" s="29"/>
      <c r="L446" s="29"/>
      <c r="M446" s="29"/>
      <c r="N446" s="29"/>
      <c r="O446" s="38">
        <f t="shared" si="44"/>
        <v>0</v>
      </c>
      <c r="P446" s="38">
        <f t="shared" si="45"/>
        <v>0</v>
      </c>
      <c r="Q446" s="38">
        <f t="shared" si="46"/>
        <v>0</v>
      </c>
      <c r="R446" s="38">
        <f t="shared" si="47"/>
        <v>0</v>
      </c>
      <c r="S446" s="38">
        <f t="shared" si="48"/>
        <v>0</v>
      </c>
      <c r="T446" s="38">
        <f t="shared" si="49"/>
        <v>0</v>
      </c>
      <c r="U446" s="38">
        <f t="shared" si="50"/>
        <v>0</v>
      </c>
      <c r="V446" s="55"/>
    </row>
    <row r="447" spans="2:22" s="50" customFormat="1" ht="11.25" hidden="1">
      <c r="B447" s="69" t="s">
        <v>456</v>
      </c>
      <c r="C447" s="86"/>
      <c r="D447" s="30"/>
      <c r="E447" s="5"/>
      <c r="F447" s="5"/>
      <c r="G447" s="5"/>
      <c r="H447" s="5"/>
      <c r="I447" s="29"/>
      <c r="J447" s="29"/>
      <c r="K447" s="29"/>
      <c r="L447" s="29"/>
      <c r="M447" s="29"/>
      <c r="N447" s="29"/>
      <c r="O447" s="38">
        <f t="shared" si="44"/>
        <v>0</v>
      </c>
      <c r="P447" s="38">
        <f t="shared" si="45"/>
        <v>0</v>
      </c>
      <c r="Q447" s="38">
        <f t="shared" si="46"/>
        <v>0</v>
      </c>
      <c r="R447" s="38">
        <f t="shared" si="47"/>
        <v>0</v>
      </c>
      <c r="S447" s="38">
        <f t="shared" si="48"/>
        <v>0</v>
      </c>
      <c r="T447" s="38">
        <f t="shared" si="49"/>
        <v>0</v>
      </c>
      <c r="U447" s="38">
        <f t="shared" si="50"/>
        <v>0</v>
      </c>
      <c r="V447" s="55"/>
    </row>
    <row r="448" spans="2:22" s="50" customFormat="1" ht="11.25" hidden="1">
      <c r="B448" s="69" t="s">
        <v>456</v>
      </c>
      <c r="C448" s="86"/>
      <c r="D448" s="30"/>
      <c r="E448" s="5"/>
      <c r="F448" s="5"/>
      <c r="G448" s="5"/>
      <c r="H448" s="5"/>
      <c r="I448" s="29"/>
      <c r="J448" s="29"/>
      <c r="K448" s="29"/>
      <c r="L448" s="29"/>
      <c r="M448" s="29"/>
      <c r="N448" s="29"/>
      <c r="O448" s="38">
        <f t="shared" si="44"/>
        <v>0</v>
      </c>
      <c r="P448" s="38">
        <f t="shared" si="45"/>
        <v>0</v>
      </c>
      <c r="Q448" s="38">
        <f t="shared" si="46"/>
        <v>0</v>
      </c>
      <c r="R448" s="38">
        <f t="shared" si="47"/>
        <v>0</v>
      </c>
      <c r="S448" s="38">
        <f t="shared" si="48"/>
        <v>0</v>
      </c>
      <c r="T448" s="38">
        <f t="shared" si="49"/>
        <v>0</v>
      </c>
      <c r="U448" s="38">
        <f t="shared" si="50"/>
        <v>0</v>
      </c>
      <c r="V448" s="55"/>
    </row>
    <row r="449" spans="2:31" s="50" customFormat="1" ht="11.25" hidden="1">
      <c r="B449" s="69" t="s">
        <v>456</v>
      </c>
      <c r="C449" s="86"/>
      <c r="D449" s="30"/>
      <c r="E449" s="5"/>
      <c r="F449" s="5"/>
      <c r="G449" s="5"/>
      <c r="H449" s="5"/>
      <c r="I449" s="29"/>
      <c r="J449" s="29"/>
      <c r="K449" s="29"/>
      <c r="L449" s="29"/>
      <c r="M449" s="29"/>
      <c r="N449" s="29"/>
      <c r="O449" s="38">
        <f t="shared" si="44"/>
        <v>0</v>
      </c>
      <c r="P449" s="38">
        <f t="shared" si="45"/>
        <v>0</v>
      </c>
      <c r="Q449" s="38">
        <f t="shared" si="46"/>
        <v>0</v>
      </c>
      <c r="R449" s="38">
        <f t="shared" si="47"/>
        <v>0</v>
      </c>
      <c r="S449" s="38">
        <f t="shared" si="48"/>
        <v>0</v>
      </c>
      <c r="T449" s="38">
        <f t="shared" si="49"/>
        <v>0</v>
      </c>
      <c r="U449" s="38">
        <f t="shared" si="50"/>
        <v>0</v>
      </c>
      <c r="V449" s="55"/>
    </row>
    <row r="450" spans="2:31" s="50" customFormat="1" ht="11.25" hidden="1">
      <c r="B450" s="69" t="s">
        <v>456</v>
      </c>
      <c r="C450" s="86"/>
      <c r="D450" s="30"/>
      <c r="E450" s="5"/>
      <c r="F450" s="5"/>
      <c r="G450" s="5"/>
      <c r="H450" s="5"/>
      <c r="I450" s="29"/>
      <c r="J450" s="29"/>
      <c r="K450" s="29"/>
      <c r="L450" s="29"/>
      <c r="M450" s="29"/>
      <c r="N450" s="29"/>
      <c r="O450" s="38">
        <f t="shared" si="44"/>
        <v>0</v>
      </c>
      <c r="P450" s="38">
        <f t="shared" si="45"/>
        <v>0</v>
      </c>
      <c r="Q450" s="38">
        <f t="shared" si="46"/>
        <v>0</v>
      </c>
      <c r="R450" s="38">
        <f t="shared" si="47"/>
        <v>0</v>
      </c>
      <c r="S450" s="38">
        <f t="shared" si="48"/>
        <v>0</v>
      </c>
      <c r="T450" s="38">
        <f t="shared" si="49"/>
        <v>0</v>
      </c>
      <c r="U450" s="38">
        <f t="shared" si="50"/>
        <v>0</v>
      </c>
      <c r="V450" s="55"/>
    </row>
    <row r="451" spans="2:31" s="50" customFormat="1" ht="11.25" hidden="1">
      <c r="B451" s="69" t="s">
        <v>456</v>
      </c>
      <c r="C451" s="86"/>
      <c r="D451" s="30"/>
      <c r="E451" s="5"/>
      <c r="F451" s="5"/>
      <c r="G451" s="5"/>
      <c r="H451" s="5"/>
      <c r="I451" s="29"/>
      <c r="J451" s="29"/>
      <c r="K451" s="29"/>
      <c r="L451" s="29"/>
      <c r="M451" s="29"/>
      <c r="N451" s="29"/>
      <c r="O451" s="38">
        <f t="shared" si="44"/>
        <v>0</v>
      </c>
      <c r="P451" s="38">
        <f t="shared" si="45"/>
        <v>0</v>
      </c>
      <c r="Q451" s="38">
        <f t="shared" si="46"/>
        <v>0</v>
      </c>
      <c r="R451" s="38">
        <f t="shared" si="47"/>
        <v>0</v>
      </c>
      <c r="S451" s="38">
        <f t="shared" si="48"/>
        <v>0</v>
      </c>
      <c r="T451" s="38">
        <f t="shared" si="49"/>
        <v>0</v>
      </c>
      <c r="U451" s="38">
        <f t="shared" si="50"/>
        <v>0</v>
      </c>
      <c r="V451" s="55"/>
    </row>
    <row r="452" spans="2:31" s="50" customFormat="1" ht="11.25" hidden="1">
      <c r="B452" s="69" t="s">
        <v>456</v>
      </c>
      <c r="C452" s="86"/>
      <c r="D452" s="30"/>
      <c r="E452" s="5"/>
      <c r="F452" s="5"/>
      <c r="G452" s="5"/>
      <c r="H452" s="5"/>
      <c r="I452" s="29"/>
      <c r="J452" s="29"/>
      <c r="K452" s="29"/>
      <c r="L452" s="29"/>
      <c r="M452" s="29"/>
      <c r="N452" s="29"/>
      <c r="O452" s="38">
        <f t="shared" si="44"/>
        <v>0</v>
      </c>
      <c r="P452" s="38">
        <f t="shared" si="45"/>
        <v>0</v>
      </c>
      <c r="Q452" s="38">
        <f t="shared" si="46"/>
        <v>0</v>
      </c>
      <c r="R452" s="38">
        <f t="shared" si="47"/>
        <v>0</v>
      </c>
      <c r="S452" s="38">
        <f t="shared" si="48"/>
        <v>0</v>
      </c>
      <c r="T452" s="38">
        <f t="shared" si="49"/>
        <v>0</v>
      </c>
      <c r="U452" s="38">
        <f t="shared" si="50"/>
        <v>0</v>
      </c>
      <c r="V452" s="55"/>
    </row>
    <row r="453" spans="2:31" s="50" customFormat="1" ht="11.25" hidden="1">
      <c r="B453" s="69" t="s">
        <v>456</v>
      </c>
      <c r="C453" s="86"/>
      <c r="D453" s="30"/>
      <c r="E453" s="5"/>
      <c r="F453" s="5"/>
      <c r="G453" s="5"/>
      <c r="H453" s="5"/>
      <c r="I453" s="29"/>
      <c r="J453" s="29"/>
      <c r="K453" s="29"/>
      <c r="L453" s="29"/>
      <c r="M453" s="29"/>
      <c r="N453" s="29"/>
      <c r="O453" s="38">
        <f t="shared" si="44"/>
        <v>0</v>
      </c>
      <c r="P453" s="38">
        <f t="shared" si="45"/>
        <v>0</v>
      </c>
      <c r="Q453" s="38">
        <f t="shared" si="46"/>
        <v>0</v>
      </c>
      <c r="R453" s="38">
        <f t="shared" si="47"/>
        <v>0</v>
      </c>
      <c r="S453" s="38">
        <f t="shared" si="48"/>
        <v>0</v>
      </c>
      <c r="T453" s="38">
        <f t="shared" si="49"/>
        <v>0</v>
      </c>
      <c r="U453" s="38">
        <f t="shared" si="50"/>
        <v>0</v>
      </c>
      <c r="V453" s="55"/>
    </row>
    <row r="454" spans="2:31" s="50" customFormat="1" ht="11.25" hidden="1">
      <c r="B454" s="69" t="s">
        <v>456</v>
      </c>
      <c r="C454" s="86"/>
      <c r="D454" s="30"/>
      <c r="E454" s="5"/>
      <c r="F454" s="5"/>
      <c r="G454" s="5"/>
      <c r="H454" s="5"/>
      <c r="I454" s="29"/>
      <c r="J454" s="29"/>
      <c r="K454" s="29"/>
      <c r="L454" s="29"/>
      <c r="M454" s="29"/>
      <c r="N454" s="29"/>
      <c r="O454" s="38">
        <f t="shared" si="44"/>
        <v>0</v>
      </c>
      <c r="P454" s="38">
        <f t="shared" si="45"/>
        <v>0</v>
      </c>
      <c r="Q454" s="38">
        <f t="shared" si="46"/>
        <v>0</v>
      </c>
      <c r="R454" s="38">
        <f t="shared" si="47"/>
        <v>0</v>
      </c>
      <c r="S454" s="38">
        <f t="shared" si="48"/>
        <v>0</v>
      </c>
      <c r="T454" s="38">
        <f t="shared" si="49"/>
        <v>0</v>
      </c>
      <c r="U454" s="38">
        <f t="shared" si="50"/>
        <v>0</v>
      </c>
      <c r="V454" s="55"/>
    </row>
    <row r="455" spans="2:31" s="50" customFormat="1" ht="11.25" hidden="1">
      <c r="B455" s="69" t="s">
        <v>456</v>
      </c>
      <c r="C455" s="86"/>
      <c r="D455" s="30"/>
      <c r="E455" s="5"/>
      <c r="F455" s="5"/>
      <c r="G455" s="5"/>
      <c r="H455" s="5"/>
      <c r="I455" s="29"/>
      <c r="J455" s="29"/>
      <c r="K455" s="29"/>
      <c r="L455" s="29"/>
      <c r="M455" s="29"/>
      <c r="N455" s="29"/>
      <c r="O455" s="38">
        <f t="shared" si="44"/>
        <v>0</v>
      </c>
      <c r="P455" s="38">
        <f t="shared" si="45"/>
        <v>0</v>
      </c>
      <c r="Q455" s="38">
        <f t="shared" si="46"/>
        <v>0</v>
      </c>
      <c r="R455" s="38">
        <f t="shared" si="47"/>
        <v>0</v>
      </c>
      <c r="S455" s="38">
        <f t="shared" si="48"/>
        <v>0</v>
      </c>
      <c r="T455" s="38">
        <f t="shared" si="49"/>
        <v>0</v>
      </c>
      <c r="U455" s="38">
        <f t="shared" si="50"/>
        <v>0</v>
      </c>
      <c r="V455" s="55"/>
    </row>
    <row r="456" spans="2:31" s="50" customFormat="1" ht="11.25" hidden="1">
      <c r="B456" s="69" t="s">
        <v>456</v>
      </c>
      <c r="C456" s="86"/>
      <c r="D456" s="30"/>
      <c r="E456" s="5"/>
      <c r="F456" s="5"/>
      <c r="G456" s="5"/>
      <c r="H456" s="5"/>
      <c r="I456" s="29"/>
      <c r="J456" s="29"/>
      <c r="K456" s="29"/>
      <c r="L456" s="29"/>
      <c r="M456" s="29"/>
      <c r="N456" s="29"/>
      <c r="O456" s="38">
        <f t="shared" si="44"/>
        <v>0</v>
      </c>
      <c r="P456" s="38">
        <f t="shared" si="45"/>
        <v>0</v>
      </c>
      <c r="Q456" s="38">
        <f t="shared" si="46"/>
        <v>0</v>
      </c>
      <c r="R456" s="38">
        <f t="shared" si="47"/>
        <v>0</v>
      </c>
      <c r="S456" s="38">
        <f t="shared" si="48"/>
        <v>0</v>
      </c>
      <c r="T456" s="38">
        <f t="shared" si="49"/>
        <v>0</v>
      </c>
      <c r="U456" s="38">
        <f t="shared" si="50"/>
        <v>0</v>
      </c>
      <c r="V456" s="55"/>
    </row>
    <row r="457" spans="2:31" s="50" customFormat="1" ht="11.25" hidden="1">
      <c r="B457" s="69" t="s">
        <v>456</v>
      </c>
      <c r="C457" s="86"/>
      <c r="D457" s="30"/>
      <c r="E457" s="5"/>
      <c r="F457" s="5"/>
      <c r="G457" s="5"/>
      <c r="H457" s="5"/>
      <c r="I457" s="29"/>
      <c r="J457" s="29"/>
      <c r="K457" s="29"/>
      <c r="L457" s="29"/>
      <c r="M457" s="29"/>
      <c r="N457" s="29"/>
      <c r="O457" s="38">
        <f t="shared" si="44"/>
        <v>0</v>
      </c>
      <c r="P457" s="38">
        <f t="shared" si="45"/>
        <v>0</v>
      </c>
      <c r="Q457" s="38">
        <f t="shared" si="46"/>
        <v>0</v>
      </c>
      <c r="R457" s="38">
        <f t="shared" si="47"/>
        <v>0</v>
      </c>
      <c r="S457" s="38">
        <f t="shared" si="48"/>
        <v>0</v>
      </c>
      <c r="T457" s="38">
        <f t="shared" si="49"/>
        <v>0</v>
      </c>
      <c r="U457" s="38">
        <f t="shared" si="50"/>
        <v>0</v>
      </c>
      <c r="V457" s="55"/>
    </row>
    <row r="458" spans="2:31" s="50" customFormat="1" ht="11.25" hidden="1">
      <c r="B458" s="69" t="s">
        <v>456</v>
      </c>
      <c r="C458" s="86"/>
      <c r="D458" s="30"/>
      <c r="E458" s="5"/>
      <c r="F458" s="5"/>
      <c r="G458" s="5"/>
      <c r="H458" s="5"/>
      <c r="I458" s="29"/>
      <c r="J458" s="29"/>
      <c r="K458" s="29"/>
      <c r="L458" s="29"/>
      <c r="M458" s="29"/>
      <c r="N458" s="29"/>
      <c r="O458" s="38">
        <f t="shared" ref="O458:O521" si="51">SUM(J458:N458)</f>
        <v>0</v>
      </c>
      <c r="P458" s="38">
        <f t="shared" ref="P458:P521" si="52">IF(I458=0,0,J458/I458*10)</f>
        <v>0</v>
      </c>
      <c r="Q458" s="38">
        <f t="shared" ref="Q458:Q521" si="53">IF(I458=0,0,L458/I458*10)</f>
        <v>0</v>
      </c>
      <c r="R458" s="38">
        <f t="shared" ref="R458:R521" si="54">IF(I458=0,0,M458/I458*10)</f>
        <v>0</v>
      </c>
      <c r="S458" s="38">
        <f t="shared" ref="S458:S521" si="55">IF(I458=0,0,N458/I458*10)</f>
        <v>0</v>
      </c>
      <c r="T458" s="38">
        <f t="shared" ref="T458:T521" si="56">IF(I458=0,0,K458/I458*10)</f>
        <v>0</v>
      </c>
      <c r="U458" s="38">
        <f t="shared" ref="U458:U521" si="57">IF(I458=0,0,O458/I458*10)</f>
        <v>0</v>
      </c>
      <c r="V458" s="55"/>
    </row>
    <row r="459" spans="2:31" s="50" customFormat="1" ht="11.25" hidden="1">
      <c r="B459" s="69" t="s">
        <v>456</v>
      </c>
      <c r="C459" s="86"/>
      <c r="D459" s="30"/>
      <c r="E459" s="5"/>
      <c r="F459" s="5"/>
      <c r="G459" s="5"/>
      <c r="H459" s="5"/>
      <c r="I459" s="29"/>
      <c r="J459" s="29"/>
      <c r="K459" s="29"/>
      <c r="L459" s="29"/>
      <c r="M459" s="29"/>
      <c r="N459" s="29"/>
      <c r="O459" s="38">
        <f t="shared" si="51"/>
        <v>0</v>
      </c>
      <c r="P459" s="38">
        <f t="shared" si="52"/>
        <v>0</v>
      </c>
      <c r="Q459" s="38">
        <f t="shared" si="53"/>
        <v>0</v>
      </c>
      <c r="R459" s="38">
        <f t="shared" si="54"/>
        <v>0</v>
      </c>
      <c r="S459" s="38">
        <f t="shared" si="55"/>
        <v>0</v>
      </c>
      <c r="T459" s="38">
        <f t="shared" si="56"/>
        <v>0</v>
      </c>
      <c r="U459" s="38">
        <f t="shared" si="57"/>
        <v>0</v>
      </c>
      <c r="V459" s="55"/>
    </row>
    <row r="460" spans="2:31" s="50" customFormat="1" ht="11.25" hidden="1">
      <c r="B460" s="69" t="s">
        <v>456</v>
      </c>
      <c r="C460" s="86"/>
      <c r="D460" s="30"/>
      <c r="E460" s="5"/>
      <c r="F460" s="5"/>
      <c r="G460" s="5"/>
      <c r="H460" s="5"/>
      <c r="I460" s="29"/>
      <c r="J460" s="29"/>
      <c r="K460" s="29"/>
      <c r="L460" s="29"/>
      <c r="M460" s="29"/>
      <c r="N460" s="29"/>
      <c r="O460" s="38">
        <f t="shared" si="51"/>
        <v>0</v>
      </c>
      <c r="P460" s="38">
        <f t="shared" si="52"/>
        <v>0</v>
      </c>
      <c r="Q460" s="38">
        <f t="shared" si="53"/>
        <v>0</v>
      </c>
      <c r="R460" s="38">
        <f t="shared" si="54"/>
        <v>0</v>
      </c>
      <c r="S460" s="38">
        <f t="shared" si="55"/>
        <v>0</v>
      </c>
      <c r="T460" s="38">
        <f t="shared" si="56"/>
        <v>0</v>
      </c>
      <c r="U460" s="38">
        <f t="shared" si="57"/>
        <v>0</v>
      </c>
      <c r="V460" s="55"/>
    </row>
    <row r="461" spans="2:31" s="50" customFormat="1" ht="11.25">
      <c r="B461" s="69" t="s">
        <v>456</v>
      </c>
      <c r="C461" s="86"/>
      <c r="D461" s="30"/>
      <c r="E461" s="5"/>
      <c r="F461" s="5"/>
      <c r="G461" s="5"/>
      <c r="H461" s="5"/>
      <c r="I461" s="29"/>
      <c r="J461" s="29"/>
      <c r="K461" s="29"/>
      <c r="L461" s="29"/>
      <c r="M461" s="29"/>
      <c r="N461" s="29"/>
      <c r="O461" s="38">
        <f t="shared" si="51"/>
        <v>0</v>
      </c>
      <c r="P461" s="38">
        <f t="shared" si="52"/>
        <v>0</v>
      </c>
      <c r="Q461" s="38">
        <f t="shared" si="53"/>
        <v>0</v>
      </c>
      <c r="R461" s="38">
        <f t="shared" si="54"/>
        <v>0</v>
      </c>
      <c r="S461" s="38">
        <f t="shared" si="55"/>
        <v>0</v>
      </c>
      <c r="T461" s="38">
        <f t="shared" si="56"/>
        <v>0</v>
      </c>
      <c r="U461" s="38">
        <f t="shared" si="57"/>
        <v>0</v>
      </c>
      <c r="V461" s="55"/>
    </row>
    <row r="462" spans="2:31" s="50" customFormat="1" ht="11.25">
      <c r="B462" s="71" t="s">
        <v>459</v>
      </c>
      <c r="C462" s="87"/>
      <c r="D462" s="72"/>
      <c r="E462" s="38">
        <f>SUM(E312:E461)</f>
        <v>0</v>
      </c>
      <c r="F462" s="38"/>
      <c r="G462" s="38">
        <f t="shared" ref="G462:N462" si="58">SUM(G312:G461)</f>
        <v>0</v>
      </c>
      <c r="H462" s="38">
        <f t="shared" si="58"/>
        <v>0</v>
      </c>
      <c r="I462" s="38">
        <f t="shared" si="58"/>
        <v>0</v>
      </c>
      <c r="J462" s="38">
        <f t="shared" si="58"/>
        <v>0</v>
      </c>
      <c r="K462" s="38">
        <f t="shared" si="58"/>
        <v>0</v>
      </c>
      <c r="L462" s="38">
        <f t="shared" si="58"/>
        <v>0</v>
      </c>
      <c r="M462" s="38">
        <f t="shared" si="58"/>
        <v>0</v>
      </c>
      <c r="N462" s="38">
        <f t="shared" si="58"/>
        <v>0</v>
      </c>
      <c r="O462" s="38">
        <f t="shared" si="51"/>
        <v>0</v>
      </c>
      <c r="P462" s="38">
        <f t="shared" si="52"/>
        <v>0</v>
      </c>
      <c r="Q462" s="38">
        <f t="shared" si="53"/>
        <v>0</v>
      </c>
      <c r="R462" s="38">
        <f t="shared" si="54"/>
        <v>0</v>
      </c>
      <c r="S462" s="38">
        <f t="shared" si="55"/>
        <v>0</v>
      </c>
      <c r="T462" s="38">
        <f t="shared" si="56"/>
        <v>0</v>
      </c>
      <c r="U462" s="38">
        <f t="shared" si="57"/>
        <v>0</v>
      </c>
      <c r="V462" s="55"/>
    </row>
    <row r="463" spans="2:31" s="50" customFormat="1" ht="11.25">
      <c r="B463" s="69" t="s">
        <v>458</v>
      </c>
      <c r="C463" s="82"/>
      <c r="D463" s="28"/>
      <c r="E463" s="5"/>
      <c r="F463" s="5"/>
      <c r="G463" s="5"/>
      <c r="H463" s="33"/>
      <c r="I463" s="33">
        <f>H463</f>
        <v>0</v>
      </c>
      <c r="J463" s="29"/>
      <c r="K463" s="29"/>
      <c r="L463" s="22"/>
      <c r="M463" s="22"/>
      <c r="N463" s="22"/>
      <c r="O463" s="38">
        <f t="shared" si="51"/>
        <v>0</v>
      </c>
      <c r="P463" s="38">
        <f t="shared" si="52"/>
        <v>0</v>
      </c>
      <c r="Q463" s="38">
        <f t="shared" si="53"/>
        <v>0</v>
      </c>
      <c r="R463" s="38">
        <f t="shared" si="54"/>
        <v>0</v>
      </c>
      <c r="S463" s="38">
        <f t="shared" si="55"/>
        <v>0</v>
      </c>
      <c r="T463" s="38">
        <f t="shared" si="56"/>
        <v>0</v>
      </c>
      <c r="U463" s="38">
        <f t="shared" si="57"/>
        <v>0</v>
      </c>
      <c r="V463" s="55"/>
      <c r="AE463" s="56"/>
    </row>
    <row r="464" spans="2:31" s="50" customFormat="1" ht="14.25">
      <c r="B464" s="69" t="s">
        <v>458</v>
      </c>
      <c r="C464" s="88"/>
      <c r="D464" s="28"/>
      <c r="E464" s="5"/>
      <c r="F464" s="5"/>
      <c r="G464" s="5"/>
      <c r="H464" s="33"/>
      <c r="I464" s="33"/>
      <c r="J464" s="29"/>
      <c r="K464" s="29"/>
      <c r="L464" s="22"/>
      <c r="M464" s="22"/>
      <c r="N464" s="22"/>
      <c r="O464" s="38">
        <f t="shared" si="51"/>
        <v>0</v>
      </c>
      <c r="P464" s="38">
        <f t="shared" si="52"/>
        <v>0</v>
      </c>
      <c r="Q464" s="38">
        <f t="shared" si="53"/>
        <v>0</v>
      </c>
      <c r="R464" s="38">
        <f t="shared" si="54"/>
        <v>0</v>
      </c>
      <c r="S464" s="38">
        <f t="shared" si="55"/>
        <v>0</v>
      </c>
      <c r="T464" s="38">
        <f t="shared" si="56"/>
        <v>0</v>
      </c>
      <c r="U464" s="38">
        <f t="shared" si="57"/>
        <v>0</v>
      </c>
      <c r="V464" s="55"/>
      <c r="AE464" s="56"/>
    </row>
    <row r="465" spans="2:31" s="50" customFormat="1" ht="14.25">
      <c r="B465" s="69" t="s">
        <v>458</v>
      </c>
      <c r="C465" s="88"/>
      <c r="D465" s="28"/>
      <c r="E465" s="5"/>
      <c r="F465" s="5"/>
      <c r="G465" s="5"/>
      <c r="H465" s="33"/>
      <c r="I465" s="33"/>
      <c r="J465" s="29"/>
      <c r="K465" s="29"/>
      <c r="L465" s="22"/>
      <c r="M465" s="22"/>
      <c r="N465" s="22"/>
      <c r="O465" s="38">
        <f t="shared" si="51"/>
        <v>0</v>
      </c>
      <c r="P465" s="38">
        <f t="shared" si="52"/>
        <v>0</v>
      </c>
      <c r="Q465" s="38">
        <f t="shared" si="53"/>
        <v>0</v>
      </c>
      <c r="R465" s="38">
        <f t="shared" si="54"/>
        <v>0</v>
      </c>
      <c r="S465" s="38">
        <f t="shared" si="55"/>
        <v>0</v>
      </c>
      <c r="T465" s="38">
        <f t="shared" si="56"/>
        <v>0</v>
      </c>
      <c r="U465" s="38">
        <f t="shared" si="57"/>
        <v>0</v>
      </c>
      <c r="V465" s="55"/>
      <c r="AE465" s="56"/>
    </row>
    <row r="466" spans="2:31" s="50" customFormat="1" ht="14.25">
      <c r="B466" s="69" t="s">
        <v>458</v>
      </c>
      <c r="C466" s="88"/>
      <c r="D466" s="28"/>
      <c r="E466" s="5"/>
      <c r="F466" s="5"/>
      <c r="G466" s="5"/>
      <c r="H466" s="33"/>
      <c r="I466" s="33"/>
      <c r="J466" s="29"/>
      <c r="K466" s="29"/>
      <c r="L466" s="22"/>
      <c r="M466" s="22"/>
      <c r="N466" s="22"/>
      <c r="O466" s="38">
        <f t="shared" si="51"/>
        <v>0</v>
      </c>
      <c r="P466" s="38">
        <f t="shared" si="52"/>
        <v>0</v>
      </c>
      <c r="Q466" s="38">
        <f t="shared" si="53"/>
        <v>0</v>
      </c>
      <c r="R466" s="38">
        <f t="shared" si="54"/>
        <v>0</v>
      </c>
      <c r="S466" s="38">
        <f t="shared" si="55"/>
        <v>0</v>
      </c>
      <c r="T466" s="38">
        <f t="shared" si="56"/>
        <v>0</v>
      </c>
      <c r="U466" s="38">
        <f t="shared" si="57"/>
        <v>0</v>
      </c>
      <c r="V466" s="55"/>
      <c r="AE466" s="56"/>
    </row>
    <row r="467" spans="2:31" s="50" customFormat="1" ht="11.25" hidden="1">
      <c r="B467" s="69" t="s">
        <v>458</v>
      </c>
      <c r="C467" s="86"/>
      <c r="D467" s="30"/>
      <c r="E467" s="5"/>
      <c r="F467" s="5"/>
      <c r="G467" s="5"/>
      <c r="H467" s="5"/>
      <c r="I467" s="5"/>
      <c r="J467" s="5"/>
      <c r="K467" s="5"/>
      <c r="L467" s="5"/>
      <c r="M467" s="5"/>
      <c r="N467" s="5"/>
      <c r="O467" s="38">
        <f t="shared" si="51"/>
        <v>0</v>
      </c>
      <c r="P467" s="38">
        <f t="shared" si="52"/>
        <v>0</v>
      </c>
      <c r="Q467" s="38">
        <f t="shared" si="53"/>
        <v>0</v>
      </c>
      <c r="R467" s="38">
        <f t="shared" si="54"/>
        <v>0</v>
      </c>
      <c r="S467" s="38">
        <f t="shared" si="55"/>
        <v>0</v>
      </c>
      <c r="T467" s="38">
        <f t="shared" si="56"/>
        <v>0</v>
      </c>
      <c r="U467" s="38">
        <f t="shared" si="57"/>
        <v>0</v>
      </c>
      <c r="V467" s="55"/>
      <c r="AE467" s="56"/>
    </row>
    <row r="468" spans="2:31" s="50" customFormat="1" ht="11.25" hidden="1">
      <c r="B468" s="69" t="s">
        <v>458</v>
      </c>
      <c r="C468" s="86"/>
      <c r="D468" s="30"/>
      <c r="E468" s="5"/>
      <c r="F468" s="5"/>
      <c r="G468" s="5"/>
      <c r="H468" s="5"/>
      <c r="I468" s="5"/>
      <c r="J468" s="5"/>
      <c r="K468" s="5"/>
      <c r="L468" s="5"/>
      <c r="M468" s="5"/>
      <c r="N468" s="5"/>
      <c r="O468" s="38">
        <f t="shared" si="51"/>
        <v>0</v>
      </c>
      <c r="P468" s="38">
        <f t="shared" si="52"/>
        <v>0</v>
      </c>
      <c r="Q468" s="38">
        <f t="shared" si="53"/>
        <v>0</v>
      </c>
      <c r="R468" s="38">
        <f t="shared" si="54"/>
        <v>0</v>
      </c>
      <c r="S468" s="38">
        <f t="shared" si="55"/>
        <v>0</v>
      </c>
      <c r="T468" s="38">
        <f t="shared" si="56"/>
        <v>0</v>
      </c>
      <c r="U468" s="38">
        <f t="shared" si="57"/>
        <v>0</v>
      </c>
      <c r="V468" s="55"/>
      <c r="AE468" s="56"/>
    </row>
    <row r="469" spans="2:31" s="50" customFormat="1" ht="11.25" hidden="1">
      <c r="B469" s="69" t="s">
        <v>458</v>
      </c>
      <c r="C469" s="86"/>
      <c r="D469" s="30"/>
      <c r="E469" s="5"/>
      <c r="F469" s="5"/>
      <c r="G469" s="5"/>
      <c r="H469" s="5"/>
      <c r="I469" s="5"/>
      <c r="J469" s="5"/>
      <c r="K469" s="5"/>
      <c r="L469" s="5"/>
      <c r="M469" s="5"/>
      <c r="N469" s="5"/>
      <c r="O469" s="38">
        <f t="shared" si="51"/>
        <v>0</v>
      </c>
      <c r="P469" s="38">
        <f t="shared" si="52"/>
        <v>0</v>
      </c>
      <c r="Q469" s="38">
        <f t="shared" si="53"/>
        <v>0</v>
      </c>
      <c r="R469" s="38">
        <f t="shared" si="54"/>
        <v>0</v>
      </c>
      <c r="S469" s="38">
        <f t="shared" si="55"/>
        <v>0</v>
      </c>
      <c r="T469" s="38">
        <f t="shared" si="56"/>
        <v>0</v>
      </c>
      <c r="U469" s="38">
        <f t="shared" si="57"/>
        <v>0</v>
      </c>
      <c r="V469" s="55"/>
      <c r="AE469" s="56"/>
    </row>
    <row r="470" spans="2:31" s="50" customFormat="1" ht="11.25" hidden="1">
      <c r="B470" s="69" t="s">
        <v>458</v>
      </c>
      <c r="C470" s="86"/>
      <c r="D470" s="30"/>
      <c r="E470" s="5"/>
      <c r="F470" s="5"/>
      <c r="G470" s="5"/>
      <c r="H470" s="5"/>
      <c r="I470" s="5"/>
      <c r="J470" s="5"/>
      <c r="K470" s="5"/>
      <c r="L470" s="5"/>
      <c r="M470" s="5"/>
      <c r="N470" s="5"/>
      <c r="O470" s="38">
        <f t="shared" si="51"/>
        <v>0</v>
      </c>
      <c r="P470" s="38">
        <f t="shared" si="52"/>
        <v>0</v>
      </c>
      <c r="Q470" s="38">
        <f t="shared" si="53"/>
        <v>0</v>
      </c>
      <c r="R470" s="38">
        <f t="shared" si="54"/>
        <v>0</v>
      </c>
      <c r="S470" s="38">
        <f t="shared" si="55"/>
        <v>0</v>
      </c>
      <c r="T470" s="38">
        <f t="shared" si="56"/>
        <v>0</v>
      </c>
      <c r="U470" s="38">
        <f t="shared" si="57"/>
        <v>0</v>
      </c>
      <c r="V470" s="55"/>
      <c r="AE470" s="56"/>
    </row>
    <row r="471" spans="2:31" s="50" customFormat="1" ht="11.25" hidden="1">
      <c r="B471" s="69" t="s">
        <v>458</v>
      </c>
      <c r="C471" s="86"/>
      <c r="D471" s="30"/>
      <c r="E471" s="5"/>
      <c r="F471" s="5"/>
      <c r="G471" s="5"/>
      <c r="H471" s="5"/>
      <c r="I471" s="5"/>
      <c r="J471" s="5"/>
      <c r="K471" s="5"/>
      <c r="L471" s="5"/>
      <c r="M471" s="5"/>
      <c r="N471" s="5"/>
      <c r="O471" s="38">
        <f t="shared" si="51"/>
        <v>0</v>
      </c>
      <c r="P471" s="38">
        <f t="shared" si="52"/>
        <v>0</v>
      </c>
      <c r="Q471" s="38">
        <f t="shared" si="53"/>
        <v>0</v>
      </c>
      <c r="R471" s="38">
        <f t="shared" si="54"/>
        <v>0</v>
      </c>
      <c r="S471" s="38">
        <f t="shared" si="55"/>
        <v>0</v>
      </c>
      <c r="T471" s="38">
        <f t="shared" si="56"/>
        <v>0</v>
      </c>
      <c r="U471" s="38">
        <f t="shared" si="57"/>
        <v>0</v>
      </c>
      <c r="V471" s="55"/>
      <c r="AE471" s="56"/>
    </row>
    <row r="472" spans="2:31" s="50" customFormat="1" ht="11.25" hidden="1">
      <c r="B472" s="69" t="s">
        <v>458</v>
      </c>
      <c r="C472" s="86"/>
      <c r="D472" s="30"/>
      <c r="E472" s="5"/>
      <c r="F472" s="5"/>
      <c r="G472" s="5"/>
      <c r="H472" s="5"/>
      <c r="I472" s="5"/>
      <c r="J472" s="5"/>
      <c r="K472" s="5"/>
      <c r="L472" s="5"/>
      <c r="M472" s="5"/>
      <c r="N472" s="5"/>
      <c r="O472" s="38">
        <f t="shared" si="51"/>
        <v>0</v>
      </c>
      <c r="P472" s="38">
        <f t="shared" si="52"/>
        <v>0</v>
      </c>
      <c r="Q472" s="38">
        <f t="shared" si="53"/>
        <v>0</v>
      </c>
      <c r="R472" s="38">
        <f t="shared" si="54"/>
        <v>0</v>
      </c>
      <c r="S472" s="38">
        <f t="shared" si="55"/>
        <v>0</v>
      </c>
      <c r="T472" s="38">
        <f t="shared" si="56"/>
        <v>0</v>
      </c>
      <c r="U472" s="38">
        <f t="shared" si="57"/>
        <v>0</v>
      </c>
      <c r="V472" s="55"/>
      <c r="AE472" s="56"/>
    </row>
    <row r="473" spans="2:31" s="50" customFormat="1" ht="11.25" hidden="1">
      <c r="B473" s="69" t="s">
        <v>458</v>
      </c>
      <c r="C473" s="86"/>
      <c r="D473" s="30"/>
      <c r="E473" s="5"/>
      <c r="F473" s="5"/>
      <c r="G473" s="5"/>
      <c r="H473" s="5"/>
      <c r="I473" s="5"/>
      <c r="J473" s="5"/>
      <c r="K473" s="5"/>
      <c r="L473" s="5"/>
      <c r="M473" s="5"/>
      <c r="N473" s="5"/>
      <c r="O473" s="38">
        <f t="shared" si="51"/>
        <v>0</v>
      </c>
      <c r="P473" s="38">
        <f t="shared" si="52"/>
        <v>0</v>
      </c>
      <c r="Q473" s="38">
        <f t="shared" si="53"/>
        <v>0</v>
      </c>
      <c r="R473" s="38">
        <f t="shared" si="54"/>
        <v>0</v>
      </c>
      <c r="S473" s="38">
        <f t="shared" si="55"/>
        <v>0</v>
      </c>
      <c r="T473" s="38">
        <f t="shared" si="56"/>
        <v>0</v>
      </c>
      <c r="U473" s="38">
        <f t="shared" si="57"/>
        <v>0</v>
      </c>
      <c r="V473" s="55"/>
      <c r="AE473" s="56"/>
    </row>
    <row r="474" spans="2:31" s="50" customFormat="1" ht="11.25" hidden="1">
      <c r="B474" s="69" t="s">
        <v>458</v>
      </c>
      <c r="C474" s="86"/>
      <c r="D474" s="30"/>
      <c r="E474" s="5"/>
      <c r="F474" s="5"/>
      <c r="G474" s="5"/>
      <c r="H474" s="5"/>
      <c r="I474" s="5"/>
      <c r="J474" s="5"/>
      <c r="K474" s="5"/>
      <c r="L474" s="5"/>
      <c r="M474" s="5"/>
      <c r="N474" s="5"/>
      <c r="O474" s="38">
        <f t="shared" si="51"/>
        <v>0</v>
      </c>
      <c r="P474" s="38">
        <f t="shared" si="52"/>
        <v>0</v>
      </c>
      <c r="Q474" s="38">
        <f t="shared" si="53"/>
        <v>0</v>
      </c>
      <c r="R474" s="38">
        <f t="shared" si="54"/>
        <v>0</v>
      </c>
      <c r="S474" s="38">
        <f t="shared" si="55"/>
        <v>0</v>
      </c>
      <c r="T474" s="38">
        <f t="shared" si="56"/>
        <v>0</v>
      </c>
      <c r="U474" s="38">
        <f t="shared" si="57"/>
        <v>0</v>
      </c>
      <c r="V474" s="55"/>
      <c r="AE474" s="56"/>
    </row>
    <row r="475" spans="2:31" s="50" customFormat="1" ht="11.25" hidden="1">
      <c r="B475" s="69" t="s">
        <v>458</v>
      </c>
      <c r="C475" s="86"/>
      <c r="D475" s="30"/>
      <c r="E475" s="5"/>
      <c r="F475" s="5"/>
      <c r="G475" s="5"/>
      <c r="H475" s="5"/>
      <c r="I475" s="5"/>
      <c r="J475" s="5"/>
      <c r="K475" s="5"/>
      <c r="L475" s="5"/>
      <c r="M475" s="5"/>
      <c r="N475" s="5"/>
      <c r="O475" s="38">
        <f t="shared" si="51"/>
        <v>0</v>
      </c>
      <c r="P475" s="38">
        <f t="shared" si="52"/>
        <v>0</v>
      </c>
      <c r="Q475" s="38">
        <f t="shared" si="53"/>
        <v>0</v>
      </c>
      <c r="R475" s="38">
        <f t="shared" si="54"/>
        <v>0</v>
      </c>
      <c r="S475" s="38">
        <f t="shared" si="55"/>
        <v>0</v>
      </c>
      <c r="T475" s="38">
        <f t="shared" si="56"/>
        <v>0</v>
      </c>
      <c r="U475" s="38">
        <f t="shared" si="57"/>
        <v>0</v>
      </c>
      <c r="V475" s="55"/>
      <c r="AE475" s="56"/>
    </row>
    <row r="476" spans="2:31" s="50" customFormat="1" ht="11.25" hidden="1">
      <c r="B476" s="69" t="s">
        <v>458</v>
      </c>
      <c r="C476" s="86"/>
      <c r="D476" s="30"/>
      <c r="E476" s="5"/>
      <c r="F476" s="5"/>
      <c r="G476" s="5"/>
      <c r="H476" s="5"/>
      <c r="I476" s="5"/>
      <c r="J476" s="5"/>
      <c r="K476" s="5"/>
      <c r="L476" s="5"/>
      <c r="M476" s="5"/>
      <c r="N476" s="5"/>
      <c r="O476" s="38">
        <f t="shared" si="51"/>
        <v>0</v>
      </c>
      <c r="P476" s="38">
        <f t="shared" si="52"/>
        <v>0</v>
      </c>
      <c r="Q476" s="38">
        <f t="shared" si="53"/>
        <v>0</v>
      </c>
      <c r="R476" s="38">
        <f t="shared" si="54"/>
        <v>0</v>
      </c>
      <c r="S476" s="38">
        <f t="shared" si="55"/>
        <v>0</v>
      </c>
      <c r="T476" s="38">
        <f t="shared" si="56"/>
        <v>0</v>
      </c>
      <c r="U476" s="38">
        <f t="shared" si="57"/>
        <v>0</v>
      </c>
      <c r="V476" s="55"/>
      <c r="AE476" s="56"/>
    </row>
    <row r="477" spans="2:31" s="50" customFormat="1" ht="11.25" hidden="1">
      <c r="B477" s="69" t="s">
        <v>458</v>
      </c>
      <c r="C477" s="86"/>
      <c r="D477" s="30"/>
      <c r="E477" s="5"/>
      <c r="F477" s="5"/>
      <c r="G477" s="5"/>
      <c r="H477" s="5"/>
      <c r="I477" s="5"/>
      <c r="J477" s="5"/>
      <c r="K477" s="5"/>
      <c r="L477" s="5"/>
      <c r="M477" s="5"/>
      <c r="N477" s="5"/>
      <c r="O477" s="38">
        <f t="shared" si="51"/>
        <v>0</v>
      </c>
      <c r="P477" s="38">
        <f t="shared" si="52"/>
        <v>0</v>
      </c>
      <c r="Q477" s="38">
        <f t="shared" si="53"/>
        <v>0</v>
      </c>
      <c r="R477" s="38">
        <f t="shared" si="54"/>
        <v>0</v>
      </c>
      <c r="S477" s="38">
        <f t="shared" si="55"/>
        <v>0</v>
      </c>
      <c r="T477" s="38">
        <f t="shared" si="56"/>
        <v>0</v>
      </c>
      <c r="U477" s="38">
        <f t="shared" si="57"/>
        <v>0</v>
      </c>
      <c r="V477" s="55"/>
      <c r="AE477" s="56"/>
    </row>
    <row r="478" spans="2:31" s="50" customFormat="1" ht="11.25" hidden="1">
      <c r="B478" s="69" t="s">
        <v>458</v>
      </c>
      <c r="C478" s="86"/>
      <c r="D478" s="30"/>
      <c r="E478" s="5"/>
      <c r="F478" s="5"/>
      <c r="G478" s="5"/>
      <c r="H478" s="5"/>
      <c r="I478" s="5"/>
      <c r="J478" s="5"/>
      <c r="K478" s="5"/>
      <c r="L478" s="5"/>
      <c r="M478" s="5"/>
      <c r="N478" s="5"/>
      <c r="O478" s="38">
        <f t="shared" si="51"/>
        <v>0</v>
      </c>
      <c r="P478" s="38">
        <f t="shared" si="52"/>
        <v>0</v>
      </c>
      <c r="Q478" s="38">
        <f t="shared" si="53"/>
        <v>0</v>
      </c>
      <c r="R478" s="38">
        <f t="shared" si="54"/>
        <v>0</v>
      </c>
      <c r="S478" s="38">
        <f t="shared" si="55"/>
        <v>0</v>
      </c>
      <c r="T478" s="38">
        <f t="shared" si="56"/>
        <v>0</v>
      </c>
      <c r="U478" s="38">
        <f t="shared" si="57"/>
        <v>0</v>
      </c>
      <c r="V478" s="55"/>
      <c r="AE478" s="56"/>
    </row>
    <row r="479" spans="2:31" s="50" customFormat="1" ht="11.25" hidden="1">
      <c r="B479" s="69" t="s">
        <v>458</v>
      </c>
      <c r="C479" s="86"/>
      <c r="D479" s="30"/>
      <c r="E479" s="5"/>
      <c r="F479" s="5"/>
      <c r="G479" s="5"/>
      <c r="H479" s="5"/>
      <c r="I479" s="5"/>
      <c r="J479" s="5"/>
      <c r="K479" s="5"/>
      <c r="L479" s="5"/>
      <c r="M479" s="5"/>
      <c r="N479" s="5"/>
      <c r="O479" s="38">
        <f t="shared" si="51"/>
        <v>0</v>
      </c>
      <c r="P479" s="38">
        <f t="shared" si="52"/>
        <v>0</v>
      </c>
      <c r="Q479" s="38">
        <f t="shared" si="53"/>
        <v>0</v>
      </c>
      <c r="R479" s="38">
        <f t="shared" si="54"/>
        <v>0</v>
      </c>
      <c r="S479" s="38">
        <f t="shared" si="55"/>
        <v>0</v>
      </c>
      <c r="T479" s="38">
        <f t="shared" si="56"/>
        <v>0</v>
      </c>
      <c r="U479" s="38">
        <f t="shared" si="57"/>
        <v>0</v>
      </c>
      <c r="V479" s="55"/>
      <c r="AE479" s="56"/>
    </row>
    <row r="480" spans="2:31" s="50" customFormat="1" ht="11.25" hidden="1">
      <c r="B480" s="69" t="s">
        <v>458</v>
      </c>
      <c r="C480" s="86"/>
      <c r="D480" s="30"/>
      <c r="E480" s="5"/>
      <c r="F480" s="5"/>
      <c r="G480" s="5"/>
      <c r="H480" s="5"/>
      <c r="I480" s="5"/>
      <c r="J480" s="5"/>
      <c r="K480" s="5"/>
      <c r="L480" s="5"/>
      <c r="M480" s="5"/>
      <c r="N480" s="5"/>
      <c r="O480" s="38">
        <f t="shared" si="51"/>
        <v>0</v>
      </c>
      <c r="P480" s="38">
        <f t="shared" si="52"/>
        <v>0</v>
      </c>
      <c r="Q480" s="38">
        <f t="shared" si="53"/>
        <v>0</v>
      </c>
      <c r="R480" s="38">
        <f t="shared" si="54"/>
        <v>0</v>
      </c>
      <c r="S480" s="38">
        <f t="shared" si="55"/>
        <v>0</v>
      </c>
      <c r="T480" s="38">
        <f t="shared" si="56"/>
        <v>0</v>
      </c>
      <c r="U480" s="38">
        <f t="shared" si="57"/>
        <v>0</v>
      </c>
      <c r="V480" s="55"/>
      <c r="AE480" s="56"/>
    </row>
    <row r="481" spans="2:31" s="50" customFormat="1" ht="11.25" hidden="1">
      <c r="B481" s="69" t="s">
        <v>458</v>
      </c>
      <c r="C481" s="86"/>
      <c r="D481" s="30"/>
      <c r="E481" s="5"/>
      <c r="F481" s="5"/>
      <c r="G481" s="5"/>
      <c r="H481" s="5"/>
      <c r="I481" s="5"/>
      <c r="J481" s="5"/>
      <c r="K481" s="5"/>
      <c r="L481" s="5"/>
      <c r="M481" s="5"/>
      <c r="N481" s="5"/>
      <c r="O481" s="38">
        <f t="shared" si="51"/>
        <v>0</v>
      </c>
      <c r="P481" s="38">
        <f t="shared" si="52"/>
        <v>0</v>
      </c>
      <c r="Q481" s="38">
        <f t="shared" si="53"/>
        <v>0</v>
      </c>
      <c r="R481" s="38">
        <f t="shared" si="54"/>
        <v>0</v>
      </c>
      <c r="S481" s="38">
        <f t="shared" si="55"/>
        <v>0</v>
      </c>
      <c r="T481" s="38">
        <f t="shared" si="56"/>
        <v>0</v>
      </c>
      <c r="U481" s="38">
        <f t="shared" si="57"/>
        <v>0</v>
      </c>
      <c r="V481" s="55"/>
      <c r="AE481" s="56"/>
    </row>
    <row r="482" spans="2:31" s="50" customFormat="1" ht="11.25" hidden="1">
      <c r="B482" s="69" t="s">
        <v>458</v>
      </c>
      <c r="C482" s="86"/>
      <c r="D482" s="30"/>
      <c r="E482" s="5"/>
      <c r="F482" s="5"/>
      <c r="G482" s="5"/>
      <c r="H482" s="5"/>
      <c r="I482" s="5"/>
      <c r="J482" s="5"/>
      <c r="K482" s="5"/>
      <c r="L482" s="5"/>
      <c r="M482" s="5"/>
      <c r="N482" s="5"/>
      <c r="O482" s="38">
        <f t="shared" si="51"/>
        <v>0</v>
      </c>
      <c r="P482" s="38">
        <f t="shared" si="52"/>
        <v>0</v>
      </c>
      <c r="Q482" s="38">
        <f t="shared" si="53"/>
        <v>0</v>
      </c>
      <c r="R482" s="38">
        <f t="shared" si="54"/>
        <v>0</v>
      </c>
      <c r="S482" s="38">
        <f t="shared" si="55"/>
        <v>0</v>
      </c>
      <c r="T482" s="38">
        <f t="shared" si="56"/>
        <v>0</v>
      </c>
      <c r="U482" s="38">
        <f t="shared" si="57"/>
        <v>0</v>
      </c>
      <c r="V482" s="55"/>
      <c r="AE482" s="56"/>
    </row>
    <row r="483" spans="2:31" s="50" customFormat="1" ht="11.25" hidden="1">
      <c r="B483" s="69" t="s">
        <v>458</v>
      </c>
      <c r="C483" s="86"/>
      <c r="D483" s="30"/>
      <c r="E483" s="5"/>
      <c r="F483" s="5"/>
      <c r="G483" s="5"/>
      <c r="H483" s="5"/>
      <c r="I483" s="5"/>
      <c r="J483" s="5"/>
      <c r="K483" s="5"/>
      <c r="L483" s="5"/>
      <c r="M483" s="5"/>
      <c r="N483" s="5"/>
      <c r="O483" s="38">
        <f t="shared" si="51"/>
        <v>0</v>
      </c>
      <c r="P483" s="38">
        <f t="shared" si="52"/>
        <v>0</v>
      </c>
      <c r="Q483" s="38">
        <f t="shared" si="53"/>
        <v>0</v>
      </c>
      <c r="R483" s="38">
        <f t="shared" si="54"/>
        <v>0</v>
      </c>
      <c r="S483" s="38">
        <f t="shared" si="55"/>
        <v>0</v>
      </c>
      <c r="T483" s="38">
        <f t="shared" si="56"/>
        <v>0</v>
      </c>
      <c r="U483" s="38">
        <f t="shared" si="57"/>
        <v>0</v>
      </c>
      <c r="V483" s="55"/>
      <c r="AE483" s="56"/>
    </row>
    <row r="484" spans="2:31" s="50" customFormat="1" ht="11.25" hidden="1">
      <c r="B484" s="69" t="s">
        <v>458</v>
      </c>
      <c r="C484" s="86"/>
      <c r="D484" s="30"/>
      <c r="E484" s="5"/>
      <c r="F484" s="5"/>
      <c r="G484" s="5"/>
      <c r="H484" s="5"/>
      <c r="I484" s="5"/>
      <c r="J484" s="5"/>
      <c r="K484" s="5"/>
      <c r="L484" s="5"/>
      <c r="M484" s="5"/>
      <c r="N484" s="5"/>
      <c r="O484" s="38">
        <f t="shared" si="51"/>
        <v>0</v>
      </c>
      <c r="P484" s="38">
        <f t="shared" si="52"/>
        <v>0</v>
      </c>
      <c r="Q484" s="38">
        <f t="shared" si="53"/>
        <v>0</v>
      </c>
      <c r="R484" s="38">
        <f t="shared" si="54"/>
        <v>0</v>
      </c>
      <c r="S484" s="38">
        <f t="shared" si="55"/>
        <v>0</v>
      </c>
      <c r="T484" s="38">
        <f t="shared" si="56"/>
        <v>0</v>
      </c>
      <c r="U484" s="38">
        <f t="shared" si="57"/>
        <v>0</v>
      </c>
      <c r="V484" s="55"/>
      <c r="AE484" s="56"/>
    </row>
    <row r="485" spans="2:31" s="50" customFormat="1" ht="11.25" hidden="1">
      <c r="B485" s="69" t="s">
        <v>458</v>
      </c>
      <c r="C485" s="86"/>
      <c r="D485" s="30"/>
      <c r="E485" s="5"/>
      <c r="F485" s="5"/>
      <c r="G485" s="5"/>
      <c r="H485" s="5"/>
      <c r="I485" s="5"/>
      <c r="J485" s="5"/>
      <c r="K485" s="5"/>
      <c r="L485" s="5"/>
      <c r="M485" s="5"/>
      <c r="N485" s="5"/>
      <c r="O485" s="38">
        <f t="shared" si="51"/>
        <v>0</v>
      </c>
      <c r="P485" s="38">
        <f t="shared" si="52"/>
        <v>0</v>
      </c>
      <c r="Q485" s="38">
        <f t="shared" si="53"/>
        <v>0</v>
      </c>
      <c r="R485" s="38">
        <f t="shared" si="54"/>
        <v>0</v>
      </c>
      <c r="S485" s="38">
        <f t="shared" si="55"/>
        <v>0</v>
      </c>
      <c r="T485" s="38">
        <f t="shared" si="56"/>
        <v>0</v>
      </c>
      <c r="U485" s="38">
        <f t="shared" si="57"/>
        <v>0</v>
      </c>
      <c r="V485" s="55"/>
      <c r="AE485" s="56"/>
    </row>
    <row r="486" spans="2:31" s="50" customFormat="1" ht="11.25" hidden="1">
      <c r="B486" s="69" t="s">
        <v>458</v>
      </c>
      <c r="C486" s="86"/>
      <c r="D486" s="30"/>
      <c r="E486" s="5"/>
      <c r="F486" s="5"/>
      <c r="G486" s="5"/>
      <c r="H486" s="5"/>
      <c r="I486" s="5"/>
      <c r="J486" s="5"/>
      <c r="K486" s="5"/>
      <c r="L486" s="5"/>
      <c r="M486" s="5"/>
      <c r="N486" s="5"/>
      <c r="O486" s="38">
        <f t="shared" si="51"/>
        <v>0</v>
      </c>
      <c r="P486" s="38">
        <f t="shared" si="52"/>
        <v>0</v>
      </c>
      <c r="Q486" s="38">
        <f t="shared" si="53"/>
        <v>0</v>
      </c>
      <c r="R486" s="38">
        <f t="shared" si="54"/>
        <v>0</v>
      </c>
      <c r="S486" s="38">
        <f t="shared" si="55"/>
        <v>0</v>
      </c>
      <c r="T486" s="38">
        <f t="shared" si="56"/>
        <v>0</v>
      </c>
      <c r="U486" s="38">
        <f t="shared" si="57"/>
        <v>0</v>
      </c>
      <c r="V486" s="55"/>
      <c r="AE486" s="56"/>
    </row>
    <row r="487" spans="2:31" s="50" customFormat="1" ht="11.25" hidden="1">
      <c r="B487" s="69" t="s">
        <v>458</v>
      </c>
      <c r="C487" s="86"/>
      <c r="D487" s="30"/>
      <c r="E487" s="5"/>
      <c r="F487" s="5"/>
      <c r="G487" s="5"/>
      <c r="H487" s="5"/>
      <c r="I487" s="5"/>
      <c r="J487" s="5"/>
      <c r="K487" s="5"/>
      <c r="L487" s="5"/>
      <c r="M487" s="5"/>
      <c r="N487" s="5"/>
      <c r="O487" s="38">
        <f t="shared" si="51"/>
        <v>0</v>
      </c>
      <c r="P487" s="38">
        <f t="shared" si="52"/>
        <v>0</v>
      </c>
      <c r="Q487" s="38">
        <f t="shared" si="53"/>
        <v>0</v>
      </c>
      <c r="R487" s="38">
        <f t="shared" si="54"/>
        <v>0</v>
      </c>
      <c r="S487" s="38">
        <f t="shared" si="55"/>
        <v>0</v>
      </c>
      <c r="T487" s="38">
        <f t="shared" si="56"/>
        <v>0</v>
      </c>
      <c r="U487" s="38">
        <f t="shared" si="57"/>
        <v>0</v>
      </c>
      <c r="V487" s="55"/>
      <c r="AE487" s="56"/>
    </row>
    <row r="488" spans="2:31" s="50" customFormat="1" ht="11.25" hidden="1">
      <c r="B488" s="69" t="s">
        <v>458</v>
      </c>
      <c r="C488" s="86"/>
      <c r="D488" s="30"/>
      <c r="E488" s="5"/>
      <c r="F488" s="5"/>
      <c r="G488" s="5"/>
      <c r="H488" s="5"/>
      <c r="I488" s="5"/>
      <c r="J488" s="5"/>
      <c r="K488" s="5"/>
      <c r="L488" s="5"/>
      <c r="M488" s="5"/>
      <c r="N488" s="5"/>
      <c r="O488" s="38">
        <f t="shared" si="51"/>
        <v>0</v>
      </c>
      <c r="P488" s="38">
        <f t="shared" si="52"/>
        <v>0</v>
      </c>
      <c r="Q488" s="38">
        <f t="shared" si="53"/>
        <v>0</v>
      </c>
      <c r="R488" s="38">
        <f t="shared" si="54"/>
        <v>0</v>
      </c>
      <c r="S488" s="38">
        <f t="shared" si="55"/>
        <v>0</v>
      </c>
      <c r="T488" s="38">
        <f t="shared" si="56"/>
        <v>0</v>
      </c>
      <c r="U488" s="38">
        <f t="shared" si="57"/>
        <v>0</v>
      </c>
      <c r="V488" s="55"/>
      <c r="AE488" s="56"/>
    </row>
    <row r="489" spans="2:31" s="50" customFormat="1" ht="11.25" hidden="1">
      <c r="B489" s="69" t="s">
        <v>458</v>
      </c>
      <c r="C489" s="86"/>
      <c r="D489" s="30"/>
      <c r="E489" s="5"/>
      <c r="F489" s="5"/>
      <c r="G489" s="5"/>
      <c r="H489" s="5"/>
      <c r="I489" s="5"/>
      <c r="J489" s="5"/>
      <c r="K489" s="5"/>
      <c r="L489" s="5"/>
      <c r="M489" s="5"/>
      <c r="N489" s="5"/>
      <c r="O489" s="38">
        <f t="shared" si="51"/>
        <v>0</v>
      </c>
      <c r="P489" s="38">
        <f t="shared" si="52"/>
        <v>0</v>
      </c>
      <c r="Q489" s="38">
        <f t="shared" si="53"/>
        <v>0</v>
      </c>
      <c r="R489" s="38">
        <f t="shared" si="54"/>
        <v>0</v>
      </c>
      <c r="S489" s="38">
        <f t="shared" si="55"/>
        <v>0</v>
      </c>
      <c r="T489" s="38">
        <f t="shared" si="56"/>
        <v>0</v>
      </c>
      <c r="U489" s="38">
        <f t="shared" si="57"/>
        <v>0</v>
      </c>
      <c r="V489" s="55"/>
      <c r="AE489" s="56"/>
    </row>
    <row r="490" spans="2:31" s="50" customFormat="1" ht="11.25" hidden="1">
      <c r="B490" s="69" t="s">
        <v>458</v>
      </c>
      <c r="C490" s="86"/>
      <c r="D490" s="30"/>
      <c r="E490" s="5"/>
      <c r="F490" s="5"/>
      <c r="G490" s="5"/>
      <c r="H490" s="5"/>
      <c r="I490" s="5"/>
      <c r="J490" s="5"/>
      <c r="K490" s="5"/>
      <c r="L490" s="5"/>
      <c r="M490" s="5"/>
      <c r="N490" s="5"/>
      <c r="O490" s="38">
        <f t="shared" si="51"/>
        <v>0</v>
      </c>
      <c r="P490" s="38">
        <f t="shared" si="52"/>
        <v>0</v>
      </c>
      <c r="Q490" s="38">
        <f t="shared" si="53"/>
        <v>0</v>
      </c>
      <c r="R490" s="38">
        <f t="shared" si="54"/>
        <v>0</v>
      </c>
      <c r="S490" s="38">
        <f t="shared" si="55"/>
        <v>0</v>
      </c>
      <c r="T490" s="38">
        <f t="shared" si="56"/>
        <v>0</v>
      </c>
      <c r="U490" s="38">
        <f t="shared" si="57"/>
        <v>0</v>
      </c>
      <c r="V490" s="55"/>
      <c r="AE490" s="56"/>
    </row>
    <row r="491" spans="2:31" s="50" customFormat="1" ht="11.25" hidden="1">
      <c r="B491" s="69" t="s">
        <v>458</v>
      </c>
      <c r="C491" s="86"/>
      <c r="D491" s="30"/>
      <c r="E491" s="5"/>
      <c r="F491" s="5"/>
      <c r="G491" s="5"/>
      <c r="H491" s="5"/>
      <c r="I491" s="5"/>
      <c r="J491" s="5"/>
      <c r="K491" s="5"/>
      <c r="L491" s="5"/>
      <c r="M491" s="5"/>
      <c r="N491" s="5"/>
      <c r="O491" s="38">
        <f t="shared" si="51"/>
        <v>0</v>
      </c>
      <c r="P491" s="38">
        <f t="shared" si="52"/>
        <v>0</v>
      </c>
      <c r="Q491" s="38">
        <f t="shared" si="53"/>
        <v>0</v>
      </c>
      <c r="R491" s="38">
        <f t="shared" si="54"/>
        <v>0</v>
      </c>
      <c r="S491" s="38">
        <f t="shared" si="55"/>
        <v>0</v>
      </c>
      <c r="T491" s="38">
        <f t="shared" si="56"/>
        <v>0</v>
      </c>
      <c r="U491" s="38">
        <f t="shared" si="57"/>
        <v>0</v>
      </c>
      <c r="V491" s="55"/>
      <c r="AE491" s="56"/>
    </row>
    <row r="492" spans="2:31" s="50" customFormat="1" ht="11.25" hidden="1">
      <c r="B492" s="69" t="s">
        <v>458</v>
      </c>
      <c r="C492" s="86"/>
      <c r="D492" s="30"/>
      <c r="E492" s="5"/>
      <c r="F492" s="5"/>
      <c r="G492" s="5"/>
      <c r="H492" s="5"/>
      <c r="I492" s="5"/>
      <c r="J492" s="5"/>
      <c r="K492" s="5"/>
      <c r="L492" s="5"/>
      <c r="M492" s="5"/>
      <c r="N492" s="5"/>
      <c r="O492" s="38">
        <f t="shared" si="51"/>
        <v>0</v>
      </c>
      <c r="P492" s="38">
        <f t="shared" si="52"/>
        <v>0</v>
      </c>
      <c r="Q492" s="38">
        <f t="shared" si="53"/>
        <v>0</v>
      </c>
      <c r="R492" s="38">
        <f t="shared" si="54"/>
        <v>0</v>
      </c>
      <c r="S492" s="38">
        <f t="shared" si="55"/>
        <v>0</v>
      </c>
      <c r="T492" s="38">
        <f t="shared" si="56"/>
        <v>0</v>
      </c>
      <c r="U492" s="38">
        <f t="shared" si="57"/>
        <v>0</v>
      </c>
      <c r="V492" s="55"/>
      <c r="AE492" s="56"/>
    </row>
    <row r="493" spans="2:31" s="50" customFormat="1" ht="11.25" hidden="1">
      <c r="B493" s="69" t="s">
        <v>458</v>
      </c>
      <c r="C493" s="86"/>
      <c r="D493" s="30"/>
      <c r="E493" s="5"/>
      <c r="F493" s="5"/>
      <c r="G493" s="5"/>
      <c r="H493" s="5"/>
      <c r="I493" s="5"/>
      <c r="J493" s="5"/>
      <c r="K493" s="5"/>
      <c r="L493" s="5"/>
      <c r="M493" s="5"/>
      <c r="N493" s="5"/>
      <c r="O493" s="38">
        <f t="shared" si="51"/>
        <v>0</v>
      </c>
      <c r="P493" s="38">
        <f t="shared" si="52"/>
        <v>0</v>
      </c>
      <c r="Q493" s="38">
        <f t="shared" si="53"/>
        <v>0</v>
      </c>
      <c r="R493" s="38">
        <f t="shared" si="54"/>
        <v>0</v>
      </c>
      <c r="S493" s="38">
        <f t="shared" si="55"/>
        <v>0</v>
      </c>
      <c r="T493" s="38">
        <f t="shared" si="56"/>
        <v>0</v>
      </c>
      <c r="U493" s="38">
        <f t="shared" si="57"/>
        <v>0</v>
      </c>
      <c r="V493" s="55"/>
      <c r="AE493" s="56"/>
    </row>
    <row r="494" spans="2:31" s="50" customFormat="1" ht="11.25" hidden="1">
      <c r="B494" s="69" t="s">
        <v>458</v>
      </c>
      <c r="C494" s="86"/>
      <c r="D494" s="30"/>
      <c r="E494" s="5"/>
      <c r="F494" s="5"/>
      <c r="G494" s="5"/>
      <c r="H494" s="5"/>
      <c r="I494" s="5"/>
      <c r="J494" s="5"/>
      <c r="K494" s="5"/>
      <c r="L494" s="5"/>
      <c r="M494" s="5"/>
      <c r="N494" s="5"/>
      <c r="O494" s="38">
        <f t="shared" si="51"/>
        <v>0</v>
      </c>
      <c r="P494" s="38">
        <f t="shared" si="52"/>
        <v>0</v>
      </c>
      <c r="Q494" s="38">
        <f t="shared" si="53"/>
        <v>0</v>
      </c>
      <c r="R494" s="38">
        <f t="shared" si="54"/>
        <v>0</v>
      </c>
      <c r="S494" s="38">
        <f t="shared" si="55"/>
        <v>0</v>
      </c>
      <c r="T494" s="38">
        <f t="shared" si="56"/>
        <v>0</v>
      </c>
      <c r="U494" s="38">
        <f t="shared" si="57"/>
        <v>0</v>
      </c>
      <c r="V494" s="55"/>
      <c r="AE494" s="56"/>
    </row>
    <row r="495" spans="2:31" s="50" customFormat="1" ht="11.25" hidden="1">
      <c r="B495" s="69" t="s">
        <v>458</v>
      </c>
      <c r="C495" s="86"/>
      <c r="D495" s="30"/>
      <c r="E495" s="5"/>
      <c r="F495" s="5"/>
      <c r="G495" s="5"/>
      <c r="H495" s="5"/>
      <c r="I495" s="5"/>
      <c r="J495" s="5"/>
      <c r="K495" s="5"/>
      <c r="L495" s="5"/>
      <c r="M495" s="5"/>
      <c r="N495" s="5"/>
      <c r="O495" s="38">
        <f t="shared" si="51"/>
        <v>0</v>
      </c>
      <c r="P495" s="38">
        <f t="shared" si="52"/>
        <v>0</v>
      </c>
      <c r="Q495" s="38">
        <f t="shared" si="53"/>
        <v>0</v>
      </c>
      <c r="R495" s="38">
        <f t="shared" si="54"/>
        <v>0</v>
      </c>
      <c r="S495" s="38">
        <f t="shared" si="55"/>
        <v>0</v>
      </c>
      <c r="T495" s="38">
        <f t="shared" si="56"/>
        <v>0</v>
      </c>
      <c r="U495" s="38">
        <f t="shared" si="57"/>
        <v>0</v>
      </c>
      <c r="V495" s="55"/>
      <c r="AE495" s="56"/>
    </row>
    <row r="496" spans="2:31" s="50" customFormat="1" ht="11.25" hidden="1">
      <c r="B496" s="69" t="s">
        <v>458</v>
      </c>
      <c r="C496" s="86"/>
      <c r="D496" s="30"/>
      <c r="E496" s="5"/>
      <c r="F496" s="5"/>
      <c r="G496" s="5"/>
      <c r="H496" s="5"/>
      <c r="I496" s="5"/>
      <c r="J496" s="5"/>
      <c r="K496" s="5"/>
      <c r="L496" s="5"/>
      <c r="M496" s="5"/>
      <c r="N496" s="5"/>
      <c r="O496" s="38">
        <f t="shared" si="51"/>
        <v>0</v>
      </c>
      <c r="P496" s="38">
        <f t="shared" si="52"/>
        <v>0</v>
      </c>
      <c r="Q496" s="38">
        <f t="shared" si="53"/>
        <v>0</v>
      </c>
      <c r="R496" s="38">
        <f t="shared" si="54"/>
        <v>0</v>
      </c>
      <c r="S496" s="38">
        <f t="shared" si="55"/>
        <v>0</v>
      </c>
      <c r="T496" s="38">
        <f t="shared" si="56"/>
        <v>0</v>
      </c>
      <c r="U496" s="38">
        <f t="shared" si="57"/>
        <v>0</v>
      </c>
      <c r="V496" s="55"/>
      <c r="AE496" s="56"/>
    </row>
    <row r="497" spans="2:31" s="50" customFormat="1" ht="11.25" hidden="1">
      <c r="B497" s="69" t="s">
        <v>458</v>
      </c>
      <c r="C497" s="86"/>
      <c r="D497" s="30"/>
      <c r="E497" s="5"/>
      <c r="F497" s="5"/>
      <c r="G497" s="5"/>
      <c r="H497" s="5"/>
      <c r="I497" s="5"/>
      <c r="J497" s="5"/>
      <c r="K497" s="5"/>
      <c r="L497" s="5"/>
      <c r="M497" s="5"/>
      <c r="N497" s="5"/>
      <c r="O497" s="38">
        <f t="shared" si="51"/>
        <v>0</v>
      </c>
      <c r="P497" s="38">
        <f t="shared" si="52"/>
        <v>0</v>
      </c>
      <c r="Q497" s="38">
        <f t="shared" si="53"/>
        <v>0</v>
      </c>
      <c r="R497" s="38">
        <f t="shared" si="54"/>
        <v>0</v>
      </c>
      <c r="S497" s="38">
        <f t="shared" si="55"/>
        <v>0</v>
      </c>
      <c r="T497" s="38">
        <f t="shared" si="56"/>
        <v>0</v>
      </c>
      <c r="U497" s="38">
        <f t="shared" si="57"/>
        <v>0</v>
      </c>
      <c r="V497" s="55"/>
      <c r="AE497" s="56"/>
    </row>
    <row r="498" spans="2:31" s="50" customFormat="1" ht="11.25" hidden="1">
      <c r="B498" s="69" t="s">
        <v>458</v>
      </c>
      <c r="C498" s="86"/>
      <c r="D498" s="30"/>
      <c r="E498" s="5"/>
      <c r="F498" s="5"/>
      <c r="G498" s="5"/>
      <c r="H498" s="5"/>
      <c r="I498" s="5"/>
      <c r="J498" s="5"/>
      <c r="K498" s="5"/>
      <c r="L498" s="5"/>
      <c r="M498" s="5"/>
      <c r="N498" s="5"/>
      <c r="O498" s="38">
        <f t="shared" si="51"/>
        <v>0</v>
      </c>
      <c r="P498" s="38">
        <f t="shared" si="52"/>
        <v>0</v>
      </c>
      <c r="Q498" s="38">
        <f t="shared" si="53"/>
        <v>0</v>
      </c>
      <c r="R498" s="38">
        <f t="shared" si="54"/>
        <v>0</v>
      </c>
      <c r="S498" s="38">
        <f t="shared" si="55"/>
        <v>0</v>
      </c>
      <c r="T498" s="38">
        <f t="shared" si="56"/>
        <v>0</v>
      </c>
      <c r="U498" s="38">
        <f t="shared" si="57"/>
        <v>0</v>
      </c>
      <c r="V498" s="55"/>
      <c r="AE498" s="56"/>
    </row>
    <row r="499" spans="2:31" s="50" customFormat="1" ht="11.25" hidden="1">
      <c r="B499" s="69" t="s">
        <v>458</v>
      </c>
      <c r="C499" s="86"/>
      <c r="D499" s="30"/>
      <c r="E499" s="5"/>
      <c r="F499" s="5"/>
      <c r="G499" s="5"/>
      <c r="H499" s="5"/>
      <c r="I499" s="5"/>
      <c r="J499" s="5"/>
      <c r="K499" s="5"/>
      <c r="L499" s="5"/>
      <c r="M499" s="5"/>
      <c r="N499" s="5"/>
      <c r="O499" s="38">
        <f t="shared" si="51"/>
        <v>0</v>
      </c>
      <c r="P499" s="38">
        <f t="shared" si="52"/>
        <v>0</v>
      </c>
      <c r="Q499" s="38">
        <f t="shared" si="53"/>
        <v>0</v>
      </c>
      <c r="R499" s="38">
        <f t="shared" si="54"/>
        <v>0</v>
      </c>
      <c r="S499" s="38">
        <f t="shared" si="55"/>
        <v>0</v>
      </c>
      <c r="T499" s="38">
        <f t="shared" si="56"/>
        <v>0</v>
      </c>
      <c r="U499" s="38">
        <f t="shared" si="57"/>
        <v>0</v>
      </c>
      <c r="V499" s="55"/>
      <c r="AE499" s="56"/>
    </row>
    <row r="500" spans="2:31" s="50" customFormat="1" ht="11.25" hidden="1">
      <c r="B500" s="69" t="s">
        <v>458</v>
      </c>
      <c r="C500" s="86"/>
      <c r="D500" s="30"/>
      <c r="E500" s="5"/>
      <c r="F500" s="5"/>
      <c r="G500" s="5"/>
      <c r="H500" s="5"/>
      <c r="I500" s="5"/>
      <c r="J500" s="5"/>
      <c r="K500" s="5"/>
      <c r="L500" s="5"/>
      <c r="M500" s="5"/>
      <c r="N500" s="5"/>
      <c r="O500" s="38">
        <f t="shared" si="51"/>
        <v>0</v>
      </c>
      <c r="P500" s="38">
        <f t="shared" si="52"/>
        <v>0</v>
      </c>
      <c r="Q500" s="38">
        <f t="shared" si="53"/>
        <v>0</v>
      </c>
      <c r="R500" s="38">
        <f t="shared" si="54"/>
        <v>0</v>
      </c>
      <c r="S500" s="38">
        <f t="shared" si="55"/>
        <v>0</v>
      </c>
      <c r="T500" s="38">
        <f t="shared" si="56"/>
        <v>0</v>
      </c>
      <c r="U500" s="38">
        <f t="shared" si="57"/>
        <v>0</v>
      </c>
      <c r="V500" s="55"/>
      <c r="AE500" s="56"/>
    </row>
    <row r="501" spans="2:31" s="50" customFormat="1" ht="11.25" hidden="1">
      <c r="B501" s="69" t="s">
        <v>458</v>
      </c>
      <c r="C501" s="86"/>
      <c r="D501" s="30"/>
      <c r="E501" s="5"/>
      <c r="F501" s="5"/>
      <c r="G501" s="5"/>
      <c r="H501" s="5"/>
      <c r="I501" s="5"/>
      <c r="J501" s="5"/>
      <c r="K501" s="5"/>
      <c r="L501" s="5"/>
      <c r="M501" s="5"/>
      <c r="N501" s="5"/>
      <c r="O501" s="38">
        <f t="shared" si="51"/>
        <v>0</v>
      </c>
      <c r="P501" s="38">
        <f t="shared" si="52"/>
        <v>0</v>
      </c>
      <c r="Q501" s="38">
        <f t="shared" si="53"/>
        <v>0</v>
      </c>
      <c r="R501" s="38">
        <f t="shared" si="54"/>
        <v>0</v>
      </c>
      <c r="S501" s="38">
        <f t="shared" si="55"/>
        <v>0</v>
      </c>
      <c r="T501" s="38">
        <f t="shared" si="56"/>
        <v>0</v>
      </c>
      <c r="U501" s="38">
        <f t="shared" si="57"/>
        <v>0</v>
      </c>
      <c r="V501" s="55"/>
      <c r="AE501" s="56"/>
    </row>
    <row r="502" spans="2:31" s="50" customFormat="1" ht="11.25" hidden="1">
      <c r="B502" s="69" t="s">
        <v>458</v>
      </c>
      <c r="C502" s="86"/>
      <c r="D502" s="30"/>
      <c r="E502" s="5"/>
      <c r="F502" s="5"/>
      <c r="G502" s="5"/>
      <c r="H502" s="5"/>
      <c r="I502" s="5"/>
      <c r="J502" s="5"/>
      <c r="K502" s="5"/>
      <c r="L502" s="5"/>
      <c r="M502" s="5"/>
      <c r="N502" s="5"/>
      <c r="O502" s="38">
        <f t="shared" si="51"/>
        <v>0</v>
      </c>
      <c r="P502" s="38">
        <f t="shared" si="52"/>
        <v>0</v>
      </c>
      <c r="Q502" s="38">
        <f t="shared" si="53"/>
        <v>0</v>
      </c>
      <c r="R502" s="38">
        <f t="shared" si="54"/>
        <v>0</v>
      </c>
      <c r="S502" s="38">
        <f t="shared" si="55"/>
        <v>0</v>
      </c>
      <c r="T502" s="38">
        <f t="shared" si="56"/>
        <v>0</v>
      </c>
      <c r="U502" s="38">
        <f t="shared" si="57"/>
        <v>0</v>
      </c>
      <c r="V502" s="55"/>
      <c r="AE502" s="56"/>
    </row>
    <row r="503" spans="2:31" s="50" customFormat="1" ht="11.25" hidden="1">
      <c r="B503" s="69" t="s">
        <v>458</v>
      </c>
      <c r="C503" s="86"/>
      <c r="D503" s="30"/>
      <c r="E503" s="5"/>
      <c r="F503" s="5"/>
      <c r="G503" s="5"/>
      <c r="H503" s="5"/>
      <c r="I503" s="5"/>
      <c r="J503" s="5"/>
      <c r="K503" s="5"/>
      <c r="L503" s="5"/>
      <c r="M503" s="5"/>
      <c r="N503" s="5"/>
      <c r="O503" s="38">
        <f t="shared" si="51"/>
        <v>0</v>
      </c>
      <c r="P503" s="38">
        <f t="shared" si="52"/>
        <v>0</v>
      </c>
      <c r="Q503" s="38">
        <f t="shared" si="53"/>
        <v>0</v>
      </c>
      <c r="R503" s="38">
        <f t="shared" si="54"/>
        <v>0</v>
      </c>
      <c r="S503" s="38">
        <f t="shared" si="55"/>
        <v>0</v>
      </c>
      <c r="T503" s="38">
        <f t="shared" si="56"/>
        <v>0</v>
      </c>
      <c r="U503" s="38">
        <f t="shared" si="57"/>
        <v>0</v>
      </c>
      <c r="V503" s="55"/>
      <c r="AE503" s="56"/>
    </row>
    <row r="504" spans="2:31" s="50" customFormat="1" ht="11.25" hidden="1">
      <c r="B504" s="69" t="s">
        <v>458</v>
      </c>
      <c r="C504" s="86"/>
      <c r="D504" s="30"/>
      <c r="E504" s="5"/>
      <c r="F504" s="5"/>
      <c r="G504" s="5"/>
      <c r="H504" s="5"/>
      <c r="I504" s="5"/>
      <c r="J504" s="5"/>
      <c r="K504" s="5"/>
      <c r="L504" s="5"/>
      <c r="M504" s="5"/>
      <c r="N504" s="5"/>
      <c r="O504" s="38">
        <f t="shared" si="51"/>
        <v>0</v>
      </c>
      <c r="P504" s="38">
        <f t="shared" si="52"/>
        <v>0</v>
      </c>
      <c r="Q504" s="38">
        <f t="shared" si="53"/>
        <v>0</v>
      </c>
      <c r="R504" s="38">
        <f t="shared" si="54"/>
        <v>0</v>
      </c>
      <c r="S504" s="38">
        <f t="shared" si="55"/>
        <v>0</v>
      </c>
      <c r="T504" s="38">
        <f t="shared" si="56"/>
        <v>0</v>
      </c>
      <c r="U504" s="38">
        <f t="shared" si="57"/>
        <v>0</v>
      </c>
      <c r="V504" s="55"/>
      <c r="AE504" s="56"/>
    </row>
    <row r="505" spans="2:31" s="50" customFormat="1" ht="11.25" hidden="1">
      <c r="B505" s="69" t="s">
        <v>458</v>
      </c>
      <c r="C505" s="86"/>
      <c r="D505" s="30"/>
      <c r="E505" s="5"/>
      <c r="F505" s="5"/>
      <c r="G505" s="5"/>
      <c r="H505" s="5"/>
      <c r="I505" s="5"/>
      <c r="J505" s="5"/>
      <c r="K505" s="5"/>
      <c r="L505" s="5"/>
      <c r="M505" s="5"/>
      <c r="N505" s="5"/>
      <c r="O505" s="38">
        <f t="shared" si="51"/>
        <v>0</v>
      </c>
      <c r="P505" s="38">
        <f t="shared" si="52"/>
        <v>0</v>
      </c>
      <c r="Q505" s="38">
        <f t="shared" si="53"/>
        <v>0</v>
      </c>
      <c r="R505" s="38">
        <f t="shared" si="54"/>
        <v>0</v>
      </c>
      <c r="S505" s="38">
        <f t="shared" si="55"/>
        <v>0</v>
      </c>
      <c r="T505" s="38">
        <f t="shared" si="56"/>
        <v>0</v>
      </c>
      <c r="U505" s="38">
        <f t="shared" si="57"/>
        <v>0</v>
      </c>
      <c r="V505" s="55"/>
      <c r="AE505" s="56"/>
    </row>
    <row r="506" spans="2:31" s="50" customFormat="1" ht="11.25" hidden="1">
      <c r="B506" s="69" t="s">
        <v>458</v>
      </c>
      <c r="C506" s="86"/>
      <c r="D506" s="30"/>
      <c r="E506" s="5"/>
      <c r="F506" s="5"/>
      <c r="G506" s="5"/>
      <c r="H506" s="5"/>
      <c r="I506" s="5"/>
      <c r="J506" s="5"/>
      <c r="K506" s="5"/>
      <c r="L506" s="5"/>
      <c r="M506" s="5"/>
      <c r="N506" s="5"/>
      <c r="O506" s="38">
        <f t="shared" si="51"/>
        <v>0</v>
      </c>
      <c r="P506" s="38">
        <f t="shared" si="52"/>
        <v>0</v>
      </c>
      <c r="Q506" s="38">
        <f t="shared" si="53"/>
        <v>0</v>
      </c>
      <c r="R506" s="38">
        <f t="shared" si="54"/>
        <v>0</v>
      </c>
      <c r="S506" s="38">
        <f t="shared" si="55"/>
        <v>0</v>
      </c>
      <c r="T506" s="38">
        <f t="shared" si="56"/>
        <v>0</v>
      </c>
      <c r="U506" s="38">
        <f t="shared" si="57"/>
        <v>0</v>
      </c>
      <c r="V506" s="55"/>
      <c r="AE506" s="56"/>
    </row>
    <row r="507" spans="2:31" s="50" customFormat="1" ht="11.25" hidden="1">
      <c r="B507" s="69" t="s">
        <v>458</v>
      </c>
      <c r="C507" s="86"/>
      <c r="D507" s="30"/>
      <c r="E507" s="5"/>
      <c r="F507" s="5"/>
      <c r="G507" s="5"/>
      <c r="H507" s="5"/>
      <c r="I507" s="5"/>
      <c r="J507" s="5"/>
      <c r="K507" s="5"/>
      <c r="L507" s="5"/>
      <c r="M507" s="5"/>
      <c r="N507" s="5"/>
      <c r="O507" s="38">
        <f t="shared" si="51"/>
        <v>0</v>
      </c>
      <c r="P507" s="38">
        <f t="shared" si="52"/>
        <v>0</v>
      </c>
      <c r="Q507" s="38">
        <f t="shared" si="53"/>
        <v>0</v>
      </c>
      <c r="R507" s="38">
        <f t="shared" si="54"/>
        <v>0</v>
      </c>
      <c r="S507" s="38">
        <f t="shared" si="55"/>
        <v>0</v>
      </c>
      <c r="T507" s="38">
        <f t="shared" si="56"/>
        <v>0</v>
      </c>
      <c r="U507" s="38">
        <f t="shared" si="57"/>
        <v>0</v>
      </c>
      <c r="V507" s="55"/>
      <c r="AE507" s="56"/>
    </row>
    <row r="508" spans="2:31" s="50" customFormat="1" ht="11.25" hidden="1">
      <c r="B508" s="69" t="s">
        <v>458</v>
      </c>
      <c r="C508" s="86"/>
      <c r="D508" s="30"/>
      <c r="E508" s="5"/>
      <c r="F508" s="5"/>
      <c r="G508" s="5"/>
      <c r="H508" s="5"/>
      <c r="I508" s="5"/>
      <c r="J508" s="5"/>
      <c r="K508" s="5"/>
      <c r="L508" s="5"/>
      <c r="M508" s="5"/>
      <c r="N508" s="5"/>
      <c r="O508" s="38">
        <f t="shared" si="51"/>
        <v>0</v>
      </c>
      <c r="P508" s="38">
        <f t="shared" si="52"/>
        <v>0</v>
      </c>
      <c r="Q508" s="38">
        <f t="shared" si="53"/>
        <v>0</v>
      </c>
      <c r="R508" s="38">
        <f t="shared" si="54"/>
        <v>0</v>
      </c>
      <c r="S508" s="38">
        <f t="shared" si="55"/>
        <v>0</v>
      </c>
      <c r="T508" s="38">
        <f t="shared" si="56"/>
        <v>0</v>
      </c>
      <c r="U508" s="38">
        <f t="shared" si="57"/>
        <v>0</v>
      </c>
      <c r="V508" s="55"/>
      <c r="AE508" s="56"/>
    </row>
    <row r="509" spans="2:31" s="50" customFormat="1" ht="11.25" hidden="1">
      <c r="B509" s="69" t="s">
        <v>458</v>
      </c>
      <c r="C509" s="86"/>
      <c r="D509" s="30"/>
      <c r="E509" s="5"/>
      <c r="F509" s="5"/>
      <c r="G509" s="5"/>
      <c r="H509" s="5"/>
      <c r="I509" s="5"/>
      <c r="J509" s="5"/>
      <c r="K509" s="5"/>
      <c r="L509" s="5"/>
      <c r="M509" s="5"/>
      <c r="N509" s="5"/>
      <c r="O509" s="38">
        <f t="shared" si="51"/>
        <v>0</v>
      </c>
      <c r="P509" s="38">
        <f t="shared" si="52"/>
        <v>0</v>
      </c>
      <c r="Q509" s="38">
        <f t="shared" si="53"/>
        <v>0</v>
      </c>
      <c r="R509" s="38">
        <f t="shared" si="54"/>
        <v>0</v>
      </c>
      <c r="S509" s="38">
        <f t="shared" si="55"/>
        <v>0</v>
      </c>
      <c r="T509" s="38">
        <f t="shared" si="56"/>
        <v>0</v>
      </c>
      <c r="U509" s="38">
        <f t="shared" si="57"/>
        <v>0</v>
      </c>
      <c r="V509" s="55"/>
      <c r="AE509" s="56"/>
    </row>
    <row r="510" spans="2:31" s="50" customFormat="1" ht="11.25" hidden="1">
      <c r="B510" s="69" t="s">
        <v>458</v>
      </c>
      <c r="C510" s="86"/>
      <c r="D510" s="30"/>
      <c r="E510" s="5"/>
      <c r="F510" s="5"/>
      <c r="G510" s="5"/>
      <c r="H510" s="5"/>
      <c r="I510" s="5"/>
      <c r="J510" s="5"/>
      <c r="K510" s="5"/>
      <c r="L510" s="5"/>
      <c r="M510" s="5"/>
      <c r="N510" s="5"/>
      <c r="O510" s="38">
        <f t="shared" si="51"/>
        <v>0</v>
      </c>
      <c r="P510" s="38">
        <f t="shared" si="52"/>
        <v>0</v>
      </c>
      <c r="Q510" s="38">
        <f t="shared" si="53"/>
        <v>0</v>
      </c>
      <c r="R510" s="38">
        <f t="shared" si="54"/>
        <v>0</v>
      </c>
      <c r="S510" s="38">
        <f t="shared" si="55"/>
        <v>0</v>
      </c>
      <c r="T510" s="38">
        <f t="shared" si="56"/>
        <v>0</v>
      </c>
      <c r="U510" s="38">
        <f t="shared" si="57"/>
        <v>0</v>
      </c>
      <c r="V510" s="55"/>
      <c r="AE510" s="56"/>
    </row>
    <row r="511" spans="2:31" s="50" customFormat="1" ht="11.25" hidden="1">
      <c r="B511" s="69" t="s">
        <v>458</v>
      </c>
      <c r="C511" s="86"/>
      <c r="D511" s="30"/>
      <c r="E511" s="5"/>
      <c r="F511" s="5"/>
      <c r="G511" s="5"/>
      <c r="H511" s="5"/>
      <c r="I511" s="5"/>
      <c r="J511" s="5"/>
      <c r="K511" s="5"/>
      <c r="L511" s="5"/>
      <c r="M511" s="5"/>
      <c r="N511" s="5"/>
      <c r="O511" s="38">
        <f t="shared" si="51"/>
        <v>0</v>
      </c>
      <c r="P511" s="38">
        <f t="shared" si="52"/>
        <v>0</v>
      </c>
      <c r="Q511" s="38">
        <f t="shared" si="53"/>
        <v>0</v>
      </c>
      <c r="R511" s="38">
        <f t="shared" si="54"/>
        <v>0</v>
      </c>
      <c r="S511" s="38">
        <f t="shared" si="55"/>
        <v>0</v>
      </c>
      <c r="T511" s="38">
        <f t="shared" si="56"/>
        <v>0</v>
      </c>
      <c r="U511" s="38">
        <f t="shared" si="57"/>
        <v>0</v>
      </c>
      <c r="V511" s="55"/>
      <c r="AE511" s="56"/>
    </row>
    <row r="512" spans="2:31" s="50" customFormat="1" ht="11.25" hidden="1">
      <c r="B512" s="69" t="s">
        <v>458</v>
      </c>
      <c r="C512" s="86"/>
      <c r="D512" s="30"/>
      <c r="E512" s="5"/>
      <c r="F512" s="5"/>
      <c r="G512" s="5"/>
      <c r="H512" s="5"/>
      <c r="I512" s="5"/>
      <c r="J512" s="5"/>
      <c r="K512" s="5"/>
      <c r="L512" s="5"/>
      <c r="M512" s="5"/>
      <c r="N512" s="5"/>
      <c r="O512" s="38">
        <f t="shared" si="51"/>
        <v>0</v>
      </c>
      <c r="P512" s="38">
        <f t="shared" si="52"/>
        <v>0</v>
      </c>
      <c r="Q512" s="38">
        <f t="shared" si="53"/>
        <v>0</v>
      </c>
      <c r="R512" s="38">
        <f t="shared" si="54"/>
        <v>0</v>
      </c>
      <c r="S512" s="38">
        <f t="shared" si="55"/>
        <v>0</v>
      </c>
      <c r="T512" s="38">
        <f t="shared" si="56"/>
        <v>0</v>
      </c>
      <c r="U512" s="38">
        <f t="shared" si="57"/>
        <v>0</v>
      </c>
      <c r="V512" s="55"/>
      <c r="AE512" s="56"/>
    </row>
    <row r="513" spans="2:31" s="50" customFormat="1" ht="11.25" hidden="1">
      <c r="B513" s="69" t="s">
        <v>458</v>
      </c>
      <c r="C513" s="86"/>
      <c r="D513" s="30"/>
      <c r="E513" s="5"/>
      <c r="F513" s="5"/>
      <c r="G513" s="5"/>
      <c r="H513" s="5"/>
      <c r="I513" s="5"/>
      <c r="J513" s="5"/>
      <c r="K513" s="5"/>
      <c r="L513" s="5"/>
      <c r="M513" s="5"/>
      <c r="N513" s="5"/>
      <c r="O513" s="38">
        <f t="shared" si="51"/>
        <v>0</v>
      </c>
      <c r="P513" s="38">
        <f t="shared" si="52"/>
        <v>0</v>
      </c>
      <c r="Q513" s="38">
        <f t="shared" si="53"/>
        <v>0</v>
      </c>
      <c r="R513" s="38">
        <f t="shared" si="54"/>
        <v>0</v>
      </c>
      <c r="S513" s="38">
        <f t="shared" si="55"/>
        <v>0</v>
      </c>
      <c r="T513" s="38">
        <f t="shared" si="56"/>
        <v>0</v>
      </c>
      <c r="U513" s="38">
        <f t="shared" si="57"/>
        <v>0</v>
      </c>
      <c r="V513" s="55"/>
      <c r="AE513" s="56"/>
    </row>
    <row r="514" spans="2:31" s="50" customFormat="1" ht="11.25" hidden="1">
      <c r="B514" s="69" t="s">
        <v>458</v>
      </c>
      <c r="C514" s="86"/>
      <c r="D514" s="30"/>
      <c r="E514" s="5"/>
      <c r="F514" s="5"/>
      <c r="G514" s="5"/>
      <c r="H514" s="5"/>
      <c r="I514" s="5"/>
      <c r="J514" s="5"/>
      <c r="K514" s="5"/>
      <c r="L514" s="5"/>
      <c r="M514" s="5"/>
      <c r="N514" s="5"/>
      <c r="O514" s="38">
        <f t="shared" si="51"/>
        <v>0</v>
      </c>
      <c r="P514" s="38">
        <f t="shared" si="52"/>
        <v>0</v>
      </c>
      <c r="Q514" s="38">
        <f t="shared" si="53"/>
        <v>0</v>
      </c>
      <c r="R514" s="38">
        <f t="shared" si="54"/>
        <v>0</v>
      </c>
      <c r="S514" s="38">
        <f t="shared" si="55"/>
        <v>0</v>
      </c>
      <c r="T514" s="38">
        <f t="shared" si="56"/>
        <v>0</v>
      </c>
      <c r="U514" s="38">
        <f t="shared" si="57"/>
        <v>0</v>
      </c>
      <c r="V514" s="55"/>
      <c r="AE514" s="56"/>
    </row>
    <row r="515" spans="2:31" s="50" customFormat="1" ht="11.25" hidden="1">
      <c r="B515" s="69" t="s">
        <v>458</v>
      </c>
      <c r="C515" s="86"/>
      <c r="D515" s="30"/>
      <c r="E515" s="5"/>
      <c r="F515" s="5"/>
      <c r="G515" s="5"/>
      <c r="H515" s="5"/>
      <c r="I515" s="5"/>
      <c r="J515" s="5"/>
      <c r="K515" s="5"/>
      <c r="L515" s="5"/>
      <c r="M515" s="5"/>
      <c r="N515" s="5"/>
      <c r="O515" s="38">
        <f t="shared" si="51"/>
        <v>0</v>
      </c>
      <c r="P515" s="38">
        <f t="shared" si="52"/>
        <v>0</v>
      </c>
      <c r="Q515" s="38">
        <f t="shared" si="53"/>
        <v>0</v>
      </c>
      <c r="R515" s="38">
        <f t="shared" si="54"/>
        <v>0</v>
      </c>
      <c r="S515" s="38">
        <f t="shared" si="55"/>
        <v>0</v>
      </c>
      <c r="T515" s="38">
        <f t="shared" si="56"/>
        <v>0</v>
      </c>
      <c r="U515" s="38">
        <f t="shared" si="57"/>
        <v>0</v>
      </c>
      <c r="V515" s="55"/>
      <c r="AE515" s="56"/>
    </row>
    <row r="516" spans="2:31" s="50" customFormat="1" ht="11.25" hidden="1">
      <c r="B516" s="69" t="s">
        <v>458</v>
      </c>
      <c r="C516" s="86"/>
      <c r="D516" s="30"/>
      <c r="E516" s="5"/>
      <c r="F516" s="5"/>
      <c r="G516" s="5"/>
      <c r="H516" s="5"/>
      <c r="I516" s="5"/>
      <c r="J516" s="5"/>
      <c r="K516" s="5"/>
      <c r="L516" s="5"/>
      <c r="M516" s="5"/>
      <c r="N516" s="5"/>
      <c r="O516" s="38">
        <f t="shared" si="51"/>
        <v>0</v>
      </c>
      <c r="P516" s="38">
        <f t="shared" si="52"/>
        <v>0</v>
      </c>
      <c r="Q516" s="38">
        <f t="shared" si="53"/>
        <v>0</v>
      </c>
      <c r="R516" s="38">
        <f t="shared" si="54"/>
        <v>0</v>
      </c>
      <c r="S516" s="38">
        <f t="shared" si="55"/>
        <v>0</v>
      </c>
      <c r="T516" s="38">
        <f t="shared" si="56"/>
        <v>0</v>
      </c>
      <c r="U516" s="38">
        <f t="shared" si="57"/>
        <v>0</v>
      </c>
      <c r="V516" s="55"/>
      <c r="AE516" s="56"/>
    </row>
    <row r="517" spans="2:31" s="50" customFormat="1" ht="11.25" hidden="1">
      <c r="B517" s="69" t="s">
        <v>458</v>
      </c>
      <c r="C517" s="86"/>
      <c r="D517" s="30"/>
      <c r="E517" s="5"/>
      <c r="F517" s="5"/>
      <c r="G517" s="5"/>
      <c r="H517" s="5"/>
      <c r="I517" s="5"/>
      <c r="J517" s="5"/>
      <c r="K517" s="5"/>
      <c r="L517" s="5"/>
      <c r="M517" s="5"/>
      <c r="N517" s="5"/>
      <c r="O517" s="38">
        <f t="shared" si="51"/>
        <v>0</v>
      </c>
      <c r="P517" s="38">
        <f t="shared" si="52"/>
        <v>0</v>
      </c>
      <c r="Q517" s="38">
        <f t="shared" si="53"/>
        <v>0</v>
      </c>
      <c r="R517" s="38">
        <f t="shared" si="54"/>
        <v>0</v>
      </c>
      <c r="S517" s="38">
        <f t="shared" si="55"/>
        <v>0</v>
      </c>
      <c r="T517" s="38">
        <f t="shared" si="56"/>
        <v>0</v>
      </c>
      <c r="U517" s="38">
        <f t="shared" si="57"/>
        <v>0</v>
      </c>
      <c r="V517" s="55"/>
      <c r="AE517" s="56"/>
    </row>
    <row r="518" spans="2:31" s="50" customFormat="1" ht="11.25" hidden="1">
      <c r="B518" s="69" t="s">
        <v>458</v>
      </c>
      <c r="C518" s="86"/>
      <c r="D518" s="30"/>
      <c r="E518" s="5"/>
      <c r="F518" s="5"/>
      <c r="G518" s="5"/>
      <c r="H518" s="5"/>
      <c r="I518" s="5"/>
      <c r="J518" s="5"/>
      <c r="K518" s="5"/>
      <c r="L518" s="5"/>
      <c r="M518" s="5"/>
      <c r="N518" s="5"/>
      <c r="O518" s="38">
        <f t="shared" si="51"/>
        <v>0</v>
      </c>
      <c r="P518" s="38">
        <f t="shared" si="52"/>
        <v>0</v>
      </c>
      <c r="Q518" s="38">
        <f t="shared" si="53"/>
        <v>0</v>
      </c>
      <c r="R518" s="38">
        <f t="shared" si="54"/>
        <v>0</v>
      </c>
      <c r="S518" s="38">
        <f t="shared" si="55"/>
        <v>0</v>
      </c>
      <c r="T518" s="38">
        <f t="shared" si="56"/>
        <v>0</v>
      </c>
      <c r="U518" s="38">
        <f t="shared" si="57"/>
        <v>0</v>
      </c>
      <c r="V518" s="55"/>
      <c r="AE518" s="56"/>
    </row>
    <row r="519" spans="2:31" s="50" customFormat="1" ht="11.25" hidden="1">
      <c r="B519" s="69" t="s">
        <v>458</v>
      </c>
      <c r="C519" s="86"/>
      <c r="D519" s="30"/>
      <c r="E519" s="5"/>
      <c r="F519" s="5"/>
      <c r="G519" s="5"/>
      <c r="H519" s="5"/>
      <c r="I519" s="5"/>
      <c r="J519" s="5"/>
      <c r="K519" s="5"/>
      <c r="L519" s="5"/>
      <c r="M519" s="5"/>
      <c r="N519" s="5"/>
      <c r="O519" s="38">
        <f t="shared" si="51"/>
        <v>0</v>
      </c>
      <c r="P519" s="38">
        <f t="shared" si="52"/>
        <v>0</v>
      </c>
      <c r="Q519" s="38">
        <f t="shared" si="53"/>
        <v>0</v>
      </c>
      <c r="R519" s="38">
        <f t="shared" si="54"/>
        <v>0</v>
      </c>
      <c r="S519" s="38">
        <f t="shared" si="55"/>
        <v>0</v>
      </c>
      <c r="T519" s="38">
        <f t="shared" si="56"/>
        <v>0</v>
      </c>
      <c r="U519" s="38">
        <f t="shared" si="57"/>
        <v>0</v>
      </c>
      <c r="V519" s="55"/>
      <c r="AE519" s="56"/>
    </row>
    <row r="520" spans="2:31" s="50" customFormat="1" ht="11.25" hidden="1">
      <c r="B520" s="69" t="s">
        <v>458</v>
      </c>
      <c r="C520" s="86"/>
      <c r="D520" s="30"/>
      <c r="E520" s="5"/>
      <c r="F520" s="5"/>
      <c r="G520" s="5"/>
      <c r="H520" s="5"/>
      <c r="I520" s="5"/>
      <c r="J520" s="5"/>
      <c r="K520" s="5"/>
      <c r="L520" s="5"/>
      <c r="M520" s="5"/>
      <c r="N520" s="5"/>
      <c r="O520" s="38">
        <f t="shared" si="51"/>
        <v>0</v>
      </c>
      <c r="P520" s="38">
        <f t="shared" si="52"/>
        <v>0</v>
      </c>
      <c r="Q520" s="38">
        <f t="shared" si="53"/>
        <v>0</v>
      </c>
      <c r="R520" s="38">
        <f t="shared" si="54"/>
        <v>0</v>
      </c>
      <c r="S520" s="38">
        <f t="shared" si="55"/>
        <v>0</v>
      </c>
      <c r="T520" s="38">
        <f t="shared" si="56"/>
        <v>0</v>
      </c>
      <c r="U520" s="38">
        <f t="shared" si="57"/>
        <v>0</v>
      </c>
      <c r="V520" s="55"/>
      <c r="AE520" s="56"/>
    </row>
    <row r="521" spans="2:31" s="50" customFormat="1" ht="11.25" hidden="1">
      <c r="B521" s="69" t="s">
        <v>458</v>
      </c>
      <c r="C521" s="86"/>
      <c r="D521" s="30"/>
      <c r="E521" s="5"/>
      <c r="F521" s="5"/>
      <c r="G521" s="5"/>
      <c r="H521" s="5"/>
      <c r="I521" s="5"/>
      <c r="J521" s="5"/>
      <c r="K521" s="5"/>
      <c r="L521" s="5"/>
      <c r="M521" s="5"/>
      <c r="N521" s="5"/>
      <c r="O521" s="38">
        <f t="shared" si="51"/>
        <v>0</v>
      </c>
      <c r="P521" s="38">
        <f t="shared" si="52"/>
        <v>0</v>
      </c>
      <c r="Q521" s="38">
        <f t="shared" si="53"/>
        <v>0</v>
      </c>
      <c r="R521" s="38">
        <f t="shared" si="54"/>
        <v>0</v>
      </c>
      <c r="S521" s="38">
        <f t="shared" si="55"/>
        <v>0</v>
      </c>
      <c r="T521" s="38">
        <f t="shared" si="56"/>
        <v>0</v>
      </c>
      <c r="U521" s="38">
        <f t="shared" si="57"/>
        <v>0</v>
      </c>
      <c r="V521" s="55"/>
      <c r="AE521" s="56"/>
    </row>
    <row r="522" spans="2:31" s="50" customFormat="1" ht="11.25" hidden="1">
      <c r="B522" s="69" t="s">
        <v>458</v>
      </c>
      <c r="C522" s="86"/>
      <c r="D522" s="30"/>
      <c r="E522" s="5"/>
      <c r="F522" s="5"/>
      <c r="G522" s="5"/>
      <c r="H522" s="5"/>
      <c r="I522" s="5"/>
      <c r="J522" s="5"/>
      <c r="K522" s="5"/>
      <c r="L522" s="5"/>
      <c r="M522" s="5"/>
      <c r="N522" s="5"/>
      <c r="O522" s="38">
        <f t="shared" ref="O522:O585" si="59">SUM(J522:N522)</f>
        <v>0</v>
      </c>
      <c r="P522" s="38">
        <f t="shared" ref="P522:P585" si="60">IF(I522=0,0,J522/I522*10)</f>
        <v>0</v>
      </c>
      <c r="Q522" s="38">
        <f t="shared" ref="Q522:Q585" si="61">IF(I522=0,0,L522/I522*10)</f>
        <v>0</v>
      </c>
      <c r="R522" s="38">
        <f t="shared" ref="R522:R585" si="62">IF(I522=0,0,M522/I522*10)</f>
        <v>0</v>
      </c>
      <c r="S522" s="38">
        <f t="shared" ref="S522:S585" si="63">IF(I522=0,0,N522/I522*10)</f>
        <v>0</v>
      </c>
      <c r="T522" s="38">
        <f t="shared" ref="T522:T585" si="64">IF(I522=0,0,K522/I522*10)</f>
        <v>0</v>
      </c>
      <c r="U522" s="38">
        <f t="shared" ref="U522:U585" si="65">IF(I522=0,0,O522/I522*10)</f>
        <v>0</v>
      </c>
      <c r="V522" s="55"/>
      <c r="AE522" s="56"/>
    </row>
    <row r="523" spans="2:31" s="50" customFormat="1" ht="11.25" hidden="1">
      <c r="B523" s="69" t="s">
        <v>458</v>
      </c>
      <c r="C523" s="86"/>
      <c r="D523" s="30"/>
      <c r="E523" s="5"/>
      <c r="F523" s="5"/>
      <c r="G523" s="5"/>
      <c r="H523" s="5"/>
      <c r="I523" s="5"/>
      <c r="J523" s="5"/>
      <c r="K523" s="5"/>
      <c r="L523" s="5"/>
      <c r="M523" s="5"/>
      <c r="N523" s="5"/>
      <c r="O523" s="38">
        <f t="shared" si="59"/>
        <v>0</v>
      </c>
      <c r="P523" s="38">
        <f t="shared" si="60"/>
        <v>0</v>
      </c>
      <c r="Q523" s="38">
        <f t="shared" si="61"/>
        <v>0</v>
      </c>
      <c r="R523" s="38">
        <f t="shared" si="62"/>
        <v>0</v>
      </c>
      <c r="S523" s="38">
        <f t="shared" si="63"/>
        <v>0</v>
      </c>
      <c r="T523" s="38">
        <f t="shared" si="64"/>
        <v>0</v>
      </c>
      <c r="U523" s="38">
        <f t="shared" si="65"/>
        <v>0</v>
      </c>
      <c r="V523" s="55"/>
      <c r="AE523" s="56"/>
    </row>
    <row r="524" spans="2:31" s="50" customFormat="1" ht="11.25" hidden="1">
      <c r="B524" s="69" t="s">
        <v>458</v>
      </c>
      <c r="C524" s="86"/>
      <c r="D524" s="30"/>
      <c r="E524" s="5"/>
      <c r="F524" s="5"/>
      <c r="G524" s="5"/>
      <c r="H524" s="5"/>
      <c r="I524" s="5"/>
      <c r="J524" s="5"/>
      <c r="K524" s="5"/>
      <c r="L524" s="5"/>
      <c r="M524" s="5"/>
      <c r="N524" s="5"/>
      <c r="O524" s="38">
        <f t="shared" si="59"/>
        <v>0</v>
      </c>
      <c r="P524" s="38">
        <f t="shared" si="60"/>
        <v>0</v>
      </c>
      <c r="Q524" s="38">
        <f t="shared" si="61"/>
        <v>0</v>
      </c>
      <c r="R524" s="38">
        <f t="shared" si="62"/>
        <v>0</v>
      </c>
      <c r="S524" s="38">
        <f t="shared" si="63"/>
        <v>0</v>
      </c>
      <c r="T524" s="38">
        <f t="shared" si="64"/>
        <v>0</v>
      </c>
      <c r="U524" s="38">
        <f t="shared" si="65"/>
        <v>0</v>
      </c>
      <c r="V524" s="55"/>
      <c r="AE524" s="56"/>
    </row>
    <row r="525" spans="2:31" s="50" customFormat="1" ht="11.25" hidden="1">
      <c r="B525" s="69" t="s">
        <v>458</v>
      </c>
      <c r="C525" s="86"/>
      <c r="D525" s="30"/>
      <c r="E525" s="5"/>
      <c r="F525" s="5"/>
      <c r="G525" s="5"/>
      <c r="H525" s="5"/>
      <c r="I525" s="5"/>
      <c r="J525" s="5"/>
      <c r="K525" s="5"/>
      <c r="L525" s="5"/>
      <c r="M525" s="5"/>
      <c r="N525" s="5"/>
      <c r="O525" s="38">
        <f t="shared" si="59"/>
        <v>0</v>
      </c>
      <c r="P525" s="38">
        <f t="shared" si="60"/>
        <v>0</v>
      </c>
      <c r="Q525" s="38">
        <f t="shared" si="61"/>
        <v>0</v>
      </c>
      <c r="R525" s="38">
        <f t="shared" si="62"/>
        <v>0</v>
      </c>
      <c r="S525" s="38">
        <f t="shared" si="63"/>
        <v>0</v>
      </c>
      <c r="T525" s="38">
        <f t="shared" si="64"/>
        <v>0</v>
      </c>
      <c r="U525" s="38">
        <f t="shared" si="65"/>
        <v>0</v>
      </c>
      <c r="V525" s="55"/>
      <c r="AE525" s="56"/>
    </row>
    <row r="526" spans="2:31" s="50" customFormat="1" ht="11.25" hidden="1">
      <c r="B526" s="69" t="s">
        <v>458</v>
      </c>
      <c r="C526" s="86"/>
      <c r="D526" s="30"/>
      <c r="E526" s="5"/>
      <c r="F526" s="5"/>
      <c r="G526" s="5"/>
      <c r="H526" s="5"/>
      <c r="I526" s="5"/>
      <c r="J526" s="5"/>
      <c r="K526" s="5"/>
      <c r="L526" s="5"/>
      <c r="M526" s="5"/>
      <c r="N526" s="5"/>
      <c r="O526" s="38">
        <f t="shared" si="59"/>
        <v>0</v>
      </c>
      <c r="P526" s="38">
        <f t="shared" si="60"/>
        <v>0</v>
      </c>
      <c r="Q526" s="38">
        <f t="shared" si="61"/>
        <v>0</v>
      </c>
      <c r="R526" s="38">
        <f t="shared" si="62"/>
        <v>0</v>
      </c>
      <c r="S526" s="38">
        <f t="shared" si="63"/>
        <v>0</v>
      </c>
      <c r="T526" s="38">
        <f t="shared" si="64"/>
        <v>0</v>
      </c>
      <c r="U526" s="38">
        <f t="shared" si="65"/>
        <v>0</v>
      </c>
      <c r="V526" s="55"/>
      <c r="AE526" s="56"/>
    </row>
    <row r="527" spans="2:31" s="50" customFormat="1" ht="11.25" hidden="1">
      <c r="B527" s="69" t="s">
        <v>458</v>
      </c>
      <c r="C527" s="86"/>
      <c r="D527" s="30"/>
      <c r="E527" s="5"/>
      <c r="F527" s="5"/>
      <c r="G527" s="5"/>
      <c r="H527" s="5"/>
      <c r="I527" s="5"/>
      <c r="J527" s="5"/>
      <c r="K527" s="5"/>
      <c r="L527" s="5"/>
      <c r="M527" s="5"/>
      <c r="N527" s="5"/>
      <c r="O527" s="38">
        <f t="shared" si="59"/>
        <v>0</v>
      </c>
      <c r="P527" s="38">
        <f t="shared" si="60"/>
        <v>0</v>
      </c>
      <c r="Q527" s="38">
        <f t="shared" si="61"/>
        <v>0</v>
      </c>
      <c r="R527" s="38">
        <f t="shared" si="62"/>
        <v>0</v>
      </c>
      <c r="S527" s="38">
        <f t="shared" si="63"/>
        <v>0</v>
      </c>
      <c r="T527" s="38">
        <f t="shared" si="64"/>
        <v>0</v>
      </c>
      <c r="U527" s="38">
        <f t="shared" si="65"/>
        <v>0</v>
      </c>
      <c r="V527" s="55"/>
      <c r="AE527" s="56"/>
    </row>
    <row r="528" spans="2:31" s="50" customFormat="1" ht="11.25" hidden="1">
      <c r="B528" s="69" t="s">
        <v>458</v>
      </c>
      <c r="C528" s="86"/>
      <c r="D528" s="30"/>
      <c r="E528" s="5"/>
      <c r="F528" s="5"/>
      <c r="G528" s="5"/>
      <c r="H528" s="5"/>
      <c r="I528" s="5"/>
      <c r="J528" s="5"/>
      <c r="K528" s="5"/>
      <c r="L528" s="5"/>
      <c r="M528" s="5"/>
      <c r="N528" s="5"/>
      <c r="O528" s="38">
        <f t="shared" si="59"/>
        <v>0</v>
      </c>
      <c r="P528" s="38">
        <f t="shared" si="60"/>
        <v>0</v>
      </c>
      <c r="Q528" s="38">
        <f t="shared" si="61"/>
        <v>0</v>
      </c>
      <c r="R528" s="38">
        <f t="shared" si="62"/>
        <v>0</v>
      </c>
      <c r="S528" s="38">
        <f t="shared" si="63"/>
        <v>0</v>
      </c>
      <c r="T528" s="38">
        <f t="shared" si="64"/>
        <v>0</v>
      </c>
      <c r="U528" s="38">
        <f t="shared" si="65"/>
        <v>0</v>
      </c>
      <c r="V528" s="55"/>
      <c r="AE528" s="56"/>
    </row>
    <row r="529" spans="2:31" s="50" customFormat="1" ht="11.25" hidden="1">
      <c r="B529" s="69" t="s">
        <v>458</v>
      </c>
      <c r="C529" s="86"/>
      <c r="D529" s="30"/>
      <c r="E529" s="5"/>
      <c r="F529" s="5"/>
      <c r="G529" s="5"/>
      <c r="H529" s="5"/>
      <c r="I529" s="5"/>
      <c r="J529" s="5"/>
      <c r="K529" s="5"/>
      <c r="L529" s="5"/>
      <c r="M529" s="5"/>
      <c r="N529" s="5"/>
      <c r="O529" s="38">
        <f t="shared" si="59"/>
        <v>0</v>
      </c>
      <c r="P529" s="38">
        <f t="shared" si="60"/>
        <v>0</v>
      </c>
      <c r="Q529" s="38">
        <f t="shared" si="61"/>
        <v>0</v>
      </c>
      <c r="R529" s="38">
        <f t="shared" si="62"/>
        <v>0</v>
      </c>
      <c r="S529" s="38">
        <f t="shared" si="63"/>
        <v>0</v>
      </c>
      <c r="T529" s="38">
        <f t="shared" si="64"/>
        <v>0</v>
      </c>
      <c r="U529" s="38">
        <f t="shared" si="65"/>
        <v>0</v>
      </c>
      <c r="V529" s="55"/>
      <c r="AE529" s="56"/>
    </row>
    <row r="530" spans="2:31" s="50" customFormat="1" ht="11.25" hidden="1">
      <c r="B530" s="69" t="s">
        <v>458</v>
      </c>
      <c r="C530" s="86"/>
      <c r="D530" s="30"/>
      <c r="E530" s="5"/>
      <c r="F530" s="5"/>
      <c r="G530" s="5"/>
      <c r="H530" s="5"/>
      <c r="I530" s="5"/>
      <c r="J530" s="5"/>
      <c r="K530" s="5"/>
      <c r="L530" s="5"/>
      <c r="M530" s="5"/>
      <c r="N530" s="5"/>
      <c r="O530" s="38">
        <f t="shared" si="59"/>
        <v>0</v>
      </c>
      <c r="P530" s="38">
        <f t="shared" si="60"/>
        <v>0</v>
      </c>
      <c r="Q530" s="38">
        <f t="shared" si="61"/>
        <v>0</v>
      </c>
      <c r="R530" s="38">
        <f t="shared" si="62"/>
        <v>0</v>
      </c>
      <c r="S530" s="38">
        <f t="shared" si="63"/>
        <v>0</v>
      </c>
      <c r="T530" s="38">
        <f t="shared" si="64"/>
        <v>0</v>
      </c>
      <c r="U530" s="38">
        <f t="shared" si="65"/>
        <v>0</v>
      </c>
      <c r="V530" s="55"/>
      <c r="AE530" s="56"/>
    </row>
    <row r="531" spans="2:31" s="50" customFormat="1" ht="11.25" hidden="1">
      <c r="B531" s="69" t="s">
        <v>458</v>
      </c>
      <c r="C531" s="86"/>
      <c r="D531" s="30"/>
      <c r="E531" s="5"/>
      <c r="F531" s="5"/>
      <c r="G531" s="5"/>
      <c r="H531" s="5"/>
      <c r="I531" s="5"/>
      <c r="J531" s="5"/>
      <c r="K531" s="5"/>
      <c r="L531" s="5"/>
      <c r="M531" s="5"/>
      <c r="N531" s="5"/>
      <c r="O531" s="38">
        <f t="shared" si="59"/>
        <v>0</v>
      </c>
      <c r="P531" s="38">
        <f t="shared" si="60"/>
        <v>0</v>
      </c>
      <c r="Q531" s="38">
        <f t="shared" si="61"/>
        <v>0</v>
      </c>
      <c r="R531" s="38">
        <f t="shared" si="62"/>
        <v>0</v>
      </c>
      <c r="S531" s="38">
        <f t="shared" si="63"/>
        <v>0</v>
      </c>
      <c r="T531" s="38">
        <f t="shared" si="64"/>
        <v>0</v>
      </c>
      <c r="U531" s="38">
        <f t="shared" si="65"/>
        <v>0</v>
      </c>
      <c r="V531" s="55"/>
      <c r="AE531" s="56"/>
    </row>
    <row r="532" spans="2:31" s="50" customFormat="1" ht="11.25" hidden="1">
      <c r="B532" s="69" t="s">
        <v>458</v>
      </c>
      <c r="C532" s="86"/>
      <c r="D532" s="30"/>
      <c r="E532" s="5"/>
      <c r="F532" s="5"/>
      <c r="G532" s="5"/>
      <c r="H532" s="5"/>
      <c r="I532" s="5"/>
      <c r="J532" s="5"/>
      <c r="K532" s="5"/>
      <c r="L532" s="5"/>
      <c r="M532" s="5"/>
      <c r="N532" s="5"/>
      <c r="O532" s="38">
        <f t="shared" si="59"/>
        <v>0</v>
      </c>
      <c r="P532" s="38">
        <f t="shared" si="60"/>
        <v>0</v>
      </c>
      <c r="Q532" s="38">
        <f t="shared" si="61"/>
        <v>0</v>
      </c>
      <c r="R532" s="38">
        <f t="shared" si="62"/>
        <v>0</v>
      </c>
      <c r="S532" s="38">
        <f t="shared" si="63"/>
        <v>0</v>
      </c>
      <c r="T532" s="38">
        <f t="shared" si="64"/>
        <v>0</v>
      </c>
      <c r="U532" s="38">
        <f t="shared" si="65"/>
        <v>0</v>
      </c>
      <c r="V532" s="55"/>
      <c r="AE532" s="56"/>
    </row>
    <row r="533" spans="2:31" s="50" customFormat="1" ht="11.25" hidden="1">
      <c r="B533" s="69" t="s">
        <v>458</v>
      </c>
      <c r="C533" s="86"/>
      <c r="D533" s="30"/>
      <c r="E533" s="5"/>
      <c r="F533" s="5"/>
      <c r="G533" s="5"/>
      <c r="H533" s="5"/>
      <c r="I533" s="5"/>
      <c r="J533" s="5"/>
      <c r="K533" s="5"/>
      <c r="L533" s="5"/>
      <c r="M533" s="5"/>
      <c r="N533" s="5"/>
      <c r="O533" s="38">
        <f t="shared" si="59"/>
        <v>0</v>
      </c>
      <c r="P533" s="38">
        <f t="shared" si="60"/>
        <v>0</v>
      </c>
      <c r="Q533" s="38">
        <f t="shared" si="61"/>
        <v>0</v>
      </c>
      <c r="R533" s="38">
        <f t="shared" si="62"/>
        <v>0</v>
      </c>
      <c r="S533" s="38">
        <f t="shared" si="63"/>
        <v>0</v>
      </c>
      <c r="T533" s="38">
        <f t="shared" si="64"/>
        <v>0</v>
      </c>
      <c r="U533" s="38">
        <f t="shared" si="65"/>
        <v>0</v>
      </c>
      <c r="V533" s="55"/>
      <c r="AE533" s="56"/>
    </row>
    <row r="534" spans="2:31" s="50" customFormat="1" ht="11.25" hidden="1">
      <c r="B534" s="69" t="s">
        <v>458</v>
      </c>
      <c r="C534" s="86"/>
      <c r="D534" s="30"/>
      <c r="E534" s="5"/>
      <c r="F534" s="5"/>
      <c r="G534" s="5"/>
      <c r="H534" s="5"/>
      <c r="I534" s="5"/>
      <c r="J534" s="5"/>
      <c r="K534" s="5"/>
      <c r="L534" s="5"/>
      <c r="M534" s="5"/>
      <c r="N534" s="5"/>
      <c r="O534" s="38">
        <f t="shared" si="59"/>
        <v>0</v>
      </c>
      <c r="P534" s="38">
        <f t="shared" si="60"/>
        <v>0</v>
      </c>
      <c r="Q534" s="38">
        <f t="shared" si="61"/>
        <v>0</v>
      </c>
      <c r="R534" s="38">
        <f t="shared" si="62"/>
        <v>0</v>
      </c>
      <c r="S534" s="38">
        <f t="shared" si="63"/>
        <v>0</v>
      </c>
      <c r="T534" s="38">
        <f t="shared" si="64"/>
        <v>0</v>
      </c>
      <c r="U534" s="38">
        <f t="shared" si="65"/>
        <v>0</v>
      </c>
      <c r="V534" s="55"/>
      <c r="AE534" s="56"/>
    </row>
    <row r="535" spans="2:31" s="50" customFormat="1" ht="11.25" hidden="1">
      <c r="B535" s="69" t="s">
        <v>458</v>
      </c>
      <c r="C535" s="86"/>
      <c r="D535" s="30"/>
      <c r="E535" s="5"/>
      <c r="F535" s="5"/>
      <c r="G535" s="5"/>
      <c r="H535" s="5"/>
      <c r="I535" s="5"/>
      <c r="J535" s="5"/>
      <c r="K535" s="5"/>
      <c r="L535" s="5"/>
      <c r="M535" s="5"/>
      <c r="N535" s="5"/>
      <c r="O535" s="38">
        <f t="shared" si="59"/>
        <v>0</v>
      </c>
      <c r="P535" s="38">
        <f t="shared" si="60"/>
        <v>0</v>
      </c>
      <c r="Q535" s="38">
        <f t="shared" si="61"/>
        <v>0</v>
      </c>
      <c r="R535" s="38">
        <f t="shared" si="62"/>
        <v>0</v>
      </c>
      <c r="S535" s="38">
        <f t="shared" si="63"/>
        <v>0</v>
      </c>
      <c r="T535" s="38">
        <f t="shared" si="64"/>
        <v>0</v>
      </c>
      <c r="U535" s="38">
        <f t="shared" si="65"/>
        <v>0</v>
      </c>
      <c r="V535" s="55"/>
      <c r="AE535" s="56"/>
    </row>
    <row r="536" spans="2:31" s="50" customFormat="1" ht="11.25" hidden="1">
      <c r="B536" s="69" t="s">
        <v>458</v>
      </c>
      <c r="C536" s="86"/>
      <c r="D536" s="30"/>
      <c r="E536" s="5"/>
      <c r="F536" s="5"/>
      <c r="G536" s="5"/>
      <c r="H536" s="5"/>
      <c r="I536" s="5"/>
      <c r="J536" s="5"/>
      <c r="K536" s="5"/>
      <c r="L536" s="5"/>
      <c r="M536" s="5"/>
      <c r="N536" s="5"/>
      <c r="O536" s="38">
        <f t="shared" si="59"/>
        <v>0</v>
      </c>
      <c r="P536" s="38">
        <f t="shared" si="60"/>
        <v>0</v>
      </c>
      <c r="Q536" s="38">
        <f t="shared" si="61"/>
        <v>0</v>
      </c>
      <c r="R536" s="38">
        <f t="shared" si="62"/>
        <v>0</v>
      </c>
      <c r="S536" s="38">
        <f t="shared" si="63"/>
        <v>0</v>
      </c>
      <c r="T536" s="38">
        <f t="shared" si="64"/>
        <v>0</v>
      </c>
      <c r="U536" s="38">
        <f t="shared" si="65"/>
        <v>0</v>
      </c>
      <c r="V536" s="55"/>
      <c r="AE536" s="56"/>
    </row>
    <row r="537" spans="2:31" s="50" customFormat="1" ht="11.25" hidden="1">
      <c r="B537" s="69" t="s">
        <v>458</v>
      </c>
      <c r="C537" s="86"/>
      <c r="D537" s="30"/>
      <c r="E537" s="5"/>
      <c r="F537" s="5"/>
      <c r="G537" s="5"/>
      <c r="H537" s="5"/>
      <c r="I537" s="5"/>
      <c r="J537" s="5"/>
      <c r="K537" s="5"/>
      <c r="L537" s="5"/>
      <c r="M537" s="5"/>
      <c r="N537" s="5"/>
      <c r="O537" s="38">
        <f t="shared" si="59"/>
        <v>0</v>
      </c>
      <c r="P537" s="38">
        <f t="shared" si="60"/>
        <v>0</v>
      </c>
      <c r="Q537" s="38">
        <f t="shared" si="61"/>
        <v>0</v>
      </c>
      <c r="R537" s="38">
        <f t="shared" si="62"/>
        <v>0</v>
      </c>
      <c r="S537" s="38">
        <f t="shared" si="63"/>
        <v>0</v>
      </c>
      <c r="T537" s="38">
        <f t="shared" si="64"/>
        <v>0</v>
      </c>
      <c r="U537" s="38">
        <f t="shared" si="65"/>
        <v>0</v>
      </c>
      <c r="V537" s="55"/>
      <c r="AE537" s="56"/>
    </row>
    <row r="538" spans="2:31" s="50" customFormat="1" ht="11.25" hidden="1">
      <c r="B538" s="69" t="s">
        <v>458</v>
      </c>
      <c r="C538" s="86"/>
      <c r="D538" s="30"/>
      <c r="E538" s="5"/>
      <c r="F538" s="5"/>
      <c r="G538" s="5"/>
      <c r="H538" s="5"/>
      <c r="I538" s="5"/>
      <c r="J538" s="5"/>
      <c r="K538" s="5"/>
      <c r="L538" s="5"/>
      <c r="M538" s="5"/>
      <c r="N538" s="5"/>
      <c r="O538" s="38">
        <f t="shared" si="59"/>
        <v>0</v>
      </c>
      <c r="P538" s="38">
        <f t="shared" si="60"/>
        <v>0</v>
      </c>
      <c r="Q538" s="38">
        <f t="shared" si="61"/>
        <v>0</v>
      </c>
      <c r="R538" s="38">
        <f t="shared" si="62"/>
        <v>0</v>
      </c>
      <c r="S538" s="38">
        <f t="shared" si="63"/>
        <v>0</v>
      </c>
      <c r="T538" s="38">
        <f t="shared" si="64"/>
        <v>0</v>
      </c>
      <c r="U538" s="38">
        <f t="shared" si="65"/>
        <v>0</v>
      </c>
      <c r="V538" s="55"/>
      <c r="AE538" s="56"/>
    </row>
    <row r="539" spans="2:31" s="50" customFormat="1" ht="11.25" hidden="1">
      <c r="B539" s="69" t="s">
        <v>458</v>
      </c>
      <c r="C539" s="86"/>
      <c r="D539" s="30"/>
      <c r="E539" s="5"/>
      <c r="F539" s="5"/>
      <c r="G539" s="5"/>
      <c r="H539" s="5"/>
      <c r="I539" s="5"/>
      <c r="J539" s="5"/>
      <c r="K539" s="5"/>
      <c r="L539" s="5"/>
      <c r="M539" s="5"/>
      <c r="N539" s="5"/>
      <c r="O539" s="38">
        <f t="shared" si="59"/>
        <v>0</v>
      </c>
      <c r="P539" s="38">
        <f t="shared" si="60"/>
        <v>0</v>
      </c>
      <c r="Q539" s="38">
        <f t="shared" si="61"/>
        <v>0</v>
      </c>
      <c r="R539" s="38">
        <f t="shared" si="62"/>
        <v>0</v>
      </c>
      <c r="S539" s="38">
        <f t="shared" si="63"/>
        <v>0</v>
      </c>
      <c r="T539" s="38">
        <f t="shared" si="64"/>
        <v>0</v>
      </c>
      <c r="U539" s="38">
        <f t="shared" si="65"/>
        <v>0</v>
      </c>
      <c r="V539" s="55"/>
      <c r="AE539" s="56"/>
    </row>
    <row r="540" spans="2:31" s="50" customFormat="1" ht="11.25" hidden="1">
      <c r="B540" s="69" t="s">
        <v>458</v>
      </c>
      <c r="C540" s="86"/>
      <c r="D540" s="30"/>
      <c r="E540" s="5"/>
      <c r="F540" s="5"/>
      <c r="G540" s="5"/>
      <c r="H540" s="5"/>
      <c r="I540" s="5"/>
      <c r="J540" s="5"/>
      <c r="K540" s="5"/>
      <c r="L540" s="5"/>
      <c r="M540" s="5"/>
      <c r="N540" s="5"/>
      <c r="O540" s="38">
        <f t="shared" si="59"/>
        <v>0</v>
      </c>
      <c r="P540" s="38">
        <f t="shared" si="60"/>
        <v>0</v>
      </c>
      <c r="Q540" s="38">
        <f t="shared" si="61"/>
        <v>0</v>
      </c>
      <c r="R540" s="38">
        <f t="shared" si="62"/>
        <v>0</v>
      </c>
      <c r="S540" s="38">
        <f t="shared" si="63"/>
        <v>0</v>
      </c>
      <c r="T540" s="38">
        <f t="shared" si="64"/>
        <v>0</v>
      </c>
      <c r="U540" s="38">
        <f t="shared" si="65"/>
        <v>0</v>
      </c>
      <c r="V540" s="55"/>
      <c r="AE540" s="56"/>
    </row>
    <row r="541" spans="2:31" s="50" customFormat="1" ht="11.25" hidden="1">
      <c r="B541" s="69" t="s">
        <v>458</v>
      </c>
      <c r="C541" s="86"/>
      <c r="D541" s="30"/>
      <c r="E541" s="5"/>
      <c r="F541" s="5"/>
      <c r="G541" s="5"/>
      <c r="H541" s="5"/>
      <c r="I541" s="5"/>
      <c r="J541" s="5"/>
      <c r="K541" s="5"/>
      <c r="L541" s="5"/>
      <c r="M541" s="5"/>
      <c r="N541" s="5"/>
      <c r="O541" s="38">
        <f t="shared" si="59"/>
        <v>0</v>
      </c>
      <c r="P541" s="38">
        <f t="shared" si="60"/>
        <v>0</v>
      </c>
      <c r="Q541" s="38">
        <f t="shared" si="61"/>
        <v>0</v>
      </c>
      <c r="R541" s="38">
        <f t="shared" si="62"/>
        <v>0</v>
      </c>
      <c r="S541" s="38">
        <f t="shared" si="63"/>
        <v>0</v>
      </c>
      <c r="T541" s="38">
        <f t="shared" si="64"/>
        <v>0</v>
      </c>
      <c r="U541" s="38">
        <f t="shared" si="65"/>
        <v>0</v>
      </c>
      <c r="V541" s="55"/>
      <c r="AE541" s="56"/>
    </row>
    <row r="542" spans="2:31" s="50" customFormat="1" ht="11.25" hidden="1">
      <c r="B542" s="69" t="s">
        <v>458</v>
      </c>
      <c r="C542" s="86"/>
      <c r="D542" s="30"/>
      <c r="E542" s="5"/>
      <c r="F542" s="5"/>
      <c r="G542" s="5"/>
      <c r="H542" s="5"/>
      <c r="I542" s="5"/>
      <c r="J542" s="5"/>
      <c r="K542" s="5"/>
      <c r="L542" s="5"/>
      <c r="M542" s="5"/>
      <c r="N542" s="5"/>
      <c r="O542" s="38">
        <f t="shared" si="59"/>
        <v>0</v>
      </c>
      <c r="P542" s="38">
        <f t="shared" si="60"/>
        <v>0</v>
      </c>
      <c r="Q542" s="38">
        <f t="shared" si="61"/>
        <v>0</v>
      </c>
      <c r="R542" s="38">
        <f t="shared" si="62"/>
        <v>0</v>
      </c>
      <c r="S542" s="38">
        <f t="shared" si="63"/>
        <v>0</v>
      </c>
      <c r="T542" s="38">
        <f t="shared" si="64"/>
        <v>0</v>
      </c>
      <c r="U542" s="38">
        <f t="shared" si="65"/>
        <v>0</v>
      </c>
      <c r="V542" s="55"/>
      <c r="AE542" s="56"/>
    </row>
    <row r="543" spans="2:31" s="50" customFormat="1" ht="11.25" hidden="1">
      <c r="B543" s="69" t="s">
        <v>458</v>
      </c>
      <c r="C543" s="86"/>
      <c r="D543" s="30"/>
      <c r="E543" s="5"/>
      <c r="F543" s="5"/>
      <c r="G543" s="5"/>
      <c r="H543" s="5"/>
      <c r="I543" s="5"/>
      <c r="J543" s="5"/>
      <c r="K543" s="5"/>
      <c r="L543" s="5"/>
      <c r="M543" s="5"/>
      <c r="N543" s="5"/>
      <c r="O543" s="38">
        <f t="shared" si="59"/>
        <v>0</v>
      </c>
      <c r="P543" s="38">
        <f t="shared" si="60"/>
        <v>0</v>
      </c>
      <c r="Q543" s="38">
        <f t="shared" si="61"/>
        <v>0</v>
      </c>
      <c r="R543" s="38">
        <f t="shared" si="62"/>
        <v>0</v>
      </c>
      <c r="S543" s="38">
        <f t="shared" si="63"/>
        <v>0</v>
      </c>
      <c r="T543" s="38">
        <f t="shared" si="64"/>
        <v>0</v>
      </c>
      <c r="U543" s="38">
        <f t="shared" si="65"/>
        <v>0</v>
      </c>
      <c r="V543" s="55"/>
      <c r="AE543" s="56"/>
    </row>
    <row r="544" spans="2:31" s="50" customFormat="1" ht="11.25" hidden="1">
      <c r="B544" s="69" t="s">
        <v>458</v>
      </c>
      <c r="C544" s="86"/>
      <c r="D544" s="30"/>
      <c r="E544" s="5"/>
      <c r="F544" s="5"/>
      <c r="G544" s="5"/>
      <c r="H544" s="5"/>
      <c r="I544" s="5"/>
      <c r="J544" s="5"/>
      <c r="K544" s="5"/>
      <c r="L544" s="5"/>
      <c r="M544" s="5"/>
      <c r="N544" s="5"/>
      <c r="O544" s="38">
        <f t="shared" si="59"/>
        <v>0</v>
      </c>
      <c r="P544" s="38">
        <f t="shared" si="60"/>
        <v>0</v>
      </c>
      <c r="Q544" s="38">
        <f t="shared" si="61"/>
        <v>0</v>
      </c>
      <c r="R544" s="38">
        <f t="shared" si="62"/>
        <v>0</v>
      </c>
      <c r="S544" s="38">
        <f t="shared" si="63"/>
        <v>0</v>
      </c>
      <c r="T544" s="38">
        <f t="shared" si="64"/>
        <v>0</v>
      </c>
      <c r="U544" s="38">
        <f t="shared" si="65"/>
        <v>0</v>
      </c>
      <c r="V544" s="55"/>
      <c r="AE544" s="56"/>
    </row>
    <row r="545" spans="2:31" s="50" customFormat="1" ht="11.25" hidden="1">
      <c r="B545" s="69" t="s">
        <v>458</v>
      </c>
      <c r="C545" s="86"/>
      <c r="D545" s="30"/>
      <c r="E545" s="5"/>
      <c r="F545" s="5"/>
      <c r="G545" s="5"/>
      <c r="H545" s="5"/>
      <c r="I545" s="5"/>
      <c r="J545" s="5"/>
      <c r="K545" s="5"/>
      <c r="L545" s="5"/>
      <c r="M545" s="5"/>
      <c r="N545" s="5"/>
      <c r="O545" s="38">
        <f t="shared" si="59"/>
        <v>0</v>
      </c>
      <c r="P545" s="38">
        <f t="shared" si="60"/>
        <v>0</v>
      </c>
      <c r="Q545" s="38">
        <f t="shared" si="61"/>
        <v>0</v>
      </c>
      <c r="R545" s="38">
        <f t="shared" si="62"/>
        <v>0</v>
      </c>
      <c r="S545" s="38">
        <f t="shared" si="63"/>
        <v>0</v>
      </c>
      <c r="T545" s="38">
        <f t="shared" si="64"/>
        <v>0</v>
      </c>
      <c r="U545" s="38">
        <f t="shared" si="65"/>
        <v>0</v>
      </c>
      <c r="V545" s="55"/>
      <c r="AE545" s="56"/>
    </row>
    <row r="546" spans="2:31" s="50" customFormat="1" ht="11.25" hidden="1">
      <c r="B546" s="69" t="s">
        <v>458</v>
      </c>
      <c r="C546" s="86"/>
      <c r="D546" s="30"/>
      <c r="E546" s="5"/>
      <c r="F546" s="5"/>
      <c r="G546" s="5"/>
      <c r="H546" s="5"/>
      <c r="I546" s="5"/>
      <c r="J546" s="5"/>
      <c r="K546" s="5"/>
      <c r="L546" s="5"/>
      <c r="M546" s="5"/>
      <c r="N546" s="5"/>
      <c r="O546" s="38">
        <f t="shared" si="59"/>
        <v>0</v>
      </c>
      <c r="P546" s="38">
        <f t="shared" si="60"/>
        <v>0</v>
      </c>
      <c r="Q546" s="38">
        <f t="shared" si="61"/>
        <v>0</v>
      </c>
      <c r="R546" s="38">
        <f t="shared" si="62"/>
        <v>0</v>
      </c>
      <c r="S546" s="38">
        <f t="shared" si="63"/>
        <v>0</v>
      </c>
      <c r="T546" s="38">
        <f t="shared" si="64"/>
        <v>0</v>
      </c>
      <c r="U546" s="38">
        <f t="shared" si="65"/>
        <v>0</v>
      </c>
      <c r="V546" s="55"/>
      <c r="AE546" s="56"/>
    </row>
    <row r="547" spans="2:31" s="50" customFormat="1" ht="11.25" hidden="1">
      <c r="B547" s="69" t="s">
        <v>458</v>
      </c>
      <c r="C547" s="86"/>
      <c r="D547" s="30"/>
      <c r="E547" s="5"/>
      <c r="F547" s="5"/>
      <c r="G547" s="5"/>
      <c r="H547" s="5"/>
      <c r="I547" s="5"/>
      <c r="J547" s="5"/>
      <c r="K547" s="5"/>
      <c r="L547" s="5"/>
      <c r="M547" s="5"/>
      <c r="N547" s="5"/>
      <c r="O547" s="38">
        <f t="shared" si="59"/>
        <v>0</v>
      </c>
      <c r="P547" s="38">
        <f t="shared" si="60"/>
        <v>0</v>
      </c>
      <c r="Q547" s="38">
        <f t="shared" si="61"/>
        <v>0</v>
      </c>
      <c r="R547" s="38">
        <f t="shared" si="62"/>
        <v>0</v>
      </c>
      <c r="S547" s="38">
        <f t="shared" si="63"/>
        <v>0</v>
      </c>
      <c r="T547" s="38">
        <f t="shared" si="64"/>
        <v>0</v>
      </c>
      <c r="U547" s="38">
        <f t="shared" si="65"/>
        <v>0</v>
      </c>
      <c r="V547" s="55"/>
      <c r="AE547" s="56"/>
    </row>
    <row r="548" spans="2:31" s="50" customFormat="1" ht="11.25" hidden="1">
      <c r="B548" s="69" t="s">
        <v>458</v>
      </c>
      <c r="C548" s="86"/>
      <c r="D548" s="30"/>
      <c r="E548" s="5"/>
      <c r="F548" s="5"/>
      <c r="G548" s="5"/>
      <c r="H548" s="5"/>
      <c r="I548" s="5"/>
      <c r="J548" s="5"/>
      <c r="K548" s="5"/>
      <c r="L548" s="5"/>
      <c r="M548" s="5"/>
      <c r="N548" s="5"/>
      <c r="O548" s="38">
        <f t="shared" si="59"/>
        <v>0</v>
      </c>
      <c r="P548" s="38">
        <f t="shared" si="60"/>
        <v>0</v>
      </c>
      <c r="Q548" s="38">
        <f t="shared" si="61"/>
        <v>0</v>
      </c>
      <c r="R548" s="38">
        <f t="shared" si="62"/>
        <v>0</v>
      </c>
      <c r="S548" s="38">
        <f t="shared" si="63"/>
        <v>0</v>
      </c>
      <c r="T548" s="38">
        <f t="shared" si="64"/>
        <v>0</v>
      </c>
      <c r="U548" s="38">
        <f t="shared" si="65"/>
        <v>0</v>
      </c>
      <c r="V548" s="55"/>
      <c r="AE548" s="56"/>
    </row>
    <row r="549" spans="2:31" s="50" customFormat="1" ht="11.25" hidden="1">
      <c r="B549" s="69" t="s">
        <v>458</v>
      </c>
      <c r="C549" s="86"/>
      <c r="D549" s="30"/>
      <c r="E549" s="5"/>
      <c r="F549" s="5"/>
      <c r="G549" s="5"/>
      <c r="H549" s="5"/>
      <c r="I549" s="5"/>
      <c r="J549" s="5"/>
      <c r="K549" s="5"/>
      <c r="L549" s="5"/>
      <c r="M549" s="5"/>
      <c r="N549" s="5"/>
      <c r="O549" s="38">
        <f t="shared" si="59"/>
        <v>0</v>
      </c>
      <c r="P549" s="38">
        <f t="shared" si="60"/>
        <v>0</v>
      </c>
      <c r="Q549" s="38">
        <f t="shared" si="61"/>
        <v>0</v>
      </c>
      <c r="R549" s="38">
        <f t="shared" si="62"/>
        <v>0</v>
      </c>
      <c r="S549" s="38">
        <f t="shared" si="63"/>
        <v>0</v>
      </c>
      <c r="T549" s="38">
        <f t="shared" si="64"/>
        <v>0</v>
      </c>
      <c r="U549" s="38">
        <f t="shared" si="65"/>
        <v>0</v>
      </c>
      <c r="V549" s="55"/>
      <c r="AE549" s="56"/>
    </row>
    <row r="550" spans="2:31" s="50" customFormat="1" ht="11.25" hidden="1">
      <c r="B550" s="69" t="s">
        <v>458</v>
      </c>
      <c r="C550" s="86"/>
      <c r="D550" s="30"/>
      <c r="E550" s="5"/>
      <c r="F550" s="5"/>
      <c r="G550" s="5"/>
      <c r="H550" s="5"/>
      <c r="I550" s="5"/>
      <c r="J550" s="5"/>
      <c r="K550" s="5"/>
      <c r="L550" s="5"/>
      <c r="M550" s="5"/>
      <c r="N550" s="5"/>
      <c r="O550" s="38">
        <f t="shared" si="59"/>
        <v>0</v>
      </c>
      <c r="P550" s="38">
        <f t="shared" si="60"/>
        <v>0</v>
      </c>
      <c r="Q550" s="38">
        <f t="shared" si="61"/>
        <v>0</v>
      </c>
      <c r="R550" s="38">
        <f t="shared" si="62"/>
        <v>0</v>
      </c>
      <c r="S550" s="38">
        <f t="shared" si="63"/>
        <v>0</v>
      </c>
      <c r="T550" s="38">
        <f t="shared" si="64"/>
        <v>0</v>
      </c>
      <c r="U550" s="38">
        <f t="shared" si="65"/>
        <v>0</v>
      </c>
      <c r="V550" s="55"/>
      <c r="AE550" s="56"/>
    </row>
    <row r="551" spans="2:31" s="50" customFormat="1" ht="11.25" hidden="1">
      <c r="B551" s="69" t="s">
        <v>458</v>
      </c>
      <c r="C551" s="86"/>
      <c r="D551" s="30"/>
      <c r="E551" s="5"/>
      <c r="F551" s="5"/>
      <c r="G551" s="5"/>
      <c r="H551" s="5"/>
      <c r="I551" s="5"/>
      <c r="J551" s="5"/>
      <c r="K551" s="5"/>
      <c r="L551" s="5"/>
      <c r="M551" s="5"/>
      <c r="N551" s="5"/>
      <c r="O551" s="38">
        <f t="shared" si="59"/>
        <v>0</v>
      </c>
      <c r="P551" s="38">
        <f t="shared" si="60"/>
        <v>0</v>
      </c>
      <c r="Q551" s="38">
        <f t="shared" si="61"/>
        <v>0</v>
      </c>
      <c r="R551" s="38">
        <f t="shared" si="62"/>
        <v>0</v>
      </c>
      <c r="S551" s="38">
        <f t="shared" si="63"/>
        <v>0</v>
      </c>
      <c r="T551" s="38">
        <f t="shared" si="64"/>
        <v>0</v>
      </c>
      <c r="U551" s="38">
        <f t="shared" si="65"/>
        <v>0</v>
      </c>
      <c r="V551" s="55"/>
      <c r="AE551" s="56"/>
    </row>
    <row r="552" spans="2:31" s="50" customFormat="1" ht="11.25" hidden="1">
      <c r="B552" s="69" t="s">
        <v>458</v>
      </c>
      <c r="C552" s="86"/>
      <c r="D552" s="30"/>
      <c r="E552" s="5"/>
      <c r="F552" s="5"/>
      <c r="G552" s="5"/>
      <c r="H552" s="5"/>
      <c r="I552" s="5"/>
      <c r="J552" s="5"/>
      <c r="K552" s="5"/>
      <c r="L552" s="5"/>
      <c r="M552" s="5"/>
      <c r="N552" s="5"/>
      <c r="O552" s="38">
        <f t="shared" si="59"/>
        <v>0</v>
      </c>
      <c r="P552" s="38">
        <f t="shared" si="60"/>
        <v>0</v>
      </c>
      <c r="Q552" s="38">
        <f t="shared" si="61"/>
        <v>0</v>
      </c>
      <c r="R552" s="38">
        <f t="shared" si="62"/>
        <v>0</v>
      </c>
      <c r="S552" s="38">
        <f t="shared" si="63"/>
        <v>0</v>
      </c>
      <c r="T552" s="38">
        <f t="shared" si="64"/>
        <v>0</v>
      </c>
      <c r="U552" s="38">
        <f t="shared" si="65"/>
        <v>0</v>
      </c>
      <c r="V552" s="55"/>
      <c r="AE552" s="56"/>
    </row>
    <row r="553" spans="2:31" s="50" customFormat="1" ht="11.25" hidden="1">
      <c r="B553" s="69" t="s">
        <v>458</v>
      </c>
      <c r="C553" s="86"/>
      <c r="D553" s="30"/>
      <c r="E553" s="5"/>
      <c r="F553" s="5"/>
      <c r="G553" s="5"/>
      <c r="H553" s="5"/>
      <c r="I553" s="5"/>
      <c r="J553" s="5"/>
      <c r="K553" s="5"/>
      <c r="L553" s="5"/>
      <c r="M553" s="5"/>
      <c r="N553" s="5"/>
      <c r="O553" s="38">
        <f t="shared" si="59"/>
        <v>0</v>
      </c>
      <c r="P553" s="38">
        <f t="shared" si="60"/>
        <v>0</v>
      </c>
      <c r="Q553" s="38">
        <f t="shared" si="61"/>
        <v>0</v>
      </c>
      <c r="R553" s="38">
        <f t="shared" si="62"/>
        <v>0</v>
      </c>
      <c r="S553" s="38">
        <f t="shared" si="63"/>
        <v>0</v>
      </c>
      <c r="T553" s="38">
        <f t="shared" si="64"/>
        <v>0</v>
      </c>
      <c r="U553" s="38">
        <f t="shared" si="65"/>
        <v>0</v>
      </c>
      <c r="V553" s="55"/>
      <c r="AE553" s="56"/>
    </row>
    <row r="554" spans="2:31" s="50" customFormat="1" ht="11.25" hidden="1">
      <c r="B554" s="69" t="s">
        <v>458</v>
      </c>
      <c r="C554" s="86"/>
      <c r="D554" s="30"/>
      <c r="E554" s="5"/>
      <c r="F554" s="5"/>
      <c r="G554" s="5"/>
      <c r="H554" s="5"/>
      <c r="I554" s="5"/>
      <c r="J554" s="5"/>
      <c r="K554" s="5"/>
      <c r="L554" s="5"/>
      <c r="M554" s="5"/>
      <c r="N554" s="5"/>
      <c r="O554" s="38">
        <f t="shared" si="59"/>
        <v>0</v>
      </c>
      <c r="P554" s="38">
        <f t="shared" si="60"/>
        <v>0</v>
      </c>
      <c r="Q554" s="38">
        <f t="shared" si="61"/>
        <v>0</v>
      </c>
      <c r="R554" s="38">
        <f t="shared" si="62"/>
        <v>0</v>
      </c>
      <c r="S554" s="38">
        <f t="shared" si="63"/>
        <v>0</v>
      </c>
      <c r="T554" s="38">
        <f t="shared" si="64"/>
        <v>0</v>
      </c>
      <c r="U554" s="38">
        <f t="shared" si="65"/>
        <v>0</v>
      </c>
      <c r="V554" s="55"/>
      <c r="AE554" s="56"/>
    </row>
    <row r="555" spans="2:31" s="50" customFormat="1" ht="11.25" hidden="1">
      <c r="B555" s="69" t="s">
        <v>458</v>
      </c>
      <c r="C555" s="86"/>
      <c r="D555" s="30"/>
      <c r="E555" s="5"/>
      <c r="F555" s="5"/>
      <c r="G555" s="5"/>
      <c r="H555" s="5"/>
      <c r="I555" s="5"/>
      <c r="J555" s="5"/>
      <c r="K555" s="5"/>
      <c r="L555" s="5"/>
      <c r="M555" s="5"/>
      <c r="N555" s="5"/>
      <c r="O555" s="38">
        <f t="shared" si="59"/>
        <v>0</v>
      </c>
      <c r="P555" s="38">
        <f t="shared" si="60"/>
        <v>0</v>
      </c>
      <c r="Q555" s="38">
        <f t="shared" si="61"/>
        <v>0</v>
      </c>
      <c r="R555" s="38">
        <f t="shared" si="62"/>
        <v>0</v>
      </c>
      <c r="S555" s="38">
        <f t="shared" si="63"/>
        <v>0</v>
      </c>
      <c r="T555" s="38">
        <f t="shared" si="64"/>
        <v>0</v>
      </c>
      <c r="U555" s="38">
        <f t="shared" si="65"/>
        <v>0</v>
      </c>
      <c r="V555" s="55"/>
      <c r="AE555" s="56"/>
    </row>
    <row r="556" spans="2:31" s="50" customFormat="1" ht="11.25" hidden="1">
      <c r="B556" s="69" t="s">
        <v>458</v>
      </c>
      <c r="C556" s="86"/>
      <c r="D556" s="30"/>
      <c r="E556" s="5"/>
      <c r="F556" s="5"/>
      <c r="G556" s="5"/>
      <c r="H556" s="5"/>
      <c r="I556" s="5"/>
      <c r="J556" s="5"/>
      <c r="K556" s="5"/>
      <c r="L556" s="5"/>
      <c r="M556" s="5"/>
      <c r="N556" s="5"/>
      <c r="O556" s="38">
        <f t="shared" si="59"/>
        <v>0</v>
      </c>
      <c r="P556" s="38">
        <f t="shared" si="60"/>
        <v>0</v>
      </c>
      <c r="Q556" s="38">
        <f t="shared" si="61"/>
        <v>0</v>
      </c>
      <c r="R556" s="38">
        <f t="shared" si="62"/>
        <v>0</v>
      </c>
      <c r="S556" s="38">
        <f t="shared" si="63"/>
        <v>0</v>
      </c>
      <c r="T556" s="38">
        <f t="shared" si="64"/>
        <v>0</v>
      </c>
      <c r="U556" s="38">
        <f t="shared" si="65"/>
        <v>0</v>
      </c>
      <c r="V556" s="55"/>
      <c r="AE556" s="56"/>
    </row>
    <row r="557" spans="2:31" s="50" customFormat="1" ht="11.25" hidden="1">
      <c r="B557" s="69" t="s">
        <v>458</v>
      </c>
      <c r="C557" s="86"/>
      <c r="D557" s="30"/>
      <c r="E557" s="5"/>
      <c r="F557" s="5"/>
      <c r="G557" s="5"/>
      <c r="H557" s="5"/>
      <c r="I557" s="5"/>
      <c r="J557" s="5"/>
      <c r="K557" s="5"/>
      <c r="L557" s="5"/>
      <c r="M557" s="5"/>
      <c r="N557" s="5"/>
      <c r="O557" s="38">
        <f t="shared" si="59"/>
        <v>0</v>
      </c>
      <c r="P557" s="38">
        <f t="shared" si="60"/>
        <v>0</v>
      </c>
      <c r="Q557" s="38">
        <f t="shared" si="61"/>
        <v>0</v>
      </c>
      <c r="R557" s="38">
        <f t="shared" si="62"/>
        <v>0</v>
      </c>
      <c r="S557" s="38">
        <f t="shared" si="63"/>
        <v>0</v>
      </c>
      <c r="T557" s="38">
        <f t="shared" si="64"/>
        <v>0</v>
      </c>
      <c r="U557" s="38">
        <f t="shared" si="65"/>
        <v>0</v>
      </c>
      <c r="V557" s="55"/>
      <c r="AE557" s="56"/>
    </row>
    <row r="558" spans="2:31" s="50" customFormat="1" ht="11.25" hidden="1">
      <c r="B558" s="69" t="s">
        <v>458</v>
      </c>
      <c r="C558" s="86"/>
      <c r="D558" s="30"/>
      <c r="E558" s="5"/>
      <c r="F558" s="5"/>
      <c r="G558" s="5"/>
      <c r="H558" s="5"/>
      <c r="I558" s="5"/>
      <c r="J558" s="5"/>
      <c r="K558" s="5"/>
      <c r="L558" s="5"/>
      <c r="M558" s="5"/>
      <c r="N558" s="5"/>
      <c r="O558" s="38">
        <f t="shared" si="59"/>
        <v>0</v>
      </c>
      <c r="P558" s="38">
        <f t="shared" si="60"/>
        <v>0</v>
      </c>
      <c r="Q558" s="38">
        <f t="shared" si="61"/>
        <v>0</v>
      </c>
      <c r="R558" s="38">
        <f t="shared" si="62"/>
        <v>0</v>
      </c>
      <c r="S558" s="38">
        <f t="shared" si="63"/>
        <v>0</v>
      </c>
      <c r="T558" s="38">
        <f t="shared" si="64"/>
        <v>0</v>
      </c>
      <c r="U558" s="38">
        <f t="shared" si="65"/>
        <v>0</v>
      </c>
      <c r="V558" s="55"/>
      <c r="AE558" s="56"/>
    </row>
    <row r="559" spans="2:31" s="50" customFormat="1" ht="11.25" hidden="1">
      <c r="B559" s="69" t="s">
        <v>458</v>
      </c>
      <c r="C559" s="86"/>
      <c r="D559" s="30"/>
      <c r="E559" s="5"/>
      <c r="F559" s="5"/>
      <c r="G559" s="5"/>
      <c r="H559" s="5"/>
      <c r="I559" s="5"/>
      <c r="J559" s="5"/>
      <c r="K559" s="5"/>
      <c r="L559" s="5"/>
      <c r="M559" s="5"/>
      <c r="N559" s="5"/>
      <c r="O559" s="38">
        <f t="shared" si="59"/>
        <v>0</v>
      </c>
      <c r="P559" s="38">
        <f t="shared" si="60"/>
        <v>0</v>
      </c>
      <c r="Q559" s="38">
        <f t="shared" si="61"/>
        <v>0</v>
      </c>
      <c r="R559" s="38">
        <f t="shared" si="62"/>
        <v>0</v>
      </c>
      <c r="S559" s="38">
        <f t="shared" si="63"/>
        <v>0</v>
      </c>
      <c r="T559" s="38">
        <f t="shared" si="64"/>
        <v>0</v>
      </c>
      <c r="U559" s="38">
        <f t="shared" si="65"/>
        <v>0</v>
      </c>
      <c r="V559" s="55"/>
      <c r="AE559" s="56"/>
    </row>
    <row r="560" spans="2:31" s="50" customFormat="1" ht="11.25" hidden="1">
      <c r="B560" s="69" t="s">
        <v>458</v>
      </c>
      <c r="C560" s="86"/>
      <c r="D560" s="30"/>
      <c r="E560" s="5"/>
      <c r="F560" s="5"/>
      <c r="G560" s="5"/>
      <c r="H560" s="5"/>
      <c r="I560" s="5"/>
      <c r="J560" s="5"/>
      <c r="K560" s="5"/>
      <c r="L560" s="5"/>
      <c r="M560" s="5"/>
      <c r="N560" s="5"/>
      <c r="O560" s="38">
        <f t="shared" si="59"/>
        <v>0</v>
      </c>
      <c r="P560" s="38">
        <f t="shared" si="60"/>
        <v>0</v>
      </c>
      <c r="Q560" s="38">
        <f t="shared" si="61"/>
        <v>0</v>
      </c>
      <c r="R560" s="38">
        <f t="shared" si="62"/>
        <v>0</v>
      </c>
      <c r="S560" s="38">
        <f t="shared" si="63"/>
        <v>0</v>
      </c>
      <c r="T560" s="38">
        <f t="shared" si="64"/>
        <v>0</v>
      </c>
      <c r="U560" s="38">
        <f t="shared" si="65"/>
        <v>0</v>
      </c>
      <c r="V560" s="55"/>
      <c r="AE560" s="56"/>
    </row>
    <row r="561" spans="2:31" s="50" customFormat="1" ht="11.25" hidden="1">
      <c r="B561" s="69" t="s">
        <v>458</v>
      </c>
      <c r="C561" s="86"/>
      <c r="D561" s="30"/>
      <c r="E561" s="5"/>
      <c r="F561" s="5"/>
      <c r="G561" s="5"/>
      <c r="H561" s="5"/>
      <c r="I561" s="5"/>
      <c r="J561" s="5"/>
      <c r="K561" s="5"/>
      <c r="L561" s="5"/>
      <c r="M561" s="5"/>
      <c r="N561" s="5"/>
      <c r="O561" s="38">
        <f t="shared" si="59"/>
        <v>0</v>
      </c>
      <c r="P561" s="38">
        <f t="shared" si="60"/>
        <v>0</v>
      </c>
      <c r="Q561" s="38">
        <f t="shared" si="61"/>
        <v>0</v>
      </c>
      <c r="R561" s="38">
        <f t="shared" si="62"/>
        <v>0</v>
      </c>
      <c r="S561" s="38">
        <f t="shared" si="63"/>
        <v>0</v>
      </c>
      <c r="T561" s="38">
        <f t="shared" si="64"/>
        <v>0</v>
      </c>
      <c r="U561" s="38">
        <f t="shared" si="65"/>
        <v>0</v>
      </c>
      <c r="V561" s="55"/>
      <c r="AE561" s="56"/>
    </row>
    <row r="562" spans="2:31" s="50" customFormat="1" ht="11.25" hidden="1">
      <c r="B562" s="69" t="s">
        <v>458</v>
      </c>
      <c r="C562" s="86"/>
      <c r="D562" s="30"/>
      <c r="E562" s="5"/>
      <c r="F562" s="5"/>
      <c r="G562" s="5"/>
      <c r="H562" s="5"/>
      <c r="I562" s="5"/>
      <c r="J562" s="5"/>
      <c r="K562" s="5"/>
      <c r="L562" s="5"/>
      <c r="M562" s="5"/>
      <c r="N562" s="5"/>
      <c r="O562" s="38">
        <f t="shared" si="59"/>
        <v>0</v>
      </c>
      <c r="P562" s="38">
        <f t="shared" si="60"/>
        <v>0</v>
      </c>
      <c r="Q562" s="38">
        <f t="shared" si="61"/>
        <v>0</v>
      </c>
      <c r="R562" s="38">
        <f t="shared" si="62"/>
        <v>0</v>
      </c>
      <c r="S562" s="38">
        <f t="shared" si="63"/>
        <v>0</v>
      </c>
      <c r="T562" s="38">
        <f t="shared" si="64"/>
        <v>0</v>
      </c>
      <c r="U562" s="38">
        <f t="shared" si="65"/>
        <v>0</v>
      </c>
      <c r="V562" s="55"/>
      <c r="AE562" s="56"/>
    </row>
    <row r="563" spans="2:31" s="50" customFormat="1" ht="11.25" hidden="1">
      <c r="B563" s="69" t="s">
        <v>458</v>
      </c>
      <c r="C563" s="86"/>
      <c r="D563" s="30"/>
      <c r="E563" s="5"/>
      <c r="F563" s="5"/>
      <c r="G563" s="5"/>
      <c r="H563" s="5"/>
      <c r="I563" s="5"/>
      <c r="J563" s="5"/>
      <c r="K563" s="5"/>
      <c r="L563" s="5"/>
      <c r="M563" s="5"/>
      <c r="N563" s="5"/>
      <c r="O563" s="38">
        <f t="shared" si="59"/>
        <v>0</v>
      </c>
      <c r="P563" s="38">
        <f t="shared" si="60"/>
        <v>0</v>
      </c>
      <c r="Q563" s="38">
        <f t="shared" si="61"/>
        <v>0</v>
      </c>
      <c r="R563" s="38">
        <f t="shared" si="62"/>
        <v>0</v>
      </c>
      <c r="S563" s="38">
        <f t="shared" si="63"/>
        <v>0</v>
      </c>
      <c r="T563" s="38">
        <f t="shared" si="64"/>
        <v>0</v>
      </c>
      <c r="U563" s="38">
        <f t="shared" si="65"/>
        <v>0</v>
      </c>
      <c r="V563" s="55"/>
      <c r="AE563" s="56"/>
    </row>
    <row r="564" spans="2:31" s="50" customFormat="1" ht="11.25" hidden="1">
      <c r="B564" s="69" t="s">
        <v>458</v>
      </c>
      <c r="C564" s="86"/>
      <c r="D564" s="30"/>
      <c r="E564" s="5"/>
      <c r="F564" s="5"/>
      <c r="G564" s="5"/>
      <c r="H564" s="5"/>
      <c r="I564" s="5"/>
      <c r="J564" s="5"/>
      <c r="K564" s="5"/>
      <c r="L564" s="5"/>
      <c r="M564" s="5"/>
      <c r="N564" s="5"/>
      <c r="O564" s="38">
        <f t="shared" si="59"/>
        <v>0</v>
      </c>
      <c r="P564" s="38">
        <f t="shared" si="60"/>
        <v>0</v>
      </c>
      <c r="Q564" s="38">
        <f t="shared" si="61"/>
        <v>0</v>
      </c>
      <c r="R564" s="38">
        <f t="shared" si="62"/>
        <v>0</v>
      </c>
      <c r="S564" s="38">
        <f t="shared" si="63"/>
        <v>0</v>
      </c>
      <c r="T564" s="38">
        <f t="shared" si="64"/>
        <v>0</v>
      </c>
      <c r="U564" s="38">
        <f t="shared" si="65"/>
        <v>0</v>
      </c>
      <c r="V564" s="55"/>
      <c r="AE564" s="56"/>
    </row>
    <row r="565" spans="2:31" s="50" customFormat="1" ht="11.25" hidden="1">
      <c r="B565" s="69" t="s">
        <v>458</v>
      </c>
      <c r="C565" s="86"/>
      <c r="D565" s="30"/>
      <c r="E565" s="5"/>
      <c r="F565" s="5"/>
      <c r="G565" s="5"/>
      <c r="H565" s="5"/>
      <c r="I565" s="5"/>
      <c r="J565" s="5"/>
      <c r="K565" s="5"/>
      <c r="L565" s="5"/>
      <c r="M565" s="5"/>
      <c r="N565" s="5"/>
      <c r="O565" s="38">
        <f t="shared" si="59"/>
        <v>0</v>
      </c>
      <c r="P565" s="38">
        <f t="shared" si="60"/>
        <v>0</v>
      </c>
      <c r="Q565" s="38">
        <f t="shared" si="61"/>
        <v>0</v>
      </c>
      <c r="R565" s="38">
        <f t="shared" si="62"/>
        <v>0</v>
      </c>
      <c r="S565" s="38">
        <f t="shared" si="63"/>
        <v>0</v>
      </c>
      <c r="T565" s="38">
        <f t="shared" si="64"/>
        <v>0</v>
      </c>
      <c r="U565" s="38">
        <f t="shared" si="65"/>
        <v>0</v>
      </c>
      <c r="V565" s="55"/>
      <c r="AE565" s="56"/>
    </row>
    <row r="566" spans="2:31" s="50" customFormat="1" ht="11.25" hidden="1">
      <c r="B566" s="69" t="s">
        <v>458</v>
      </c>
      <c r="C566" s="86"/>
      <c r="D566" s="30"/>
      <c r="E566" s="5"/>
      <c r="F566" s="5"/>
      <c r="G566" s="5"/>
      <c r="H566" s="5"/>
      <c r="I566" s="5"/>
      <c r="J566" s="5"/>
      <c r="K566" s="5"/>
      <c r="L566" s="5"/>
      <c r="M566" s="5"/>
      <c r="N566" s="5"/>
      <c r="O566" s="38">
        <f t="shared" si="59"/>
        <v>0</v>
      </c>
      <c r="P566" s="38">
        <f t="shared" si="60"/>
        <v>0</v>
      </c>
      <c r="Q566" s="38">
        <f t="shared" si="61"/>
        <v>0</v>
      </c>
      <c r="R566" s="38">
        <f t="shared" si="62"/>
        <v>0</v>
      </c>
      <c r="S566" s="38">
        <f t="shared" si="63"/>
        <v>0</v>
      </c>
      <c r="T566" s="38">
        <f t="shared" si="64"/>
        <v>0</v>
      </c>
      <c r="U566" s="38">
        <f t="shared" si="65"/>
        <v>0</v>
      </c>
      <c r="V566" s="55"/>
      <c r="AE566" s="56"/>
    </row>
    <row r="567" spans="2:31" s="50" customFormat="1" ht="11.25" hidden="1">
      <c r="B567" s="69" t="s">
        <v>458</v>
      </c>
      <c r="C567" s="86"/>
      <c r="D567" s="30"/>
      <c r="E567" s="5"/>
      <c r="F567" s="5"/>
      <c r="G567" s="5"/>
      <c r="H567" s="5"/>
      <c r="I567" s="5"/>
      <c r="J567" s="5"/>
      <c r="K567" s="5"/>
      <c r="L567" s="5"/>
      <c r="M567" s="5"/>
      <c r="N567" s="5"/>
      <c r="O567" s="38">
        <f t="shared" si="59"/>
        <v>0</v>
      </c>
      <c r="P567" s="38">
        <f t="shared" si="60"/>
        <v>0</v>
      </c>
      <c r="Q567" s="38">
        <f t="shared" si="61"/>
        <v>0</v>
      </c>
      <c r="R567" s="38">
        <f t="shared" si="62"/>
        <v>0</v>
      </c>
      <c r="S567" s="38">
        <f t="shared" si="63"/>
        <v>0</v>
      </c>
      <c r="T567" s="38">
        <f t="shared" si="64"/>
        <v>0</v>
      </c>
      <c r="U567" s="38">
        <f t="shared" si="65"/>
        <v>0</v>
      </c>
      <c r="V567" s="55"/>
      <c r="AE567" s="56"/>
    </row>
    <row r="568" spans="2:31" s="50" customFormat="1" ht="11.25" hidden="1">
      <c r="B568" s="69" t="s">
        <v>458</v>
      </c>
      <c r="C568" s="86"/>
      <c r="D568" s="30"/>
      <c r="E568" s="5"/>
      <c r="F568" s="5"/>
      <c r="G568" s="5"/>
      <c r="H568" s="5"/>
      <c r="I568" s="5"/>
      <c r="J568" s="5"/>
      <c r="K568" s="5"/>
      <c r="L568" s="5"/>
      <c r="M568" s="5"/>
      <c r="N568" s="5"/>
      <c r="O568" s="38">
        <f t="shared" si="59"/>
        <v>0</v>
      </c>
      <c r="P568" s="38">
        <f t="shared" si="60"/>
        <v>0</v>
      </c>
      <c r="Q568" s="38">
        <f t="shared" si="61"/>
        <v>0</v>
      </c>
      <c r="R568" s="38">
        <f t="shared" si="62"/>
        <v>0</v>
      </c>
      <c r="S568" s="38">
        <f t="shared" si="63"/>
        <v>0</v>
      </c>
      <c r="T568" s="38">
        <f t="shared" si="64"/>
        <v>0</v>
      </c>
      <c r="U568" s="38">
        <f t="shared" si="65"/>
        <v>0</v>
      </c>
      <c r="V568" s="55"/>
      <c r="AE568" s="56"/>
    </row>
    <row r="569" spans="2:31" s="50" customFormat="1" ht="11.25" hidden="1">
      <c r="B569" s="69" t="s">
        <v>458</v>
      </c>
      <c r="C569" s="86"/>
      <c r="D569" s="30"/>
      <c r="E569" s="5"/>
      <c r="F569" s="5"/>
      <c r="G569" s="5"/>
      <c r="H569" s="5"/>
      <c r="I569" s="5"/>
      <c r="J569" s="5"/>
      <c r="K569" s="5"/>
      <c r="L569" s="5"/>
      <c r="M569" s="5"/>
      <c r="N569" s="5"/>
      <c r="O569" s="38">
        <f t="shared" si="59"/>
        <v>0</v>
      </c>
      <c r="P569" s="38">
        <f t="shared" si="60"/>
        <v>0</v>
      </c>
      <c r="Q569" s="38">
        <f t="shared" si="61"/>
        <v>0</v>
      </c>
      <c r="R569" s="38">
        <f t="shared" si="62"/>
        <v>0</v>
      </c>
      <c r="S569" s="38">
        <f t="shared" si="63"/>
        <v>0</v>
      </c>
      <c r="T569" s="38">
        <f t="shared" si="64"/>
        <v>0</v>
      </c>
      <c r="U569" s="38">
        <f t="shared" si="65"/>
        <v>0</v>
      </c>
      <c r="V569" s="55"/>
      <c r="AE569" s="56"/>
    </row>
    <row r="570" spans="2:31" s="50" customFormat="1" ht="11.25" hidden="1">
      <c r="B570" s="69" t="s">
        <v>458</v>
      </c>
      <c r="C570" s="86"/>
      <c r="D570" s="30"/>
      <c r="E570" s="5"/>
      <c r="F570" s="5"/>
      <c r="G570" s="5"/>
      <c r="H570" s="5"/>
      <c r="I570" s="5"/>
      <c r="J570" s="5"/>
      <c r="K570" s="5"/>
      <c r="L570" s="5"/>
      <c r="M570" s="5"/>
      <c r="N570" s="5"/>
      <c r="O570" s="38">
        <f t="shared" si="59"/>
        <v>0</v>
      </c>
      <c r="P570" s="38">
        <f t="shared" si="60"/>
        <v>0</v>
      </c>
      <c r="Q570" s="38">
        <f t="shared" si="61"/>
        <v>0</v>
      </c>
      <c r="R570" s="38">
        <f t="shared" si="62"/>
        <v>0</v>
      </c>
      <c r="S570" s="38">
        <f t="shared" si="63"/>
        <v>0</v>
      </c>
      <c r="T570" s="38">
        <f t="shared" si="64"/>
        <v>0</v>
      </c>
      <c r="U570" s="38">
        <f t="shared" si="65"/>
        <v>0</v>
      </c>
      <c r="V570" s="55"/>
      <c r="AE570" s="56"/>
    </row>
    <row r="571" spans="2:31" s="50" customFormat="1" ht="11.25" hidden="1">
      <c r="B571" s="69" t="s">
        <v>458</v>
      </c>
      <c r="C571" s="86"/>
      <c r="D571" s="30"/>
      <c r="E571" s="5"/>
      <c r="F571" s="5"/>
      <c r="G571" s="5"/>
      <c r="H571" s="5"/>
      <c r="I571" s="5"/>
      <c r="J571" s="5"/>
      <c r="K571" s="5"/>
      <c r="L571" s="5"/>
      <c r="M571" s="5"/>
      <c r="N571" s="5"/>
      <c r="O571" s="38">
        <f t="shared" si="59"/>
        <v>0</v>
      </c>
      <c r="P571" s="38">
        <f t="shared" si="60"/>
        <v>0</v>
      </c>
      <c r="Q571" s="38">
        <f t="shared" si="61"/>
        <v>0</v>
      </c>
      <c r="R571" s="38">
        <f t="shared" si="62"/>
        <v>0</v>
      </c>
      <c r="S571" s="38">
        <f t="shared" si="63"/>
        <v>0</v>
      </c>
      <c r="T571" s="38">
        <f t="shared" si="64"/>
        <v>0</v>
      </c>
      <c r="U571" s="38">
        <f t="shared" si="65"/>
        <v>0</v>
      </c>
      <c r="V571" s="55"/>
      <c r="AE571" s="56"/>
    </row>
    <row r="572" spans="2:31" s="50" customFormat="1" ht="11.25" hidden="1">
      <c r="B572" s="69" t="s">
        <v>458</v>
      </c>
      <c r="C572" s="86"/>
      <c r="D572" s="30"/>
      <c r="E572" s="5"/>
      <c r="F572" s="5"/>
      <c r="G572" s="5"/>
      <c r="H572" s="5"/>
      <c r="I572" s="5"/>
      <c r="J572" s="5"/>
      <c r="K572" s="5"/>
      <c r="L572" s="5"/>
      <c r="M572" s="5"/>
      <c r="N572" s="5"/>
      <c r="O572" s="38">
        <f t="shared" si="59"/>
        <v>0</v>
      </c>
      <c r="P572" s="38">
        <f t="shared" si="60"/>
        <v>0</v>
      </c>
      <c r="Q572" s="38">
        <f t="shared" si="61"/>
        <v>0</v>
      </c>
      <c r="R572" s="38">
        <f t="shared" si="62"/>
        <v>0</v>
      </c>
      <c r="S572" s="38">
        <f t="shared" si="63"/>
        <v>0</v>
      </c>
      <c r="T572" s="38">
        <f t="shared" si="64"/>
        <v>0</v>
      </c>
      <c r="U572" s="38">
        <f t="shared" si="65"/>
        <v>0</v>
      </c>
      <c r="V572" s="55"/>
      <c r="AE572" s="56"/>
    </row>
    <row r="573" spans="2:31" s="50" customFormat="1" ht="11.25" hidden="1">
      <c r="B573" s="69" t="s">
        <v>458</v>
      </c>
      <c r="C573" s="86"/>
      <c r="D573" s="30"/>
      <c r="E573" s="5"/>
      <c r="F573" s="5"/>
      <c r="G573" s="5"/>
      <c r="H573" s="5"/>
      <c r="I573" s="5"/>
      <c r="J573" s="5"/>
      <c r="K573" s="5"/>
      <c r="L573" s="5"/>
      <c r="M573" s="5"/>
      <c r="N573" s="5"/>
      <c r="O573" s="38">
        <f t="shared" si="59"/>
        <v>0</v>
      </c>
      <c r="P573" s="38">
        <f t="shared" si="60"/>
        <v>0</v>
      </c>
      <c r="Q573" s="38">
        <f t="shared" si="61"/>
        <v>0</v>
      </c>
      <c r="R573" s="38">
        <f t="shared" si="62"/>
        <v>0</v>
      </c>
      <c r="S573" s="38">
        <f t="shared" si="63"/>
        <v>0</v>
      </c>
      <c r="T573" s="38">
        <f t="shared" si="64"/>
        <v>0</v>
      </c>
      <c r="U573" s="38">
        <f t="shared" si="65"/>
        <v>0</v>
      </c>
      <c r="V573" s="55"/>
      <c r="AE573" s="56"/>
    </row>
    <row r="574" spans="2:31" s="50" customFormat="1" ht="11.25" hidden="1">
      <c r="B574" s="69" t="s">
        <v>458</v>
      </c>
      <c r="C574" s="86"/>
      <c r="D574" s="30"/>
      <c r="E574" s="5"/>
      <c r="F574" s="5"/>
      <c r="G574" s="5"/>
      <c r="H574" s="5"/>
      <c r="I574" s="5"/>
      <c r="J574" s="5"/>
      <c r="K574" s="5"/>
      <c r="L574" s="5"/>
      <c r="M574" s="5"/>
      <c r="N574" s="5"/>
      <c r="O574" s="38">
        <f t="shared" si="59"/>
        <v>0</v>
      </c>
      <c r="P574" s="38">
        <f t="shared" si="60"/>
        <v>0</v>
      </c>
      <c r="Q574" s="38">
        <f t="shared" si="61"/>
        <v>0</v>
      </c>
      <c r="R574" s="38">
        <f t="shared" si="62"/>
        <v>0</v>
      </c>
      <c r="S574" s="38">
        <f t="shared" si="63"/>
        <v>0</v>
      </c>
      <c r="T574" s="38">
        <f t="shared" si="64"/>
        <v>0</v>
      </c>
      <c r="U574" s="38">
        <f t="shared" si="65"/>
        <v>0</v>
      </c>
      <c r="V574" s="55"/>
      <c r="AE574" s="56"/>
    </row>
    <row r="575" spans="2:31" s="50" customFormat="1" ht="11.25" hidden="1">
      <c r="B575" s="69" t="s">
        <v>458</v>
      </c>
      <c r="C575" s="86"/>
      <c r="D575" s="30"/>
      <c r="E575" s="5"/>
      <c r="F575" s="5"/>
      <c r="G575" s="5"/>
      <c r="H575" s="5"/>
      <c r="I575" s="5"/>
      <c r="J575" s="5"/>
      <c r="K575" s="5"/>
      <c r="L575" s="5"/>
      <c r="M575" s="5"/>
      <c r="N575" s="5"/>
      <c r="O575" s="38">
        <f t="shared" si="59"/>
        <v>0</v>
      </c>
      <c r="P575" s="38">
        <f t="shared" si="60"/>
        <v>0</v>
      </c>
      <c r="Q575" s="38">
        <f t="shared" si="61"/>
        <v>0</v>
      </c>
      <c r="R575" s="38">
        <f t="shared" si="62"/>
        <v>0</v>
      </c>
      <c r="S575" s="38">
        <f t="shared" si="63"/>
        <v>0</v>
      </c>
      <c r="T575" s="38">
        <f t="shared" si="64"/>
        <v>0</v>
      </c>
      <c r="U575" s="38">
        <f t="shared" si="65"/>
        <v>0</v>
      </c>
      <c r="V575" s="55"/>
      <c r="AE575" s="56"/>
    </row>
    <row r="576" spans="2:31" s="50" customFormat="1" ht="11.25" hidden="1">
      <c r="B576" s="69" t="s">
        <v>458</v>
      </c>
      <c r="C576" s="86"/>
      <c r="D576" s="30"/>
      <c r="E576" s="5"/>
      <c r="F576" s="5"/>
      <c r="G576" s="5"/>
      <c r="H576" s="5"/>
      <c r="I576" s="5"/>
      <c r="J576" s="5"/>
      <c r="K576" s="5"/>
      <c r="L576" s="5"/>
      <c r="M576" s="5"/>
      <c r="N576" s="5"/>
      <c r="O576" s="38">
        <f t="shared" si="59"/>
        <v>0</v>
      </c>
      <c r="P576" s="38">
        <f t="shared" si="60"/>
        <v>0</v>
      </c>
      <c r="Q576" s="38">
        <f t="shared" si="61"/>
        <v>0</v>
      </c>
      <c r="R576" s="38">
        <f t="shared" si="62"/>
        <v>0</v>
      </c>
      <c r="S576" s="38">
        <f t="shared" si="63"/>
        <v>0</v>
      </c>
      <c r="T576" s="38">
        <f t="shared" si="64"/>
        <v>0</v>
      </c>
      <c r="U576" s="38">
        <f t="shared" si="65"/>
        <v>0</v>
      </c>
      <c r="V576" s="55"/>
      <c r="AE576" s="56"/>
    </row>
    <row r="577" spans="2:31" s="50" customFormat="1" ht="11.25" hidden="1">
      <c r="B577" s="69" t="s">
        <v>458</v>
      </c>
      <c r="C577" s="86"/>
      <c r="D577" s="30"/>
      <c r="E577" s="5"/>
      <c r="F577" s="5"/>
      <c r="G577" s="5"/>
      <c r="H577" s="5"/>
      <c r="I577" s="5"/>
      <c r="J577" s="5"/>
      <c r="K577" s="5"/>
      <c r="L577" s="5"/>
      <c r="M577" s="5"/>
      <c r="N577" s="5"/>
      <c r="O577" s="38">
        <f t="shared" si="59"/>
        <v>0</v>
      </c>
      <c r="P577" s="38">
        <f t="shared" si="60"/>
        <v>0</v>
      </c>
      <c r="Q577" s="38">
        <f t="shared" si="61"/>
        <v>0</v>
      </c>
      <c r="R577" s="38">
        <f t="shared" si="62"/>
        <v>0</v>
      </c>
      <c r="S577" s="38">
        <f t="shared" si="63"/>
        <v>0</v>
      </c>
      <c r="T577" s="38">
        <f t="shared" si="64"/>
        <v>0</v>
      </c>
      <c r="U577" s="38">
        <f t="shared" si="65"/>
        <v>0</v>
      </c>
      <c r="V577" s="55"/>
      <c r="AE577" s="56"/>
    </row>
    <row r="578" spans="2:31" s="50" customFormat="1" ht="11.25" hidden="1">
      <c r="B578" s="69" t="s">
        <v>458</v>
      </c>
      <c r="C578" s="86"/>
      <c r="D578" s="30"/>
      <c r="E578" s="5"/>
      <c r="F578" s="5"/>
      <c r="G578" s="5"/>
      <c r="H578" s="5"/>
      <c r="I578" s="5"/>
      <c r="J578" s="5"/>
      <c r="K578" s="5"/>
      <c r="L578" s="5"/>
      <c r="M578" s="5"/>
      <c r="N578" s="5"/>
      <c r="O578" s="38">
        <f t="shared" si="59"/>
        <v>0</v>
      </c>
      <c r="P578" s="38">
        <f t="shared" si="60"/>
        <v>0</v>
      </c>
      <c r="Q578" s="38">
        <f t="shared" si="61"/>
        <v>0</v>
      </c>
      <c r="R578" s="38">
        <f t="shared" si="62"/>
        <v>0</v>
      </c>
      <c r="S578" s="38">
        <f t="shared" si="63"/>
        <v>0</v>
      </c>
      <c r="T578" s="38">
        <f t="shared" si="64"/>
        <v>0</v>
      </c>
      <c r="U578" s="38">
        <f t="shared" si="65"/>
        <v>0</v>
      </c>
      <c r="V578" s="55"/>
      <c r="AE578" s="56"/>
    </row>
    <row r="579" spans="2:31" s="50" customFormat="1" ht="11.25" hidden="1">
      <c r="B579" s="69" t="s">
        <v>458</v>
      </c>
      <c r="C579" s="86"/>
      <c r="D579" s="30"/>
      <c r="E579" s="5"/>
      <c r="F579" s="5"/>
      <c r="G579" s="5"/>
      <c r="H579" s="5"/>
      <c r="I579" s="5"/>
      <c r="J579" s="5"/>
      <c r="K579" s="5"/>
      <c r="L579" s="5"/>
      <c r="M579" s="5"/>
      <c r="N579" s="5"/>
      <c r="O579" s="38">
        <f t="shared" si="59"/>
        <v>0</v>
      </c>
      <c r="P579" s="38">
        <f t="shared" si="60"/>
        <v>0</v>
      </c>
      <c r="Q579" s="38">
        <f t="shared" si="61"/>
        <v>0</v>
      </c>
      <c r="R579" s="38">
        <f t="shared" si="62"/>
        <v>0</v>
      </c>
      <c r="S579" s="38">
        <f t="shared" si="63"/>
        <v>0</v>
      </c>
      <c r="T579" s="38">
        <f t="shared" si="64"/>
        <v>0</v>
      </c>
      <c r="U579" s="38">
        <f t="shared" si="65"/>
        <v>0</v>
      </c>
      <c r="V579" s="55"/>
      <c r="AE579" s="56"/>
    </row>
    <row r="580" spans="2:31" s="50" customFormat="1" ht="11.25" hidden="1">
      <c r="B580" s="69" t="s">
        <v>458</v>
      </c>
      <c r="C580" s="86"/>
      <c r="D580" s="30"/>
      <c r="E580" s="5"/>
      <c r="F580" s="5"/>
      <c r="G580" s="5"/>
      <c r="H580" s="5"/>
      <c r="I580" s="5"/>
      <c r="J580" s="5"/>
      <c r="K580" s="5"/>
      <c r="L580" s="5"/>
      <c r="M580" s="5"/>
      <c r="N580" s="5"/>
      <c r="O580" s="38">
        <f t="shared" si="59"/>
        <v>0</v>
      </c>
      <c r="P580" s="38">
        <f t="shared" si="60"/>
        <v>0</v>
      </c>
      <c r="Q580" s="38">
        <f t="shared" si="61"/>
        <v>0</v>
      </c>
      <c r="R580" s="38">
        <f t="shared" si="62"/>
        <v>0</v>
      </c>
      <c r="S580" s="38">
        <f t="shared" si="63"/>
        <v>0</v>
      </c>
      <c r="T580" s="38">
        <f t="shared" si="64"/>
        <v>0</v>
      </c>
      <c r="U580" s="38">
        <f t="shared" si="65"/>
        <v>0</v>
      </c>
      <c r="V580" s="55"/>
      <c r="AE580" s="56"/>
    </row>
    <row r="581" spans="2:31" s="50" customFormat="1" ht="11.25" hidden="1">
      <c r="B581" s="69" t="s">
        <v>458</v>
      </c>
      <c r="C581" s="86"/>
      <c r="D581" s="30"/>
      <c r="E581" s="5"/>
      <c r="F581" s="5"/>
      <c r="G581" s="5"/>
      <c r="H581" s="5"/>
      <c r="I581" s="5"/>
      <c r="J581" s="5"/>
      <c r="K581" s="5"/>
      <c r="L581" s="5"/>
      <c r="M581" s="5"/>
      <c r="N581" s="5"/>
      <c r="O581" s="38">
        <f t="shared" si="59"/>
        <v>0</v>
      </c>
      <c r="P581" s="38">
        <f t="shared" si="60"/>
        <v>0</v>
      </c>
      <c r="Q581" s="38">
        <f t="shared" si="61"/>
        <v>0</v>
      </c>
      <c r="R581" s="38">
        <f t="shared" si="62"/>
        <v>0</v>
      </c>
      <c r="S581" s="38">
        <f t="shared" si="63"/>
        <v>0</v>
      </c>
      <c r="T581" s="38">
        <f t="shared" si="64"/>
        <v>0</v>
      </c>
      <c r="U581" s="38">
        <f t="shared" si="65"/>
        <v>0</v>
      </c>
      <c r="V581" s="55"/>
      <c r="AE581" s="56"/>
    </row>
    <row r="582" spans="2:31" s="50" customFormat="1" ht="11.25" hidden="1">
      <c r="B582" s="69" t="s">
        <v>458</v>
      </c>
      <c r="C582" s="86"/>
      <c r="D582" s="30"/>
      <c r="E582" s="5"/>
      <c r="F582" s="5"/>
      <c r="G582" s="5"/>
      <c r="H582" s="5"/>
      <c r="I582" s="5"/>
      <c r="J582" s="5"/>
      <c r="K582" s="5"/>
      <c r="L582" s="5"/>
      <c r="M582" s="5"/>
      <c r="N582" s="5"/>
      <c r="O582" s="38">
        <f t="shared" si="59"/>
        <v>0</v>
      </c>
      <c r="P582" s="38">
        <f t="shared" si="60"/>
        <v>0</v>
      </c>
      <c r="Q582" s="38">
        <f t="shared" si="61"/>
        <v>0</v>
      </c>
      <c r="R582" s="38">
        <f t="shared" si="62"/>
        <v>0</v>
      </c>
      <c r="S582" s="38">
        <f t="shared" si="63"/>
        <v>0</v>
      </c>
      <c r="T582" s="38">
        <f t="shared" si="64"/>
        <v>0</v>
      </c>
      <c r="U582" s="38">
        <f t="shared" si="65"/>
        <v>0</v>
      </c>
      <c r="V582" s="55"/>
      <c r="AE582" s="56"/>
    </row>
    <row r="583" spans="2:31" s="50" customFormat="1" ht="11.25" hidden="1">
      <c r="B583" s="69" t="s">
        <v>458</v>
      </c>
      <c r="C583" s="86"/>
      <c r="D583" s="30"/>
      <c r="E583" s="5"/>
      <c r="F583" s="5"/>
      <c r="G583" s="5"/>
      <c r="H583" s="5"/>
      <c r="I583" s="5"/>
      <c r="J583" s="5"/>
      <c r="K583" s="5"/>
      <c r="L583" s="5"/>
      <c r="M583" s="5"/>
      <c r="N583" s="5"/>
      <c r="O583" s="38">
        <f t="shared" si="59"/>
        <v>0</v>
      </c>
      <c r="P583" s="38">
        <f t="shared" si="60"/>
        <v>0</v>
      </c>
      <c r="Q583" s="38">
        <f t="shared" si="61"/>
        <v>0</v>
      </c>
      <c r="R583" s="38">
        <f t="shared" si="62"/>
        <v>0</v>
      </c>
      <c r="S583" s="38">
        <f t="shared" si="63"/>
        <v>0</v>
      </c>
      <c r="T583" s="38">
        <f t="shared" si="64"/>
        <v>0</v>
      </c>
      <c r="U583" s="38">
        <f t="shared" si="65"/>
        <v>0</v>
      </c>
      <c r="V583" s="55"/>
      <c r="AE583" s="56"/>
    </row>
    <row r="584" spans="2:31" s="50" customFormat="1" ht="11.25" hidden="1">
      <c r="B584" s="69" t="s">
        <v>458</v>
      </c>
      <c r="C584" s="86"/>
      <c r="D584" s="30"/>
      <c r="E584" s="5"/>
      <c r="F584" s="5"/>
      <c r="G584" s="5"/>
      <c r="H584" s="5"/>
      <c r="I584" s="5"/>
      <c r="J584" s="5"/>
      <c r="K584" s="5"/>
      <c r="L584" s="5"/>
      <c r="M584" s="5"/>
      <c r="N584" s="5"/>
      <c r="O584" s="38">
        <f t="shared" si="59"/>
        <v>0</v>
      </c>
      <c r="P584" s="38">
        <f t="shared" si="60"/>
        <v>0</v>
      </c>
      <c r="Q584" s="38">
        <f t="shared" si="61"/>
        <v>0</v>
      </c>
      <c r="R584" s="38">
        <f t="shared" si="62"/>
        <v>0</v>
      </c>
      <c r="S584" s="38">
        <f t="shared" si="63"/>
        <v>0</v>
      </c>
      <c r="T584" s="38">
        <f t="shared" si="64"/>
        <v>0</v>
      </c>
      <c r="U584" s="38">
        <f t="shared" si="65"/>
        <v>0</v>
      </c>
      <c r="V584" s="55"/>
      <c r="AE584" s="56"/>
    </row>
    <row r="585" spans="2:31" s="50" customFormat="1" ht="11.25" hidden="1">
      <c r="B585" s="69" t="s">
        <v>458</v>
      </c>
      <c r="C585" s="86"/>
      <c r="D585" s="30"/>
      <c r="E585" s="5"/>
      <c r="F585" s="5"/>
      <c r="G585" s="5"/>
      <c r="H585" s="5"/>
      <c r="I585" s="5"/>
      <c r="J585" s="5"/>
      <c r="K585" s="5"/>
      <c r="L585" s="5"/>
      <c r="M585" s="5"/>
      <c r="N585" s="5"/>
      <c r="O585" s="38">
        <f t="shared" si="59"/>
        <v>0</v>
      </c>
      <c r="P585" s="38">
        <f t="shared" si="60"/>
        <v>0</v>
      </c>
      <c r="Q585" s="38">
        <f t="shared" si="61"/>
        <v>0</v>
      </c>
      <c r="R585" s="38">
        <f t="shared" si="62"/>
        <v>0</v>
      </c>
      <c r="S585" s="38">
        <f t="shared" si="63"/>
        <v>0</v>
      </c>
      <c r="T585" s="38">
        <f t="shared" si="64"/>
        <v>0</v>
      </c>
      <c r="U585" s="38">
        <f t="shared" si="65"/>
        <v>0</v>
      </c>
      <c r="V585" s="55"/>
      <c r="AE585" s="56"/>
    </row>
    <row r="586" spans="2:31" s="50" customFormat="1" ht="11.25" hidden="1">
      <c r="B586" s="69" t="s">
        <v>458</v>
      </c>
      <c r="C586" s="86"/>
      <c r="D586" s="30"/>
      <c r="E586" s="5"/>
      <c r="F586" s="5"/>
      <c r="G586" s="5"/>
      <c r="H586" s="5"/>
      <c r="I586" s="5"/>
      <c r="J586" s="5"/>
      <c r="K586" s="5"/>
      <c r="L586" s="5"/>
      <c r="M586" s="5"/>
      <c r="N586" s="5"/>
      <c r="O586" s="38">
        <f t="shared" ref="O586:O649" si="66">SUM(J586:N586)</f>
        <v>0</v>
      </c>
      <c r="P586" s="38">
        <f t="shared" ref="P586:P649" si="67">IF(I586=0,0,J586/I586*10)</f>
        <v>0</v>
      </c>
      <c r="Q586" s="38">
        <f t="shared" ref="Q586:Q649" si="68">IF(I586=0,0,L586/I586*10)</f>
        <v>0</v>
      </c>
      <c r="R586" s="38">
        <f t="shared" ref="R586:R649" si="69">IF(I586=0,0,M586/I586*10)</f>
        <v>0</v>
      </c>
      <c r="S586" s="38">
        <f t="shared" ref="S586:S649" si="70">IF(I586=0,0,N586/I586*10)</f>
        <v>0</v>
      </c>
      <c r="T586" s="38">
        <f t="shared" ref="T586:T649" si="71">IF(I586=0,0,K586/I586*10)</f>
        <v>0</v>
      </c>
      <c r="U586" s="38">
        <f t="shared" ref="U586:U649" si="72">IF(I586=0,0,O586/I586*10)</f>
        <v>0</v>
      </c>
      <c r="V586" s="55"/>
      <c r="AE586" s="56"/>
    </row>
    <row r="587" spans="2:31" s="50" customFormat="1" ht="11.25" hidden="1">
      <c r="B587" s="69" t="s">
        <v>458</v>
      </c>
      <c r="C587" s="86"/>
      <c r="D587" s="30"/>
      <c r="E587" s="5"/>
      <c r="F587" s="5"/>
      <c r="G587" s="5"/>
      <c r="H587" s="5"/>
      <c r="I587" s="5"/>
      <c r="J587" s="5"/>
      <c r="K587" s="5"/>
      <c r="L587" s="5"/>
      <c r="M587" s="5"/>
      <c r="N587" s="5"/>
      <c r="O587" s="38">
        <f t="shared" si="66"/>
        <v>0</v>
      </c>
      <c r="P587" s="38">
        <f t="shared" si="67"/>
        <v>0</v>
      </c>
      <c r="Q587" s="38">
        <f t="shared" si="68"/>
        <v>0</v>
      </c>
      <c r="R587" s="38">
        <f t="shared" si="69"/>
        <v>0</v>
      </c>
      <c r="S587" s="38">
        <f t="shared" si="70"/>
        <v>0</v>
      </c>
      <c r="T587" s="38">
        <f t="shared" si="71"/>
        <v>0</v>
      </c>
      <c r="U587" s="38">
        <f t="shared" si="72"/>
        <v>0</v>
      </c>
      <c r="V587" s="55"/>
      <c r="AE587" s="56"/>
    </row>
    <row r="588" spans="2:31" s="50" customFormat="1" ht="11.25" hidden="1">
      <c r="B588" s="69" t="s">
        <v>458</v>
      </c>
      <c r="C588" s="86"/>
      <c r="D588" s="30"/>
      <c r="E588" s="5"/>
      <c r="F588" s="5"/>
      <c r="G588" s="5"/>
      <c r="H588" s="5"/>
      <c r="I588" s="5"/>
      <c r="J588" s="5"/>
      <c r="K588" s="5"/>
      <c r="L588" s="5"/>
      <c r="M588" s="5"/>
      <c r="N588" s="5"/>
      <c r="O588" s="38">
        <f t="shared" si="66"/>
        <v>0</v>
      </c>
      <c r="P588" s="38">
        <f t="shared" si="67"/>
        <v>0</v>
      </c>
      <c r="Q588" s="38">
        <f t="shared" si="68"/>
        <v>0</v>
      </c>
      <c r="R588" s="38">
        <f t="shared" si="69"/>
        <v>0</v>
      </c>
      <c r="S588" s="38">
        <f t="shared" si="70"/>
        <v>0</v>
      </c>
      <c r="T588" s="38">
        <f t="shared" si="71"/>
        <v>0</v>
      </c>
      <c r="U588" s="38">
        <f t="shared" si="72"/>
        <v>0</v>
      </c>
      <c r="V588" s="55"/>
      <c r="AE588" s="56"/>
    </row>
    <row r="589" spans="2:31" s="50" customFormat="1" ht="11.25" hidden="1">
      <c r="B589" s="69" t="s">
        <v>458</v>
      </c>
      <c r="C589" s="86"/>
      <c r="D589" s="30"/>
      <c r="E589" s="5"/>
      <c r="F589" s="5"/>
      <c r="G589" s="5"/>
      <c r="H589" s="5"/>
      <c r="I589" s="5"/>
      <c r="J589" s="5"/>
      <c r="K589" s="5"/>
      <c r="L589" s="5"/>
      <c r="M589" s="5"/>
      <c r="N589" s="5"/>
      <c r="O589" s="38">
        <f t="shared" si="66"/>
        <v>0</v>
      </c>
      <c r="P589" s="38">
        <f t="shared" si="67"/>
        <v>0</v>
      </c>
      <c r="Q589" s="38">
        <f t="shared" si="68"/>
        <v>0</v>
      </c>
      <c r="R589" s="38">
        <f t="shared" si="69"/>
        <v>0</v>
      </c>
      <c r="S589" s="38">
        <f t="shared" si="70"/>
        <v>0</v>
      </c>
      <c r="T589" s="38">
        <f t="shared" si="71"/>
        <v>0</v>
      </c>
      <c r="U589" s="38">
        <f t="shared" si="72"/>
        <v>0</v>
      </c>
      <c r="V589" s="55"/>
      <c r="AE589" s="56"/>
    </row>
    <row r="590" spans="2:31" s="50" customFormat="1" ht="11.25" hidden="1">
      <c r="B590" s="69" t="s">
        <v>458</v>
      </c>
      <c r="C590" s="86"/>
      <c r="D590" s="30"/>
      <c r="E590" s="5"/>
      <c r="F590" s="5"/>
      <c r="G590" s="5"/>
      <c r="H590" s="5"/>
      <c r="I590" s="5"/>
      <c r="J590" s="5"/>
      <c r="K590" s="5"/>
      <c r="L590" s="5"/>
      <c r="M590" s="5"/>
      <c r="N590" s="5"/>
      <c r="O590" s="38">
        <f t="shared" si="66"/>
        <v>0</v>
      </c>
      <c r="P590" s="38">
        <f t="shared" si="67"/>
        <v>0</v>
      </c>
      <c r="Q590" s="38">
        <f t="shared" si="68"/>
        <v>0</v>
      </c>
      <c r="R590" s="38">
        <f t="shared" si="69"/>
        <v>0</v>
      </c>
      <c r="S590" s="38">
        <f t="shared" si="70"/>
        <v>0</v>
      </c>
      <c r="T590" s="38">
        <f t="shared" si="71"/>
        <v>0</v>
      </c>
      <c r="U590" s="38">
        <f t="shared" si="72"/>
        <v>0</v>
      </c>
      <c r="V590" s="55"/>
      <c r="AE590" s="56"/>
    </row>
    <row r="591" spans="2:31" s="50" customFormat="1" ht="11.25" hidden="1">
      <c r="B591" s="69" t="s">
        <v>458</v>
      </c>
      <c r="C591" s="86"/>
      <c r="D591" s="30"/>
      <c r="E591" s="5"/>
      <c r="F591" s="5"/>
      <c r="G591" s="5"/>
      <c r="H591" s="5"/>
      <c r="I591" s="5"/>
      <c r="J591" s="5"/>
      <c r="K591" s="5"/>
      <c r="L591" s="5"/>
      <c r="M591" s="5"/>
      <c r="N591" s="5"/>
      <c r="O591" s="38">
        <f t="shared" si="66"/>
        <v>0</v>
      </c>
      <c r="P591" s="38">
        <f t="shared" si="67"/>
        <v>0</v>
      </c>
      <c r="Q591" s="38">
        <f t="shared" si="68"/>
        <v>0</v>
      </c>
      <c r="R591" s="38">
        <f t="shared" si="69"/>
        <v>0</v>
      </c>
      <c r="S591" s="38">
        <f t="shared" si="70"/>
        <v>0</v>
      </c>
      <c r="T591" s="38">
        <f t="shared" si="71"/>
        <v>0</v>
      </c>
      <c r="U591" s="38">
        <f t="shared" si="72"/>
        <v>0</v>
      </c>
      <c r="V591" s="55"/>
      <c r="AE591" s="56"/>
    </row>
    <row r="592" spans="2:31" s="50" customFormat="1" ht="11.25" hidden="1">
      <c r="B592" s="69" t="s">
        <v>458</v>
      </c>
      <c r="C592" s="86"/>
      <c r="D592" s="30"/>
      <c r="E592" s="5"/>
      <c r="F592" s="5"/>
      <c r="G592" s="5"/>
      <c r="H592" s="5"/>
      <c r="I592" s="5"/>
      <c r="J592" s="5"/>
      <c r="K592" s="5"/>
      <c r="L592" s="5"/>
      <c r="M592" s="5"/>
      <c r="N592" s="5"/>
      <c r="O592" s="38">
        <f t="shared" si="66"/>
        <v>0</v>
      </c>
      <c r="P592" s="38">
        <f t="shared" si="67"/>
        <v>0</v>
      </c>
      <c r="Q592" s="38">
        <f t="shared" si="68"/>
        <v>0</v>
      </c>
      <c r="R592" s="38">
        <f t="shared" si="69"/>
        <v>0</v>
      </c>
      <c r="S592" s="38">
        <f t="shared" si="70"/>
        <v>0</v>
      </c>
      <c r="T592" s="38">
        <f t="shared" si="71"/>
        <v>0</v>
      </c>
      <c r="U592" s="38">
        <f t="shared" si="72"/>
        <v>0</v>
      </c>
      <c r="V592" s="55"/>
      <c r="AE592" s="56"/>
    </row>
    <row r="593" spans="2:31" s="50" customFormat="1" ht="11.25" hidden="1">
      <c r="B593" s="69" t="s">
        <v>458</v>
      </c>
      <c r="C593" s="86"/>
      <c r="D593" s="30"/>
      <c r="E593" s="5"/>
      <c r="F593" s="5"/>
      <c r="G593" s="5"/>
      <c r="H593" s="5"/>
      <c r="I593" s="5"/>
      <c r="J593" s="5"/>
      <c r="K593" s="5"/>
      <c r="L593" s="5"/>
      <c r="M593" s="5"/>
      <c r="N593" s="5"/>
      <c r="O593" s="38">
        <f t="shared" si="66"/>
        <v>0</v>
      </c>
      <c r="P593" s="38">
        <f t="shared" si="67"/>
        <v>0</v>
      </c>
      <c r="Q593" s="38">
        <f t="shared" si="68"/>
        <v>0</v>
      </c>
      <c r="R593" s="38">
        <f t="shared" si="69"/>
        <v>0</v>
      </c>
      <c r="S593" s="38">
        <f t="shared" si="70"/>
        <v>0</v>
      </c>
      <c r="T593" s="38">
        <f t="shared" si="71"/>
        <v>0</v>
      </c>
      <c r="U593" s="38">
        <f t="shared" si="72"/>
        <v>0</v>
      </c>
      <c r="V593" s="55"/>
      <c r="AE593" s="56"/>
    </row>
    <row r="594" spans="2:31" s="50" customFormat="1" ht="11.25" hidden="1">
      <c r="B594" s="69" t="s">
        <v>458</v>
      </c>
      <c r="C594" s="86"/>
      <c r="D594" s="30"/>
      <c r="E594" s="5"/>
      <c r="F594" s="5"/>
      <c r="G594" s="5"/>
      <c r="H594" s="5"/>
      <c r="I594" s="5"/>
      <c r="J594" s="5"/>
      <c r="K594" s="5"/>
      <c r="L594" s="5"/>
      <c r="M594" s="5"/>
      <c r="N594" s="5"/>
      <c r="O594" s="38">
        <f t="shared" si="66"/>
        <v>0</v>
      </c>
      <c r="P594" s="38">
        <f t="shared" si="67"/>
        <v>0</v>
      </c>
      <c r="Q594" s="38">
        <f t="shared" si="68"/>
        <v>0</v>
      </c>
      <c r="R594" s="38">
        <f t="shared" si="69"/>
        <v>0</v>
      </c>
      <c r="S594" s="38">
        <f t="shared" si="70"/>
        <v>0</v>
      </c>
      <c r="T594" s="38">
        <f t="shared" si="71"/>
        <v>0</v>
      </c>
      <c r="U594" s="38">
        <f t="shared" si="72"/>
        <v>0</v>
      </c>
      <c r="V594" s="55"/>
      <c r="AE594" s="56"/>
    </row>
    <row r="595" spans="2:31" s="50" customFormat="1" ht="11.25" hidden="1">
      <c r="B595" s="69" t="s">
        <v>458</v>
      </c>
      <c r="C595" s="86"/>
      <c r="D595" s="30"/>
      <c r="E595" s="5"/>
      <c r="F595" s="5"/>
      <c r="G595" s="5"/>
      <c r="H595" s="5"/>
      <c r="I595" s="5"/>
      <c r="J595" s="5"/>
      <c r="K595" s="5"/>
      <c r="L595" s="5"/>
      <c r="M595" s="5"/>
      <c r="N595" s="5"/>
      <c r="O595" s="38">
        <f t="shared" si="66"/>
        <v>0</v>
      </c>
      <c r="P595" s="38">
        <f t="shared" si="67"/>
        <v>0</v>
      </c>
      <c r="Q595" s="38">
        <f t="shared" si="68"/>
        <v>0</v>
      </c>
      <c r="R595" s="38">
        <f t="shared" si="69"/>
        <v>0</v>
      </c>
      <c r="S595" s="38">
        <f t="shared" si="70"/>
        <v>0</v>
      </c>
      <c r="T595" s="38">
        <f t="shared" si="71"/>
        <v>0</v>
      </c>
      <c r="U595" s="38">
        <f t="shared" si="72"/>
        <v>0</v>
      </c>
      <c r="V595" s="55"/>
      <c r="AE595" s="56"/>
    </row>
    <row r="596" spans="2:31" s="50" customFormat="1" ht="11.25" hidden="1">
      <c r="B596" s="69" t="s">
        <v>458</v>
      </c>
      <c r="C596" s="86"/>
      <c r="D596" s="30"/>
      <c r="E596" s="5"/>
      <c r="F596" s="5"/>
      <c r="G596" s="5"/>
      <c r="H596" s="5"/>
      <c r="I596" s="5"/>
      <c r="J596" s="5"/>
      <c r="K596" s="5"/>
      <c r="L596" s="5"/>
      <c r="M596" s="5"/>
      <c r="N596" s="5"/>
      <c r="O596" s="38">
        <f t="shared" si="66"/>
        <v>0</v>
      </c>
      <c r="P596" s="38">
        <f t="shared" si="67"/>
        <v>0</v>
      </c>
      <c r="Q596" s="38">
        <f t="shared" si="68"/>
        <v>0</v>
      </c>
      <c r="R596" s="38">
        <f t="shared" si="69"/>
        <v>0</v>
      </c>
      <c r="S596" s="38">
        <f t="shared" si="70"/>
        <v>0</v>
      </c>
      <c r="T596" s="38">
        <f t="shared" si="71"/>
        <v>0</v>
      </c>
      <c r="U596" s="38">
        <f t="shared" si="72"/>
        <v>0</v>
      </c>
      <c r="V596" s="55"/>
      <c r="AE596" s="56"/>
    </row>
    <row r="597" spans="2:31" s="50" customFormat="1" ht="11.25" hidden="1">
      <c r="B597" s="69" t="s">
        <v>458</v>
      </c>
      <c r="C597" s="86"/>
      <c r="D597" s="30"/>
      <c r="E597" s="5"/>
      <c r="F597" s="5"/>
      <c r="G597" s="5"/>
      <c r="H597" s="5"/>
      <c r="I597" s="5"/>
      <c r="J597" s="5"/>
      <c r="K597" s="5"/>
      <c r="L597" s="5"/>
      <c r="M597" s="5"/>
      <c r="N597" s="5"/>
      <c r="O597" s="38">
        <f t="shared" si="66"/>
        <v>0</v>
      </c>
      <c r="P597" s="38">
        <f t="shared" si="67"/>
        <v>0</v>
      </c>
      <c r="Q597" s="38">
        <f t="shared" si="68"/>
        <v>0</v>
      </c>
      <c r="R597" s="38">
        <f t="shared" si="69"/>
        <v>0</v>
      </c>
      <c r="S597" s="38">
        <f t="shared" si="70"/>
        <v>0</v>
      </c>
      <c r="T597" s="38">
        <f t="shared" si="71"/>
        <v>0</v>
      </c>
      <c r="U597" s="38">
        <f t="shared" si="72"/>
        <v>0</v>
      </c>
      <c r="V597" s="55"/>
      <c r="AE597" s="56"/>
    </row>
    <row r="598" spans="2:31" s="50" customFormat="1" ht="11.25" hidden="1">
      <c r="B598" s="69" t="s">
        <v>458</v>
      </c>
      <c r="C598" s="86"/>
      <c r="D598" s="30"/>
      <c r="E598" s="5"/>
      <c r="F598" s="5"/>
      <c r="G598" s="5"/>
      <c r="H598" s="5"/>
      <c r="I598" s="5"/>
      <c r="J598" s="5"/>
      <c r="K598" s="5"/>
      <c r="L598" s="5"/>
      <c r="M598" s="5"/>
      <c r="N598" s="5"/>
      <c r="O598" s="38">
        <f t="shared" si="66"/>
        <v>0</v>
      </c>
      <c r="P598" s="38">
        <f t="shared" si="67"/>
        <v>0</v>
      </c>
      <c r="Q598" s="38">
        <f t="shared" si="68"/>
        <v>0</v>
      </c>
      <c r="R598" s="38">
        <f t="shared" si="69"/>
        <v>0</v>
      </c>
      <c r="S598" s="38">
        <f t="shared" si="70"/>
        <v>0</v>
      </c>
      <c r="T598" s="38">
        <f t="shared" si="71"/>
        <v>0</v>
      </c>
      <c r="U598" s="38">
        <f t="shared" si="72"/>
        <v>0</v>
      </c>
      <c r="V598" s="55"/>
      <c r="AE598" s="56"/>
    </row>
    <row r="599" spans="2:31" s="50" customFormat="1" ht="11.25" hidden="1">
      <c r="B599" s="69" t="s">
        <v>458</v>
      </c>
      <c r="C599" s="86"/>
      <c r="D599" s="30"/>
      <c r="E599" s="5"/>
      <c r="F599" s="5"/>
      <c r="G599" s="5"/>
      <c r="H599" s="5"/>
      <c r="I599" s="5"/>
      <c r="J599" s="5"/>
      <c r="K599" s="5"/>
      <c r="L599" s="5"/>
      <c r="M599" s="5"/>
      <c r="N599" s="5"/>
      <c r="O599" s="38">
        <f t="shared" si="66"/>
        <v>0</v>
      </c>
      <c r="P599" s="38">
        <f t="shared" si="67"/>
        <v>0</v>
      </c>
      <c r="Q599" s="38">
        <f t="shared" si="68"/>
        <v>0</v>
      </c>
      <c r="R599" s="38">
        <f t="shared" si="69"/>
        <v>0</v>
      </c>
      <c r="S599" s="38">
        <f t="shared" si="70"/>
        <v>0</v>
      </c>
      <c r="T599" s="38">
        <f t="shared" si="71"/>
        <v>0</v>
      </c>
      <c r="U599" s="38">
        <f t="shared" si="72"/>
        <v>0</v>
      </c>
      <c r="V599" s="55"/>
      <c r="AE599" s="56"/>
    </row>
    <row r="600" spans="2:31" s="50" customFormat="1" ht="11.25" hidden="1">
      <c r="B600" s="69" t="s">
        <v>458</v>
      </c>
      <c r="C600" s="86"/>
      <c r="D600" s="30"/>
      <c r="E600" s="5"/>
      <c r="F600" s="5"/>
      <c r="G600" s="5"/>
      <c r="H600" s="5"/>
      <c r="I600" s="5"/>
      <c r="J600" s="5"/>
      <c r="K600" s="5"/>
      <c r="L600" s="5"/>
      <c r="M600" s="5"/>
      <c r="N600" s="5"/>
      <c r="O600" s="38">
        <f t="shared" si="66"/>
        <v>0</v>
      </c>
      <c r="P600" s="38">
        <f t="shared" si="67"/>
        <v>0</v>
      </c>
      <c r="Q600" s="38">
        <f t="shared" si="68"/>
        <v>0</v>
      </c>
      <c r="R600" s="38">
        <f t="shared" si="69"/>
        <v>0</v>
      </c>
      <c r="S600" s="38">
        <f t="shared" si="70"/>
        <v>0</v>
      </c>
      <c r="T600" s="38">
        <f t="shared" si="71"/>
        <v>0</v>
      </c>
      <c r="U600" s="38">
        <f t="shared" si="72"/>
        <v>0</v>
      </c>
      <c r="V600" s="55"/>
      <c r="AE600" s="56"/>
    </row>
    <row r="601" spans="2:31" s="50" customFormat="1" ht="11.25" hidden="1">
      <c r="B601" s="69" t="s">
        <v>458</v>
      </c>
      <c r="C601" s="86"/>
      <c r="D601" s="30"/>
      <c r="E601" s="5"/>
      <c r="F601" s="5"/>
      <c r="G601" s="5"/>
      <c r="H601" s="5"/>
      <c r="I601" s="5"/>
      <c r="J601" s="5"/>
      <c r="K601" s="5"/>
      <c r="L601" s="5"/>
      <c r="M601" s="5"/>
      <c r="N601" s="5"/>
      <c r="O601" s="38">
        <f t="shared" si="66"/>
        <v>0</v>
      </c>
      <c r="P601" s="38">
        <f t="shared" si="67"/>
        <v>0</v>
      </c>
      <c r="Q601" s="38">
        <f t="shared" si="68"/>
        <v>0</v>
      </c>
      <c r="R601" s="38">
        <f t="shared" si="69"/>
        <v>0</v>
      </c>
      <c r="S601" s="38">
        <f t="shared" si="70"/>
        <v>0</v>
      </c>
      <c r="T601" s="38">
        <f t="shared" si="71"/>
        <v>0</v>
      </c>
      <c r="U601" s="38">
        <f t="shared" si="72"/>
        <v>0</v>
      </c>
      <c r="V601" s="55"/>
      <c r="AE601" s="56"/>
    </row>
    <row r="602" spans="2:31" s="50" customFormat="1" ht="11.25" hidden="1">
      <c r="B602" s="69" t="s">
        <v>458</v>
      </c>
      <c r="C602" s="86"/>
      <c r="D602" s="30"/>
      <c r="E602" s="5"/>
      <c r="F602" s="5"/>
      <c r="G602" s="5"/>
      <c r="H602" s="5"/>
      <c r="I602" s="5"/>
      <c r="J602" s="5"/>
      <c r="K602" s="5"/>
      <c r="L602" s="5"/>
      <c r="M602" s="5"/>
      <c r="N602" s="5"/>
      <c r="O602" s="38">
        <f t="shared" si="66"/>
        <v>0</v>
      </c>
      <c r="P602" s="38">
        <f t="shared" si="67"/>
        <v>0</v>
      </c>
      <c r="Q602" s="38">
        <f t="shared" si="68"/>
        <v>0</v>
      </c>
      <c r="R602" s="38">
        <f t="shared" si="69"/>
        <v>0</v>
      </c>
      <c r="S602" s="38">
        <f t="shared" si="70"/>
        <v>0</v>
      </c>
      <c r="T602" s="38">
        <f t="shared" si="71"/>
        <v>0</v>
      </c>
      <c r="U602" s="38">
        <f t="shared" si="72"/>
        <v>0</v>
      </c>
      <c r="V602" s="55"/>
      <c r="AE602" s="56"/>
    </row>
    <row r="603" spans="2:31" s="50" customFormat="1" ht="11.25" hidden="1">
      <c r="B603" s="69" t="s">
        <v>458</v>
      </c>
      <c r="C603" s="86"/>
      <c r="D603" s="30"/>
      <c r="E603" s="5"/>
      <c r="F603" s="5"/>
      <c r="G603" s="5"/>
      <c r="H603" s="5"/>
      <c r="I603" s="5"/>
      <c r="J603" s="5"/>
      <c r="K603" s="5"/>
      <c r="L603" s="5"/>
      <c r="M603" s="5"/>
      <c r="N603" s="5"/>
      <c r="O603" s="38">
        <f t="shared" si="66"/>
        <v>0</v>
      </c>
      <c r="P603" s="38">
        <f t="shared" si="67"/>
        <v>0</v>
      </c>
      <c r="Q603" s="38">
        <f t="shared" si="68"/>
        <v>0</v>
      </c>
      <c r="R603" s="38">
        <f t="shared" si="69"/>
        <v>0</v>
      </c>
      <c r="S603" s="38">
        <f t="shared" si="70"/>
        <v>0</v>
      </c>
      <c r="T603" s="38">
        <f t="shared" si="71"/>
        <v>0</v>
      </c>
      <c r="U603" s="38">
        <f t="shared" si="72"/>
        <v>0</v>
      </c>
      <c r="V603" s="55"/>
      <c r="AE603" s="56"/>
    </row>
    <row r="604" spans="2:31" s="50" customFormat="1" ht="11.25" hidden="1">
      <c r="B604" s="69" t="s">
        <v>458</v>
      </c>
      <c r="C604" s="86"/>
      <c r="D604" s="30"/>
      <c r="E604" s="5"/>
      <c r="F604" s="5"/>
      <c r="G604" s="5"/>
      <c r="H604" s="5"/>
      <c r="I604" s="5"/>
      <c r="J604" s="5"/>
      <c r="K604" s="5"/>
      <c r="L604" s="5"/>
      <c r="M604" s="5"/>
      <c r="N604" s="5"/>
      <c r="O604" s="38">
        <f t="shared" si="66"/>
        <v>0</v>
      </c>
      <c r="P604" s="38">
        <f t="shared" si="67"/>
        <v>0</v>
      </c>
      <c r="Q604" s="38">
        <f t="shared" si="68"/>
        <v>0</v>
      </c>
      <c r="R604" s="38">
        <f t="shared" si="69"/>
        <v>0</v>
      </c>
      <c r="S604" s="38">
        <f t="shared" si="70"/>
        <v>0</v>
      </c>
      <c r="T604" s="38">
        <f t="shared" si="71"/>
        <v>0</v>
      </c>
      <c r="U604" s="38">
        <f t="shared" si="72"/>
        <v>0</v>
      </c>
      <c r="V604" s="55"/>
      <c r="AE604" s="56"/>
    </row>
    <row r="605" spans="2:31" s="50" customFormat="1" ht="11.25" hidden="1">
      <c r="B605" s="69" t="s">
        <v>458</v>
      </c>
      <c r="C605" s="86"/>
      <c r="D605" s="30"/>
      <c r="E605" s="5"/>
      <c r="F605" s="5"/>
      <c r="G605" s="5"/>
      <c r="H605" s="5"/>
      <c r="I605" s="5"/>
      <c r="J605" s="5"/>
      <c r="K605" s="5"/>
      <c r="L605" s="5"/>
      <c r="M605" s="5"/>
      <c r="N605" s="5"/>
      <c r="O605" s="38">
        <f t="shared" si="66"/>
        <v>0</v>
      </c>
      <c r="P605" s="38">
        <f t="shared" si="67"/>
        <v>0</v>
      </c>
      <c r="Q605" s="38">
        <f t="shared" si="68"/>
        <v>0</v>
      </c>
      <c r="R605" s="38">
        <f t="shared" si="69"/>
        <v>0</v>
      </c>
      <c r="S605" s="38">
        <f t="shared" si="70"/>
        <v>0</v>
      </c>
      <c r="T605" s="38">
        <f t="shared" si="71"/>
        <v>0</v>
      </c>
      <c r="U605" s="38">
        <f t="shared" si="72"/>
        <v>0</v>
      </c>
      <c r="V605" s="55"/>
      <c r="AE605" s="56"/>
    </row>
    <row r="606" spans="2:31" s="50" customFormat="1" ht="11.25" hidden="1">
      <c r="B606" s="69" t="s">
        <v>458</v>
      </c>
      <c r="C606" s="86"/>
      <c r="D606" s="30"/>
      <c r="E606" s="5"/>
      <c r="F606" s="5"/>
      <c r="G606" s="5"/>
      <c r="H606" s="5"/>
      <c r="I606" s="5"/>
      <c r="J606" s="5"/>
      <c r="K606" s="5"/>
      <c r="L606" s="5"/>
      <c r="M606" s="5"/>
      <c r="N606" s="5"/>
      <c r="O606" s="38">
        <f t="shared" si="66"/>
        <v>0</v>
      </c>
      <c r="P606" s="38">
        <f t="shared" si="67"/>
        <v>0</v>
      </c>
      <c r="Q606" s="38">
        <f t="shared" si="68"/>
        <v>0</v>
      </c>
      <c r="R606" s="38">
        <f t="shared" si="69"/>
        <v>0</v>
      </c>
      <c r="S606" s="38">
        <f t="shared" si="70"/>
        <v>0</v>
      </c>
      <c r="T606" s="38">
        <f t="shared" si="71"/>
        <v>0</v>
      </c>
      <c r="U606" s="38">
        <f t="shared" si="72"/>
        <v>0</v>
      </c>
      <c r="V606" s="55"/>
      <c r="AE606" s="56"/>
    </row>
    <row r="607" spans="2:31" s="50" customFormat="1" ht="11.25" hidden="1">
      <c r="B607" s="69" t="s">
        <v>458</v>
      </c>
      <c r="C607" s="86"/>
      <c r="D607" s="30"/>
      <c r="E607" s="5"/>
      <c r="F607" s="5"/>
      <c r="G607" s="5"/>
      <c r="H607" s="5"/>
      <c r="I607" s="5"/>
      <c r="J607" s="5"/>
      <c r="K607" s="5"/>
      <c r="L607" s="5"/>
      <c r="M607" s="5"/>
      <c r="N607" s="5"/>
      <c r="O607" s="38">
        <f t="shared" si="66"/>
        <v>0</v>
      </c>
      <c r="P607" s="38">
        <f t="shared" si="67"/>
        <v>0</v>
      </c>
      <c r="Q607" s="38">
        <f t="shared" si="68"/>
        <v>0</v>
      </c>
      <c r="R607" s="38">
        <f t="shared" si="69"/>
        <v>0</v>
      </c>
      <c r="S607" s="38">
        <f t="shared" si="70"/>
        <v>0</v>
      </c>
      <c r="T607" s="38">
        <f t="shared" si="71"/>
        <v>0</v>
      </c>
      <c r="U607" s="38">
        <f t="shared" si="72"/>
        <v>0</v>
      </c>
      <c r="V607" s="55"/>
      <c r="AE607" s="56"/>
    </row>
    <row r="608" spans="2:31" s="50" customFormat="1" ht="11.25" hidden="1">
      <c r="B608" s="69" t="s">
        <v>458</v>
      </c>
      <c r="C608" s="86"/>
      <c r="D608" s="30"/>
      <c r="E608" s="5"/>
      <c r="F608" s="5"/>
      <c r="G608" s="5"/>
      <c r="H608" s="5"/>
      <c r="I608" s="5"/>
      <c r="J608" s="5"/>
      <c r="K608" s="5"/>
      <c r="L608" s="5"/>
      <c r="M608" s="5"/>
      <c r="N608" s="5"/>
      <c r="O608" s="38">
        <f t="shared" si="66"/>
        <v>0</v>
      </c>
      <c r="P608" s="38">
        <f t="shared" si="67"/>
        <v>0</v>
      </c>
      <c r="Q608" s="38">
        <f t="shared" si="68"/>
        <v>0</v>
      </c>
      <c r="R608" s="38">
        <f t="shared" si="69"/>
        <v>0</v>
      </c>
      <c r="S608" s="38">
        <f t="shared" si="70"/>
        <v>0</v>
      </c>
      <c r="T608" s="38">
        <f t="shared" si="71"/>
        <v>0</v>
      </c>
      <c r="U608" s="38">
        <f t="shared" si="72"/>
        <v>0</v>
      </c>
      <c r="V608" s="55"/>
      <c r="AE608" s="56"/>
    </row>
    <row r="609" spans="2:31" s="50" customFormat="1" ht="11.25" hidden="1">
      <c r="B609" s="69" t="s">
        <v>458</v>
      </c>
      <c r="C609" s="86"/>
      <c r="D609" s="30"/>
      <c r="E609" s="5"/>
      <c r="F609" s="5"/>
      <c r="G609" s="5"/>
      <c r="H609" s="5"/>
      <c r="I609" s="5"/>
      <c r="J609" s="5"/>
      <c r="K609" s="5"/>
      <c r="L609" s="5"/>
      <c r="M609" s="5"/>
      <c r="N609" s="5"/>
      <c r="O609" s="38">
        <f t="shared" si="66"/>
        <v>0</v>
      </c>
      <c r="P609" s="38">
        <f t="shared" si="67"/>
        <v>0</v>
      </c>
      <c r="Q609" s="38">
        <f t="shared" si="68"/>
        <v>0</v>
      </c>
      <c r="R609" s="38">
        <f t="shared" si="69"/>
        <v>0</v>
      </c>
      <c r="S609" s="38">
        <f t="shared" si="70"/>
        <v>0</v>
      </c>
      <c r="T609" s="38">
        <f t="shared" si="71"/>
        <v>0</v>
      </c>
      <c r="U609" s="38">
        <f t="shared" si="72"/>
        <v>0</v>
      </c>
      <c r="V609" s="73"/>
      <c r="AE609" s="56"/>
    </row>
    <row r="610" spans="2:31" s="50" customFormat="1" ht="11.25" hidden="1">
      <c r="B610" s="69" t="s">
        <v>458</v>
      </c>
      <c r="C610" s="86"/>
      <c r="D610" s="30"/>
      <c r="E610" s="5"/>
      <c r="F610" s="5"/>
      <c r="G610" s="5"/>
      <c r="H610" s="5"/>
      <c r="I610" s="5"/>
      <c r="J610" s="5"/>
      <c r="K610" s="5"/>
      <c r="L610" s="5"/>
      <c r="M610" s="5"/>
      <c r="N610" s="5"/>
      <c r="O610" s="38">
        <f t="shared" si="66"/>
        <v>0</v>
      </c>
      <c r="P610" s="38">
        <f t="shared" si="67"/>
        <v>0</v>
      </c>
      <c r="Q610" s="38">
        <f t="shared" si="68"/>
        <v>0</v>
      </c>
      <c r="R610" s="38">
        <f t="shared" si="69"/>
        <v>0</v>
      </c>
      <c r="S610" s="38">
        <f t="shared" si="70"/>
        <v>0</v>
      </c>
      <c r="T610" s="38">
        <f t="shared" si="71"/>
        <v>0</v>
      </c>
      <c r="U610" s="38">
        <f t="shared" si="72"/>
        <v>0</v>
      </c>
      <c r="V610" s="73"/>
      <c r="AE610" s="56"/>
    </row>
    <row r="611" spans="2:31" s="50" customFormat="1" ht="11.25" hidden="1">
      <c r="B611" s="69" t="s">
        <v>458</v>
      </c>
      <c r="C611" s="86"/>
      <c r="D611" s="30"/>
      <c r="E611" s="5"/>
      <c r="F611" s="5"/>
      <c r="G611" s="5"/>
      <c r="H611" s="5"/>
      <c r="I611" s="5"/>
      <c r="J611" s="5"/>
      <c r="K611" s="5"/>
      <c r="L611" s="5"/>
      <c r="M611" s="5"/>
      <c r="N611" s="5"/>
      <c r="O611" s="38">
        <f t="shared" si="66"/>
        <v>0</v>
      </c>
      <c r="P611" s="38">
        <f t="shared" si="67"/>
        <v>0</v>
      </c>
      <c r="Q611" s="38">
        <f t="shared" si="68"/>
        <v>0</v>
      </c>
      <c r="R611" s="38">
        <f t="shared" si="69"/>
        <v>0</v>
      </c>
      <c r="S611" s="38">
        <f t="shared" si="70"/>
        <v>0</v>
      </c>
      <c r="T611" s="38">
        <f t="shared" si="71"/>
        <v>0</v>
      </c>
      <c r="U611" s="38">
        <f t="shared" si="72"/>
        <v>0</v>
      </c>
      <c r="V611" s="55"/>
      <c r="AE611" s="56"/>
    </row>
    <row r="612" spans="2:31" s="50" customFormat="1" ht="11.25">
      <c r="B612" s="69" t="s">
        <v>458</v>
      </c>
      <c r="C612" s="86"/>
      <c r="D612" s="30"/>
      <c r="E612" s="5"/>
      <c r="F612" s="5"/>
      <c r="G612" s="5"/>
      <c r="H612" s="5"/>
      <c r="I612" s="5"/>
      <c r="J612" s="5"/>
      <c r="K612" s="5"/>
      <c r="L612" s="5"/>
      <c r="M612" s="5"/>
      <c r="N612" s="5"/>
      <c r="O612" s="38">
        <f t="shared" si="66"/>
        <v>0</v>
      </c>
      <c r="P612" s="38">
        <f t="shared" si="67"/>
        <v>0</v>
      </c>
      <c r="Q612" s="38">
        <f t="shared" si="68"/>
        <v>0</v>
      </c>
      <c r="R612" s="38">
        <f t="shared" si="69"/>
        <v>0</v>
      </c>
      <c r="S612" s="38">
        <f t="shared" si="70"/>
        <v>0</v>
      </c>
      <c r="T612" s="38">
        <f t="shared" si="71"/>
        <v>0</v>
      </c>
      <c r="U612" s="38">
        <f t="shared" si="72"/>
        <v>0</v>
      </c>
      <c r="V612" s="55"/>
      <c r="AE612" s="56"/>
    </row>
    <row r="613" spans="2:31" s="50" customFormat="1" ht="11.25">
      <c r="B613" s="72" t="s">
        <v>480</v>
      </c>
      <c r="C613" s="87"/>
      <c r="D613" s="72"/>
      <c r="E613" s="38">
        <f>SUM(E463:E612)</f>
        <v>0</v>
      </c>
      <c r="F613" s="38"/>
      <c r="G613" s="38">
        <f t="shared" ref="G613:N613" si="73">SUM(G463:G612)</f>
        <v>0</v>
      </c>
      <c r="H613" s="38">
        <f t="shared" si="73"/>
        <v>0</v>
      </c>
      <c r="I613" s="38">
        <f t="shared" si="73"/>
        <v>0</v>
      </c>
      <c r="J613" s="38">
        <f t="shared" si="73"/>
        <v>0</v>
      </c>
      <c r="K613" s="38">
        <f t="shared" si="73"/>
        <v>0</v>
      </c>
      <c r="L613" s="38">
        <f t="shared" si="73"/>
        <v>0</v>
      </c>
      <c r="M613" s="38">
        <f t="shared" si="73"/>
        <v>0</v>
      </c>
      <c r="N613" s="38">
        <f t="shared" si="73"/>
        <v>0</v>
      </c>
      <c r="O613" s="38">
        <f t="shared" si="66"/>
        <v>0</v>
      </c>
      <c r="P613" s="38">
        <f t="shared" si="67"/>
        <v>0</v>
      </c>
      <c r="Q613" s="38">
        <f t="shared" si="68"/>
        <v>0</v>
      </c>
      <c r="R613" s="38">
        <f t="shared" si="69"/>
        <v>0</v>
      </c>
      <c r="S613" s="38">
        <f t="shared" si="70"/>
        <v>0</v>
      </c>
      <c r="T613" s="38">
        <f t="shared" si="71"/>
        <v>0</v>
      </c>
      <c r="U613" s="38">
        <f t="shared" si="72"/>
        <v>0</v>
      </c>
      <c r="V613" s="55"/>
    </row>
    <row r="614" spans="2:31" s="50" customFormat="1" ht="11.25">
      <c r="B614" s="74" t="s">
        <v>460</v>
      </c>
      <c r="C614" s="82"/>
      <c r="D614" s="28"/>
      <c r="E614" s="5"/>
      <c r="F614" s="5"/>
      <c r="G614" s="5"/>
      <c r="H614" s="5"/>
      <c r="I614" s="5"/>
      <c r="J614" s="29"/>
      <c r="K614" s="29"/>
      <c r="L614" s="22"/>
      <c r="M614" s="22"/>
      <c r="N614" s="22"/>
      <c r="O614" s="38">
        <f t="shared" si="66"/>
        <v>0</v>
      </c>
      <c r="P614" s="38">
        <f t="shared" si="67"/>
        <v>0</v>
      </c>
      <c r="Q614" s="38">
        <f t="shared" si="68"/>
        <v>0</v>
      </c>
      <c r="R614" s="38">
        <f t="shared" si="69"/>
        <v>0</v>
      </c>
      <c r="S614" s="38">
        <f t="shared" si="70"/>
        <v>0</v>
      </c>
      <c r="T614" s="38">
        <f t="shared" si="71"/>
        <v>0</v>
      </c>
      <c r="U614" s="38">
        <f t="shared" si="72"/>
        <v>0</v>
      </c>
      <c r="V614" s="55"/>
      <c r="AE614" s="56"/>
    </row>
    <row r="615" spans="2:31" s="50" customFormat="1" ht="11.25">
      <c r="B615" s="74" t="s">
        <v>460</v>
      </c>
      <c r="C615" s="86"/>
      <c r="D615" s="31"/>
      <c r="E615" s="5"/>
      <c r="F615" s="5"/>
      <c r="G615" s="5"/>
      <c r="H615" s="5"/>
      <c r="I615" s="29"/>
      <c r="J615" s="29"/>
      <c r="K615" s="29"/>
      <c r="L615" s="29"/>
      <c r="M615" s="29"/>
      <c r="N615" s="29"/>
      <c r="O615" s="38">
        <f t="shared" si="66"/>
        <v>0</v>
      </c>
      <c r="P615" s="38">
        <f t="shared" si="67"/>
        <v>0</v>
      </c>
      <c r="Q615" s="38">
        <f t="shared" si="68"/>
        <v>0</v>
      </c>
      <c r="R615" s="38">
        <f t="shared" si="69"/>
        <v>0</v>
      </c>
      <c r="S615" s="38">
        <f t="shared" si="70"/>
        <v>0</v>
      </c>
      <c r="T615" s="38">
        <f t="shared" si="71"/>
        <v>0</v>
      </c>
      <c r="U615" s="38">
        <f t="shared" si="72"/>
        <v>0</v>
      </c>
      <c r="V615" s="55"/>
      <c r="AE615" s="56"/>
    </row>
    <row r="616" spans="2:31" s="50" customFormat="1" ht="11.25">
      <c r="B616" s="74" t="s">
        <v>460</v>
      </c>
      <c r="C616" s="86"/>
      <c r="D616" s="31"/>
      <c r="E616" s="5"/>
      <c r="F616" s="5"/>
      <c r="G616" s="5"/>
      <c r="H616" s="5"/>
      <c r="I616" s="29"/>
      <c r="J616" s="29"/>
      <c r="K616" s="29"/>
      <c r="L616" s="29"/>
      <c r="M616" s="29"/>
      <c r="N616" s="29"/>
      <c r="O616" s="38">
        <f t="shared" si="66"/>
        <v>0</v>
      </c>
      <c r="P616" s="38">
        <f t="shared" si="67"/>
        <v>0</v>
      </c>
      <c r="Q616" s="38">
        <f t="shared" si="68"/>
        <v>0</v>
      </c>
      <c r="R616" s="38">
        <f t="shared" si="69"/>
        <v>0</v>
      </c>
      <c r="S616" s="38">
        <f t="shared" si="70"/>
        <v>0</v>
      </c>
      <c r="T616" s="38">
        <f t="shared" si="71"/>
        <v>0</v>
      </c>
      <c r="U616" s="38">
        <f t="shared" si="72"/>
        <v>0</v>
      </c>
      <c r="V616" s="55"/>
    </row>
    <row r="617" spans="2:31" s="50" customFormat="1" ht="11.25" hidden="1">
      <c r="B617" s="74" t="s">
        <v>460</v>
      </c>
      <c r="C617" s="86"/>
      <c r="D617" s="31"/>
      <c r="E617" s="5"/>
      <c r="F617" s="5"/>
      <c r="G617" s="5"/>
      <c r="H617" s="5"/>
      <c r="I617" s="29"/>
      <c r="J617" s="29"/>
      <c r="K617" s="29"/>
      <c r="L617" s="29"/>
      <c r="M617" s="29"/>
      <c r="N617" s="29"/>
      <c r="O617" s="38">
        <f t="shared" si="66"/>
        <v>0</v>
      </c>
      <c r="P617" s="38">
        <f t="shared" si="67"/>
        <v>0</v>
      </c>
      <c r="Q617" s="38">
        <f t="shared" si="68"/>
        <v>0</v>
      </c>
      <c r="R617" s="38">
        <f t="shared" si="69"/>
        <v>0</v>
      </c>
      <c r="S617" s="38">
        <f t="shared" si="70"/>
        <v>0</v>
      </c>
      <c r="T617" s="38">
        <f t="shared" si="71"/>
        <v>0</v>
      </c>
      <c r="U617" s="38">
        <f t="shared" si="72"/>
        <v>0</v>
      </c>
      <c r="V617" s="55"/>
    </row>
    <row r="618" spans="2:31" s="50" customFormat="1" ht="11.25" hidden="1">
      <c r="B618" s="74" t="s">
        <v>460</v>
      </c>
      <c r="C618" s="86"/>
      <c r="D618" s="31"/>
      <c r="E618" s="5"/>
      <c r="F618" s="5"/>
      <c r="G618" s="5"/>
      <c r="H618" s="5"/>
      <c r="I618" s="29"/>
      <c r="J618" s="29"/>
      <c r="K618" s="29"/>
      <c r="L618" s="29"/>
      <c r="M618" s="29"/>
      <c r="N618" s="29"/>
      <c r="O618" s="38">
        <f t="shared" si="66"/>
        <v>0</v>
      </c>
      <c r="P618" s="38">
        <f t="shared" si="67"/>
        <v>0</v>
      </c>
      <c r="Q618" s="38">
        <f t="shared" si="68"/>
        <v>0</v>
      </c>
      <c r="R618" s="38">
        <f t="shared" si="69"/>
        <v>0</v>
      </c>
      <c r="S618" s="38">
        <f t="shared" si="70"/>
        <v>0</v>
      </c>
      <c r="T618" s="38">
        <f t="shared" si="71"/>
        <v>0</v>
      </c>
      <c r="U618" s="38">
        <f t="shared" si="72"/>
        <v>0</v>
      </c>
      <c r="V618" s="55"/>
    </row>
    <row r="619" spans="2:31" s="50" customFormat="1" ht="11.25" hidden="1">
      <c r="B619" s="74" t="s">
        <v>460</v>
      </c>
      <c r="C619" s="86"/>
      <c r="D619" s="31"/>
      <c r="E619" s="5"/>
      <c r="F619" s="5"/>
      <c r="G619" s="5"/>
      <c r="H619" s="5"/>
      <c r="I619" s="29"/>
      <c r="J619" s="29"/>
      <c r="K619" s="29"/>
      <c r="L619" s="29"/>
      <c r="M619" s="29"/>
      <c r="N619" s="29"/>
      <c r="O619" s="38">
        <f t="shared" si="66"/>
        <v>0</v>
      </c>
      <c r="P619" s="38">
        <f t="shared" si="67"/>
        <v>0</v>
      </c>
      <c r="Q619" s="38">
        <f t="shared" si="68"/>
        <v>0</v>
      </c>
      <c r="R619" s="38">
        <f t="shared" si="69"/>
        <v>0</v>
      </c>
      <c r="S619" s="38">
        <f t="shared" si="70"/>
        <v>0</v>
      </c>
      <c r="T619" s="38">
        <f t="shared" si="71"/>
        <v>0</v>
      </c>
      <c r="U619" s="38">
        <f t="shared" si="72"/>
        <v>0</v>
      </c>
      <c r="V619" s="55"/>
    </row>
    <row r="620" spans="2:31" s="50" customFormat="1" ht="11.25" hidden="1">
      <c r="B620" s="74" t="s">
        <v>460</v>
      </c>
      <c r="C620" s="86"/>
      <c r="D620" s="31"/>
      <c r="E620" s="5"/>
      <c r="F620" s="5"/>
      <c r="G620" s="5"/>
      <c r="H620" s="5"/>
      <c r="I620" s="29"/>
      <c r="J620" s="29"/>
      <c r="K620" s="29"/>
      <c r="L620" s="29"/>
      <c r="M620" s="29"/>
      <c r="N620" s="29"/>
      <c r="O620" s="38">
        <f t="shared" si="66"/>
        <v>0</v>
      </c>
      <c r="P620" s="38">
        <f t="shared" si="67"/>
        <v>0</v>
      </c>
      <c r="Q620" s="38">
        <f t="shared" si="68"/>
        <v>0</v>
      </c>
      <c r="R620" s="38">
        <f t="shared" si="69"/>
        <v>0</v>
      </c>
      <c r="S620" s="38">
        <f t="shared" si="70"/>
        <v>0</v>
      </c>
      <c r="T620" s="38">
        <f t="shared" si="71"/>
        <v>0</v>
      </c>
      <c r="U620" s="38">
        <f t="shared" si="72"/>
        <v>0</v>
      </c>
      <c r="V620" s="55"/>
    </row>
    <row r="621" spans="2:31" s="50" customFormat="1" ht="11.25" hidden="1">
      <c r="B621" s="74" t="s">
        <v>460</v>
      </c>
      <c r="C621" s="86"/>
      <c r="D621" s="31"/>
      <c r="E621" s="5"/>
      <c r="F621" s="5"/>
      <c r="G621" s="5"/>
      <c r="H621" s="5"/>
      <c r="I621" s="29"/>
      <c r="J621" s="29"/>
      <c r="K621" s="29"/>
      <c r="L621" s="29"/>
      <c r="M621" s="29"/>
      <c r="N621" s="29"/>
      <c r="O621" s="38">
        <f t="shared" si="66"/>
        <v>0</v>
      </c>
      <c r="P621" s="38">
        <f t="shared" si="67"/>
        <v>0</v>
      </c>
      <c r="Q621" s="38">
        <f t="shared" si="68"/>
        <v>0</v>
      </c>
      <c r="R621" s="38">
        <f t="shared" si="69"/>
        <v>0</v>
      </c>
      <c r="S621" s="38">
        <f t="shared" si="70"/>
        <v>0</v>
      </c>
      <c r="T621" s="38">
        <f t="shared" si="71"/>
        <v>0</v>
      </c>
      <c r="U621" s="38">
        <f t="shared" si="72"/>
        <v>0</v>
      </c>
      <c r="V621" s="55"/>
    </row>
    <row r="622" spans="2:31" s="50" customFormat="1" ht="11.25" hidden="1">
      <c r="B622" s="74" t="s">
        <v>460</v>
      </c>
      <c r="C622" s="86"/>
      <c r="D622" s="31"/>
      <c r="E622" s="5"/>
      <c r="F622" s="5"/>
      <c r="G622" s="5"/>
      <c r="H622" s="5"/>
      <c r="I622" s="29"/>
      <c r="J622" s="29"/>
      <c r="K622" s="29"/>
      <c r="L622" s="29"/>
      <c r="M622" s="29"/>
      <c r="N622" s="29"/>
      <c r="O622" s="38">
        <f t="shared" si="66"/>
        <v>0</v>
      </c>
      <c r="P622" s="38">
        <f t="shared" si="67"/>
        <v>0</v>
      </c>
      <c r="Q622" s="38">
        <f t="shared" si="68"/>
        <v>0</v>
      </c>
      <c r="R622" s="38">
        <f t="shared" si="69"/>
        <v>0</v>
      </c>
      <c r="S622" s="38">
        <f t="shared" si="70"/>
        <v>0</v>
      </c>
      <c r="T622" s="38">
        <f t="shared" si="71"/>
        <v>0</v>
      </c>
      <c r="U622" s="38">
        <f t="shared" si="72"/>
        <v>0</v>
      </c>
      <c r="V622" s="55"/>
    </row>
    <row r="623" spans="2:31" s="50" customFormat="1" ht="11.25" hidden="1">
      <c r="B623" s="74" t="s">
        <v>460</v>
      </c>
      <c r="C623" s="86"/>
      <c r="D623" s="31"/>
      <c r="E623" s="5"/>
      <c r="F623" s="5"/>
      <c r="G623" s="5"/>
      <c r="H623" s="5"/>
      <c r="I623" s="29"/>
      <c r="J623" s="29"/>
      <c r="K623" s="29"/>
      <c r="L623" s="29"/>
      <c r="M623" s="29"/>
      <c r="N623" s="29"/>
      <c r="O623" s="38">
        <f t="shared" si="66"/>
        <v>0</v>
      </c>
      <c r="P623" s="38">
        <f t="shared" si="67"/>
        <v>0</v>
      </c>
      <c r="Q623" s="38">
        <f t="shared" si="68"/>
        <v>0</v>
      </c>
      <c r="R623" s="38">
        <f t="shared" si="69"/>
        <v>0</v>
      </c>
      <c r="S623" s="38">
        <f t="shared" si="70"/>
        <v>0</v>
      </c>
      <c r="T623" s="38">
        <f t="shared" si="71"/>
        <v>0</v>
      </c>
      <c r="U623" s="38">
        <f t="shared" si="72"/>
        <v>0</v>
      </c>
      <c r="V623" s="55"/>
    </row>
    <row r="624" spans="2:31" s="50" customFormat="1" ht="11.25" hidden="1">
      <c r="B624" s="74" t="s">
        <v>460</v>
      </c>
      <c r="C624" s="84"/>
      <c r="D624" s="31"/>
      <c r="E624" s="5"/>
      <c r="F624" s="5"/>
      <c r="G624" s="5"/>
      <c r="H624" s="5"/>
      <c r="I624" s="29"/>
      <c r="J624" s="29"/>
      <c r="K624" s="29"/>
      <c r="L624" s="29"/>
      <c r="M624" s="29"/>
      <c r="N624" s="29"/>
      <c r="O624" s="38">
        <f t="shared" si="66"/>
        <v>0</v>
      </c>
      <c r="P624" s="38">
        <f t="shared" si="67"/>
        <v>0</v>
      </c>
      <c r="Q624" s="38">
        <f t="shared" si="68"/>
        <v>0</v>
      </c>
      <c r="R624" s="38">
        <f t="shared" si="69"/>
        <v>0</v>
      </c>
      <c r="S624" s="38">
        <f t="shared" si="70"/>
        <v>0</v>
      </c>
      <c r="T624" s="38">
        <f t="shared" si="71"/>
        <v>0</v>
      </c>
      <c r="U624" s="38">
        <f t="shared" si="72"/>
        <v>0</v>
      </c>
      <c r="V624" s="55"/>
    </row>
    <row r="625" spans="2:22" s="50" customFormat="1" ht="11.25" hidden="1">
      <c r="B625" s="74" t="s">
        <v>460</v>
      </c>
      <c r="C625" s="84"/>
      <c r="D625" s="31"/>
      <c r="E625" s="5"/>
      <c r="F625" s="5"/>
      <c r="G625" s="5"/>
      <c r="H625" s="5"/>
      <c r="I625" s="29"/>
      <c r="J625" s="29"/>
      <c r="K625" s="29"/>
      <c r="L625" s="29"/>
      <c r="M625" s="29"/>
      <c r="N625" s="29"/>
      <c r="O625" s="38">
        <f t="shared" si="66"/>
        <v>0</v>
      </c>
      <c r="P625" s="38">
        <f t="shared" si="67"/>
        <v>0</v>
      </c>
      <c r="Q625" s="38">
        <f t="shared" si="68"/>
        <v>0</v>
      </c>
      <c r="R625" s="38">
        <f t="shared" si="69"/>
        <v>0</v>
      </c>
      <c r="S625" s="38">
        <f t="shared" si="70"/>
        <v>0</v>
      </c>
      <c r="T625" s="38">
        <f t="shared" si="71"/>
        <v>0</v>
      </c>
      <c r="U625" s="38">
        <f t="shared" si="72"/>
        <v>0</v>
      </c>
      <c r="V625" s="55"/>
    </row>
    <row r="626" spans="2:22" s="50" customFormat="1" ht="11.25" hidden="1">
      <c r="B626" s="74" t="s">
        <v>460</v>
      </c>
      <c r="C626" s="84"/>
      <c r="D626" s="31"/>
      <c r="E626" s="5"/>
      <c r="F626" s="5"/>
      <c r="G626" s="5"/>
      <c r="H626" s="5"/>
      <c r="I626" s="29"/>
      <c r="J626" s="29"/>
      <c r="K626" s="29"/>
      <c r="L626" s="29"/>
      <c r="M626" s="29"/>
      <c r="N626" s="29"/>
      <c r="O626" s="38">
        <f t="shared" si="66"/>
        <v>0</v>
      </c>
      <c r="P626" s="38">
        <f t="shared" si="67"/>
        <v>0</v>
      </c>
      <c r="Q626" s="38">
        <f t="shared" si="68"/>
        <v>0</v>
      </c>
      <c r="R626" s="38">
        <f t="shared" si="69"/>
        <v>0</v>
      </c>
      <c r="S626" s="38">
        <f t="shared" si="70"/>
        <v>0</v>
      </c>
      <c r="T626" s="38">
        <f t="shared" si="71"/>
        <v>0</v>
      </c>
      <c r="U626" s="38">
        <f t="shared" si="72"/>
        <v>0</v>
      </c>
      <c r="V626" s="55"/>
    </row>
    <row r="627" spans="2:22" s="50" customFormat="1" ht="11.25" hidden="1">
      <c r="B627" s="74" t="s">
        <v>460</v>
      </c>
      <c r="C627" s="84"/>
      <c r="D627" s="31"/>
      <c r="E627" s="5"/>
      <c r="F627" s="5"/>
      <c r="G627" s="5"/>
      <c r="H627" s="5"/>
      <c r="I627" s="29"/>
      <c r="J627" s="29"/>
      <c r="K627" s="29"/>
      <c r="L627" s="29"/>
      <c r="M627" s="29"/>
      <c r="N627" s="29"/>
      <c r="O627" s="38">
        <f t="shared" si="66"/>
        <v>0</v>
      </c>
      <c r="P627" s="38">
        <f t="shared" si="67"/>
        <v>0</v>
      </c>
      <c r="Q627" s="38">
        <f t="shared" si="68"/>
        <v>0</v>
      </c>
      <c r="R627" s="38">
        <f t="shared" si="69"/>
        <v>0</v>
      </c>
      <c r="S627" s="38">
        <f t="shared" si="70"/>
        <v>0</v>
      </c>
      <c r="T627" s="38">
        <f t="shared" si="71"/>
        <v>0</v>
      </c>
      <c r="U627" s="38">
        <f t="shared" si="72"/>
        <v>0</v>
      </c>
      <c r="V627" s="55"/>
    </row>
    <row r="628" spans="2:22" s="50" customFormat="1" ht="11.25" hidden="1">
      <c r="B628" s="74" t="s">
        <v>460</v>
      </c>
      <c r="C628" s="84"/>
      <c r="D628" s="31"/>
      <c r="E628" s="5"/>
      <c r="F628" s="5"/>
      <c r="G628" s="5"/>
      <c r="H628" s="5"/>
      <c r="I628" s="29"/>
      <c r="J628" s="29"/>
      <c r="K628" s="29"/>
      <c r="L628" s="29"/>
      <c r="M628" s="29"/>
      <c r="N628" s="29"/>
      <c r="O628" s="38">
        <f t="shared" si="66"/>
        <v>0</v>
      </c>
      <c r="P628" s="38">
        <f t="shared" si="67"/>
        <v>0</v>
      </c>
      <c r="Q628" s="38">
        <f t="shared" si="68"/>
        <v>0</v>
      </c>
      <c r="R628" s="38">
        <f t="shared" si="69"/>
        <v>0</v>
      </c>
      <c r="S628" s="38">
        <f t="shared" si="70"/>
        <v>0</v>
      </c>
      <c r="T628" s="38">
        <f t="shared" si="71"/>
        <v>0</v>
      </c>
      <c r="U628" s="38">
        <f t="shared" si="72"/>
        <v>0</v>
      </c>
      <c r="V628" s="55"/>
    </row>
    <row r="629" spans="2:22" s="50" customFormat="1" ht="11.25" hidden="1">
      <c r="B629" s="74" t="s">
        <v>460</v>
      </c>
      <c r="C629" s="84"/>
      <c r="D629" s="31"/>
      <c r="E629" s="5"/>
      <c r="F629" s="5"/>
      <c r="G629" s="5"/>
      <c r="H629" s="5"/>
      <c r="I629" s="29"/>
      <c r="J629" s="29"/>
      <c r="K629" s="29"/>
      <c r="L629" s="29"/>
      <c r="M629" s="29"/>
      <c r="N629" s="29"/>
      <c r="O629" s="38">
        <f t="shared" si="66"/>
        <v>0</v>
      </c>
      <c r="P629" s="38">
        <f t="shared" si="67"/>
        <v>0</v>
      </c>
      <c r="Q629" s="38">
        <f t="shared" si="68"/>
        <v>0</v>
      </c>
      <c r="R629" s="38">
        <f t="shared" si="69"/>
        <v>0</v>
      </c>
      <c r="S629" s="38">
        <f t="shared" si="70"/>
        <v>0</v>
      </c>
      <c r="T629" s="38">
        <f t="shared" si="71"/>
        <v>0</v>
      </c>
      <c r="U629" s="38">
        <f t="shared" si="72"/>
        <v>0</v>
      </c>
      <c r="V629" s="55"/>
    </row>
    <row r="630" spans="2:22" s="50" customFormat="1" ht="11.25" hidden="1">
      <c r="B630" s="74" t="s">
        <v>460</v>
      </c>
      <c r="C630" s="84"/>
      <c r="D630" s="31"/>
      <c r="E630" s="5"/>
      <c r="F630" s="5"/>
      <c r="G630" s="5"/>
      <c r="H630" s="5"/>
      <c r="I630" s="29"/>
      <c r="J630" s="29"/>
      <c r="K630" s="29"/>
      <c r="L630" s="29"/>
      <c r="M630" s="29"/>
      <c r="N630" s="29"/>
      <c r="O630" s="38">
        <f t="shared" si="66"/>
        <v>0</v>
      </c>
      <c r="P630" s="38">
        <f t="shared" si="67"/>
        <v>0</v>
      </c>
      <c r="Q630" s="38">
        <f t="shared" si="68"/>
        <v>0</v>
      </c>
      <c r="R630" s="38">
        <f t="shared" si="69"/>
        <v>0</v>
      </c>
      <c r="S630" s="38">
        <f t="shared" si="70"/>
        <v>0</v>
      </c>
      <c r="T630" s="38">
        <f t="shared" si="71"/>
        <v>0</v>
      </c>
      <c r="U630" s="38">
        <f t="shared" si="72"/>
        <v>0</v>
      </c>
      <c r="V630" s="55"/>
    </row>
    <row r="631" spans="2:22" s="50" customFormat="1" ht="11.25" hidden="1">
      <c r="B631" s="74" t="s">
        <v>460</v>
      </c>
      <c r="C631" s="84"/>
      <c r="D631" s="31"/>
      <c r="E631" s="5"/>
      <c r="F631" s="5"/>
      <c r="G631" s="5"/>
      <c r="H631" s="5"/>
      <c r="I631" s="29"/>
      <c r="J631" s="29"/>
      <c r="K631" s="29"/>
      <c r="L631" s="29"/>
      <c r="M631" s="29"/>
      <c r="N631" s="29"/>
      <c r="O631" s="38">
        <f t="shared" si="66"/>
        <v>0</v>
      </c>
      <c r="P631" s="38">
        <f t="shared" si="67"/>
        <v>0</v>
      </c>
      <c r="Q631" s="38">
        <f t="shared" si="68"/>
        <v>0</v>
      </c>
      <c r="R631" s="38">
        <f t="shared" si="69"/>
        <v>0</v>
      </c>
      <c r="S631" s="38">
        <f t="shared" si="70"/>
        <v>0</v>
      </c>
      <c r="T631" s="38">
        <f t="shared" si="71"/>
        <v>0</v>
      </c>
      <c r="U631" s="38">
        <f t="shared" si="72"/>
        <v>0</v>
      </c>
      <c r="V631" s="55"/>
    </row>
    <row r="632" spans="2:22" s="50" customFormat="1" ht="11.25" hidden="1">
      <c r="B632" s="74" t="s">
        <v>460</v>
      </c>
      <c r="C632" s="84"/>
      <c r="D632" s="31"/>
      <c r="E632" s="5"/>
      <c r="F632" s="5"/>
      <c r="G632" s="5"/>
      <c r="H632" s="5"/>
      <c r="I632" s="29"/>
      <c r="J632" s="29"/>
      <c r="K632" s="29"/>
      <c r="L632" s="29"/>
      <c r="M632" s="29"/>
      <c r="N632" s="29"/>
      <c r="O632" s="38">
        <f t="shared" si="66"/>
        <v>0</v>
      </c>
      <c r="P632" s="38">
        <f t="shared" si="67"/>
        <v>0</v>
      </c>
      <c r="Q632" s="38">
        <f t="shared" si="68"/>
        <v>0</v>
      </c>
      <c r="R632" s="38">
        <f t="shared" si="69"/>
        <v>0</v>
      </c>
      <c r="S632" s="38">
        <f t="shared" si="70"/>
        <v>0</v>
      </c>
      <c r="T632" s="38">
        <f t="shared" si="71"/>
        <v>0</v>
      </c>
      <c r="U632" s="38">
        <f t="shared" si="72"/>
        <v>0</v>
      </c>
      <c r="V632" s="55"/>
    </row>
    <row r="633" spans="2:22" s="50" customFormat="1" ht="11.25" hidden="1">
      <c r="B633" s="74" t="s">
        <v>460</v>
      </c>
      <c r="C633" s="84"/>
      <c r="D633" s="31"/>
      <c r="E633" s="5"/>
      <c r="F633" s="5"/>
      <c r="G633" s="5"/>
      <c r="H633" s="5"/>
      <c r="I633" s="29"/>
      <c r="J633" s="29"/>
      <c r="K633" s="29"/>
      <c r="L633" s="29"/>
      <c r="M633" s="29"/>
      <c r="N633" s="29"/>
      <c r="O633" s="38">
        <f t="shared" si="66"/>
        <v>0</v>
      </c>
      <c r="P633" s="38">
        <f t="shared" si="67"/>
        <v>0</v>
      </c>
      <c r="Q633" s="38">
        <f t="shared" si="68"/>
        <v>0</v>
      </c>
      <c r="R633" s="38">
        <f t="shared" si="69"/>
        <v>0</v>
      </c>
      <c r="S633" s="38">
        <f t="shared" si="70"/>
        <v>0</v>
      </c>
      <c r="T633" s="38">
        <f t="shared" si="71"/>
        <v>0</v>
      </c>
      <c r="U633" s="38">
        <f t="shared" si="72"/>
        <v>0</v>
      </c>
      <c r="V633" s="55"/>
    </row>
    <row r="634" spans="2:22" s="50" customFormat="1" ht="11.25" hidden="1">
      <c r="B634" s="74" t="s">
        <v>460</v>
      </c>
      <c r="C634" s="84"/>
      <c r="D634" s="31"/>
      <c r="E634" s="5"/>
      <c r="F634" s="5"/>
      <c r="G634" s="5"/>
      <c r="H634" s="5"/>
      <c r="I634" s="29"/>
      <c r="J634" s="29"/>
      <c r="K634" s="29"/>
      <c r="L634" s="29"/>
      <c r="M634" s="29"/>
      <c r="N634" s="29"/>
      <c r="O634" s="38">
        <f t="shared" si="66"/>
        <v>0</v>
      </c>
      <c r="P634" s="38">
        <f t="shared" si="67"/>
        <v>0</v>
      </c>
      <c r="Q634" s="38">
        <f t="shared" si="68"/>
        <v>0</v>
      </c>
      <c r="R634" s="38">
        <f t="shared" si="69"/>
        <v>0</v>
      </c>
      <c r="S634" s="38">
        <f t="shared" si="70"/>
        <v>0</v>
      </c>
      <c r="T634" s="38">
        <f t="shared" si="71"/>
        <v>0</v>
      </c>
      <c r="U634" s="38">
        <f t="shared" si="72"/>
        <v>0</v>
      </c>
      <c r="V634" s="55"/>
    </row>
    <row r="635" spans="2:22" s="50" customFormat="1" ht="11.25" hidden="1">
      <c r="B635" s="74" t="s">
        <v>460</v>
      </c>
      <c r="C635" s="84"/>
      <c r="D635" s="31"/>
      <c r="E635" s="5"/>
      <c r="F635" s="5"/>
      <c r="G635" s="5"/>
      <c r="H635" s="5"/>
      <c r="I635" s="29"/>
      <c r="J635" s="29"/>
      <c r="K635" s="29"/>
      <c r="L635" s="29"/>
      <c r="M635" s="29"/>
      <c r="N635" s="29"/>
      <c r="O635" s="38">
        <f t="shared" si="66"/>
        <v>0</v>
      </c>
      <c r="P635" s="38">
        <f t="shared" si="67"/>
        <v>0</v>
      </c>
      <c r="Q635" s="38">
        <f t="shared" si="68"/>
        <v>0</v>
      </c>
      <c r="R635" s="38">
        <f t="shared" si="69"/>
        <v>0</v>
      </c>
      <c r="S635" s="38">
        <f t="shared" si="70"/>
        <v>0</v>
      </c>
      <c r="T635" s="38">
        <f t="shared" si="71"/>
        <v>0</v>
      </c>
      <c r="U635" s="38">
        <f t="shared" si="72"/>
        <v>0</v>
      </c>
      <c r="V635" s="55"/>
    </row>
    <row r="636" spans="2:22" s="50" customFormat="1" ht="11.25" hidden="1">
      <c r="B636" s="74" t="s">
        <v>460</v>
      </c>
      <c r="C636" s="84"/>
      <c r="D636" s="31"/>
      <c r="E636" s="5"/>
      <c r="F636" s="5"/>
      <c r="G636" s="5"/>
      <c r="H636" s="5"/>
      <c r="I636" s="29"/>
      <c r="J636" s="29"/>
      <c r="K636" s="29"/>
      <c r="L636" s="29"/>
      <c r="M636" s="29"/>
      <c r="N636" s="29"/>
      <c r="O636" s="38">
        <f t="shared" si="66"/>
        <v>0</v>
      </c>
      <c r="P636" s="38">
        <f t="shared" si="67"/>
        <v>0</v>
      </c>
      <c r="Q636" s="38">
        <f t="shared" si="68"/>
        <v>0</v>
      </c>
      <c r="R636" s="38">
        <f t="shared" si="69"/>
        <v>0</v>
      </c>
      <c r="S636" s="38">
        <f t="shared" si="70"/>
        <v>0</v>
      </c>
      <c r="T636" s="38">
        <f t="shared" si="71"/>
        <v>0</v>
      </c>
      <c r="U636" s="38">
        <f t="shared" si="72"/>
        <v>0</v>
      </c>
      <c r="V636" s="55"/>
    </row>
    <row r="637" spans="2:22" s="50" customFormat="1" ht="11.25" hidden="1">
      <c r="B637" s="74" t="s">
        <v>460</v>
      </c>
      <c r="C637" s="84"/>
      <c r="D637" s="31"/>
      <c r="E637" s="5"/>
      <c r="F637" s="5"/>
      <c r="G637" s="5"/>
      <c r="H637" s="5"/>
      <c r="I637" s="29"/>
      <c r="J637" s="29"/>
      <c r="K637" s="29"/>
      <c r="L637" s="29"/>
      <c r="M637" s="29"/>
      <c r="N637" s="29"/>
      <c r="O637" s="38">
        <f t="shared" si="66"/>
        <v>0</v>
      </c>
      <c r="P637" s="38">
        <f t="shared" si="67"/>
        <v>0</v>
      </c>
      <c r="Q637" s="38">
        <f t="shared" si="68"/>
        <v>0</v>
      </c>
      <c r="R637" s="38">
        <f t="shared" si="69"/>
        <v>0</v>
      </c>
      <c r="S637" s="38">
        <f t="shared" si="70"/>
        <v>0</v>
      </c>
      <c r="T637" s="38">
        <f t="shared" si="71"/>
        <v>0</v>
      </c>
      <c r="U637" s="38">
        <f t="shared" si="72"/>
        <v>0</v>
      </c>
      <c r="V637" s="55"/>
    </row>
    <row r="638" spans="2:22" s="50" customFormat="1" ht="11.25" hidden="1">
      <c r="B638" s="74" t="s">
        <v>460</v>
      </c>
      <c r="C638" s="84"/>
      <c r="D638" s="31"/>
      <c r="E638" s="5"/>
      <c r="F638" s="5"/>
      <c r="G638" s="5"/>
      <c r="H638" s="5"/>
      <c r="I638" s="29"/>
      <c r="J638" s="29"/>
      <c r="K638" s="29"/>
      <c r="L638" s="29"/>
      <c r="M638" s="29"/>
      <c r="N638" s="29"/>
      <c r="O638" s="38">
        <f t="shared" si="66"/>
        <v>0</v>
      </c>
      <c r="P638" s="38">
        <f t="shared" si="67"/>
        <v>0</v>
      </c>
      <c r="Q638" s="38">
        <f t="shared" si="68"/>
        <v>0</v>
      </c>
      <c r="R638" s="38">
        <f t="shared" si="69"/>
        <v>0</v>
      </c>
      <c r="S638" s="38">
        <f t="shared" si="70"/>
        <v>0</v>
      </c>
      <c r="T638" s="38">
        <f t="shared" si="71"/>
        <v>0</v>
      </c>
      <c r="U638" s="38">
        <f t="shared" si="72"/>
        <v>0</v>
      </c>
      <c r="V638" s="55"/>
    </row>
    <row r="639" spans="2:22" s="50" customFormat="1" ht="11.25" hidden="1">
      <c r="B639" s="74" t="s">
        <v>460</v>
      </c>
      <c r="C639" s="84"/>
      <c r="D639" s="31"/>
      <c r="E639" s="5"/>
      <c r="F639" s="5"/>
      <c r="G639" s="5"/>
      <c r="H639" s="5"/>
      <c r="I639" s="29"/>
      <c r="J639" s="29"/>
      <c r="K639" s="29"/>
      <c r="L639" s="29"/>
      <c r="M639" s="29"/>
      <c r="N639" s="29"/>
      <c r="O639" s="38">
        <f t="shared" si="66"/>
        <v>0</v>
      </c>
      <c r="P639" s="38">
        <f t="shared" si="67"/>
        <v>0</v>
      </c>
      <c r="Q639" s="38">
        <f t="shared" si="68"/>
        <v>0</v>
      </c>
      <c r="R639" s="38">
        <f t="shared" si="69"/>
        <v>0</v>
      </c>
      <c r="S639" s="38">
        <f t="shared" si="70"/>
        <v>0</v>
      </c>
      <c r="T639" s="38">
        <f t="shared" si="71"/>
        <v>0</v>
      </c>
      <c r="U639" s="38">
        <f t="shared" si="72"/>
        <v>0</v>
      </c>
      <c r="V639" s="55"/>
    </row>
    <row r="640" spans="2:22" s="50" customFormat="1" ht="11.25" hidden="1">
      <c r="B640" s="74" t="s">
        <v>460</v>
      </c>
      <c r="C640" s="84"/>
      <c r="D640" s="31"/>
      <c r="E640" s="5"/>
      <c r="F640" s="5"/>
      <c r="G640" s="5"/>
      <c r="H640" s="5"/>
      <c r="I640" s="29"/>
      <c r="J640" s="29"/>
      <c r="K640" s="29"/>
      <c r="L640" s="29"/>
      <c r="M640" s="29"/>
      <c r="N640" s="29"/>
      <c r="O640" s="38">
        <f t="shared" si="66"/>
        <v>0</v>
      </c>
      <c r="P640" s="38">
        <f t="shared" si="67"/>
        <v>0</v>
      </c>
      <c r="Q640" s="38">
        <f t="shared" si="68"/>
        <v>0</v>
      </c>
      <c r="R640" s="38">
        <f t="shared" si="69"/>
        <v>0</v>
      </c>
      <c r="S640" s="38">
        <f t="shared" si="70"/>
        <v>0</v>
      </c>
      <c r="T640" s="38">
        <f t="shared" si="71"/>
        <v>0</v>
      </c>
      <c r="U640" s="38">
        <f t="shared" si="72"/>
        <v>0</v>
      </c>
      <c r="V640" s="55"/>
    </row>
    <row r="641" spans="2:22" s="50" customFormat="1" ht="11.25" hidden="1">
      <c r="B641" s="74" t="s">
        <v>460</v>
      </c>
      <c r="C641" s="84"/>
      <c r="D641" s="31"/>
      <c r="E641" s="5"/>
      <c r="F641" s="5"/>
      <c r="G641" s="5"/>
      <c r="H641" s="5"/>
      <c r="I641" s="29"/>
      <c r="J641" s="29"/>
      <c r="K641" s="29"/>
      <c r="L641" s="29"/>
      <c r="M641" s="29"/>
      <c r="N641" s="29"/>
      <c r="O641" s="38">
        <f t="shared" si="66"/>
        <v>0</v>
      </c>
      <c r="P641" s="38">
        <f t="shared" si="67"/>
        <v>0</v>
      </c>
      <c r="Q641" s="38">
        <f t="shared" si="68"/>
        <v>0</v>
      </c>
      <c r="R641" s="38">
        <f t="shared" si="69"/>
        <v>0</v>
      </c>
      <c r="S641" s="38">
        <f t="shared" si="70"/>
        <v>0</v>
      </c>
      <c r="T641" s="38">
        <f t="shared" si="71"/>
        <v>0</v>
      </c>
      <c r="U641" s="38">
        <f t="shared" si="72"/>
        <v>0</v>
      </c>
      <c r="V641" s="55"/>
    </row>
    <row r="642" spans="2:22" s="50" customFormat="1" ht="11.25" hidden="1">
      <c r="B642" s="74" t="s">
        <v>460</v>
      </c>
      <c r="C642" s="84"/>
      <c r="D642" s="31"/>
      <c r="E642" s="5"/>
      <c r="F642" s="5"/>
      <c r="G642" s="5"/>
      <c r="H642" s="5"/>
      <c r="I642" s="29"/>
      <c r="J642" s="29"/>
      <c r="K642" s="29"/>
      <c r="L642" s="29"/>
      <c r="M642" s="29"/>
      <c r="N642" s="29"/>
      <c r="O642" s="38">
        <f t="shared" si="66"/>
        <v>0</v>
      </c>
      <c r="P642" s="38">
        <f t="shared" si="67"/>
        <v>0</v>
      </c>
      <c r="Q642" s="38">
        <f t="shared" si="68"/>
        <v>0</v>
      </c>
      <c r="R642" s="38">
        <f t="shared" si="69"/>
        <v>0</v>
      </c>
      <c r="S642" s="38">
        <f t="shared" si="70"/>
        <v>0</v>
      </c>
      <c r="T642" s="38">
        <f t="shared" si="71"/>
        <v>0</v>
      </c>
      <c r="U642" s="38">
        <f t="shared" si="72"/>
        <v>0</v>
      </c>
      <c r="V642" s="55"/>
    </row>
    <row r="643" spans="2:22" s="50" customFormat="1" ht="11.25" hidden="1">
      <c r="B643" s="74" t="s">
        <v>460</v>
      </c>
      <c r="C643" s="84"/>
      <c r="D643" s="31"/>
      <c r="E643" s="5"/>
      <c r="F643" s="5"/>
      <c r="G643" s="5"/>
      <c r="H643" s="5"/>
      <c r="I643" s="29"/>
      <c r="J643" s="29"/>
      <c r="K643" s="29"/>
      <c r="L643" s="29"/>
      <c r="M643" s="29"/>
      <c r="N643" s="29"/>
      <c r="O643" s="38">
        <f t="shared" si="66"/>
        <v>0</v>
      </c>
      <c r="P643" s="38">
        <f t="shared" si="67"/>
        <v>0</v>
      </c>
      <c r="Q643" s="38">
        <f t="shared" si="68"/>
        <v>0</v>
      </c>
      <c r="R643" s="38">
        <f t="shared" si="69"/>
        <v>0</v>
      </c>
      <c r="S643" s="38">
        <f t="shared" si="70"/>
        <v>0</v>
      </c>
      <c r="T643" s="38">
        <f t="shared" si="71"/>
        <v>0</v>
      </c>
      <c r="U643" s="38">
        <f t="shared" si="72"/>
        <v>0</v>
      </c>
      <c r="V643" s="55"/>
    </row>
    <row r="644" spans="2:22" s="50" customFormat="1" ht="11.25" hidden="1">
      <c r="B644" s="74" t="s">
        <v>460</v>
      </c>
      <c r="C644" s="84"/>
      <c r="D644" s="31"/>
      <c r="E644" s="5"/>
      <c r="F644" s="5"/>
      <c r="G644" s="5"/>
      <c r="H644" s="5"/>
      <c r="I644" s="29"/>
      <c r="J644" s="29"/>
      <c r="K644" s="29"/>
      <c r="L644" s="29"/>
      <c r="M644" s="29"/>
      <c r="N644" s="29"/>
      <c r="O644" s="38">
        <f t="shared" si="66"/>
        <v>0</v>
      </c>
      <c r="P644" s="38">
        <f t="shared" si="67"/>
        <v>0</v>
      </c>
      <c r="Q644" s="38">
        <f t="shared" si="68"/>
        <v>0</v>
      </c>
      <c r="R644" s="38">
        <f t="shared" si="69"/>
        <v>0</v>
      </c>
      <c r="S644" s="38">
        <f t="shared" si="70"/>
        <v>0</v>
      </c>
      <c r="T644" s="38">
        <f t="shared" si="71"/>
        <v>0</v>
      </c>
      <c r="U644" s="38">
        <f t="shared" si="72"/>
        <v>0</v>
      </c>
      <c r="V644" s="55"/>
    </row>
    <row r="645" spans="2:22" s="50" customFormat="1" ht="11.25" hidden="1">
      <c r="B645" s="74" t="s">
        <v>460</v>
      </c>
      <c r="C645" s="84"/>
      <c r="D645" s="31"/>
      <c r="E645" s="5"/>
      <c r="F645" s="5"/>
      <c r="G645" s="5"/>
      <c r="H645" s="5"/>
      <c r="I645" s="29"/>
      <c r="J645" s="29"/>
      <c r="K645" s="29"/>
      <c r="L645" s="29"/>
      <c r="M645" s="29"/>
      <c r="N645" s="29"/>
      <c r="O645" s="38">
        <f t="shared" si="66"/>
        <v>0</v>
      </c>
      <c r="P645" s="38">
        <f t="shared" si="67"/>
        <v>0</v>
      </c>
      <c r="Q645" s="38">
        <f t="shared" si="68"/>
        <v>0</v>
      </c>
      <c r="R645" s="38">
        <f t="shared" si="69"/>
        <v>0</v>
      </c>
      <c r="S645" s="38">
        <f t="shared" si="70"/>
        <v>0</v>
      </c>
      <c r="T645" s="38">
        <f t="shared" si="71"/>
        <v>0</v>
      </c>
      <c r="U645" s="38">
        <f t="shared" si="72"/>
        <v>0</v>
      </c>
      <c r="V645" s="55"/>
    </row>
    <row r="646" spans="2:22" s="50" customFormat="1" ht="11.25" hidden="1">
      <c r="B646" s="74" t="s">
        <v>460</v>
      </c>
      <c r="C646" s="84"/>
      <c r="D646" s="31"/>
      <c r="E646" s="5"/>
      <c r="F646" s="5"/>
      <c r="G646" s="5"/>
      <c r="H646" s="5"/>
      <c r="I646" s="29"/>
      <c r="J646" s="29"/>
      <c r="K646" s="29"/>
      <c r="L646" s="29"/>
      <c r="M646" s="29"/>
      <c r="N646" s="29"/>
      <c r="O646" s="38">
        <f t="shared" si="66"/>
        <v>0</v>
      </c>
      <c r="P646" s="38">
        <f t="shared" si="67"/>
        <v>0</v>
      </c>
      <c r="Q646" s="38">
        <f t="shared" si="68"/>
        <v>0</v>
      </c>
      <c r="R646" s="38">
        <f t="shared" si="69"/>
        <v>0</v>
      </c>
      <c r="S646" s="38">
        <f t="shared" si="70"/>
        <v>0</v>
      </c>
      <c r="T646" s="38">
        <f t="shared" si="71"/>
        <v>0</v>
      </c>
      <c r="U646" s="38">
        <f t="shared" si="72"/>
        <v>0</v>
      </c>
      <c r="V646" s="55"/>
    </row>
    <row r="647" spans="2:22" s="50" customFormat="1" ht="11.25" hidden="1">
      <c r="B647" s="74" t="s">
        <v>460</v>
      </c>
      <c r="C647" s="84"/>
      <c r="D647" s="31"/>
      <c r="E647" s="5"/>
      <c r="F647" s="5"/>
      <c r="G647" s="5"/>
      <c r="H647" s="5"/>
      <c r="I647" s="29"/>
      <c r="J647" s="29"/>
      <c r="K647" s="29"/>
      <c r="L647" s="29"/>
      <c r="M647" s="29"/>
      <c r="N647" s="29"/>
      <c r="O647" s="38">
        <f t="shared" si="66"/>
        <v>0</v>
      </c>
      <c r="P647" s="38">
        <f t="shared" si="67"/>
        <v>0</v>
      </c>
      <c r="Q647" s="38">
        <f t="shared" si="68"/>
        <v>0</v>
      </c>
      <c r="R647" s="38">
        <f t="shared" si="69"/>
        <v>0</v>
      </c>
      <c r="S647" s="38">
        <f t="shared" si="70"/>
        <v>0</v>
      </c>
      <c r="T647" s="38">
        <f t="shared" si="71"/>
        <v>0</v>
      </c>
      <c r="U647" s="38">
        <f t="shared" si="72"/>
        <v>0</v>
      </c>
      <c r="V647" s="55"/>
    </row>
    <row r="648" spans="2:22" s="50" customFormat="1" ht="11.25" hidden="1">
      <c r="B648" s="74" t="s">
        <v>460</v>
      </c>
      <c r="C648" s="84"/>
      <c r="D648" s="31"/>
      <c r="E648" s="5"/>
      <c r="F648" s="5"/>
      <c r="G648" s="5"/>
      <c r="H648" s="5"/>
      <c r="I648" s="29"/>
      <c r="J648" s="29"/>
      <c r="K648" s="29"/>
      <c r="L648" s="29"/>
      <c r="M648" s="29"/>
      <c r="N648" s="29"/>
      <c r="O648" s="38">
        <f t="shared" si="66"/>
        <v>0</v>
      </c>
      <c r="P648" s="38">
        <f t="shared" si="67"/>
        <v>0</v>
      </c>
      <c r="Q648" s="38">
        <f t="shared" si="68"/>
        <v>0</v>
      </c>
      <c r="R648" s="38">
        <f t="shared" si="69"/>
        <v>0</v>
      </c>
      <c r="S648" s="38">
        <f t="shared" si="70"/>
        <v>0</v>
      </c>
      <c r="T648" s="38">
        <f t="shared" si="71"/>
        <v>0</v>
      </c>
      <c r="U648" s="38">
        <f t="shared" si="72"/>
        <v>0</v>
      </c>
      <c r="V648" s="55"/>
    </row>
    <row r="649" spans="2:22" s="50" customFormat="1" ht="11.25" hidden="1">
      <c r="B649" s="74" t="s">
        <v>460</v>
      </c>
      <c r="C649" s="84"/>
      <c r="D649" s="31"/>
      <c r="E649" s="5"/>
      <c r="F649" s="5"/>
      <c r="G649" s="5"/>
      <c r="H649" s="5"/>
      <c r="I649" s="29"/>
      <c r="J649" s="29"/>
      <c r="K649" s="29"/>
      <c r="L649" s="29"/>
      <c r="M649" s="29"/>
      <c r="N649" s="29"/>
      <c r="O649" s="38">
        <f t="shared" si="66"/>
        <v>0</v>
      </c>
      <c r="P649" s="38">
        <f t="shared" si="67"/>
        <v>0</v>
      </c>
      <c r="Q649" s="38">
        <f t="shared" si="68"/>
        <v>0</v>
      </c>
      <c r="R649" s="38">
        <f t="shared" si="69"/>
        <v>0</v>
      </c>
      <c r="S649" s="38">
        <f t="shared" si="70"/>
        <v>0</v>
      </c>
      <c r="T649" s="38">
        <f t="shared" si="71"/>
        <v>0</v>
      </c>
      <c r="U649" s="38">
        <f t="shared" si="72"/>
        <v>0</v>
      </c>
      <c r="V649" s="55"/>
    </row>
    <row r="650" spans="2:22" s="50" customFormat="1" ht="11.25" hidden="1">
      <c r="B650" s="74" t="s">
        <v>460</v>
      </c>
      <c r="C650" s="84"/>
      <c r="D650" s="31"/>
      <c r="E650" s="5"/>
      <c r="F650" s="5"/>
      <c r="G650" s="5"/>
      <c r="H650" s="5"/>
      <c r="I650" s="29"/>
      <c r="J650" s="29"/>
      <c r="K650" s="29"/>
      <c r="L650" s="29"/>
      <c r="M650" s="29"/>
      <c r="N650" s="29"/>
      <c r="O650" s="38">
        <f t="shared" ref="O650:O713" si="74">SUM(J650:N650)</f>
        <v>0</v>
      </c>
      <c r="P650" s="38">
        <f t="shared" ref="P650:P713" si="75">IF(I650=0,0,J650/I650*10)</f>
        <v>0</v>
      </c>
      <c r="Q650" s="38">
        <f t="shared" ref="Q650:Q713" si="76">IF(I650=0,0,L650/I650*10)</f>
        <v>0</v>
      </c>
      <c r="R650" s="38">
        <f t="shared" ref="R650:R713" si="77">IF(I650=0,0,M650/I650*10)</f>
        <v>0</v>
      </c>
      <c r="S650" s="38">
        <f t="shared" ref="S650:S713" si="78">IF(I650=0,0,N650/I650*10)</f>
        <v>0</v>
      </c>
      <c r="T650" s="38">
        <f t="shared" ref="T650:T713" si="79">IF(I650=0,0,K650/I650*10)</f>
        <v>0</v>
      </c>
      <c r="U650" s="38">
        <f t="shared" ref="U650:U713" si="80">IF(I650=0,0,O650/I650*10)</f>
        <v>0</v>
      </c>
      <c r="V650" s="55"/>
    </row>
    <row r="651" spans="2:22" s="50" customFormat="1" ht="11.25" hidden="1">
      <c r="B651" s="74" t="s">
        <v>460</v>
      </c>
      <c r="C651" s="84"/>
      <c r="D651" s="31"/>
      <c r="E651" s="5"/>
      <c r="F651" s="5"/>
      <c r="G651" s="5"/>
      <c r="H651" s="5"/>
      <c r="I651" s="29"/>
      <c r="J651" s="29"/>
      <c r="K651" s="29"/>
      <c r="L651" s="29"/>
      <c r="M651" s="29"/>
      <c r="N651" s="29"/>
      <c r="O651" s="38">
        <f t="shared" si="74"/>
        <v>0</v>
      </c>
      <c r="P651" s="38">
        <f t="shared" si="75"/>
        <v>0</v>
      </c>
      <c r="Q651" s="38">
        <f t="shared" si="76"/>
        <v>0</v>
      </c>
      <c r="R651" s="38">
        <f t="shared" si="77"/>
        <v>0</v>
      </c>
      <c r="S651" s="38">
        <f t="shared" si="78"/>
        <v>0</v>
      </c>
      <c r="T651" s="38">
        <f t="shared" si="79"/>
        <v>0</v>
      </c>
      <c r="U651" s="38">
        <f t="shared" si="80"/>
        <v>0</v>
      </c>
      <c r="V651" s="55"/>
    </row>
    <row r="652" spans="2:22" s="50" customFormat="1" ht="11.25" hidden="1">
      <c r="B652" s="74" t="s">
        <v>460</v>
      </c>
      <c r="C652" s="84"/>
      <c r="D652" s="31"/>
      <c r="E652" s="5"/>
      <c r="F652" s="5"/>
      <c r="G652" s="5"/>
      <c r="H652" s="5"/>
      <c r="I652" s="29"/>
      <c r="J652" s="29"/>
      <c r="K652" s="29"/>
      <c r="L652" s="29"/>
      <c r="M652" s="29"/>
      <c r="N652" s="29"/>
      <c r="O652" s="38">
        <f t="shared" si="74"/>
        <v>0</v>
      </c>
      <c r="P652" s="38">
        <f t="shared" si="75"/>
        <v>0</v>
      </c>
      <c r="Q652" s="38">
        <f t="shared" si="76"/>
        <v>0</v>
      </c>
      <c r="R652" s="38">
        <f t="shared" si="77"/>
        <v>0</v>
      </c>
      <c r="S652" s="38">
        <f t="shared" si="78"/>
        <v>0</v>
      </c>
      <c r="T652" s="38">
        <f t="shared" si="79"/>
        <v>0</v>
      </c>
      <c r="U652" s="38">
        <f t="shared" si="80"/>
        <v>0</v>
      </c>
      <c r="V652" s="55"/>
    </row>
    <row r="653" spans="2:22" s="50" customFormat="1" ht="11.25" hidden="1">
      <c r="B653" s="74" t="s">
        <v>460</v>
      </c>
      <c r="C653" s="84"/>
      <c r="D653" s="31"/>
      <c r="E653" s="5"/>
      <c r="F653" s="5"/>
      <c r="G653" s="5"/>
      <c r="H653" s="5"/>
      <c r="I653" s="29"/>
      <c r="J653" s="29"/>
      <c r="K653" s="29"/>
      <c r="L653" s="29"/>
      <c r="M653" s="29"/>
      <c r="N653" s="29"/>
      <c r="O653" s="38">
        <f t="shared" si="74"/>
        <v>0</v>
      </c>
      <c r="P653" s="38">
        <f t="shared" si="75"/>
        <v>0</v>
      </c>
      <c r="Q653" s="38">
        <f t="shared" si="76"/>
        <v>0</v>
      </c>
      <c r="R653" s="38">
        <f t="shared" si="77"/>
        <v>0</v>
      </c>
      <c r="S653" s="38">
        <f t="shared" si="78"/>
        <v>0</v>
      </c>
      <c r="T653" s="38">
        <f t="shared" si="79"/>
        <v>0</v>
      </c>
      <c r="U653" s="38">
        <f t="shared" si="80"/>
        <v>0</v>
      </c>
      <c r="V653" s="55"/>
    </row>
    <row r="654" spans="2:22" s="50" customFormat="1" ht="11.25" hidden="1">
      <c r="B654" s="74" t="s">
        <v>460</v>
      </c>
      <c r="C654" s="84"/>
      <c r="D654" s="31"/>
      <c r="E654" s="5"/>
      <c r="F654" s="5"/>
      <c r="G654" s="5"/>
      <c r="H654" s="5"/>
      <c r="I654" s="29"/>
      <c r="J654" s="29"/>
      <c r="K654" s="29"/>
      <c r="L654" s="29"/>
      <c r="M654" s="29"/>
      <c r="N654" s="29"/>
      <c r="O654" s="38">
        <f t="shared" si="74"/>
        <v>0</v>
      </c>
      <c r="P654" s="38">
        <f t="shared" si="75"/>
        <v>0</v>
      </c>
      <c r="Q654" s="38">
        <f t="shared" si="76"/>
        <v>0</v>
      </c>
      <c r="R654" s="38">
        <f t="shared" si="77"/>
        <v>0</v>
      </c>
      <c r="S654" s="38">
        <f t="shared" si="78"/>
        <v>0</v>
      </c>
      <c r="T654" s="38">
        <f t="shared" si="79"/>
        <v>0</v>
      </c>
      <c r="U654" s="38">
        <f t="shared" si="80"/>
        <v>0</v>
      </c>
      <c r="V654" s="55"/>
    </row>
    <row r="655" spans="2:22" s="50" customFormat="1" ht="11.25" hidden="1">
      <c r="B655" s="74" t="s">
        <v>460</v>
      </c>
      <c r="C655" s="84"/>
      <c r="D655" s="31"/>
      <c r="E655" s="5"/>
      <c r="F655" s="5"/>
      <c r="G655" s="5"/>
      <c r="H655" s="5"/>
      <c r="I655" s="29"/>
      <c r="J655" s="29"/>
      <c r="K655" s="29"/>
      <c r="L655" s="29"/>
      <c r="M655" s="29"/>
      <c r="N655" s="29"/>
      <c r="O655" s="38">
        <f t="shared" si="74"/>
        <v>0</v>
      </c>
      <c r="P655" s="38">
        <f t="shared" si="75"/>
        <v>0</v>
      </c>
      <c r="Q655" s="38">
        <f t="shared" si="76"/>
        <v>0</v>
      </c>
      <c r="R655" s="38">
        <f t="shared" si="77"/>
        <v>0</v>
      </c>
      <c r="S655" s="38">
        <f t="shared" si="78"/>
        <v>0</v>
      </c>
      <c r="T655" s="38">
        <f t="shared" si="79"/>
        <v>0</v>
      </c>
      <c r="U655" s="38">
        <f t="shared" si="80"/>
        <v>0</v>
      </c>
      <c r="V655" s="55"/>
    </row>
    <row r="656" spans="2:22" s="50" customFormat="1" ht="11.25" hidden="1">
      <c r="B656" s="74" t="s">
        <v>460</v>
      </c>
      <c r="C656" s="84"/>
      <c r="D656" s="31"/>
      <c r="E656" s="5"/>
      <c r="F656" s="5"/>
      <c r="G656" s="5"/>
      <c r="H656" s="5"/>
      <c r="I656" s="29"/>
      <c r="J656" s="29"/>
      <c r="K656" s="29"/>
      <c r="L656" s="29"/>
      <c r="M656" s="29"/>
      <c r="N656" s="29"/>
      <c r="O656" s="38">
        <f t="shared" si="74"/>
        <v>0</v>
      </c>
      <c r="P656" s="38">
        <f t="shared" si="75"/>
        <v>0</v>
      </c>
      <c r="Q656" s="38">
        <f t="shared" si="76"/>
        <v>0</v>
      </c>
      <c r="R656" s="38">
        <f t="shared" si="77"/>
        <v>0</v>
      </c>
      <c r="S656" s="38">
        <f t="shared" si="78"/>
        <v>0</v>
      </c>
      <c r="T656" s="38">
        <f t="shared" si="79"/>
        <v>0</v>
      </c>
      <c r="U656" s="38">
        <f t="shared" si="80"/>
        <v>0</v>
      </c>
      <c r="V656" s="55"/>
    </row>
    <row r="657" spans="2:22" s="50" customFormat="1" ht="11.25" hidden="1">
      <c r="B657" s="74" t="s">
        <v>460</v>
      </c>
      <c r="C657" s="84"/>
      <c r="D657" s="31"/>
      <c r="E657" s="5"/>
      <c r="F657" s="5"/>
      <c r="G657" s="5"/>
      <c r="H657" s="5"/>
      <c r="I657" s="29"/>
      <c r="J657" s="29"/>
      <c r="K657" s="29"/>
      <c r="L657" s="29"/>
      <c r="M657" s="29"/>
      <c r="N657" s="29"/>
      <c r="O657" s="38">
        <f t="shared" si="74"/>
        <v>0</v>
      </c>
      <c r="P657" s="38">
        <f t="shared" si="75"/>
        <v>0</v>
      </c>
      <c r="Q657" s="38">
        <f t="shared" si="76"/>
        <v>0</v>
      </c>
      <c r="R657" s="38">
        <f t="shared" si="77"/>
        <v>0</v>
      </c>
      <c r="S657" s="38">
        <f t="shared" si="78"/>
        <v>0</v>
      </c>
      <c r="T657" s="38">
        <f t="shared" si="79"/>
        <v>0</v>
      </c>
      <c r="U657" s="38">
        <f t="shared" si="80"/>
        <v>0</v>
      </c>
      <c r="V657" s="55"/>
    </row>
    <row r="658" spans="2:22" s="50" customFormat="1" ht="11.25" hidden="1">
      <c r="B658" s="74" t="s">
        <v>460</v>
      </c>
      <c r="C658" s="84"/>
      <c r="D658" s="31"/>
      <c r="E658" s="5"/>
      <c r="F658" s="5"/>
      <c r="G658" s="5"/>
      <c r="H658" s="5"/>
      <c r="I658" s="29"/>
      <c r="J658" s="29"/>
      <c r="K658" s="29"/>
      <c r="L658" s="29"/>
      <c r="M658" s="29"/>
      <c r="N658" s="29"/>
      <c r="O658" s="38">
        <f t="shared" si="74"/>
        <v>0</v>
      </c>
      <c r="P658" s="38">
        <f t="shared" si="75"/>
        <v>0</v>
      </c>
      <c r="Q658" s="38">
        <f t="shared" si="76"/>
        <v>0</v>
      </c>
      <c r="R658" s="38">
        <f t="shared" si="77"/>
        <v>0</v>
      </c>
      <c r="S658" s="38">
        <f t="shared" si="78"/>
        <v>0</v>
      </c>
      <c r="T658" s="38">
        <f t="shared" si="79"/>
        <v>0</v>
      </c>
      <c r="U658" s="38">
        <f t="shared" si="80"/>
        <v>0</v>
      </c>
      <c r="V658" s="55"/>
    </row>
    <row r="659" spans="2:22" s="50" customFormat="1" ht="11.25" hidden="1">
      <c r="B659" s="74" t="s">
        <v>460</v>
      </c>
      <c r="C659" s="84"/>
      <c r="D659" s="31"/>
      <c r="E659" s="5"/>
      <c r="F659" s="5"/>
      <c r="G659" s="5"/>
      <c r="H659" s="5"/>
      <c r="I659" s="29"/>
      <c r="J659" s="29"/>
      <c r="K659" s="29"/>
      <c r="L659" s="29"/>
      <c r="M659" s="29"/>
      <c r="N659" s="29"/>
      <c r="O659" s="38">
        <f t="shared" si="74"/>
        <v>0</v>
      </c>
      <c r="P659" s="38">
        <f t="shared" si="75"/>
        <v>0</v>
      </c>
      <c r="Q659" s="38">
        <f t="shared" si="76"/>
        <v>0</v>
      </c>
      <c r="R659" s="38">
        <f t="shared" si="77"/>
        <v>0</v>
      </c>
      <c r="S659" s="38">
        <f t="shared" si="78"/>
        <v>0</v>
      </c>
      <c r="T659" s="38">
        <f t="shared" si="79"/>
        <v>0</v>
      </c>
      <c r="U659" s="38">
        <f t="shared" si="80"/>
        <v>0</v>
      </c>
      <c r="V659" s="55"/>
    </row>
    <row r="660" spans="2:22" s="50" customFormat="1" ht="11.25" hidden="1">
      <c r="B660" s="74" t="s">
        <v>460</v>
      </c>
      <c r="C660" s="84"/>
      <c r="D660" s="31"/>
      <c r="E660" s="5"/>
      <c r="F660" s="5"/>
      <c r="G660" s="5"/>
      <c r="H660" s="5"/>
      <c r="I660" s="29"/>
      <c r="J660" s="29"/>
      <c r="K660" s="29"/>
      <c r="L660" s="29"/>
      <c r="M660" s="29"/>
      <c r="N660" s="29"/>
      <c r="O660" s="38">
        <f t="shared" si="74"/>
        <v>0</v>
      </c>
      <c r="P660" s="38">
        <f t="shared" si="75"/>
        <v>0</v>
      </c>
      <c r="Q660" s="38">
        <f t="shared" si="76"/>
        <v>0</v>
      </c>
      <c r="R660" s="38">
        <f t="shared" si="77"/>
        <v>0</v>
      </c>
      <c r="S660" s="38">
        <f t="shared" si="78"/>
        <v>0</v>
      </c>
      <c r="T660" s="38">
        <f t="shared" si="79"/>
        <v>0</v>
      </c>
      <c r="U660" s="38">
        <f t="shared" si="80"/>
        <v>0</v>
      </c>
      <c r="V660" s="55"/>
    </row>
    <row r="661" spans="2:22" s="50" customFormat="1" ht="11.25" hidden="1">
      <c r="B661" s="74" t="s">
        <v>460</v>
      </c>
      <c r="C661" s="84"/>
      <c r="D661" s="31"/>
      <c r="E661" s="5"/>
      <c r="F661" s="5"/>
      <c r="G661" s="5"/>
      <c r="H661" s="5"/>
      <c r="I661" s="29"/>
      <c r="J661" s="29"/>
      <c r="K661" s="29"/>
      <c r="L661" s="29"/>
      <c r="M661" s="29"/>
      <c r="N661" s="29"/>
      <c r="O661" s="38">
        <f t="shared" si="74"/>
        <v>0</v>
      </c>
      <c r="P661" s="38">
        <f t="shared" si="75"/>
        <v>0</v>
      </c>
      <c r="Q661" s="38">
        <f t="shared" si="76"/>
        <v>0</v>
      </c>
      <c r="R661" s="38">
        <f t="shared" si="77"/>
        <v>0</v>
      </c>
      <c r="S661" s="38">
        <f t="shared" si="78"/>
        <v>0</v>
      </c>
      <c r="T661" s="38">
        <f t="shared" si="79"/>
        <v>0</v>
      </c>
      <c r="U661" s="38">
        <f t="shared" si="80"/>
        <v>0</v>
      </c>
      <c r="V661" s="55"/>
    </row>
    <row r="662" spans="2:22" s="50" customFormat="1" ht="11.25" hidden="1">
      <c r="B662" s="74" t="s">
        <v>460</v>
      </c>
      <c r="C662" s="84"/>
      <c r="D662" s="31"/>
      <c r="E662" s="5"/>
      <c r="F662" s="5"/>
      <c r="G662" s="5"/>
      <c r="H662" s="5"/>
      <c r="I662" s="29"/>
      <c r="J662" s="29"/>
      <c r="K662" s="29"/>
      <c r="L662" s="29"/>
      <c r="M662" s="29"/>
      <c r="N662" s="29"/>
      <c r="O662" s="38">
        <f t="shared" si="74"/>
        <v>0</v>
      </c>
      <c r="P662" s="38">
        <f t="shared" si="75"/>
        <v>0</v>
      </c>
      <c r="Q662" s="38">
        <f t="shared" si="76"/>
        <v>0</v>
      </c>
      <c r="R662" s="38">
        <f t="shared" si="77"/>
        <v>0</v>
      </c>
      <c r="S662" s="38">
        <f t="shared" si="78"/>
        <v>0</v>
      </c>
      <c r="T662" s="38">
        <f t="shared" si="79"/>
        <v>0</v>
      </c>
      <c r="U662" s="38">
        <f t="shared" si="80"/>
        <v>0</v>
      </c>
      <c r="V662" s="55"/>
    </row>
    <row r="663" spans="2:22" s="50" customFormat="1" ht="11.25" hidden="1">
      <c r="B663" s="74" t="s">
        <v>460</v>
      </c>
      <c r="C663" s="84"/>
      <c r="D663" s="31"/>
      <c r="E663" s="5"/>
      <c r="F663" s="5"/>
      <c r="G663" s="5"/>
      <c r="H663" s="5"/>
      <c r="I663" s="29"/>
      <c r="J663" s="29"/>
      <c r="K663" s="29"/>
      <c r="L663" s="29"/>
      <c r="M663" s="29"/>
      <c r="N663" s="29"/>
      <c r="O663" s="38">
        <f t="shared" si="74"/>
        <v>0</v>
      </c>
      <c r="P663" s="38">
        <f t="shared" si="75"/>
        <v>0</v>
      </c>
      <c r="Q663" s="38">
        <f t="shared" si="76"/>
        <v>0</v>
      </c>
      <c r="R663" s="38">
        <f t="shared" si="77"/>
        <v>0</v>
      </c>
      <c r="S663" s="38">
        <f t="shared" si="78"/>
        <v>0</v>
      </c>
      <c r="T663" s="38">
        <f t="shared" si="79"/>
        <v>0</v>
      </c>
      <c r="U663" s="38">
        <f t="shared" si="80"/>
        <v>0</v>
      </c>
      <c r="V663" s="55"/>
    </row>
    <row r="664" spans="2:22" s="50" customFormat="1" ht="11.25" hidden="1">
      <c r="B664" s="74" t="s">
        <v>460</v>
      </c>
      <c r="C664" s="84"/>
      <c r="D664" s="31"/>
      <c r="E664" s="5"/>
      <c r="F664" s="5"/>
      <c r="G664" s="5"/>
      <c r="H664" s="5"/>
      <c r="I664" s="29"/>
      <c r="J664" s="29"/>
      <c r="K664" s="29"/>
      <c r="L664" s="29"/>
      <c r="M664" s="29"/>
      <c r="N664" s="29"/>
      <c r="O664" s="38">
        <f t="shared" si="74"/>
        <v>0</v>
      </c>
      <c r="P664" s="38">
        <f t="shared" si="75"/>
        <v>0</v>
      </c>
      <c r="Q664" s="38">
        <f t="shared" si="76"/>
        <v>0</v>
      </c>
      <c r="R664" s="38">
        <f t="shared" si="77"/>
        <v>0</v>
      </c>
      <c r="S664" s="38">
        <f t="shared" si="78"/>
        <v>0</v>
      </c>
      <c r="T664" s="38">
        <f t="shared" si="79"/>
        <v>0</v>
      </c>
      <c r="U664" s="38">
        <f t="shared" si="80"/>
        <v>0</v>
      </c>
      <c r="V664" s="55"/>
    </row>
    <row r="665" spans="2:22" s="50" customFormat="1" ht="11.25" hidden="1">
      <c r="B665" s="74" t="s">
        <v>460</v>
      </c>
      <c r="C665" s="84"/>
      <c r="D665" s="31"/>
      <c r="E665" s="5"/>
      <c r="F665" s="5"/>
      <c r="G665" s="5"/>
      <c r="H665" s="5"/>
      <c r="I665" s="29"/>
      <c r="J665" s="29"/>
      <c r="K665" s="29"/>
      <c r="L665" s="29"/>
      <c r="M665" s="29"/>
      <c r="N665" s="29"/>
      <c r="O665" s="38">
        <f t="shared" si="74"/>
        <v>0</v>
      </c>
      <c r="P665" s="38">
        <f t="shared" si="75"/>
        <v>0</v>
      </c>
      <c r="Q665" s="38">
        <f t="shared" si="76"/>
        <v>0</v>
      </c>
      <c r="R665" s="38">
        <f t="shared" si="77"/>
        <v>0</v>
      </c>
      <c r="S665" s="38">
        <f t="shared" si="78"/>
        <v>0</v>
      </c>
      <c r="T665" s="38">
        <f t="shared" si="79"/>
        <v>0</v>
      </c>
      <c r="U665" s="38">
        <f t="shared" si="80"/>
        <v>0</v>
      </c>
      <c r="V665" s="55"/>
    </row>
    <row r="666" spans="2:22" s="50" customFormat="1" ht="11.25" hidden="1">
      <c r="B666" s="74" t="s">
        <v>460</v>
      </c>
      <c r="C666" s="84"/>
      <c r="D666" s="31"/>
      <c r="E666" s="5"/>
      <c r="F666" s="5"/>
      <c r="G666" s="5"/>
      <c r="H666" s="5"/>
      <c r="I666" s="29"/>
      <c r="J666" s="29"/>
      <c r="K666" s="29"/>
      <c r="L666" s="29"/>
      <c r="M666" s="29"/>
      <c r="N666" s="29"/>
      <c r="O666" s="38">
        <f t="shared" si="74"/>
        <v>0</v>
      </c>
      <c r="P666" s="38">
        <f t="shared" si="75"/>
        <v>0</v>
      </c>
      <c r="Q666" s="38">
        <f t="shared" si="76"/>
        <v>0</v>
      </c>
      <c r="R666" s="38">
        <f t="shared" si="77"/>
        <v>0</v>
      </c>
      <c r="S666" s="38">
        <f t="shared" si="78"/>
        <v>0</v>
      </c>
      <c r="T666" s="38">
        <f t="shared" si="79"/>
        <v>0</v>
      </c>
      <c r="U666" s="38">
        <f t="shared" si="80"/>
        <v>0</v>
      </c>
      <c r="V666" s="55"/>
    </row>
    <row r="667" spans="2:22" s="50" customFormat="1" ht="11.25" hidden="1">
      <c r="B667" s="74" t="s">
        <v>460</v>
      </c>
      <c r="C667" s="84"/>
      <c r="D667" s="31"/>
      <c r="E667" s="5"/>
      <c r="F667" s="5"/>
      <c r="G667" s="5"/>
      <c r="H667" s="5"/>
      <c r="I667" s="29"/>
      <c r="J667" s="29"/>
      <c r="K667" s="29"/>
      <c r="L667" s="29"/>
      <c r="M667" s="29"/>
      <c r="N667" s="29"/>
      <c r="O667" s="38">
        <f t="shared" si="74"/>
        <v>0</v>
      </c>
      <c r="P667" s="38">
        <f t="shared" si="75"/>
        <v>0</v>
      </c>
      <c r="Q667" s="38">
        <f t="shared" si="76"/>
        <v>0</v>
      </c>
      <c r="R667" s="38">
        <f t="shared" si="77"/>
        <v>0</v>
      </c>
      <c r="S667" s="38">
        <f t="shared" si="78"/>
        <v>0</v>
      </c>
      <c r="T667" s="38">
        <f t="shared" si="79"/>
        <v>0</v>
      </c>
      <c r="U667" s="38">
        <f t="shared" si="80"/>
        <v>0</v>
      </c>
      <c r="V667" s="55"/>
    </row>
    <row r="668" spans="2:22" s="50" customFormat="1" ht="11.25" hidden="1">
      <c r="B668" s="74" t="s">
        <v>460</v>
      </c>
      <c r="C668" s="84"/>
      <c r="D668" s="31"/>
      <c r="E668" s="5"/>
      <c r="F668" s="5"/>
      <c r="G668" s="5"/>
      <c r="H668" s="5"/>
      <c r="I668" s="29"/>
      <c r="J668" s="29"/>
      <c r="K668" s="29"/>
      <c r="L668" s="29"/>
      <c r="M668" s="29"/>
      <c r="N668" s="29"/>
      <c r="O668" s="38">
        <f t="shared" si="74"/>
        <v>0</v>
      </c>
      <c r="P668" s="38">
        <f t="shared" si="75"/>
        <v>0</v>
      </c>
      <c r="Q668" s="38">
        <f t="shared" si="76"/>
        <v>0</v>
      </c>
      <c r="R668" s="38">
        <f t="shared" si="77"/>
        <v>0</v>
      </c>
      <c r="S668" s="38">
        <f t="shared" si="78"/>
        <v>0</v>
      </c>
      <c r="T668" s="38">
        <f t="shared" si="79"/>
        <v>0</v>
      </c>
      <c r="U668" s="38">
        <f t="shared" si="80"/>
        <v>0</v>
      </c>
      <c r="V668" s="55"/>
    </row>
    <row r="669" spans="2:22" s="50" customFormat="1" ht="11.25" hidden="1">
      <c r="B669" s="74" t="s">
        <v>460</v>
      </c>
      <c r="C669" s="84"/>
      <c r="D669" s="31"/>
      <c r="E669" s="5"/>
      <c r="F669" s="5"/>
      <c r="G669" s="5"/>
      <c r="H669" s="5"/>
      <c r="I669" s="29"/>
      <c r="J669" s="29"/>
      <c r="K669" s="29"/>
      <c r="L669" s="29"/>
      <c r="M669" s="29"/>
      <c r="N669" s="29"/>
      <c r="O669" s="38">
        <f t="shared" si="74"/>
        <v>0</v>
      </c>
      <c r="P669" s="38">
        <f t="shared" si="75"/>
        <v>0</v>
      </c>
      <c r="Q669" s="38">
        <f t="shared" si="76"/>
        <v>0</v>
      </c>
      <c r="R669" s="38">
        <f t="shared" si="77"/>
        <v>0</v>
      </c>
      <c r="S669" s="38">
        <f t="shared" si="78"/>
        <v>0</v>
      </c>
      <c r="T669" s="38">
        <f t="shared" si="79"/>
        <v>0</v>
      </c>
      <c r="U669" s="38">
        <f t="shared" si="80"/>
        <v>0</v>
      </c>
      <c r="V669" s="55"/>
    </row>
    <row r="670" spans="2:22" s="50" customFormat="1" ht="11.25" hidden="1">
      <c r="B670" s="74" t="s">
        <v>460</v>
      </c>
      <c r="C670" s="84"/>
      <c r="D670" s="31"/>
      <c r="E670" s="5"/>
      <c r="F670" s="5"/>
      <c r="G670" s="5"/>
      <c r="H670" s="5"/>
      <c r="I670" s="29"/>
      <c r="J670" s="29"/>
      <c r="K670" s="29"/>
      <c r="L670" s="29"/>
      <c r="M670" s="29"/>
      <c r="N670" s="29"/>
      <c r="O670" s="38">
        <f t="shared" si="74"/>
        <v>0</v>
      </c>
      <c r="P670" s="38">
        <f t="shared" si="75"/>
        <v>0</v>
      </c>
      <c r="Q670" s="38">
        <f t="shared" si="76"/>
        <v>0</v>
      </c>
      <c r="R670" s="38">
        <f t="shared" si="77"/>
        <v>0</v>
      </c>
      <c r="S670" s="38">
        <f t="shared" si="78"/>
        <v>0</v>
      </c>
      <c r="T670" s="38">
        <f t="shared" si="79"/>
        <v>0</v>
      </c>
      <c r="U670" s="38">
        <f t="shared" si="80"/>
        <v>0</v>
      </c>
      <c r="V670" s="55"/>
    </row>
    <row r="671" spans="2:22" s="50" customFormat="1" ht="11.25" hidden="1">
      <c r="B671" s="74" t="s">
        <v>460</v>
      </c>
      <c r="C671" s="84"/>
      <c r="D671" s="31"/>
      <c r="E671" s="5"/>
      <c r="F671" s="5"/>
      <c r="G671" s="5"/>
      <c r="H671" s="5"/>
      <c r="I671" s="29"/>
      <c r="J671" s="29"/>
      <c r="K671" s="29"/>
      <c r="L671" s="29"/>
      <c r="M671" s="29"/>
      <c r="N671" s="29"/>
      <c r="O671" s="38">
        <f t="shared" si="74"/>
        <v>0</v>
      </c>
      <c r="P671" s="38">
        <f t="shared" si="75"/>
        <v>0</v>
      </c>
      <c r="Q671" s="38">
        <f t="shared" si="76"/>
        <v>0</v>
      </c>
      <c r="R671" s="38">
        <f t="shared" si="77"/>
        <v>0</v>
      </c>
      <c r="S671" s="38">
        <f t="shared" si="78"/>
        <v>0</v>
      </c>
      <c r="T671" s="38">
        <f t="shared" si="79"/>
        <v>0</v>
      </c>
      <c r="U671" s="38">
        <f t="shared" si="80"/>
        <v>0</v>
      </c>
      <c r="V671" s="55"/>
    </row>
    <row r="672" spans="2:22" s="50" customFormat="1" ht="11.25" hidden="1">
      <c r="B672" s="74" t="s">
        <v>460</v>
      </c>
      <c r="C672" s="84"/>
      <c r="D672" s="31"/>
      <c r="E672" s="5"/>
      <c r="F672" s="5"/>
      <c r="G672" s="5"/>
      <c r="H672" s="5"/>
      <c r="I672" s="29"/>
      <c r="J672" s="29"/>
      <c r="K672" s="29"/>
      <c r="L672" s="29"/>
      <c r="M672" s="29"/>
      <c r="N672" s="29"/>
      <c r="O672" s="38">
        <f t="shared" si="74"/>
        <v>0</v>
      </c>
      <c r="P672" s="38">
        <f t="shared" si="75"/>
        <v>0</v>
      </c>
      <c r="Q672" s="38">
        <f t="shared" si="76"/>
        <v>0</v>
      </c>
      <c r="R672" s="38">
        <f t="shared" si="77"/>
        <v>0</v>
      </c>
      <c r="S672" s="38">
        <f t="shared" si="78"/>
        <v>0</v>
      </c>
      <c r="T672" s="38">
        <f t="shared" si="79"/>
        <v>0</v>
      </c>
      <c r="U672" s="38">
        <f t="shared" si="80"/>
        <v>0</v>
      </c>
      <c r="V672" s="55"/>
    </row>
    <row r="673" spans="2:22" s="50" customFormat="1" ht="11.25" hidden="1">
      <c r="B673" s="74" t="s">
        <v>460</v>
      </c>
      <c r="C673" s="84"/>
      <c r="D673" s="31"/>
      <c r="E673" s="5"/>
      <c r="F673" s="5"/>
      <c r="G673" s="5"/>
      <c r="H673" s="5"/>
      <c r="I673" s="29"/>
      <c r="J673" s="29"/>
      <c r="K673" s="29"/>
      <c r="L673" s="29"/>
      <c r="M673" s="29"/>
      <c r="N673" s="29"/>
      <c r="O673" s="38">
        <f t="shared" si="74"/>
        <v>0</v>
      </c>
      <c r="P673" s="38">
        <f t="shared" si="75"/>
        <v>0</v>
      </c>
      <c r="Q673" s="38">
        <f t="shared" si="76"/>
        <v>0</v>
      </c>
      <c r="R673" s="38">
        <f t="shared" si="77"/>
        <v>0</v>
      </c>
      <c r="S673" s="38">
        <f t="shared" si="78"/>
        <v>0</v>
      </c>
      <c r="T673" s="38">
        <f t="shared" si="79"/>
        <v>0</v>
      </c>
      <c r="U673" s="38">
        <f t="shared" si="80"/>
        <v>0</v>
      </c>
      <c r="V673" s="55"/>
    </row>
    <row r="674" spans="2:22" s="50" customFormat="1" ht="11.25" hidden="1">
      <c r="B674" s="74" t="s">
        <v>460</v>
      </c>
      <c r="C674" s="84"/>
      <c r="D674" s="31"/>
      <c r="E674" s="5"/>
      <c r="F674" s="5"/>
      <c r="G674" s="5"/>
      <c r="H674" s="5"/>
      <c r="I674" s="29"/>
      <c r="J674" s="29"/>
      <c r="K674" s="29"/>
      <c r="L674" s="29"/>
      <c r="M674" s="29"/>
      <c r="N674" s="29"/>
      <c r="O674" s="38">
        <f t="shared" si="74"/>
        <v>0</v>
      </c>
      <c r="P674" s="38">
        <f t="shared" si="75"/>
        <v>0</v>
      </c>
      <c r="Q674" s="38">
        <f t="shared" si="76"/>
        <v>0</v>
      </c>
      <c r="R674" s="38">
        <f t="shared" si="77"/>
        <v>0</v>
      </c>
      <c r="S674" s="38">
        <f t="shared" si="78"/>
        <v>0</v>
      </c>
      <c r="T674" s="38">
        <f t="shared" si="79"/>
        <v>0</v>
      </c>
      <c r="U674" s="38">
        <f t="shared" si="80"/>
        <v>0</v>
      </c>
      <c r="V674" s="55"/>
    </row>
    <row r="675" spans="2:22" s="50" customFormat="1" ht="11.25" hidden="1">
      <c r="B675" s="74" t="s">
        <v>460</v>
      </c>
      <c r="C675" s="84"/>
      <c r="D675" s="31"/>
      <c r="E675" s="5"/>
      <c r="F675" s="5"/>
      <c r="G675" s="5"/>
      <c r="H675" s="5"/>
      <c r="I675" s="29"/>
      <c r="J675" s="29"/>
      <c r="K675" s="29"/>
      <c r="L675" s="29"/>
      <c r="M675" s="29"/>
      <c r="N675" s="29"/>
      <c r="O675" s="38">
        <f t="shared" si="74"/>
        <v>0</v>
      </c>
      <c r="P675" s="38">
        <f t="shared" si="75"/>
        <v>0</v>
      </c>
      <c r="Q675" s="38">
        <f t="shared" si="76"/>
        <v>0</v>
      </c>
      <c r="R675" s="38">
        <f t="shared" si="77"/>
        <v>0</v>
      </c>
      <c r="S675" s="38">
        <f t="shared" si="78"/>
        <v>0</v>
      </c>
      <c r="T675" s="38">
        <f t="shared" si="79"/>
        <v>0</v>
      </c>
      <c r="U675" s="38">
        <f t="shared" si="80"/>
        <v>0</v>
      </c>
      <c r="V675" s="55"/>
    </row>
    <row r="676" spans="2:22" s="50" customFormat="1" ht="11.25" hidden="1">
      <c r="B676" s="74" t="s">
        <v>460</v>
      </c>
      <c r="C676" s="84"/>
      <c r="D676" s="31"/>
      <c r="E676" s="5"/>
      <c r="F676" s="5"/>
      <c r="G676" s="5"/>
      <c r="H676" s="5"/>
      <c r="I676" s="29"/>
      <c r="J676" s="29"/>
      <c r="K676" s="29"/>
      <c r="L676" s="29"/>
      <c r="M676" s="29"/>
      <c r="N676" s="29"/>
      <c r="O676" s="38">
        <f t="shared" si="74"/>
        <v>0</v>
      </c>
      <c r="P676" s="38">
        <f t="shared" si="75"/>
        <v>0</v>
      </c>
      <c r="Q676" s="38">
        <f t="shared" si="76"/>
        <v>0</v>
      </c>
      <c r="R676" s="38">
        <f t="shared" si="77"/>
        <v>0</v>
      </c>
      <c r="S676" s="38">
        <f t="shared" si="78"/>
        <v>0</v>
      </c>
      <c r="T676" s="38">
        <f t="shared" si="79"/>
        <v>0</v>
      </c>
      <c r="U676" s="38">
        <f t="shared" si="80"/>
        <v>0</v>
      </c>
      <c r="V676" s="55"/>
    </row>
    <row r="677" spans="2:22" s="50" customFormat="1" ht="11.25" hidden="1">
      <c r="B677" s="74" t="s">
        <v>460</v>
      </c>
      <c r="C677" s="84"/>
      <c r="D677" s="31"/>
      <c r="E677" s="5"/>
      <c r="F677" s="5"/>
      <c r="G677" s="5"/>
      <c r="H677" s="5"/>
      <c r="I677" s="29"/>
      <c r="J677" s="29"/>
      <c r="K677" s="29"/>
      <c r="L677" s="29"/>
      <c r="M677" s="29"/>
      <c r="N677" s="29"/>
      <c r="O677" s="38">
        <f t="shared" si="74"/>
        <v>0</v>
      </c>
      <c r="P677" s="38">
        <f t="shared" si="75"/>
        <v>0</v>
      </c>
      <c r="Q677" s="38">
        <f t="shared" si="76"/>
        <v>0</v>
      </c>
      <c r="R677" s="38">
        <f t="shared" si="77"/>
        <v>0</v>
      </c>
      <c r="S677" s="38">
        <f t="shared" si="78"/>
        <v>0</v>
      </c>
      <c r="T677" s="38">
        <f t="shared" si="79"/>
        <v>0</v>
      </c>
      <c r="U677" s="38">
        <f t="shared" si="80"/>
        <v>0</v>
      </c>
      <c r="V677" s="55"/>
    </row>
    <row r="678" spans="2:22" s="50" customFormat="1" ht="11.25" hidden="1">
      <c r="B678" s="74" t="s">
        <v>460</v>
      </c>
      <c r="C678" s="84"/>
      <c r="D678" s="31"/>
      <c r="E678" s="5"/>
      <c r="F678" s="5"/>
      <c r="G678" s="5"/>
      <c r="H678" s="5"/>
      <c r="I678" s="29"/>
      <c r="J678" s="29"/>
      <c r="K678" s="29"/>
      <c r="L678" s="29"/>
      <c r="M678" s="29"/>
      <c r="N678" s="29"/>
      <c r="O678" s="38">
        <f t="shared" si="74"/>
        <v>0</v>
      </c>
      <c r="P678" s="38">
        <f t="shared" si="75"/>
        <v>0</v>
      </c>
      <c r="Q678" s="38">
        <f t="shared" si="76"/>
        <v>0</v>
      </c>
      <c r="R678" s="38">
        <f t="shared" si="77"/>
        <v>0</v>
      </c>
      <c r="S678" s="38">
        <f t="shared" si="78"/>
        <v>0</v>
      </c>
      <c r="T678" s="38">
        <f t="shared" si="79"/>
        <v>0</v>
      </c>
      <c r="U678" s="38">
        <f t="shared" si="80"/>
        <v>0</v>
      </c>
      <c r="V678" s="55"/>
    </row>
    <row r="679" spans="2:22" s="50" customFormat="1" ht="11.25" hidden="1">
      <c r="B679" s="74" t="s">
        <v>460</v>
      </c>
      <c r="C679" s="84"/>
      <c r="D679" s="31"/>
      <c r="E679" s="5"/>
      <c r="F679" s="5"/>
      <c r="G679" s="5"/>
      <c r="H679" s="5"/>
      <c r="I679" s="29"/>
      <c r="J679" s="29"/>
      <c r="K679" s="29"/>
      <c r="L679" s="29"/>
      <c r="M679" s="29"/>
      <c r="N679" s="29"/>
      <c r="O679" s="38">
        <f t="shared" si="74"/>
        <v>0</v>
      </c>
      <c r="P679" s="38">
        <f t="shared" si="75"/>
        <v>0</v>
      </c>
      <c r="Q679" s="38">
        <f t="shared" si="76"/>
        <v>0</v>
      </c>
      <c r="R679" s="38">
        <f t="shared" si="77"/>
        <v>0</v>
      </c>
      <c r="S679" s="38">
        <f t="shared" si="78"/>
        <v>0</v>
      </c>
      <c r="T679" s="38">
        <f t="shared" si="79"/>
        <v>0</v>
      </c>
      <c r="U679" s="38">
        <f t="shared" si="80"/>
        <v>0</v>
      </c>
      <c r="V679" s="55"/>
    </row>
    <row r="680" spans="2:22" s="50" customFormat="1" ht="11.25" hidden="1">
      <c r="B680" s="74" t="s">
        <v>460</v>
      </c>
      <c r="C680" s="84"/>
      <c r="D680" s="31"/>
      <c r="E680" s="5"/>
      <c r="F680" s="5"/>
      <c r="G680" s="5"/>
      <c r="H680" s="5"/>
      <c r="I680" s="29"/>
      <c r="J680" s="29"/>
      <c r="K680" s="29"/>
      <c r="L680" s="29"/>
      <c r="M680" s="29"/>
      <c r="N680" s="29"/>
      <c r="O680" s="38">
        <f t="shared" si="74"/>
        <v>0</v>
      </c>
      <c r="P680" s="38">
        <f t="shared" si="75"/>
        <v>0</v>
      </c>
      <c r="Q680" s="38">
        <f t="shared" si="76"/>
        <v>0</v>
      </c>
      <c r="R680" s="38">
        <f t="shared" si="77"/>
        <v>0</v>
      </c>
      <c r="S680" s="38">
        <f t="shared" si="78"/>
        <v>0</v>
      </c>
      <c r="T680" s="38">
        <f t="shared" si="79"/>
        <v>0</v>
      </c>
      <c r="U680" s="38">
        <f t="shared" si="80"/>
        <v>0</v>
      </c>
      <c r="V680" s="55"/>
    </row>
    <row r="681" spans="2:22" s="50" customFormat="1" ht="11.25" hidden="1">
      <c r="B681" s="74" t="s">
        <v>460</v>
      </c>
      <c r="C681" s="84"/>
      <c r="D681" s="31"/>
      <c r="E681" s="5"/>
      <c r="F681" s="5"/>
      <c r="G681" s="5"/>
      <c r="H681" s="5"/>
      <c r="I681" s="29"/>
      <c r="J681" s="29"/>
      <c r="K681" s="29"/>
      <c r="L681" s="29"/>
      <c r="M681" s="29"/>
      <c r="N681" s="29"/>
      <c r="O681" s="38">
        <f t="shared" si="74"/>
        <v>0</v>
      </c>
      <c r="P681" s="38">
        <f t="shared" si="75"/>
        <v>0</v>
      </c>
      <c r="Q681" s="38">
        <f t="shared" si="76"/>
        <v>0</v>
      </c>
      <c r="R681" s="38">
        <f t="shared" si="77"/>
        <v>0</v>
      </c>
      <c r="S681" s="38">
        <f t="shared" si="78"/>
        <v>0</v>
      </c>
      <c r="T681" s="38">
        <f t="shared" si="79"/>
        <v>0</v>
      </c>
      <c r="U681" s="38">
        <f t="shared" si="80"/>
        <v>0</v>
      </c>
      <c r="V681" s="55"/>
    </row>
    <row r="682" spans="2:22" s="50" customFormat="1" ht="11.25" hidden="1">
      <c r="B682" s="74" t="s">
        <v>460</v>
      </c>
      <c r="C682" s="84"/>
      <c r="D682" s="31"/>
      <c r="E682" s="5"/>
      <c r="F682" s="5"/>
      <c r="G682" s="5"/>
      <c r="H682" s="5"/>
      <c r="I682" s="29"/>
      <c r="J682" s="29"/>
      <c r="K682" s="29"/>
      <c r="L682" s="29"/>
      <c r="M682" s="29"/>
      <c r="N682" s="29"/>
      <c r="O682" s="38">
        <f t="shared" si="74"/>
        <v>0</v>
      </c>
      <c r="P682" s="38">
        <f t="shared" si="75"/>
        <v>0</v>
      </c>
      <c r="Q682" s="38">
        <f t="shared" si="76"/>
        <v>0</v>
      </c>
      <c r="R682" s="38">
        <f t="shared" si="77"/>
        <v>0</v>
      </c>
      <c r="S682" s="38">
        <f t="shared" si="78"/>
        <v>0</v>
      </c>
      <c r="T682" s="38">
        <f t="shared" si="79"/>
        <v>0</v>
      </c>
      <c r="U682" s="38">
        <f t="shared" si="80"/>
        <v>0</v>
      </c>
      <c r="V682" s="55"/>
    </row>
    <row r="683" spans="2:22" s="50" customFormat="1" ht="11.25" hidden="1">
      <c r="B683" s="74" t="s">
        <v>460</v>
      </c>
      <c r="C683" s="84"/>
      <c r="D683" s="31"/>
      <c r="E683" s="5"/>
      <c r="F683" s="5"/>
      <c r="G683" s="5"/>
      <c r="H683" s="5"/>
      <c r="I683" s="29"/>
      <c r="J683" s="29"/>
      <c r="K683" s="29"/>
      <c r="L683" s="29"/>
      <c r="M683" s="29"/>
      <c r="N683" s="29"/>
      <c r="O683" s="38">
        <f t="shared" si="74"/>
        <v>0</v>
      </c>
      <c r="P683" s="38">
        <f t="shared" si="75"/>
        <v>0</v>
      </c>
      <c r="Q683" s="38">
        <f t="shared" si="76"/>
        <v>0</v>
      </c>
      <c r="R683" s="38">
        <f t="shared" si="77"/>
        <v>0</v>
      </c>
      <c r="S683" s="38">
        <f t="shared" si="78"/>
        <v>0</v>
      </c>
      <c r="T683" s="38">
        <f t="shared" si="79"/>
        <v>0</v>
      </c>
      <c r="U683" s="38">
        <f t="shared" si="80"/>
        <v>0</v>
      </c>
      <c r="V683" s="55"/>
    </row>
    <row r="684" spans="2:22" s="50" customFormat="1" ht="11.25" hidden="1">
      <c r="B684" s="74" t="s">
        <v>460</v>
      </c>
      <c r="C684" s="84"/>
      <c r="D684" s="31"/>
      <c r="E684" s="5"/>
      <c r="F684" s="5"/>
      <c r="G684" s="5"/>
      <c r="H684" s="5"/>
      <c r="I684" s="29"/>
      <c r="J684" s="29"/>
      <c r="K684" s="29"/>
      <c r="L684" s="29"/>
      <c r="M684" s="29"/>
      <c r="N684" s="29"/>
      <c r="O684" s="38">
        <f t="shared" si="74"/>
        <v>0</v>
      </c>
      <c r="P684" s="38">
        <f t="shared" si="75"/>
        <v>0</v>
      </c>
      <c r="Q684" s="38">
        <f t="shared" si="76"/>
        <v>0</v>
      </c>
      <c r="R684" s="38">
        <f t="shared" si="77"/>
        <v>0</v>
      </c>
      <c r="S684" s="38">
        <f t="shared" si="78"/>
        <v>0</v>
      </c>
      <c r="T684" s="38">
        <f t="shared" si="79"/>
        <v>0</v>
      </c>
      <c r="U684" s="38">
        <f t="shared" si="80"/>
        <v>0</v>
      </c>
      <c r="V684" s="55"/>
    </row>
    <row r="685" spans="2:22" s="50" customFormat="1" ht="11.25" hidden="1">
      <c r="B685" s="74" t="s">
        <v>460</v>
      </c>
      <c r="C685" s="84"/>
      <c r="D685" s="31"/>
      <c r="E685" s="5"/>
      <c r="F685" s="5"/>
      <c r="G685" s="5"/>
      <c r="H685" s="5"/>
      <c r="I685" s="29"/>
      <c r="J685" s="29"/>
      <c r="K685" s="29"/>
      <c r="L685" s="29"/>
      <c r="M685" s="29"/>
      <c r="N685" s="29"/>
      <c r="O685" s="38">
        <f t="shared" si="74"/>
        <v>0</v>
      </c>
      <c r="P685" s="38">
        <f t="shared" si="75"/>
        <v>0</v>
      </c>
      <c r="Q685" s="38">
        <f t="shared" si="76"/>
        <v>0</v>
      </c>
      <c r="R685" s="38">
        <f t="shared" si="77"/>
        <v>0</v>
      </c>
      <c r="S685" s="38">
        <f t="shared" si="78"/>
        <v>0</v>
      </c>
      <c r="T685" s="38">
        <f t="shared" si="79"/>
        <v>0</v>
      </c>
      <c r="U685" s="38">
        <f t="shared" si="80"/>
        <v>0</v>
      </c>
      <c r="V685" s="55"/>
    </row>
    <row r="686" spans="2:22" s="50" customFormat="1" ht="11.25" hidden="1">
      <c r="B686" s="74" t="s">
        <v>460</v>
      </c>
      <c r="C686" s="84"/>
      <c r="D686" s="31"/>
      <c r="E686" s="5"/>
      <c r="F686" s="5"/>
      <c r="G686" s="5"/>
      <c r="H686" s="5"/>
      <c r="I686" s="29"/>
      <c r="J686" s="29"/>
      <c r="K686" s="29"/>
      <c r="L686" s="29"/>
      <c r="M686" s="29"/>
      <c r="N686" s="29"/>
      <c r="O686" s="38">
        <f t="shared" si="74"/>
        <v>0</v>
      </c>
      <c r="P686" s="38">
        <f t="shared" si="75"/>
        <v>0</v>
      </c>
      <c r="Q686" s="38">
        <f t="shared" si="76"/>
        <v>0</v>
      </c>
      <c r="R686" s="38">
        <f t="shared" si="77"/>
        <v>0</v>
      </c>
      <c r="S686" s="38">
        <f t="shared" si="78"/>
        <v>0</v>
      </c>
      <c r="T686" s="38">
        <f t="shared" si="79"/>
        <v>0</v>
      </c>
      <c r="U686" s="38">
        <f t="shared" si="80"/>
        <v>0</v>
      </c>
      <c r="V686" s="55"/>
    </row>
    <row r="687" spans="2:22" s="50" customFormat="1" ht="11.25" hidden="1">
      <c r="B687" s="74" t="s">
        <v>460</v>
      </c>
      <c r="C687" s="84"/>
      <c r="D687" s="31"/>
      <c r="E687" s="5"/>
      <c r="F687" s="5"/>
      <c r="G687" s="5"/>
      <c r="H687" s="5"/>
      <c r="I687" s="29"/>
      <c r="J687" s="29"/>
      <c r="K687" s="29"/>
      <c r="L687" s="29"/>
      <c r="M687" s="29"/>
      <c r="N687" s="29"/>
      <c r="O687" s="38">
        <f t="shared" si="74"/>
        <v>0</v>
      </c>
      <c r="P687" s="38">
        <f t="shared" si="75"/>
        <v>0</v>
      </c>
      <c r="Q687" s="38">
        <f t="shared" si="76"/>
        <v>0</v>
      </c>
      <c r="R687" s="38">
        <f t="shared" si="77"/>
        <v>0</v>
      </c>
      <c r="S687" s="38">
        <f t="shared" si="78"/>
        <v>0</v>
      </c>
      <c r="T687" s="38">
        <f t="shared" si="79"/>
        <v>0</v>
      </c>
      <c r="U687" s="38">
        <f t="shared" si="80"/>
        <v>0</v>
      </c>
      <c r="V687" s="55"/>
    </row>
    <row r="688" spans="2:22" s="50" customFormat="1" ht="11.25" hidden="1">
      <c r="B688" s="74" t="s">
        <v>460</v>
      </c>
      <c r="C688" s="84"/>
      <c r="D688" s="31"/>
      <c r="E688" s="5"/>
      <c r="F688" s="5"/>
      <c r="G688" s="5"/>
      <c r="H688" s="5"/>
      <c r="I688" s="29"/>
      <c r="J688" s="29"/>
      <c r="K688" s="29"/>
      <c r="L688" s="29"/>
      <c r="M688" s="29"/>
      <c r="N688" s="29"/>
      <c r="O688" s="38">
        <f t="shared" si="74"/>
        <v>0</v>
      </c>
      <c r="P688" s="38">
        <f t="shared" si="75"/>
        <v>0</v>
      </c>
      <c r="Q688" s="38">
        <f t="shared" si="76"/>
        <v>0</v>
      </c>
      <c r="R688" s="38">
        <f t="shared" si="77"/>
        <v>0</v>
      </c>
      <c r="S688" s="38">
        <f t="shared" si="78"/>
        <v>0</v>
      </c>
      <c r="T688" s="38">
        <f t="shared" si="79"/>
        <v>0</v>
      </c>
      <c r="U688" s="38">
        <f t="shared" si="80"/>
        <v>0</v>
      </c>
      <c r="V688" s="55"/>
    </row>
    <row r="689" spans="2:22" s="50" customFormat="1" ht="11.25" hidden="1">
      <c r="B689" s="74" t="s">
        <v>460</v>
      </c>
      <c r="C689" s="84"/>
      <c r="D689" s="31"/>
      <c r="E689" s="5"/>
      <c r="F689" s="5"/>
      <c r="G689" s="5"/>
      <c r="H689" s="5"/>
      <c r="I689" s="29"/>
      <c r="J689" s="29"/>
      <c r="K689" s="29"/>
      <c r="L689" s="29"/>
      <c r="M689" s="29"/>
      <c r="N689" s="29"/>
      <c r="O689" s="38">
        <f t="shared" si="74"/>
        <v>0</v>
      </c>
      <c r="P689" s="38">
        <f t="shared" si="75"/>
        <v>0</v>
      </c>
      <c r="Q689" s="38">
        <f t="shared" si="76"/>
        <v>0</v>
      </c>
      <c r="R689" s="38">
        <f t="shared" si="77"/>
        <v>0</v>
      </c>
      <c r="S689" s="38">
        <f t="shared" si="78"/>
        <v>0</v>
      </c>
      <c r="T689" s="38">
        <f t="shared" si="79"/>
        <v>0</v>
      </c>
      <c r="U689" s="38">
        <f t="shared" si="80"/>
        <v>0</v>
      </c>
      <c r="V689" s="55"/>
    </row>
    <row r="690" spans="2:22" s="50" customFormat="1" ht="11.25" hidden="1">
      <c r="B690" s="74" t="s">
        <v>460</v>
      </c>
      <c r="C690" s="84"/>
      <c r="D690" s="31"/>
      <c r="E690" s="5"/>
      <c r="F690" s="5"/>
      <c r="G690" s="5"/>
      <c r="H690" s="5"/>
      <c r="I690" s="29"/>
      <c r="J690" s="29"/>
      <c r="K690" s="29"/>
      <c r="L690" s="29"/>
      <c r="M690" s="29"/>
      <c r="N690" s="29"/>
      <c r="O690" s="38">
        <f t="shared" si="74"/>
        <v>0</v>
      </c>
      <c r="P690" s="38">
        <f t="shared" si="75"/>
        <v>0</v>
      </c>
      <c r="Q690" s="38">
        <f t="shared" si="76"/>
        <v>0</v>
      </c>
      <c r="R690" s="38">
        <f t="shared" si="77"/>
        <v>0</v>
      </c>
      <c r="S690" s="38">
        <f t="shared" si="78"/>
        <v>0</v>
      </c>
      <c r="T690" s="38">
        <f t="shared" si="79"/>
        <v>0</v>
      </c>
      <c r="U690" s="38">
        <f t="shared" si="80"/>
        <v>0</v>
      </c>
      <c r="V690" s="55"/>
    </row>
    <row r="691" spans="2:22" s="50" customFormat="1" ht="11.25" hidden="1">
      <c r="B691" s="74" t="s">
        <v>460</v>
      </c>
      <c r="C691" s="84"/>
      <c r="D691" s="31"/>
      <c r="E691" s="5"/>
      <c r="F691" s="5"/>
      <c r="G691" s="5"/>
      <c r="H691" s="5"/>
      <c r="I691" s="29"/>
      <c r="J691" s="29"/>
      <c r="K691" s="29"/>
      <c r="L691" s="29"/>
      <c r="M691" s="29"/>
      <c r="N691" s="29"/>
      <c r="O691" s="38">
        <f t="shared" si="74"/>
        <v>0</v>
      </c>
      <c r="P691" s="38">
        <f t="shared" si="75"/>
        <v>0</v>
      </c>
      <c r="Q691" s="38">
        <f t="shared" si="76"/>
        <v>0</v>
      </c>
      <c r="R691" s="38">
        <f t="shared" si="77"/>
        <v>0</v>
      </c>
      <c r="S691" s="38">
        <f t="shared" si="78"/>
        <v>0</v>
      </c>
      <c r="T691" s="38">
        <f t="shared" si="79"/>
        <v>0</v>
      </c>
      <c r="U691" s="38">
        <f t="shared" si="80"/>
        <v>0</v>
      </c>
      <c r="V691" s="55"/>
    </row>
    <row r="692" spans="2:22" s="50" customFormat="1" ht="11.25" hidden="1">
      <c r="B692" s="74" t="s">
        <v>460</v>
      </c>
      <c r="C692" s="84"/>
      <c r="D692" s="31"/>
      <c r="E692" s="5"/>
      <c r="F692" s="5"/>
      <c r="G692" s="5"/>
      <c r="H692" s="5"/>
      <c r="I692" s="29"/>
      <c r="J692" s="29"/>
      <c r="K692" s="29"/>
      <c r="L692" s="29"/>
      <c r="M692" s="29"/>
      <c r="N692" s="29"/>
      <c r="O692" s="38">
        <f t="shared" si="74"/>
        <v>0</v>
      </c>
      <c r="P692" s="38">
        <f t="shared" si="75"/>
        <v>0</v>
      </c>
      <c r="Q692" s="38">
        <f t="shared" si="76"/>
        <v>0</v>
      </c>
      <c r="R692" s="38">
        <f t="shared" si="77"/>
        <v>0</v>
      </c>
      <c r="S692" s="38">
        <f t="shared" si="78"/>
        <v>0</v>
      </c>
      <c r="T692" s="38">
        <f t="shared" si="79"/>
        <v>0</v>
      </c>
      <c r="U692" s="38">
        <f t="shared" si="80"/>
        <v>0</v>
      </c>
      <c r="V692" s="55"/>
    </row>
    <row r="693" spans="2:22" s="50" customFormat="1" ht="11.25" hidden="1">
      <c r="B693" s="74" t="s">
        <v>460</v>
      </c>
      <c r="C693" s="84"/>
      <c r="D693" s="31"/>
      <c r="E693" s="5"/>
      <c r="F693" s="5"/>
      <c r="G693" s="5"/>
      <c r="H693" s="5"/>
      <c r="I693" s="29"/>
      <c r="J693" s="29"/>
      <c r="K693" s="29"/>
      <c r="L693" s="29"/>
      <c r="M693" s="29"/>
      <c r="N693" s="29"/>
      <c r="O693" s="38">
        <f t="shared" si="74"/>
        <v>0</v>
      </c>
      <c r="P693" s="38">
        <f t="shared" si="75"/>
        <v>0</v>
      </c>
      <c r="Q693" s="38">
        <f t="shared" si="76"/>
        <v>0</v>
      </c>
      <c r="R693" s="38">
        <f t="shared" si="77"/>
        <v>0</v>
      </c>
      <c r="S693" s="38">
        <f t="shared" si="78"/>
        <v>0</v>
      </c>
      <c r="T693" s="38">
        <f t="shared" si="79"/>
        <v>0</v>
      </c>
      <c r="U693" s="38">
        <f t="shared" si="80"/>
        <v>0</v>
      </c>
      <c r="V693" s="55"/>
    </row>
    <row r="694" spans="2:22" s="50" customFormat="1" ht="11.25" hidden="1">
      <c r="B694" s="74" t="s">
        <v>460</v>
      </c>
      <c r="C694" s="84"/>
      <c r="D694" s="31"/>
      <c r="E694" s="5"/>
      <c r="F694" s="5"/>
      <c r="G694" s="5"/>
      <c r="H694" s="5"/>
      <c r="I694" s="29"/>
      <c r="J694" s="29"/>
      <c r="K694" s="29"/>
      <c r="L694" s="29"/>
      <c r="M694" s="29"/>
      <c r="N694" s="29"/>
      <c r="O694" s="38">
        <f t="shared" si="74"/>
        <v>0</v>
      </c>
      <c r="P694" s="38">
        <f t="shared" si="75"/>
        <v>0</v>
      </c>
      <c r="Q694" s="38">
        <f t="shared" si="76"/>
        <v>0</v>
      </c>
      <c r="R694" s="38">
        <f t="shared" si="77"/>
        <v>0</v>
      </c>
      <c r="S694" s="38">
        <f t="shared" si="78"/>
        <v>0</v>
      </c>
      <c r="T694" s="38">
        <f t="shared" si="79"/>
        <v>0</v>
      </c>
      <c r="U694" s="38">
        <f t="shared" si="80"/>
        <v>0</v>
      </c>
      <c r="V694" s="55"/>
    </row>
    <row r="695" spans="2:22" s="50" customFormat="1" ht="11.25" hidden="1">
      <c r="B695" s="74" t="s">
        <v>460</v>
      </c>
      <c r="C695" s="84"/>
      <c r="D695" s="31"/>
      <c r="E695" s="5"/>
      <c r="F695" s="5"/>
      <c r="G695" s="5"/>
      <c r="H695" s="5"/>
      <c r="I695" s="29"/>
      <c r="J695" s="29"/>
      <c r="K695" s="29"/>
      <c r="L695" s="29"/>
      <c r="M695" s="29"/>
      <c r="N695" s="29"/>
      <c r="O695" s="38">
        <f t="shared" si="74"/>
        <v>0</v>
      </c>
      <c r="P695" s="38">
        <f t="shared" si="75"/>
        <v>0</v>
      </c>
      <c r="Q695" s="38">
        <f t="shared" si="76"/>
        <v>0</v>
      </c>
      <c r="R695" s="38">
        <f t="shared" si="77"/>
        <v>0</v>
      </c>
      <c r="S695" s="38">
        <f t="shared" si="78"/>
        <v>0</v>
      </c>
      <c r="T695" s="38">
        <f t="shared" si="79"/>
        <v>0</v>
      </c>
      <c r="U695" s="38">
        <f t="shared" si="80"/>
        <v>0</v>
      </c>
      <c r="V695" s="55"/>
    </row>
    <row r="696" spans="2:22" s="50" customFormat="1" ht="11.25" hidden="1">
      <c r="B696" s="74" t="s">
        <v>460</v>
      </c>
      <c r="C696" s="84"/>
      <c r="D696" s="31"/>
      <c r="E696" s="5"/>
      <c r="F696" s="5"/>
      <c r="G696" s="5"/>
      <c r="H696" s="5"/>
      <c r="I696" s="29"/>
      <c r="J696" s="29"/>
      <c r="K696" s="29"/>
      <c r="L696" s="29"/>
      <c r="M696" s="29"/>
      <c r="N696" s="29"/>
      <c r="O696" s="38">
        <f t="shared" si="74"/>
        <v>0</v>
      </c>
      <c r="P696" s="38">
        <f t="shared" si="75"/>
        <v>0</v>
      </c>
      <c r="Q696" s="38">
        <f t="shared" si="76"/>
        <v>0</v>
      </c>
      <c r="R696" s="38">
        <f t="shared" si="77"/>
        <v>0</v>
      </c>
      <c r="S696" s="38">
        <f t="shared" si="78"/>
        <v>0</v>
      </c>
      <c r="T696" s="38">
        <f t="shared" si="79"/>
        <v>0</v>
      </c>
      <c r="U696" s="38">
        <f t="shared" si="80"/>
        <v>0</v>
      </c>
      <c r="V696" s="55"/>
    </row>
    <row r="697" spans="2:22" s="50" customFormat="1" ht="11.25" hidden="1">
      <c r="B697" s="74" t="s">
        <v>460</v>
      </c>
      <c r="C697" s="84"/>
      <c r="D697" s="31"/>
      <c r="E697" s="5"/>
      <c r="F697" s="5"/>
      <c r="G697" s="5"/>
      <c r="H697" s="5"/>
      <c r="I697" s="29"/>
      <c r="J697" s="29"/>
      <c r="K697" s="29"/>
      <c r="L697" s="29"/>
      <c r="M697" s="29"/>
      <c r="N697" s="29"/>
      <c r="O697" s="38">
        <f t="shared" si="74"/>
        <v>0</v>
      </c>
      <c r="P697" s="38">
        <f t="shared" si="75"/>
        <v>0</v>
      </c>
      <c r="Q697" s="38">
        <f t="shared" si="76"/>
        <v>0</v>
      </c>
      <c r="R697" s="38">
        <f t="shared" si="77"/>
        <v>0</v>
      </c>
      <c r="S697" s="38">
        <f t="shared" si="78"/>
        <v>0</v>
      </c>
      <c r="T697" s="38">
        <f t="shared" si="79"/>
        <v>0</v>
      </c>
      <c r="U697" s="38">
        <f t="shared" si="80"/>
        <v>0</v>
      </c>
      <c r="V697" s="55"/>
    </row>
    <row r="698" spans="2:22" s="50" customFormat="1" ht="11.25" hidden="1">
      <c r="B698" s="74" t="s">
        <v>460</v>
      </c>
      <c r="C698" s="84"/>
      <c r="D698" s="31"/>
      <c r="E698" s="5"/>
      <c r="F698" s="5"/>
      <c r="G698" s="5"/>
      <c r="H698" s="5"/>
      <c r="I698" s="29"/>
      <c r="J698" s="29"/>
      <c r="K698" s="29"/>
      <c r="L698" s="29"/>
      <c r="M698" s="29"/>
      <c r="N698" s="29"/>
      <c r="O698" s="38">
        <f t="shared" si="74"/>
        <v>0</v>
      </c>
      <c r="P698" s="38">
        <f t="shared" si="75"/>
        <v>0</v>
      </c>
      <c r="Q698" s="38">
        <f t="shared" si="76"/>
        <v>0</v>
      </c>
      <c r="R698" s="38">
        <f t="shared" si="77"/>
        <v>0</v>
      </c>
      <c r="S698" s="38">
        <f t="shared" si="78"/>
        <v>0</v>
      </c>
      <c r="T698" s="38">
        <f t="shared" si="79"/>
        <v>0</v>
      </c>
      <c r="U698" s="38">
        <f t="shared" si="80"/>
        <v>0</v>
      </c>
      <c r="V698" s="55"/>
    </row>
    <row r="699" spans="2:22" s="50" customFormat="1" ht="11.25" hidden="1">
      <c r="B699" s="74" t="s">
        <v>460</v>
      </c>
      <c r="C699" s="84"/>
      <c r="D699" s="31"/>
      <c r="E699" s="5"/>
      <c r="F699" s="5"/>
      <c r="G699" s="5"/>
      <c r="H699" s="5"/>
      <c r="I699" s="29"/>
      <c r="J699" s="29"/>
      <c r="K699" s="29"/>
      <c r="L699" s="29"/>
      <c r="M699" s="29"/>
      <c r="N699" s="29"/>
      <c r="O699" s="38">
        <f t="shared" si="74"/>
        <v>0</v>
      </c>
      <c r="P699" s="38">
        <f t="shared" si="75"/>
        <v>0</v>
      </c>
      <c r="Q699" s="38">
        <f t="shared" si="76"/>
        <v>0</v>
      </c>
      <c r="R699" s="38">
        <f t="shared" si="77"/>
        <v>0</v>
      </c>
      <c r="S699" s="38">
        <f t="shared" si="78"/>
        <v>0</v>
      </c>
      <c r="T699" s="38">
        <f t="shared" si="79"/>
        <v>0</v>
      </c>
      <c r="U699" s="38">
        <f t="shared" si="80"/>
        <v>0</v>
      </c>
      <c r="V699" s="55"/>
    </row>
    <row r="700" spans="2:22" s="50" customFormat="1" ht="11.25" hidden="1">
      <c r="B700" s="74" t="s">
        <v>460</v>
      </c>
      <c r="C700" s="84"/>
      <c r="D700" s="31"/>
      <c r="E700" s="5"/>
      <c r="F700" s="5"/>
      <c r="G700" s="5"/>
      <c r="H700" s="5"/>
      <c r="I700" s="29"/>
      <c r="J700" s="29"/>
      <c r="K700" s="29"/>
      <c r="L700" s="29"/>
      <c r="M700" s="29"/>
      <c r="N700" s="29"/>
      <c r="O700" s="38">
        <f t="shared" si="74"/>
        <v>0</v>
      </c>
      <c r="P700" s="38">
        <f t="shared" si="75"/>
        <v>0</v>
      </c>
      <c r="Q700" s="38">
        <f t="shared" si="76"/>
        <v>0</v>
      </c>
      <c r="R700" s="38">
        <f t="shared" si="77"/>
        <v>0</v>
      </c>
      <c r="S700" s="38">
        <f t="shared" si="78"/>
        <v>0</v>
      </c>
      <c r="T700" s="38">
        <f t="shared" si="79"/>
        <v>0</v>
      </c>
      <c r="U700" s="38">
        <f t="shared" si="80"/>
        <v>0</v>
      </c>
      <c r="V700" s="55"/>
    </row>
    <row r="701" spans="2:22" s="50" customFormat="1" ht="11.25" hidden="1">
      <c r="B701" s="74" t="s">
        <v>460</v>
      </c>
      <c r="C701" s="84"/>
      <c r="D701" s="31"/>
      <c r="E701" s="5"/>
      <c r="F701" s="5"/>
      <c r="G701" s="5"/>
      <c r="H701" s="5"/>
      <c r="I701" s="29"/>
      <c r="J701" s="29"/>
      <c r="K701" s="29"/>
      <c r="L701" s="29"/>
      <c r="M701" s="29"/>
      <c r="N701" s="29"/>
      <c r="O701" s="38">
        <f t="shared" si="74"/>
        <v>0</v>
      </c>
      <c r="P701" s="38">
        <f t="shared" si="75"/>
        <v>0</v>
      </c>
      <c r="Q701" s="38">
        <f t="shared" si="76"/>
        <v>0</v>
      </c>
      <c r="R701" s="38">
        <f t="shared" si="77"/>
        <v>0</v>
      </c>
      <c r="S701" s="38">
        <f t="shared" si="78"/>
        <v>0</v>
      </c>
      <c r="T701" s="38">
        <f t="shared" si="79"/>
        <v>0</v>
      </c>
      <c r="U701" s="38">
        <f t="shared" si="80"/>
        <v>0</v>
      </c>
      <c r="V701" s="55"/>
    </row>
    <row r="702" spans="2:22" s="50" customFormat="1" ht="11.25" hidden="1">
      <c r="B702" s="74" t="s">
        <v>460</v>
      </c>
      <c r="C702" s="84"/>
      <c r="D702" s="31"/>
      <c r="E702" s="5"/>
      <c r="F702" s="5"/>
      <c r="G702" s="5"/>
      <c r="H702" s="5"/>
      <c r="I702" s="29"/>
      <c r="J702" s="29"/>
      <c r="K702" s="29"/>
      <c r="L702" s="29"/>
      <c r="M702" s="29"/>
      <c r="N702" s="29"/>
      <c r="O702" s="38">
        <f t="shared" si="74"/>
        <v>0</v>
      </c>
      <c r="P702" s="38">
        <f t="shared" si="75"/>
        <v>0</v>
      </c>
      <c r="Q702" s="38">
        <f t="shared" si="76"/>
        <v>0</v>
      </c>
      <c r="R702" s="38">
        <f t="shared" si="77"/>
        <v>0</v>
      </c>
      <c r="S702" s="38">
        <f t="shared" si="78"/>
        <v>0</v>
      </c>
      <c r="T702" s="38">
        <f t="shared" si="79"/>
        <v>0</v>
      </c>
      <c r="U702" s="38">
        <f t="shared" si="80"/>
        <v>0</v>
      </c>
      <c r="V702" s="55"/>
    </row>
    <row r="703" spans="2:22" s="50" customFormat="1" ht="11.25" hidden="1">
      <c r="B703" s="74" t="s">
        <v>460</v>
      </c>
      <c r="C703" s="84"/>
      <c r="D703" s="31"/>
      <c r="E703" s="5"/>
      <c r="F703" s="5"/>
      <c r="G703" s="5"/>
      <c r="H703" s="5"/>
      <c r="I703" s="29"/>
      <c r="J703" s="29"/>
      <c r="K703" s="29"/>
      <c r="L703" s="29"/>
      <c r="M703" s="29"/>
      <c r="N703" s="29"/>
      <c r="O703" s="38">
        <f t="shared" si="74"/>
        <v>0</v>
      </c>
      <c r="P703" s="38">
        <f t="shared" si="75"/>
        <v>0</v>
      </c>
      <c r="Q703" s="38">
        <f t="shared" si="76"/>
        <v>0</v>
      </c>
      <c r="R703" s="38">
        <f t="shared" si="77"/>
        <v>0</v>
      </c>
      <c r="S703" s="38">
        <f t="shared" si="78"/>
        <v>0</v>
      </c>
      <c r="T703" s="38">
        <f t="shared" si="79"/>
        <v>0</v>
      </c>
      <c r="U703" s="38">
        <f t="shared" si="80"/>
        <v>0</v>
      </c>
      <c r="V703" s="55"/>
    </row>
    <row r="704" spans="2:22" s="50" customFormat="1" ht="11.25" hidden="1">
      <c r="B704" s="74" t="s">
        <v>460</v>
      </c>
      <c r="C704" s="84"/>
      <c r="D704" s="31"/>
      <c r="E704" s="5"/>
      <c r="F704" s="5"/>
      <c r="G704" s="5"/>
      <c r="H704" s="5"/>
      <c r="I704" s="29"/>
      <c r="J704" s="29"/>
      <c r="K704" s="29"/>
      <c r="L704" s="29"/>
      <c r="M704" s="29"/>
      <c r="N704" s="29"/>
      <c r="O704" s="38">
        <f t="shared" si="74"/>
        <v>0</v>
      </c>
      <c r="P704" s="38">
        <f t="shared" si="75"/>
        <v>0</v>
      </c>
      <c r="Q704" s="38">
        <f t="shared" si="76"/>
        <v>0</v>
      </c>
      <c r="R704" s="38">
        <f t="shared" si="77"/>
        <v>0</v>
      </c>
      <c r="S704" s="38">
        <f t="shared" si="78"/>
        <v>0</v>
      </c>
      <c r="T704" s="38">
        <f t="shared" si="79"/>
        <v>0</v>
      </c>
      <c r="U704" s="38">
        <f t="shared" si="80"/>
        <v>0</v>
      </c>
      <c r="V704" s="55"/>
    </row>
    <row r="705" spans="2:22" s="50" customFormat="1" ht="11.25" hidden="1">
      <c r="B705" s="74" t="s">
        <v>460</v>
      </c>
      <c r="C705" s="84"/>
      <c r="D705" s="31"/>
      <c r="E705" s="5"/>
      <c r="F705" s="5"/>
      <c r="G705" s="5"/>
      <c r="H705" s="5"/>
      <c r="I705" s="29"/>
      <c r="J705" s="29"/>
      <c r="K705" s="29"/>
      <c r="L705" s="29"/>
      <c r="M705" s="29"/>
      <c r="N705" s="29"/>
      <c r="O705" s="38">
        <f t="shared" si="74"/>
        <v>0</v>
      </c>
      <c r="P705" s="38">
        <f t="shared" si="75"/>
        <v>0</v>
      </c>
      <c r="Q705" s="38">
        <f t="shared" si="76"/>
        <v>0</v>
      </c>
      <c r="R705" s="38">
        <f t="shared" si="77"/>
        <v>0</v>
      </c>
      <c r="S705" s="38">
        <f t="shared" si="78"/>
        <v>0</v>
      </c>
      <c r="T705" s="38">
        <f t="shared" si="79"/>
        <v>0</v>
      </c>
      <c r="U705" s="38">
        <f t="shared" si="80"/>
        <v>0</v>
      </c>
      <c r="V705" s="55"/>
    </row>
    <row r="706" spans="2:22" s="50" customFormat="1" ht="11.25" hidden="1">
      <c r="B706" s="74" t="s">
        <v>460</v>
      </c>
      <c r="C706" s="84"/>
      <c r="D706" s="31"/>
      <c r="E706" s="5"/>
      <c r="F706" s="5"/>
      <c r="G706" s="5"/>
      <c r="H706" s="5"/>
      <c r="I706" s="29"/>
      <c r="J706" s="29"/>
      <c r="K706" s="29"/>
      <c r="L706" s="29"/>
      <c r="M706" s="29"/>
      <c r="N706" s="29"/>
      <c r="O706" s="38">
        <f t="shared" si="74"/>
        <v>0</v>
      </c>
      <c r="P706" s="38">
        <f t="shared" si="75"/>
        <v>0</v>
      </c>
      <c r="Q706" s="38">
        <f t="shared" si="76"/>
        <v>0</v>
      </c>
      <c r="R706" s="38">
        <f t="shared" si="77"/>
        <v>0</v>
      </c>
      <c r="S706" s="38">
        <f t="shared" si="78"/>
        <v>0</v>
      </c>
      <c r="T706" s="38">
        <f t="shared" si="79"/>
        <v>0</v>
      </c>
      <c r="U706" s="38">
        <f t="shared" si="80"/>
        <v>0</v>
      </c>
      <c r="V706" s="55"/>
    </row>
    <row r="707" spans="2:22" s="50" customFormat="1" ht="11.25" hidden="1">
      <c r="B707" s="74" t="s">
        <v>460</v>
      </c>
      <c r="C707" s="84"/>
      <c r="D707" s="31"/>
      <c r="E707" s="5"/>
      <c r="F707" s="5"/>
      <c r="G707" s="5"/>
      <c r="H707" s="5"/>
      <c r="I707" s="29"/>
      <c r="J707" s="29"/>
      <c r="K707" s="29"/>
      <c r="L707" s="29"/>
      <c r="M707" s="29"/>
      <c r="N707" s="29"/>
      <c r="O707" s="38">
        <f t="shared" si="74"/>
        <v>0</v>
      </c>
      <c r="P707" s="38">
        <f t="shared" si="75"/>
        <v>0</v>
      </c>
      <c r="Q707" s="38">
        <f t="shared" si="76"/>
        <v>0</v>
      </c>
      <c r="R707" s="38">
        <f t="shared" si="77"/>
        <v>0</v>
      </c>
      <c r="S707" s="38">
        <f t="shared" si="78"/>
        <v>0</v>
      </c>
      <c r="T707" s="38">
        <f t="shared" si="79"/>
        <v>0</v>
      </c>
      <c r="U707" s="38">
        <f t="shared" si="80"/>
        <v>0</v>
      </c>
      <c r="V707" s="55"/>
    </row>
    <row r="708" spans="2:22" s="50" customFormat="1" ht="11.25" hidden="1">
      <c r="B708" s="74" t="s">
        <v>460</v>
      </c>
      <c r="C708" s="84"/>
      <c r="D708" s="31"/>
      <c r="E708" s="5"/>
      <c r="F708" s="5"/>
      <c r="G708" s="5"/>
      <c r="H708" s="5"/>
      <c r="I708" s="29"/>
      <c r="J708" s="29"/>
      <c r="K708" s="29"/>
      <c r="L708" s="29"/>
      <c r="M708" s="29"/>
      <c r="N708" s="29"/>
      <c r="O708" s="38">
        <f t="shared" si="74"/>
        <v>0</v>
      </c>
      <c r="P708" s="38">
        <f t="shared" si="75"/>
        <v>0</v>
      </c>
      <c r="Q708" s="38">
        <f t="shared" si="76"/>
        <v>0</v>
      </c>
      <c r="R708" s="38">
        <f t="shared" si="77"/>
        <v>0</v>
      </c>
      <c r="S708" s="38">
        <f t="shared" si="78"/>
        <v>0</v>
      </c>
      <c r="T708" s="38">
        <f t="shared" si="79"/>
        <v>0</v>
      </c>
      <c r="U708" s="38">
        <f t="shared" si="80"/>
        <v>0</v>
      </c>
      <c r="V708" s="55"/>
    </row>
    <row r="709" spans="2:22" s="50" customFormat="1" ht="11.25" hidden="1">
      <c r="B709" s="74" t="s">
        <v>460</v>
      </c>
      <c r="C709" s="84"/>
      <c r="D709" s="31"/>
      <c r="E709" s="5"/>
      <c r="F709" s="5"/>
      <c r="G709" s="5"/>
      <c r="H709" s="5"/>
      <c r="I709" s="29"/>
      <c r="J709" s="29"/>
      <c r="K709" s="29"/>
      <c r="L709" s="29"/>
      <c r="M709" s="29"/>
      <c r="N709" s="29"/>
      <c r="O709" s="38">
        <f t="shared" si="74"/>
        <v>0</v>
      </c>
      <c r="P709" s="38">
        <f t="shared" si="75"/>
        <v>0</v>
      </c>
      <c r="Q709" s="38">
        <f t="shared" si="76"/>
        <v>0</v>
      </c>
      <c r="R709" s="38">
        <f t="shared" si="77"/>
        <v>0</v>
      </c>
      <c r="S709" s="38">
        <f t="shared" si="78"/>
        <v>0</v>
      </c>
      <c r="T709" s="38">
        <f t="shared" si="79"/>
        <v>0</v>
      </c>
      <c r="U709" s="38">
        <f t="shared" si="80"/>
        <v>0</v>
      </c>
      <c r="V709" s="55"/>
    </row>
    <row r="710" spans="2:22" s="50" customFormat="1" ht="11.25" hidden="1">
      <c r="B710" s="74" t="s">
        <v>460</v>
      </c>
      <c r="C710" s="84"/>
      <c r="D710" s="31"/>
      <c r="E710" s="5"/>
      <c r="F710" s="5"/>
      <c r="G710" s="5"/>
      <c r="H710" s="5"/>
      <c r="I710" s="29"/>
      <c r="J710" s="29"/>
      <c r="K710" s="29"/>
      <c r="L710" s="29"/>
      <c r="M710" s="29"/>
      <c r="N710" s="29"/>
      <c r="O710" s="38">
        <f t="shared" si="74"/>
        <v>0</v>
      </c>
      <c r="P710" s="38">
        <f t="shared" si="75"/>
        <v>0</v>
      </c>
      <c r="Q710" s="38">
        <f t="shared" si="76"/>
        <v>0</v>
      </c>
      <c r="R710" s="38">
        <f t="shared" si="77"/>
        <v>0</v>
      </c>
      <c r="S710" s="38">
        <f t="shared" si="78"/>
        <v>0</v>
      </c>
      <c r="T710" s="38">
        <f t="shared" si="79"/>
        <v>0</v>
      </c>
      <c r="U710" s="38">
        <f t="shared" si="80"/>
        <v>0</v>
      </c>
      <c r="V710" s="55"/>
    </row>
    <row r="711" spans="2:22" s="50" customFormat="1" ht="11.25" hidden="1">
      <c r="B711" s="74" t="s">
        <v>460</v>
      </c>
      <c r="C711" s="84"/>
      <c r="D711" s="31"/>
      <c r="E711" s="5"/>
      <c r="F711" s="5"/>
      <c r="G711" s="5"/>
      <c r="H711" s="5"/>
      <c r="I711" s="29"/>
      <c r="J711" s="29"/>
      <c r="K711" s="29"/>
      <c r="L711" s="29"/>
      <c r="M711" s="29"/>
      <c r="N711" s="29"/>
      <c r="O711" s="38">
        <f t="shared" si="74"/>
        <v>0</v>
      </c>
      <c r="P711" s="38">
        <f t="shared" si="75"/>
        <v>0</v>
      </c>
      <c r="Q711" s="38">
        <f t="shared" si="76"/>
        <v>0</v>
      </c>
      <c r="R711" s="38">
        <f t="shared" si="77"/>
        <v>0</v>
      </c>
      <c r="S711" s="38">
        <f t="shared" si="78"/>
        <v>0</v>
      </c>
      <c r="T711" s="38">
        <f t="shared" si="79"/>
        <v>0</v>
      </c>
      <c r="U711" s="38">
        <f t="shared" si="80"/>
        <v>0</v>
      </c>
      <c r="V711" s="55"/>
    </row>
    <row r="712" spans="2:22" s="50" customFormat="1" ht="11.25" hidden="1">
      <c r="B712" s="74" t="s">
        <v>460</v>
      </c>
      <c r="C712" s="84"/>
      <c r="D712" s="31"/>
      <c r="E712" s="5"/>
      <c r="F712" s="5"/>
      <c r="G712" s="5"/>
      <c r="H712" s="5"/>
      <c r="I712" s="29"/>
      <c r="J712" s="29"/>
      <c r="K712" s="29"/>
      <c r="L712" s="29"/>
      <c r="M712" s="29"/>
      <c r="N712" s="29"/>
      <c r="O712" s="38">
        <f t="shared" si="74"/>
        <v>0</v>
      </c>
      <c r="P712" s="38">
        <f t="shared" si="75"/>
        <v>0</v>
      </c>
      <c r="Q712" s="38">
        <f t="shared" si="76"/>
        <v>0</v>
      </c>
      <c r="R712" s="38">
        <f t="shared" si="77"/>
        <v>0</v>
      </c>
      <c r="S712" s="38">
        <f t="shared" si="78"/>
        <v>0</v>
      </c>
      <c r="T712" s="38">
        <f t="shared" si="79"/>
        <v>0</v>
      </c>
      <c r="U712" s="38">
        <f t="shared" si="80"/>
        <v>0</v>
      </c>
      <c r="V712" s="55"/>
    </row>
    <row r="713" spans="2:22" s="50" customFormat="1" ht="11.25" hidden="1">
      <c r="B713" s="74" t="s">
        <v>460</v>
      </c>
      <c r="C713" s="84"/>
      <c r="D713" s="31"/>
      <c r="E713" s="5"/>
      <c r="F713" s="5"/>
      <c r="G713" s="5"/>
      <c r="H713" s="5"/>
      <c r="I713" s="29"/>
      <c r="J713" s="29"/>
      <c r="K713" s="29"/>
      <c r="L713" s="29"/>
      <c r="M713" s="29"/>
      <c r="N713" s="29"/>
      <c r="O713" s="38">
        <f t="shared" si="74"/>
        <v>0</v>
      </c>
      <c r="P713" s="38">
        <f t="shared" si="75"/>
        <v>0</v>
      </c>
      <c r="Q713" s="38">
        <f t="shared" si="76"/>
        <v>0</v>
      </c>
      <c r="R713" s="38">
        <f t="shared" si="77"/>
        <v>0</v>
      </c>
      <c r="S713" s="38">
        <f t="shared" si="78"/>
        <v>0</v>
      </c>
      <c r="T713" s="38">
        <f t="shared" si="79"/>
        <v>0</v>
      </c>
      <c r="U713" s="38">
        <f t="shared" si="80"/>
        <v>0</v>
      </c>
      <c r="V713" s="55"/>
    </row>
    <row r="714" spans="2:22" s="50" customFormat="1" ht="11.25" hidden="1">
      <c r="B714" s="74" t="s">
        <v>460</v>
      </c>
      <c r="C714" s="84"/>
      <c r="D714" s="31"/>
      <c r="E714" s="5"/>
      <c r="F714" s="5"/>
      <c r="G714" s="5"/>
      <c r="H714" s="5"/>
      <c r="I714" s="29"/>
      <c r="J714" s="29"/>
      <c r="K714" s="29"/>
      <c r="L714" s="29"/>
      <c r="M714" s="29"/>
      <c r="N714" s="29"/>
      <c r="O714" s="38">
        <f t="shared" ref="O714:O777" si="81">SUM(J714:N714)</f>
        <v>0</v>
      </c>
      <c r="P714" s="38">
        <f t="shared" ref="P714:P764" si="82">IF(I714=0,0,J714/I714*10)</f>
        <v>0</v>
      </c>
      <c r="Q714" s="38">
        <f t="shared" ref="Q714:Q777" si="83">IF(I714=0,0,L714/I714*10)</f>
        <v>0</v>
      </c>
      <c r="R714" s="38">
        <f t="shared" ref="R714:R777" si="84">IF(I714=0,0,M714/I714*10)</f>
        <v>0</v>
      </c>
      <c r="S714" s="38">
        <f t="shared" ref="S714:S777" si="85">IF(I714=0,0,N714/I714*10)</f>
        <v>0</v>
      </c>
      <c r="T714" s="38">
        <f t="shared" ref="T714:T777" si="86">IF(I714=0,0,K714/I714*10)</f>
        <v>0</v>
      </c>
      <c r="U714" s="38">
        <f t="shared" ref="U714:U777" si="87">IF(I714=0,0,O714/I714*10)</f>
        <v>0</v>
      </c>
      <c r="V714" s="55"/>
    </row>
    <row r="715" spans="2:22" s="50" customFormat="1" ht="11.25" hidden="1">
      <c r="B715" s="74" t="s">
        <v>460</v>
      </c>
      <c r="C715" s="84"/>
      <c r="D715" s="31"/>
      <c r="E715" s="5"/>
      <c r="F715" s="5"/>
      <c r="G715" s="5"/>
      <c r="H715" s="5"/>
      <c r="I715" s="29"/>
      <c r="J715" s="29"/>
      <c r="K715" s="29"/>
      <c r="L715" s="29"/>
      <c r="M715" s="29"/>
      <c r="N715" s="29"/>
      <c r="O715" s="38">
        <f t="shared" si="81"/>
        <v>0</v>
      </c>
      <c r="P715" s="38">
        <f t="shared" si="82"/>
        <v>0</v>
      </c>
      <c r="Q715" s="38">
        <f t="shared" si="83"/>
        <v>0</v>
      </c>
      <c r="R715" s="38">
        <f t="shared" si="84"/>
        <v>0</v>
      </c>
      <c r="S715" s="38">
        <f t="shared" si="85"/>
        <v>0</v>
      </c>
      <c r="T715" s="38">
        <f t="shared" si="86"/>
        <v>0</v>
      </c>
      <c r="U715" s="38">
        <f t="shared" si="87"/>
        <v>0</v>
      </c>
      <c r="V715" s="55"/>
    </row>
    <row r="716" spans="2:22" s="50" customFormat="1" ht="11.25" hidden="1">
      <c r="B716" s="74" t="s">
        <v>460</v>
      </c>
      <c r="C716" s="84"/>
      <c r="D716" s="31"/>
      <c r="E716" s="5"/>
      <c r="F716" s="5"/>
      <c r="G716" s="5"/>
      <c r="H716" s="5"/>
      <c r="I716" s="29"/>
      <c r="J716" s="29"/>
      <c r="K716" s="29"/>
      <c r="L716" s="29"/>
      <c r="M716" s="29"/>
      <c r="N716" s="29"/>
      <c r="O716" s="38">
        <f t="shared" si="81"/>
        <v>0</v>
      </c>
      <c r="P716" s="38">
        <f t="shared" si="82"/>
        <v>0</v>
      </c>
      <c r="Q716" s="38">
        <f t="shared" si="83"/>
        <v>0</v>
      </c>
      <c r="R716" s="38">
        <f t="shared" si="84"/>
        <v>0</v>
      </c>
      <c r="S716" s="38">
        <f t="shared" si="85"/>
        <v>0</v>
      </c>
      <c r="T716" s="38">
        <f t="shared" si="86"/>
        <v>0</v>
      </c>
      <c r="U716" s="38">
        <f t="shared" si="87"/>
        <v>0</v>
      </c>
      <c r="V716" s="55"/>
    </row>
    <row r="717" spans="2:22" s="50" customFormat="1" ht="11.25" hidden="1">
      <c r="B717" s="74" t="s">
        <v>460</v>
      </c>
      <c r="C717" s="84"/>
      <c r="D717" s="31"/>
      <c r="E717" s="5"/>
      <c r="F717" s="5"/>
      <c r="G717" s="5"/>
      <c r="H717" s="5"/>
      <c r="I717" s="29"/>
      <c r="J717" s="29"/>
      <c r="K717" s="29"/>
      <c r="L717" s="29"/>
      <c r="M717" s="29"/>
      <c r="N717" s="29"/>
      <c r="O717" s="38">
        <f t="shared" si="81"/>
        <v>0</v>
      </c>
      <c r="P717" s="38">
        <f t="shared" si="82"/>
        <v>0</v>
      </c>
      <c r="Q717" s="38">
        <f t="shared" si="83"/>
        <v>0</v>
      </c>
      <c r="R717" s="38">
        <f t="shared" si="84"/>
        <v>0</v>
      </c>
      <c r="S717" s="38">
        <f t="shared" si="85"/>
        <v>0</v>
      </c>
      <c r="T717" s="38">
        <f t="shared" si="86"/>
        <v>0</v>
      </c>
      <c r="U717" s="38">
        <f t="shared" si="87"/>
        <v>0</v>
      </c>
      <c r="V717" s="55"/>
    </row>
    <row r="718" spans="2:22" s="50" customFormat="1" ht="11.25" hidden="1">
      <c r="B718" s="74" t="s">
        <v>460</v>
      </c>
      <c r="C718" s="84"/>
      <c r="D718" s="31"/>
      <c r="E718" s="5"/>
      <c r="F718" s="5"/>
      <c r="G718" s="5"/>
      <c r="H718" s="5"/>
      <c r="I718" s="29"/>
      <c r="J718" s="29"/>
      <c r="K718" s="29"/>
      <c r="L718" s="29"/>
      <c r="M718" s="29"/>
      <c r="N718" s="29"/>
      <c r="O718" s="38">
        <f t="shared" si="81"/>
        <v>0</v>
      </c>
      <c r="P718" s="38">
        <f t="shared" si="82"/>
        <v>0</v>
      </c>
      <c r="Q718" s="38">
        <f t="shared" si="83"/>
        <v>0</v>
      </c>
      <c r="R718" s="38">
        <f t="shared" si="84"/>
        <v>0</v>
      </c>
      <c r="S718" s="38">
        <f t="shared" si="85"/>
        <v>0</v>
      </c>
      <c r="T718" s="38">
        <f t="shared" si="86"/>
        <v>0</v>
      </c>
      <c r="U718" s="38">
        <f t="shared" si="87"/>
        <v>0</v>
      </c>
      <c r="V718" s="55"/>
    </row>
    <row r="719" spans="2:22" s="50" customFormat="1" ht="11.25" hidden="1">
      <c r="B719" s="74" t="s">
        <v>460</v>
      </c>
      <c r="C719" s="84"/>
      <c r="D719" s="31"/>
      <c r="E719" s="5"/>
      <c r="F719" s="5"/>
      <c r="G719" s="5"/>
      <c r="H719" s="5"/>
      <c r="I719" s="29"/>
      <c r="J719" s="29"/>
      <c r="K719" s="29"/>
      <c r="L719" s="29"/>
      <c r="M719" s="29"/>
      <c r="N719" s="29"/>
      <c r="O719" s="38">
        <f t="shared" si="81"/>
        <v>0</v>
      </c>
      <c r="P719" s="38">
        <f t="shared" si="82"/>
        <v>0</v>
      </c>
      <c r="Q719" s="38">
        <f t="shared" si="83"/>
        <v>0</v>
      </c>
      <c r="R719" s="38">
        <f t="shared" si="84"/>
        <v>0</v>
      </c>
      <c r="S719" s="38">
        <f t="shared" si="85"/>
        <v>0</v>
      </c>
      <c r="T719" s="38">
        <f t="shared" si="86"/>
        <v>0</v>
      </c>
      <c r="U719" s="38">
        <f t="shared" si="87"/>
        <v>0</v>
      </c>
      <c r="V719" s="55"/>
    </row>
    <row r="720" spans="2:22" s="50" customFormat="1" ht="11.25" hidden="1">
      <c r="B720" s="74" t="s">
        <v>460</v>
      </c>
      <c r="C720" s="84"/>
      <c r="D720" s="31"/>
      <c r="E720" s="5"/>
      <c r="F720" s="5"/>
      <c r="G720" s="5"/>
      <c r="H720" s="5"/>
      <c r="I720" s="29"/>
      <c r="J720" s="29"/>
      <c r="K720" s="29"/>
      <c r="L720" s="29"/>
      <c r="M720" s="29"/>
      <c r="N720" s="29"/>
      <c r="O720" s="38">
        <f t="shared" si="81"/>
        <v>0</v>
      </c>
      <c r="P720" s="38">
        <f t="shared" si="82"/>
        <v>0</v>
      </c>
      <c r="Q720" s="38">
        <f t="shared" si="83"/>
        <v>0</v>
      </c>
      <c r="R720" s="38">
        <f t="shared" si="84"/>
        <v>0</v>
      </c>
      <c r="S720" s="38">
        <f t="shared" si="85"/>
        <v>0</v>
      </c>
      <c r="T720" s="38">
        <f t="shared" si="86"/>
        <v>0</v>
      </c>
      <c r="U720" s="38">
        <f t="shared" si="87"/>
        <v>0</v>
      </c>
      <c r="V720" s="55"/>
    </row>
    <row r="721" spans="2:22" s="50" customFormat="1" ht="11.25" hidden="1">
      <c r="B721" s="74" t="s">
        <v>460</v>
      </c>
      <c r="C721" s="84"/>
      <c r="D721" s="31"/>
      <c r="E721" s="5"/>
      <c r="F721" s="5"/>
      <c r="G721" s="5"/>
      <c r="H721" s="5"/>
      <c r="I721" s="29"/>
      <c r="J721" s="29"/>
      <c r="K721" s="29"/>
      <c r="L721" s="29"/>
      <c r="M721" s="29"/>
      <c r="N721" s="29"/>
      <c r="O721" s="38">
        <f t="shared" si="81"/>
        <v>0</v>
      </c>
      <c r="P721" s="38">
        <f t="shared" si="82"/>
        <v>0</v>
      </c>
      <c r="Q721" s="38">
        <f t="shared" si="83"/>
        <v>0</v>
      </c>
      <c r="R721" s="38">
        <f t="shared" si="84"/>
        <v>0</v>
      </c>
      <c r="S721" s="38">
        <f t="shared" si="85"/>
        <v>0</v>
      </c>
      <c r="T721" s="38">
        <f t="shared" si="86"/>
        <v>0</v>
      </c>
      <c r="U721" s="38">
        <f t="shared" si="87"/>
        <v>0</v>
      </c>
      <c r="V721" s="55"/>
    </row>
    <row r="722" spans="2:22" s="50" customFormat="1" ht="11.25" hidden="1">
      <c r="B722" s="74" t="s">
        <v>460</v>
      </c>
      <c r="C722" s="84"/>
      <c r="D722" s="31"/>
      <c r="E722" s="5"/>
      <c r="F722" s="5"/>
      <c r="G722" s="5"/>
      <c r="H722" s="5"/>
      <c r="I722" s="29"/>
      <c r="J722" s="29"/>
      <c r="K722" s="29"/>
      <c r="L722" s="29"/>
      <c r="M722" s="29"/>
      <c r="N722" s="29"/>
      <c r="O722" s="38">
        <f t="shared" si="81"/>
        <v>0</v>
      </c>
      <c r="P722" s="38">
        <f t="shared" si="82"/>
        <v>0</v>
      </c>
      <c r="Q722" s="38">
        <f t="shared" si="83"/>
        <v>0</v>
      </c>
      <c r="R722" s="38">
        <f t="shared" si="84"/>
        <v>0</v>
      </c>
      <c r="S722" s="38">
        <f t="shared" si="85"/>
        <v>0</v>
      </c>
      <c r="T722" s="38">
        <f t="shared" si="86"/>
        <v>0</v>
      </c>
      <c r="U722" s="38">
        <f t="shared" si="87"/>
        <v>0</v>
      </c>
      <c r="V722" s="55"/>
    </row>
    <row r="723" spans="2:22" s="50" customFormat="1" ht="11.25" hidden="1">
      <c r="B723" s="74" t="s">
        <v>460</v>
      </c>
      <c r="C723" s="84"/>
      <c r="D723" s="31"/>
      <c r="E723" s="5"/>
      <c r="F723" s="5"/>
      <c r="G723" s="5"/>
      <c r="H723" s="5"/>
      <c r="I723" s="29"/>
      <c r="J723" s="29"/>
      <c r="K723" s="29"/>
      <c r="L723" s="29"/>
      <c r="M723" s="29"/>
      <c r="N723" s="29"/>
      <c r="O723" s="38">
        <f t="shared" si="81"/>
        <v>0</v>
      </c>
      <c r="P723" s="38">
        <f t="shared" si="82"/>
        <v>0</v>
      </c>
      <c r="Q723" s="38">
        <f t="shared" si="83"/>
        <v>0</v>
      </c>
      <c r="R723" s="38">
        <f t="shared" si="84"/>
        <v>0</v>
      </c>
      <c r="S723" s="38">
        <f t="shared" si="85"/>
        <v>0</v>
      </c>
      <c r="T723" s="38">
        <f t="shared" si="86"/>
        <v>0</v>
      </c>
      <c r="U723" s="38">
        <f t="shared" si="87"/>
        <v>0</v>
      </c>
      <c r="V723" s="55"/>
    </row>
    <row r="724" spans="2:22" s="50" customFormat="1" ht="11.25" hidden="1">
      <c r="B724" s="74" t="s">
        <v>460</v>
      </c>
      <c r="C724" s="84"/>
      <c r="D724" s="31"/>
      <c r="E724" s="5"/>
      <c r="F724" s="5"/>
      <c r="G724" s="5"/>
      <c r="H724" s="5"/>
      <c r="I724" s="29"/>
      <c r="J724" s="29"/>
      <c r="K724" s="29"/>
      <c r="L724" s="29"/>
      <c r="M724" s="29"/>
      <c r="N724" s="29"/>
      <c r="O724" s="38">
        <f t="shared" si="81"/>
        <v>0</v>
      </c>
      <c r="P724" s="38">
        <f t="shared" si="82"/>
        <v>0</v>
      </c>
      <c r="Q724" s="38">
        <f t="shared" si="83"/>
        <v>0</v>
      </c>
      <c r="R724" s="38">
        <f t="shared" si="84"/>
        <v>0</v>
      </c>
      <c r="S724" s="38">
        <f t="shared" si="85"/>
        <v>0</v>
      </c>
      <c r="T724" s="38">
        <f t="shared" si="86"/>
        <v>0</v>
      </c>
      <c r="U724" s="38">
        <f t="shared" si="87"/>
        <v>0</v>
      </c>
      <c r="V724" s="55"/>
    </row>
    <row r="725" spans="2:22" s="50" customFormat="1" ht="11.25" hidden="1">
      <c r="B725" s="74" t="s">
        <v>460</v>
      </c>
      <c r="C725" s="84"/>
      <c r="D725" s="31"/>
      <c r="E725" s="5"/>
      <c r="F725" s="5"/>
      <c r="G725" s="5"/>
      <c r="H725" s="5"/>
      <c r="I725" s="29"/>
      <c r="J725" s="29"/>
      <c r="K725" s="29"/>
      <c r="L725" s="29"/>
      <c r="M725" s="29"/>
      <c r="N725" s="29"/>
      <c r="O725" s="38">
        <f t="shared" si="81"/>
        <v>0</v>
      </c>
      <c r="P725" s="38">
        <f t="shared" si="82"/>
        <v>0</v>
      </c>
      <c r="Q725" s="38">
        <f t="shared" si="83"/>
        <v>0</v>
      </c>
      <c r="R725" s="38">
        <f t="shared" si="84"/>
        <v>0</v>
      </c>
      <c r="S725" s="38">
        <f t="shared" si="85"/>
        <v>0</v>
      </c>
      <c r="T725" s="38">
        <f t="shared" si="86"/>
        <v>0</v>
      </c>
      <c r="U725" s="38">
        <f t="shared" si="87"/>
        <v>0</v>
      </c>
      <c r="V725" s="55"/>
    </row>
    <row r="726" spans="2:22" s="50" customFormat="1" ht="11.25" hidden="1">
      <c r="B726" s="74" t="s">
        <v>460</v>
      </c>
      <c r="C726" s="84"/>
      <c r="D726" s="31"/>
      <c r="E726" s="5"/>
      <c r="F726" s="5"/>
      <c r="G726" s="5"/>
      <c r="H726" s="5"/>
      <c r="I726" s="29"/>
      <c r="J726" s="29"/>
      <c r="K726" s="29"/>
      <c r="L726" s="29"/>
      <c r="M726" s="29"/>
      <c r="N726" s="29"/>
      <c r="O726" s="38">
        <f t="shared" si="81"/>
        <v>0</v>
      </c>
      <c r="P726" s="38">
        <f t="shared" si="82"/>
        <v>0</v>
      </c>
      <c r="Q726" s="38">
        <f t="shared" si="83"/>
        <v>0</v>
      </c>
      <c r="R726" s="38">
        <f t="shared" si="84"/>
        <v>0</v>
      </c>
      <c r="S726" s="38">
        <f t="shared" si="85"/>
        <v>0</v>
      </c>
      <c r="T726" s="38">
        <f t="shared" si="86"/>
        <v>0</v>
      </c>
      <c r="U726" s="38">
        <f t="shared" si="87"/>
        <v>0</v>
      </c>
      <c r="V726" s="55"/>
    </row>
    <row r="727" spans="2:22" s="50" customFormat="1" ht="11.25" hidden="1">
      <c r="B727" s="74" t="s">
        <v>460</v>
      </c>
      <c r="C727" s="84"/>
      <c r="D727" s="31"/>
      <c r="E727" s="5"/>
      <c r="F727" s="5"/>
      <c r="G727" s="5"/>
      <c r="H727" s="5"/>
      <c r="I727" s="29"/>
      <c r="J727" s="29"/>
      <c r="K727" s="29"/>
      <c r="L727" s="29"/>
      <c r="M727" s="29"/>
      <c r="N727" s="29"/>
      <c r="O727" s="38">
        <f t="shared" si="81"/>
        <v>0</v>
      </c>
      <c r="P727" s="38">
        <f t="shared" si="82"/>
        <v>0</v>
      </c>
      <c r="Q727" s="38">
        <f t="shared" si="83"/>
        <v>0</v>
      </c>
      <c r="R727" s="38">
        <f t="shared" si="84"/>
        <v>0</v>
      </c>
      <c r="S727" s="38">
        <f t="shared" si="85"/>
        <v>0</v>
      </c>
      <c r="T727" s="38">
        <f t="shared" si="86"/>
        <v>0</v>
      </c>
      <c r="U727" s="38">
        <f t="shared" si="87"/>
        <v>0</v>
      </c>
      <c r="V727" s="55"/>
    </row>
    <row r="728" spans="2:22" s="50" customFormat="1" ht="11.25" hidden="1">
      <c r="B728" s="74" t="s">
        <v>460</v>
      </c>
      <c r="C728" s="84"/>
      <c r="D728" s="31"/>
      <c r="E728" s="5"/>
      <c r="F728" s="5"/>
      <c r="G728" s="5"/>
      <c r="H728" s="5"/>
      <c r="I728" s="29"/>
      <c r="J728" s="29"/>
      <c r="K728" s="29"/>
      <c r="L728" s="29"/>
      <c r="M728" s="29"/>
      <c r="N728" s="29"/>
      <c r="O728" s="38">
        <f t="shared" si="81"/>
        <v>0</v>
      </c>
      <c r="P728" s="38">
        <f t="shared" si="82"/>
        <v>0</v>
      </c>
      <c r="Q728" s="38">
        <f t="shared" si="83"/>
        <v>0</v>
      </c>
      <c r="R728" s="38">
        <f t="shared" si="84"/>
        <v>0</v>
      </c>
      <c r="S728" s="38">
        <f t="shared" si="85"/>
        <v>0</v>
      </c>
      <c r="T728" s="38">
        <f t="shared" si="86"/>
        <v>0</v>
      </c>
      <c r="U728" s="38">
        <f t="shared" si="87"/>
        <v>0</v>
      </c>
      <c r="V728" s="55"/>
    </row>
    <row r="729" spans="2:22" s="50" customFormat="1" ht="11.25" hidden="1">
      <c r="B729" s="74" t="s">
        <v>460</v>
      </c>
      <c r="C729" s="84"/>
      <c r="D729" s="31"/>
      <c r="E729" s="5"/>
      <c r="F729" s="5"/>
      <c r="G729" s="5"/>
      <c r="H729" s="5"/>
      <c r="I729" s="29"/>
      <c r="J729" s="29"/>
      <c r="K729" s="29"/>
      <c r="L729" s="29"/>
      <c r="M729" s="29"/>
      <c r="N729" s="29"/>
      <c r="O729" s="38">
        <f t="shared" si="81"/>
        <v>0</v>
      </c>
      <c r="P729" s="38">
        <f t="shared" si="82"/>
        <v>0</v>
      </c>
      <c r="Q729" s="38">
        <f t="shared" si="83"/>
        <v>0</v>
      </c>
      <c r="R729" s="38">
        <f t="shared" si="84"/>
        <v>0</v>
      </c>
      <c r="S729" s="38">
        <f t="shared" si="85"/>
        <v>0</v>
      </c>
      <c r="T729" s="38">
        <f t="shared" si="86"/>
        <v>0</v>
      </c>
      <c r="U729" s="38">
        <f t="shared" si="87"/>
        <v>0</v>
      </c>
      <c r="V729" s="55"/>
    </row>
    <row r="730" spans="2:22" s="50" customFormat="1" ht="11.25" hidden="1">
      <c r="B730" s="74" t="s">
        <v>460</v>
      </c>
      <c r="C730" s="84"/>
      <c r="D730" s="31"/>
      <c r="E730" s="5"/>
      <c r="F730" s="5"/>
      <c r="G730" s="5"/>
      <c r="H730" s="5"/>
      <c r="I730" s="29"/>
      <c r="J730" s="29"/>
      <c r="K730" s="29"/>
      <c r="L730" s="29"/>
      <c r="M730" s="29"/>
      <c r="N730" s="29"/>
      <c r="O730" s="38">
        <f t="shared" si="81"/>
        <v>0</v>
      </c>
      <c r="P730" s="38">
        <f t="shared" si="82"/>
        <v>0</v>
      </c>
      <c r="Q730" s="38">
        <f t="shared" si="83"/>
        <v>0</v>
      </c>
      <c r="R730" s="38">
        <f t="shared" si="84"/>
        <v>0</v>
      </c>
      <c r="S730" s="38">
        <f t="shared" si="85"/>
        <v>0</v>
      </c>
      <c r="T730" s="38">
        <f t="shared" si="86"/>
        <v>0</v>
      </c>
      <c r="U730" s="38">
        <f t="shared" si="87"/>
        <v>0</v>
      </c>
      <c r="V730" s="55"/>
    </row>
    <row r="731" spans="2:22" s="50" customFormat="1" ht="11.25" hidden="1">
      <c r="B731" s="74" t="s">
        <v>460</v>
      </c>
      <c r="C731" s="84"/>
      <c r="D731" s="31"/>
      <c r="E731" s="5"/>
      <c r="F731" s="5"/>
      <c r="G731" s="5"/>
      <c r="H731" s="5"/>
      <c r="I731" s="29"/>
      <c r="J731" s="29"/>
      <c r="K731" s="29"/>
      <c r="L731" s="29"/>
      <c r="M731" s="29"/>
      <c r="N731" s="29"/>
      <c r="O731" s="38">
        <f t="shared" si="81"/>
        <v>0</v>
      </c>
      <c r="P731" s="38">
        <f t="shared" si="82"/>
        <v>0</v>
      </c>
      <c r="Q731" s="38">
        <f t="shared" si="83"/>
        <v>0</v>
      </c>
      <c r="R731" s="38">
        <f t="shared" si="84"/>
        <v>0</v>
      </c>
      <c r="S731" s="38">
        <f t="shared" si="85"/>
        <v>0</v>
      </c>
      <c r="T731" s="38">
        <f t="shared" si="86"/>
        <v>0</v>
      </c>
      <c r="U731" s="38">
        <f t="shared" si="87"/>
        <v>0</v>
      </c>
      <c r="V731" s="55"/>
    </row>
    <row r="732" spans="2:22" s="50" customFormat="1" ht="11.25" hidden="1">
      <c r="B732" s="74" t="s">
        <v>460</v>
      </c>
      <c r="C732" s="84"/>
      <c r="D732" s="31"/>
      <c r="E732" s="5"/>
      <c r="F732" s="5"/>
      <c r="G732" s="5"/>
      <c r="H732" s="5"/>
      <c r="I732" s="29"/>
      <c r="J732" s="29"/>
      <c r="K732" s="29"/>
      <c r="L732" s="29"/>
      <c r="M732" s="29"/>
      <c r="N732" s="29"/>
      <c r="O732" s="38">
        <f t="shared" si="81"/>
        <v>0</v>
      </c>
      <c r="P732" s="38">
        <f t="shared" si="82"/>
        <v>0</v>
      </c>
      <c r="Q732" s="38">
        <f t="shared" si="83"/>
        <v>0</v>
      </c>
      <c r="R732" s="38">
        <f t="shared" si="84"/>
        <v>0</v>
      </c>
      <c r="S732" s="38">
        <f t="shared" si="85"/>
        <v>0</v>
      </c>
      <c r="T732" s="38">
        <f t="shared" si="86"/>
        <v>0</v>
      </c>
      <c r="U732" s="38">
        <f t="shared" si="87"/>
        <v>0</v>
      </c>
      <c r="V732" s="55"/>
    </row>
    <row r="733" spans="2:22" s="50" customFormat="1" ht="11.25" hidden="1">
      <c r="B733" s="74" t="s">
        <v>460</v>
      </c>
      <c r="C733" s="84"/>
      <c r="D733" s="31"/>
      <c r="E733" s="5"/>
      <c r="F733" s="5"/>
      <c r="G733" s="5"/>
      <c r="H733" s="5"/>
      <c r="I733" s="29"/>
      <c r="J733" s="29"/>
      <c r="K733" s="29"/>
      <c r="L733" s="29"/>
      <c r="M733" s="29"/>
      <c r="N733" s="29"/>
      <c r="O733" s="38">
        <f t="shared" si="81"/>
        <v>0</v>
      </c>
      <c r="P733" s="38">
        <f t="shared" si="82"/>
        <v>0</v>
      </c>
      <c r="Q733" s="38">
        <f t="shared" si="83"/>
        <v>0</v>
      </c>
      <c r="R733" s="38">
        <f t="shared" si="84"/>
        <v>0</v>
      </c>
      <c r="S733" s="38">
        <f t="shared" si="85"/>
        <v>0</v>
      </c>
      <c r="T733" s="38">
        <f t="shared" si="86"/>
        <v>0</v>
      </c>
      <c r="U733" s="38">
        <f t="shared" si="87"/>
        <v>0</v>
      </c>
      <c r="V733" s="55"/>
    </row>
    <row r="734" spans="2:22" s="50" customFormat="1" ht="11.25" hidden="1">
      <c r="B734" s="74" t="s">
        <v>460</v>
      </c>
      <c r="C734" s="84"/>
      <c r="D734" s="31"/>
      <c r="E734" s="5"/>
      <c r="F734" s="5"/>
      <c r="G734" s="5"/>
      <c r="H734" s="5"/>
      <c r="I734" s="29"/>
      <c r="J734" s="29"/>
      <c r="K734" s="29"/>
      <c r="L734" s="29"/>
      <c r="M734" s="29"/>
      <c r="N734" s="29"/>
      <c r="O734" s="38">
        <f t="shared" si="81"/>
        <v>0</v>
      </c>
      <c r="P734" s="38">
        <f t="shared" si="82"/>
        <v>0</v>
      </c>
      <c r="Q734" s="38">
        <f t="shared" si="83"/>
        <v>0</v>
      </c>
      <c r="R734" s="38">
        <f t="shared" si="84"/>
        <v>0</v>
      </c>
      <c r="S734" s="38">
        <f t="shared" si="85"/>
        <v>0</v>
      </c>
      <c r="T734" s="38">
        <f t="shared" si="86"/>
        <v>0</v>
      </c>
      <c r="U734" s="38">
        <f t="shared" si="87"/>
        <v>0</v>
      </c>
      <c r="V734" s="55"/>
    </row>
    <row r="735" spans="2:22" s="50" customFormat="1" ht="11.25" hidden="1">
      <c r="B735" s="74" t="s">
        <v>460</v>
      </c>
      <c r="C735" s="84"/>
      <c r="D735" s="31"/>
      <c r="E735" s="5"/>
      <c r="F735" s="5"/>
      <c r="G735" s="5"/>
      <c r="H735" s="5"/>
      <c r="I735" s="29"/>
      <c r="J735" s="29"/>
      <c r="K735" s="29"/>
      <c r="L735" s="29"/>
      <c r="M735" s="29"/>
      <c r="N735" s="29"/>
      <c r="O735" s="38">
        <f t="shared" si="81"/>
        <v>0</v>
      </c>
      <c r="P735" s="38">
        <f t="shared" si="82"/>
        <v>0</v>
      </c>
      <c r="Q735" s="38">
        <f t="shared" si="83"/>
        <v>0</v>
      </c>
      <c r="R735" s="38">
        <f t="shared" si="84"/>
        <v>0</v>
      </c>
      <c r="S735" s="38">
        <f t="shared" si="85"/>
        <v>0</v>
      </c>
      <c r="T735" s="38">
        <f t="shared" si="86"/>
        <v>0</v>
      </c>
      <c r="U735" s="38">
        <f t="shared" si="87"/>
        <v>0</v>
      </c>
      <c r="V735" s="55"/>
    </row>
    <row r="736" spans="2:22" s="50" customFormat="1" ht="11.25" hidden="1">
      <c r="B736" s="74" t="s">
        <v>460</v>
      </c>
      <c r="C736" s="84"/>
      <c r="D736" s="31"/>
      <c r="E736" s="5"/>
      <c r="F736" s="5"/>
      <c r="G736" s="5"/>
      <c r="H736" s="5"/>
      <c r="I736" s="29"/>
      <c r="J736" s="29"/>
      <c r="K736" s="29"/>
      <c r="L736" s="29"/>
      <c r="M736" s="29"/>
      <c r="N736" s="29"/>
      <c r="O736" s="38">
        <f t="shared" si="81"/>
        <v>0</v>
      </c>
      <c r="P736" s="38">
        <f t="shared" si="82"/>
        <v>0</v>
      </c>
      <c r="Q736" s="38">
        <f t="shared" si="83"/>
        <v>0</v>
      </c>
      <c r="R736" s="38">
        <f t="shared" si="84"/>
        <v>0</v>
      </c>
      <c r="S736" s="38">
        <f t="shared" si="85"/>
        <v>0</v>
      </c>
      <c r="T736" s="38">
        <f t="shared" si="86"/>
        <v>0</v>
      </c>
      <c r="U736" s="38">
        <f t="shared" si="87"/>
        <v>0</v>
      </c>
      <c r="V736" s="55"/>
    </row>
    <row r="737" spans="2:22" s="50" customFormat="1" ht="11.25" hidden="1">
      <c r="B737" s="74" t="s">
        <v>460</v>
      </c>
      <c r="C737" s="84"/>
      <c r="D737" s="31"/>
      <c r="E737" s="5"/>
      <c r="F737" s="5"/>
      <c r="G737" s="5"/>
      <c r="H737" s="5"/>
      <c r="I737" s="29"/>
      <c r="J737" s="29"/>
      <c r="K737" s="29"/>
      <c r="L737" s="29"/>
      <c r="M737" s="29"/>
      <c r="N737" s="29"/>
      <c r="O737" s="38">
        <f t="shared" si="81"/>
        <v>0</v>
      </c>
      <c r="P737" s="38">
        <f t="shared" si="82"/>
        <v>0</v>
      </c>
      <c r="Q737" s="38">
        <f t="shared" si="83"/>
        <v>0</v>
      </c>
      <c r="R737" s="38">
        <f t="shared" si="84"/>
        <v>0</v>
      </c>
      <c r="S737" s="38">
        <f t="shared" si="85"/>
        <v>0</v>
      </c>
      <c r="T737" s="38">
        <f t="shared" si="86"/>
        <v>0</v>
      </c>
      <c r="U737" s="38">
        <f t="shared" si="87"/>
        <v>0</v>
      </c>
      <c r="V737" s="55"/>
    </row>
    <row r="738" spans="2:22" s="50" customFormat="1" ht="11.25" hidden="1">
      <c r="B738" s="74" t="s">
        <v>460</v>
      </c>
      <c r="C738" s="84"/>
      <c r="D738" s="31"/>
      <c r="E738" s="5"/>
      <c r="F738" s="5"/>
      <c r="G738" s="5"/>
      <c r="H738" s="5"/>
      <c r="I738" s="29"/>
      <c r="J738" s="29"/>
      <c r="K738" s="29"/>
      <c r="L738" s="29"/>
      <c r="M738" s="29"/>
      <c r="N738" s="29"/>
      <c r="O738" s="38">
        <f t="shared" si="81"/>
        <v>0</v>
      </c>
      <c r="P738" s="38">
        <f t="shared" si="82"/>
        <v>0</v>
      </c>
      <c r="Q738" s="38">
        <f t="shared" si="83"/>
        <v>0</v>
      </c>
      <c r="R738" s="38">
        <f t="shared" si="84"/>
        <v>0</v>
      </c>
      <c r="S738" s="38">
        <f t="shared" si="85"/>
        <v>0</v>
      </c>
      <c r="T738" s="38">
        <f t="shared" si="86"/>
        <v>0</v>
      </c>
      <c r="U738" s="38">
        <f t="shared" si="87"/>
        <v>0</v>
      </c>
      <c r="V738" s="55"/>
    </row>
    <row r="739" spans="2:22" s="50" customFormat="1" ht="11.25" hidden="1">
      <c r="B739" s="74" t="s">
        <v>460</v>
      </c>
      <c r="C739" s="84"/>
      <c r="D739" s="31"/>
      <c r="E739" s="5"/>
      <c r="F739" s="5"/>
      <c r="G739" s="5"/>
      <c r="H739" s="5"/>
      <c r="I739" s="29"/>
      <c r="J739" s="29"/>
      <c r="K739" s="29"/>
      <c r="L739" s="29"/>
      <c r="M739" s="29"/>
      <c r="N739" s="29"/>
      <c r="O739" s="38">
        <f t="shared" si="81"/>
        <v>0</v>
      </c>
      <c r="P739" s="38">
        <f t="shared" si="82"/>
        <v>0</v>
      </c>
      <c r="Q739" s="38">
        <f t="shared" si="83"/>
        <v>0</v>
      </c>
      <c r="R739" s="38">
        <f t="shared" si="84"/>
        <v>0</v>
      </c>
      <c r="S739" s="38">
        <f t="shared" si="85"/>
        <v>0</v>
      </c>
      <c r="T739" s="38">
        <f t="shared" si="86"/>
        <v>0</v>
      </c>
      <c r="U739" s="38">
        <f t="shared" si="87"/>
        <v>0</v>
      </c>
      <c r="V739" s="55"/>
    </row>
    <row r="740" spans="2:22" s="50" customFormat="1" ht="11.25" hidden="1">
      <c r="B740" s="74" t="s">
        <v>460</v>
      </c>
      <c r="C740" s="84"/>
      <c r="D740" s="31"/>
      <c r="E740" s="5"/>
      <c r="F740" s="5"/>
      <c r="G740" s="5"/>
      <c r="H740" s="5"/>
      <c r="I740" s="29"/>
      <c r="J740" s="29"/>
      <c r="K740" s="29"/>
      <c r="L740" s="29"/>
      <c r="M740" s="29"/>
      <c r="N740" s="29"/>
      <c r="O740" s="38">
        <f t="shared" si="81"/>
        <v>0</v>
      </c>
      <c r="P740" s="38">
        <f t="shared" si="82"/>
        <v>0</v>
      </c>
      <c r="Q740" s="38">
        <f t="shared" si="83"/>
        <v>0</v>
      </c>
      <c r="R740" s="38">
        <f t="shared" si="84"/>
        <v>0</v>
      </c>
      <c r="S740" s="38">
        <f t="shared" si="85"/>
        <v>0</v>
      </c>
      <c r="T740" s="38">
        <f t="shared" si="86"/>
        <v>0</v>
      </c>
      <c r="U740" s="38">
        <f t="shared" si="87"/>
        <v>0</v>
      </c>
      <c r="V740" s="55"/>
    </row>
    <row r="741" spans="2:22" s="50" customFormat="1" ht="11.25" hidden="1">
      <c r="B741" s="74" t="s">
        <v>460</v>
      </c>
      <c r="C741" s="84"/>
      <c r="D741" s="31"/>
      <c r="E741" s="5"/>
      <c r="F741" s="5"/>
      <c r="G741" s="5"/>
      <c r="H741" s="5"/>
      <c r="I741" s="29"/>
      <c r="J741" s="29"/>
      <c r="K741" s="29"/>
      <c r="L741" s="29"/>
      <c r="M741" s="29"/>
      <c r="N741" s="29"/>
      <c r="O741" s="38">
        <f t="shared" si="81"/>
        <v>0</v>
      </c>
      <c r="P741" s="38">
        <f t="shared" si="82"/>
        <v>0</v>
      </c>
      <c r="Q741" s="38">
        <f t="shared" si="83"/>
        <v>0</v>
      </c>
      <c r="R741" s="38">
        <f t="shared" si="84"/>
        <v>0</v>
      </c>
      <c r="S741" s="38">
        <f t="shared" si="85"/>
        <v>0</v>
      </c>
      <c r="T741" s="38">
        <f t="shared" si="86"/>
        <v>0</v>
      </c>
      <c r="U741" s="38">
        <f t="shared" si="87"/>
        <v>0</v>
      </c>
      <c r="V741" s="55"/>
    </row>
    <row r="742" spans="2:22" s="50" customFormat="1" ht="11.25" hidden="1">
      <c r="B742" s="74" t="s">
        <v>460</v>
      </c>
      <c r="C742" s="84"/>
      <c r="D742" s="31"/>
      <c r="E742" s="5"/>
      <c r="F742" s="5"/>
      <c r="G742" s="5"/>
      <c r="H742" s="5"/>
      <c r="I742" s="29"/>
      <c r="J742" s="29"/>
      <c r="K742" s="29"/>
      <c r="L742" s="29"/>
      <c r="M742" s="29"/>
      <c r="N742" s="29"/>
      <c r="O742" s="38">
        <f t="shared" si="81"/>
        <v>0</v>
      </c>
      <c r="P742" s="38">
        <f t="shared" si="82"/>
        <v>0</v>
      </c>
      <c r="Q742" s="38">
        <f t="shared" si="83"/>
        <v>0</v>
      </c>
      <c r="R742" s="38">
        <f t="shared" si="84"/>
        <v>0</v>
      </c>
      <c r="S742" s="38">
        <f t="shared" si="85"/>
        <v>0</v>
      </c>
      <c r="T742" s="38">
        <f t="shared" si="86"/>
        <v>0</v>
      </c>
      <c r="U742" s="38">
        <f t="shared" si="87"/>
        <v>0</v>
      </c>
      <c r="V742" s="55"/>
    </row>
    <row r="743" spans="2:22" s="50" customFormat="1" ht="11.25" hidden="1">
      <c r="B743" s="74" t="s">
        <v>460</v>
      </c>
      <c r="C743" s="84"/>
      <c r="D743" s="31"/>
      <c r="E743" s="5"/>
      <c r="F743" s="5"/>
      <c r="G743" s="5"/>
      <c r="H743" s="5"/>
      <c r="I743" s="29"/>
      <c r="J743" s="29"/>
      <c r="K743" s="29"/>
      <c r="L743" s="29"/>
      <c r="M743" s="29"/>
      <c r="N743" s="29"/>
      <c r="O743" s="38">
        <f t="shared" si="81"/>
        <v>0</v>
      </c>
      <c r="P743" s="38">
        <f t="shared" si="82"/>
        <v>0</v>
      </c>
      <c r="Q743" s="38">
        <f t="shared" si="83"/>
        <v>0</v>
      </c>
      <c r="R743" s="38">
        <f t="shared" si="84"/>
        <v>0</v>
      </c>
      <c r="S743" s="38">
        <f t="shared" si="85"/>
        <v>0</v>
      </c>
      <c r="T743" s="38">
        <f t="shared" si="86"/>
        <v>0</v>
      </c>
      <c r="U743" s="38">
        <f t="shared" si="87"/>
        <v>0</v>
      </c>
      <c r="V743" s="55"/>
    </row>
    <row r="744" spans="2:22" s="50" customFormat="1" ht="11.25" hidden="1">
      <c r="B744" s="74" t="s">
        <v>460</v>
      </c>
      <c r="C744" s="84"/>
      <c r="D744" s="31"/>
      <c r="E744" s="5"/>
      <c r="F744" s="5"/>
      <c r="G744" s="5"/>
      <c r="H744" s="5"/>
      <c r="I744" s="29"/>
      <c r="J744" s="29"/>
      <c r="K744" s="29"/>
      <c r="L744" s="29"/>
      <c r="M744" s="29"/>
      <c r="N744" s="29"/>
      <c r="O744" s="38">
        <f t="shared" si="81"/>
        <v>0</v>
      </c>
      <c r="P744" s="38">
        <f t="shared" si="82"/>
        <v>0</v>
      </c>
      <c r="Q744" s="38">
        <f t="shared" si="83"/>
        <v>0</v>
      </c>
      <c r="R744" s="38">
        <f t="shared" si="84"/>
        <v>0</v>
      </c>
      <c r="S744" s="38">
        <f t="shared" si="85"/>
        <v>0</v>
      </c>
      <c r="T744" s="38">
        <f t="shared" si="86"/>
        <v>0</v>
      </c>
      <c r="U744" s="38">
        <f t="shared" si="87"/>
        <v>0</v>
      </c>
      <c r="V744" s="55"/>
    </row>
    <row r="745" spans="2:22" s="50" customFormat="1" ht="11.25" hidden="1">
      <c r="B745" s="74" t="s">
        <v>460</v>
      </c>
      <c r="C745" s="84"/>
      <c r="D745" s="31"/>
      <c r="E745" s="5"/>
      <c r="F745" s="5"/>
      <c r="G745" s="5"/>
      <c r="H745" s="5"/>
      <c r="I745" s="29"/>
      <c r="J745" s="29"/>
      <c r="K745" s="29"/>
      <c r="L745" s="29"/>
      <c r="M745" s="29"/>
      <c r="N745" s="29"/>
      <c r="O745" s="38">
        <f t="shared" si="81"/>
        <v>0</v>
      </c>
      <c r="P745" s="38">
        <f t="shared" si="82"/>
        <v>0</v>
      </c>
      <c r="Q745" s="38">
        <f t="shared" si="83"/>
        <v>0</v>
      </c>
      <c r="R745" s="38">
        <f t="shared" si="84"/>
        <v>0</v>
      </c>
      <c r="S745" s="38">
        <f t="shared" si="85"/>
        <v>0</v>
      </c>
      <c r="T745" s="38">
        <f t="shared" si="86"/>
        <v>0</v>
      </c>
      <c r="U745" s="38">
        <f t="shared" si="87"/>
        <v>0</v>
      </c>
      <c r="V745" s="55"/>
    </row>
    <row r="746" spans="2:22" s="50" customFormat="1" ht="11.25" hidden="1">
      <c r="B746" s="74" t="s">
        <v>460</v>
      </c>
      <c r="C746" s="84"/>
      <c r="D746" s="31"/>
      <c r="E746" s="5"/>
      <c r="F746" s="5"/>
      <c r="G746" s="5"/>
      <c r="H746" s="5"/>
      <c r="I746" s="29"/>
      <c r="J746" s="29"/>
      <c r="K746" s="29"/>
      <c r="L746" s="29"/>
      <c r="M746" s="29"/>
      <c r="N746" s="29"/>
      <c r="O746" s="38">
        <f t="shared" si="81"/>
        <v>0</v>
      </c>
      <c r="P746" s="38">
        <f t="shared" si="82"/>
        <v>0</v>
      </c>
      <c r="Q746" s="38">
        <f t="shared" si="83"/>
        <v>0</v>
      </c>
      <c r="R746" s="38">
        <f t="shared" si="84"/>
        <v>0</v>
      </c>
      <c r="S746" s="38">
        <f t="shared" si="85"/>
        <v>0</v>
      </c>
      <c r="T746" s="38">
        <f t="shared" si="86"/>
        <v>0</v>
      </c>
      <c r="U746" s="38">
        <f t="shared" si="87"/>
        <v>0</v>
      </c>
      <c r="V746" s="55"/>
    </row>
    <row r="747" spans="2:22" s="50" customFormat="1" ht="11.25" hidden="1">
      <c r="B747" s="74" t="s">
        <v>460</v>
      </c>
      <c r="C747" s="84"/>
      <c r="D747" s="31"/>
      <c r="E747" s="5"/>
      <c r="F747" s="5"/>
      <c r="G747" s="5"/>
      <c r="H747" s="5"/>
      <c r="I747" s="29"/>
      <c r="J747" s="29"/>
      <c r="K747" s="29"/>
      <c r="L747" s="29"/>
      <c r="M747" s="29"/>
      <c r="N747" s="29"/>
      <c r="O747" s="38">
        <f t="shared" si="81"/>
        <v>0</v>
      </c>
      <c r="P747" s="38">
        <f t="shared" si="82"/>
        <v>0</v>
      </c>
      <c r="Q747" s="38">
        <f t="shared" si="83"/>
        <v>0</v>
      </c>
      <c r="R747" s="38">
        <f t="shared" si="84"/>
        <v>0</v>
      </c>
      <c r="S747" s="38">
        <f t="shared" si="85"/>
        <v>0</v>
      </c>
      <c r="T747" s="38">
        <f t="shared" si="86"/>
        <v>0</v>
      </c>
      <c r="U747" s="38">
        <f t="shared" si="87"/>
        <v>0</v>
      </c>
      <c r="V747" s="55"/>
    </row>
    <row r="748" spans="2:22" s="50" customFormat="1" ht="11.25" hidden="1">
      <c r="B748" s="74" t="s">
        <v>460</v>
      </c>
      <c r="C748" s="84"/>
      <c r="D748" s="31"/>
      <c r="E748" s="5"/>
      <c r="F748" s="5"/>
      <c r="G748" s="5"/>
      <c r="H748" s="5"/>
      <c r="I748" s="29"/>
      <c r="J748" s="29"/>
      <c r="K748" s="29"/>
      <c r="L748" s="29"/>
      <c r="M748" s="29"/>
      <c r="N748" s="29"/>
      <c r="O748" s="38">
        <f t="shared" si="81"/>
        <v>0</v>
      </c>
      <c r="P748" s="38">
        <f t="shared" si="82"/>
        <v>0</v>
      </c>
      <c r="Q748" s="38">
        <f t="shared" si="83"/>
        <v>0</v>
      </c>
      <c r="R748" s="38">
        <f t="shared" si="84"/>
        <v>0</v>
      </c>
      <c r="S748" s="38">
        <f t="shared" si="85"/>
        <v>0</v>
      </c>
      <c r="T748" s="38">
        <f t="shared" si="86"/>
        <v>0</v>
      </c>
      <c r="U748" s="38">
        <f t="shared" si="87"/>
        <v>0</v>
      </c>
      <c r="V748" s="55"/>
    </row>
    <row r="749" spans="2:22" s="50" customFormat="1" ht="11.25" hidden="1">
      <c r="B749" s="74" t="s">
        <v>460</v>
      </c>
      <c r="C749" s="84"/>
      <c r="D749" s="31"/>
      <c r="E749" s="5"/>
      <c r="F749" s="5"/>
      <c r="G749" s="5"/>
      <c r="H749" s="5"/>
      <c r="I749" s="29"/>
      <c r="J749" s="29"/>
      <c r="K749" s="29"/>
      <c r="L749" s="29"/>
      <c r="M749" s="29"/>
      <c r="N749" s="29"/>
      <c r="O749" s="38">
        <f t="shared" si="81"/>
        <v>0</v>
      </c>
      <c r="P749" s="38">
        <f t="shared" si="82"/>
        <v>0</v>
      </c>
      <c r="Q749" s="38">
        <f t="shared" si="83"/>
        <v>0</v>
      </c>
      <c r="R749" s="38">
        <f t="shared" si="84"/>
        <v>0</v>
      </c>
      <c r="S749" s="38">
        <f t="shared" si="85"/>
        <v>0</v>
      </c>
      <c r="T749" s="38">
        <f t="shared" si="86"/>
        <v>0</v>
      </c>
      <c r="U749" s="38">
        <f t="shared" si="87"/>
        <v>0</v>
      </c>
      <c r="V749" s="55"/>
    </row>
    <row r="750" spans="2:22" s="50" customFormat="1" ht="11.25" hidden="1">
      <c r="B750" s="74" t="s">
        <v>460</v>
      </c>
      <c r="C750" s="84"/>
      <c r="D750" s="31"/>
      <c r="E750" s="5"/>
      <c r="F750" s="5"/>
      <c r="G750" s="5"/>
      <c r="H750" s="5"/>
      <c r="I750" s="29"/>
      <c r="J750" s="29"/>
      <c r="K750" s="29"/>
      <c r="L750" s="29"/>
      <c r="M750" s="29"/>
      <c r="N750" s="29"/>
      <c r="O750" s="38">
        <f t="shared" si="81"/>
        <v>0</v>
      </c>
      <c r="P750" s="38">
        <f t="shared" si="82"/>
        <v>0</v>
      </c>
      <c r="Q750" s="38">
        <f t="shared" si="83"/>
        <v>0</v>
      </c>
      <c r="R750" s="38">
        <f t="shared" si="84"/>
        <v>0</v>
      </c>
      <c r="S750" s="38">
        <f t="shared" si="85"/>
        <v>0</v>
      </c>
      <c r="T750" s="38">
        <f t="shared" si="86"/>
        <v>0</v>
      </c>
      <c r="U750" s="38">
        <f t="shared" si="87"/>
        <v>0</v>
      </c>
      <c r="V750" s="55"/>
    </row>
    <row r="751" spans="2:22" s="50" customFormat="1" ht="11.25" hidden="1">
      <c r="B751" s="74" t="s">
        <v>460</v>
      </c>
      <c r="C751" s="84"/>
      <c r="D751" s="31"/>
      <c r="E751" s="5"/>
      <c r="F751" s="5"/>
      <c r="G751" s="5"/>
      <c r="H751" s="5"/>
      <c r="I751" s="29"/>
      <c r="J751" s="29"/>
      <c r="K751" s="29"/>
      <c r="L751" s="29"/>
      <c r="M751" s="29"/>
      <c r="N751" s="29"/>
      <c r="O751" s="38">
        <f t="shared" si="81"/>
        <v>0</v>
      </c>
      <c r="P751" s="38">
        <f t="shared" si="82"/>
        <v>0</v>
      </c>
      <c r="Q751" s="38">
        <f t="shared" si="83"/>
        <v>0</v>
      </c>
      <c r="R751" s="38">
        <f t="shared" si="84"/>
        <v>0</v>
      </c>
      <c r="S751" s="38">
        <f t="shared" si="85"/>
        <v>0</v>
      </c>
      <c r="T751" s="38">
        <f t="shared" si="86"/>
        <v>0</v>
      </c>
      <c r="U751" s="38">
        <f t="shared" si="87"/>
        <v>0</v>
      </c>
      <c r="V751" s="55"/>
    </row>
    <row r="752" spans="2:22" s="50" customFormat="1" ht="11.25" hidden="1">
      <c r="B752" s="74" t="s">
        <v>460</v>
      </c>
      <c r="C752" s="84"/>
      <c r="D752" s="31"/>
      <c r="E752" s="5"/>
      <c r="F752" s="5"/>
      <c r="G752" s="5"/>
      <c r="H752" s="5"/>
      <c r="I752" s="29"/>
      <c r="J752" s="29"/>
      <c r="K752" s="29"/>
      <c r="L752" s="29"/>
      <c r="M752" s="29"/>
      <c r="N752" s="29"/>
      <c r="O752" s="38">
        <f t="shared" si="81"/>
        <v>0</v>
      </c>
      <c r="P752" s="38">
        <f t="shared" si="82"/>
        <v>0</v>
      </c>
      <c r="Q752" s="38">
        <f t="shared" si="83"/>
        <v>0</v>
      </c>
      <c r="R752" s="38">
        <f t="shared" si="84"/>
        <v>0</v>
      </c>
      <c r="S752" s="38">
        <f t="shared" si="85"/>
        <v>0</v>
      </c>
      <c r="T752" s="38">
        <f t="shared" si="86"/>
        <v>0</v>
      </c>
      <c r="U752" s="38">
        <f t="shared" si="87"/>
        <v>0</v>
      </c>
      <c r="V752" s="55"/>
    </row>
    <row r="753" spans="2:22" s="50" customFormat="1" ht="11.25" hidden="1">
      <c r="B753" s="74" t="s">
        <v>460</v>
      </c>
      <c r="C753" s="84"/>
      <c r="D753" s="31"/>
      <c r="E753" s="5"/>
      <c r="F753" s="5"/>
      <c r="G753" s="5"/>
      <c r="H753" s="5"/>
      <c r="I753" s="29"/>
      <c r="J753" s="29"/>
      <c r="K753" s="29"/>
      <c r="L753" s="29"/>
      <c r="M753" s="29"/>
      <c r="N753" s="29"/>
      <c r="O753" s="38">
        <f t="shared" si="81"/>
        <v>0</v>
      </c>
      <c r="P753" s="38">
        <f t="shared" si="82"/>
        <v>0</v>
      </c>
      <c r="Q753" s="38">
        <f t="shared" si="83"/>
        <v>0</v>
      </c>
      <c r="R753" s="38">
        <f t="shared" si="84"/>
        <v>0</v>
      </c>
      <c r="S753" s="38">
        <f t="shared" si="85"/>
        <v>0</v>
      </c>
      <c r="T753" s="38">
        <f t="shared" si="86"/>
        <v>0</v>
      </c>
      <c r="U753" s="38">
        <f t="shared" si="87"/>
        <v>0</v>
      </c>
      <c r="V753" s="55"/>
    </row>
    <row r="754" spans="2:22" s="50" customFormat="1" ht="11.25" hidden="1">
      <c r="B754" s="74" t="s">
        <v>460</v>
      </c>
      <c r="C754" s="84"/>
      <c r="D754" s="31"/>
      <c r="E754" s="5"/>
      <c r="F754" s="5"/>
      <c r="G754" s="5"/>
      <c r="H754" s="5"/>
      <c r="I754" s="29"/>
      <c r="J754" s="29"/>
      <c r="K754" s="29"/>
      <c r="L754" s="29"/>
      <c r="M754" s="29"/>
      <c r="N754" s="29"/>
      <c r="O754" s="38">
        <f t="shared" si="81"/>
        <v>0</v>
      </c>
      <c r="P754" s="38">
        <f t="shared" si="82"/>
        <v>0</v>
      </c>
      <c r="Q754" s="38">
        <f t="shared" si="83"/>
        <v>0</v>
      </c>
      <c r="R754" s="38">
        <f t="shared" si="84"/>
        <v>0</v>
      </c>
      <c r="S754" s="38">
        <f t="shared" si="85"/>
        <v>0</v>
      </c>
      <c r="T754" s="38">
        <f t="shared" si="86"/>
        <v>0</v>
      </c>
      <c r="U754" s="38">
        <f t="shared" si="87"/>
        <v>0</v>
      </c>
      <c r="V754" s="55"/>
    </row>
    <row r="755" spans="2:22" s="50" customFormat="1" ht="11.25" hidden="1">
      <c r="B755" s="74" t="s">
        <v>460</v>
      </c>
      <c r="C755" s="84"/>
      <c r="D755" s="31"/>
      <c r="E755" s="5"/>
      <c r="F755" s="5"/>
      <c r="G755" s="5"/>
      <c r="H755" s="5"/>
      <c r="I755" s="29"/>
      <c r="J755" s="29"/>
      <c r="K755" s="29"/>
      <c r="L755" s="29"/>
      <c r="M755" s="29"/>
      <c r="N755" s="29"/>
      <c r="O755" s="38">
        <f t="shared" si="81"/>
        <v>0</v>
      </c>
      <c r="P755" s="38">
        <f t="shared" si="82"/>
        <v>0</v>
      </c>
      <c r="Q755" s="38">
        <f t="shared" si="83"/>
        <v>0</v>
      </c>
      <c r="R755" s="38">
        <f t="shared" si="84"/>
        <v>0</v>
      </c>
      <c r="S755" s="38">
        <f t="shared" si="85"/>
        <v>0</v>
      </c>
      <c r="T755" s="38">
        <f t="shared" si="86"/>
        <v>0</v>
      </c>
      <c r="U755" s="38">
        <f t="shared" si="87"/>
        <v>0</v>
      </c>
      <c r="V755" s="55"/>
    </row>
    <row r="756" spans="2:22" s="50" customFormat="1" ht="11.25" hidden="1">
      <c r="B756" s="74" t="s">
        <v>460</v>
      </c>
      <c r="C756" s="84"/>
      <c r="D756" s="31"/>
      <c r="E756" s="5"/>
      <c r="F756" s="5"/>
      <c r="G756" s="5"/>
      <c r="H756" s="5"/>
      <c r="I756" s="29"/>
      <c r="J756" s="29"/>
      <c r="K756" s="29"/>
      <c r="L756" s="29"/>
      <c r="M756" s="29"/>
      <c r="N756" s="29"/>
      <c r="O756" s="38">
        <f t="shared" si="81"/>
        <v>0</v>
      </c>
      <c r="P756" s="38">
        <f t="shared" si="82"/>
        <v>0</v>
      </c>
      <c r="Q756" s="38">
        <f t="shared" si="83"/>
        <v>0</v>
      </c>
      <c r="R756" s="38">
        <f t="shared" si="84"/>
        <v>0</v>
      </c>
      <c r="S756" s="38">
        <f t="shared" si="85"/>
        <v>0</v>
      </c>
      <c r="T756" s="38">
        <f t="shared" si="86"/>
        <v>0</v>
      </c>
      <c r="U756" s="38">
        <f t="shared" si="87"/>
        <v>0</v>
      </c>
      <c r="V756" s="55"/>
    </row>
    <row r="757" spans="2:22" s="50" customFormat="1" ht="11.25" hidden="1">
      <c r="B757" s="74" t="s">
        <v>460</v>
      </c>
      <c r="C757" s="84"/>
      <c r="D757" s="31"/>
      <c r="E757" s="5"/>
      <c r="F757" s="5"/>
      <c r="G757" s="5"/>
      <c r="H757" s="5"/>
      <c r="I757" s="29"/>
      <c r="J757" s="29"/>
      <c r="K757" s="29"/>
      <c r="L757" s="29"/>
      <c r="M757" s="29"/>
      <c r="N757" s="29"/>
      <c r="O757" s="38">
        <f t="shared" si="81"/>
        <v>0</v>
      </c>
      <c r="P757" s="38">
        <f t="shared" si="82"/>
        <v>0</v>
      </c>
      <c r="Q757" s="38">
        <f t="shared" si="83"/>
        <v>0</v>
      </c>
      <c r="R757" s="38">
        <f t="shared" si="84"/>
        <v>0</v>
      </c>
      <c r="S757" s="38">
        <f t="shared" si="85"/>
        <v>0</v>
      </c>
      <c r="T757" s="38">
        <f t="shared" si="86"/>
        <v>0</v>
      </c>
      <c r="U757" s="38">
        <f t="shared" si="87"/>
        <v>0</v>
      </c>
      <c r="V757" s="55"/>
    </row>
    <row r="758" spans="2:22" s="50" customFormat="1" ht="11.25" hidden="1">
      <c r="B758" s="74" t="s">
        <v>460</v>
      </c>
      <c r="C758" s="84"/>
      <c r="D758" s="31"/>
      <c r="E758" s="5"/>
      <c r="F758" s="5"/>
      <c r="G758" s="5"/>
      <c r="H758" s="5"/>
      <c r="I758" s="29"/>
      <c r="J758" s="29"/>
      <c r="K758" s="29"/>
      <c r="L758" s="29"/>
      <c r="M758" s="29"/>
      <c r="N758" s="29"/>
      <c r="O758" s="38">
        <f t="shared" si="81"/>
        <v>0</v>
      </c>
      <c r="P758" s="38">
        <f t="shared" si="82"/>
        <v>0</v>
      </c>
      <c r="Q758" s="38">
        <f t="shared" si="83"/>
        <v>0</v>
      </c>
      <c r="R758" s="38">
        <f t="shared" si="84"/>
        <v>0</v>
      </c>
      <c r="S758" s="38">
        <f t="shared" si="85"/>
        <v>0</v>
      </c>
      <c r="T758" s="38">
        <f t="shared" si="86"/>
        <v>0</v>
      </c>
      <c r="U758" s="38">
        <f t="shared" si="87"/>
        <v>0</v>
      </c>
      <c r="V758" s="55"/>
    </row>
    <row r="759" spans="2:22" s="50" customFormat="1" ht="11.25" hidden="1">
      <c r="B759" s="74" t="s">
        <v>460</v>
      </c>
      <c r="C759" s="84"/>
      <c r="D759" s="31"/>
      <c r="E759" s="5"/>
      <c r="F759" s="5"/>
      <c r="G759" s="5"/>
      <c r="H759" s="5"/>
      <c r="I759" s="29"/>
      <c r="J759" s="29"/>
      <c r="K759" s="29"/>
      <c r="L759" s="29"/>
      <c r="M759" s="29"/>
      <c r="N759" s="29"/>
      <c r="O759" s="38">
        <f t="shared" si="81"/>
        <v>0</v>
      </c>
      <c r="P759" s="38">
        <f t="shared" si="82"/>
        <v>0</v>
      </c>
      <c r="Q759" s="38">
        <f t="shared" si="83"/>
        <v>0</v>
      </c>
      <c r="R759" s="38">
        <f t="shared" si="84"/>
        <v>0</v>
      </c>
      <c r="S759" s="38">
        <f t="shared" si="85"/>
        <v>0</v>
      </c>
      <c r="T759" s="38">
        <f t="shared" si="86"/>
        <v>0</v>
      </c>
      <c r="U759" s="38">
        <f t="shared" si="87"/>
        <v>0</v>
      </c>
      <c r="V759" s="55"/>
    </row>
    <row r="760" spans="2:22" s="50" customFormat="1" ht="11.25" hidden="1">
      <c r="B760" s="74" t="s">
        <v>460</v>
      </c>
      <c r="C760" s="84"/>
      <c r="D760" s="31"/>
      <c r="E760" s="5"/>
      <c r="F760" s="5"/>
      <c r="G760" s="5"/>
      <c r="H760" s="5"/>
      <c r="I760" s="29"/>
      <c r="J760" s="29"/>
      <c r="K760" s="29"/>
      <c r="L760" s="29"/>
      <c r="M760" s="29"/>
      <c r="N760" s="29"/>
      <c r="O760" s="38">
        <f t="shared" si="81"/>
        <v>0</v>
      </c>
      <c r="P760" s="38">
        <f t="shared" si="82"/>
        <v>0</v>
      </c>
      <c r="Q760" s="38">
        <f t="shared" si="83"/>
        <v>0</v>
      </c>
      <c r="R760" s="38">
        <f t="shared" si="84"/>
        <v>0</v>
      </c>
      <c r="S760" s="38">
        <f t="shared" si="85"/>
        <v>0</v>
      </c>
      <c r="T760" s="38">
        <f t="shared" si="86"/>
        <v>0</v>
      </c>
      <c r="U760" s="38">
        <f t="shared" si="87"/>
        <v>0</v>
      </c>
      <c r="V760" s="55"/>
    </row>
    <row r="761" spans="2:22" s="50" customFormat="1" ht="11.25" hidden="1">
      <c r="B761" s="74" t="s">
        <v>460</v>
      </c>
      <c r="C761" s="84"/>
      <c r="D761" s="31"/>
      <c r="E761" s="5"/>
      <c r="F761" s="5"/>
      <c r="G761" s="5"/>
      <c r="H761" s="5"/>
      <c r="I761" s="29"/>
      <c r="J761" s="29"/>
      <c r="K761" s="29"/>
      <c r="L761" s="29"/>
      <c r="M761" s="29"/>
      <c r="N761" s="29"/>
      <c r="O761" s="38">
        <f t="shared" si="81"/>
        <v>0</v>
      </c>
      <c r="P761" s="38">
        <f t="shared" si="82"/>
        <v>0</v>
      </c>
      <c r="Q761" s="38">
        <f t="shared" si="83"/>
        <v>0</v>
      </c>
      <c r="R761" s="38">
        <f t="shared" si="84"/>
        <v>0</v>
      </c>
      <c r="S761" s="38">
        <f t="shared" si="85"/>
        <v>0</v>
      </c>
      <c r="T761" s="38">
        <f t="shared" si="86"/>
        <v>0</v>
      </c>
      <c r="U761" s="38">
        <f t="shared" si="87"/>
        <v>0</v>
      </c>
      <c r="V761" s="55"/>
    </row>
    <row r="762" spans="2:22" s="50" customFormat="1" ht="11.25" hidden="1">
      <c r="B762" s="74" t="s">
        <v>460</v>
      </c>
      <c r="C762" s="84"/>
      <c r="D762" s="31"/>
      <c r="E762" s="5"/>
      <c r="F762" s="5"/>
      <c r="G762" s="5"/>
      <c r="H762" s="5"/>
      <c r="I762" s="29"/>
      <c r="J762" s="29"/>
      <c r="K762" s="29"/>
      <c r="L762" s="29"/>
      <c r="M762" s="29"/>
      <c r="N762" s="29"/>
      <c r="O762" s="38">
        <f t="shared" si="81"/>
        <v>0</v>
      </c>
      <c r="P762" s="38">
        <f t="shared" si="82"/>
        <v>0</v>
      </c>
      <c r="Q762" s="38">
        <f t="shared" si="83"/>
        <v>0</v>
      </c>
      <c r="R762" s="38">
        <f t="shared" si="84"/>
        <v>0</v>
      </c>
      <c r="S762" s="38">
        <f t="shared" si="85"/>
        <v>0</v>
      </c>
      <c r="T762" s="38">
        <f t="shared" si="86"/>
        <v>0</v>
      </c>
      <c r="U762" s="38">
        <f t="shared" si="87"/>
        <v>0</v>
      </c>
      <c r="V762" s="55"/>
    </row>
    <row r="763" spans="2:22" s="50" customFormat="1" ht="11.25">
      <c r="B763" s="74" t="s">
        <v>460</v>
      </c>
      <c r="C763" s="84"/>
      <c r="D763" s="31"/>
      <c r="E763" s="5"/>
      <c r="F763" s="5"/>
      <c r="G763" s="5"/>
      <c r="H763" s="5"/>
      <c r="I763" s="29"/>
      <c r="J763" s="29"/>
      <c r="K763" s="29"/>
      <c r="L763" s="29"/>
      <c r="M763" s="29"/>
      <c r="N763" s="29"/>
      <c r="O763" s="38">
        <f t="shared" si="81"/>
        <v>0</v>
      </c>
      <c r="P763" s="38">
        <f t="shared" si="82"/>
        <v>0</v>
      </c>
      <c r="Q763" s="38">
        <f t="shared" si="83"/>
        <v>0</v>
      </c>
      <c r="R763" s="38">
        <f t="shared" si="84"/>
        <v>0</v>
      </c>
      <c r="S763" s="38">
        <f t="shared" si="85"/>
        <v>0</v>
      </c>
      <c r="T763" s="38">
        <f t="shared" si="86"/>
        <v>0</v>
      </c>
      <c r="U763" s="38">
        <f t="shared" si="87"/>
        <v>0</v>
      </c>
      <c r="V763" s="55"/>
    </row>
    <row r="764" spans="2:22" s="50" customFormat="1" ht="11.25">
      <c r="B764" s="72" t="s">
        <v>461</v>
      </c>
      <c r="C764" s="87"/>
      <c r="D764" s="72"/>
      <c r="E764" s="38">
        <f>SUM(E614:E763)</f>
        <v>0</v>
      </c>
      <c r="F764" s="38"/>
      <c r="G764" s="38">
        <f t="shared" ref="G764:N764" si="88">SUM(G614:G763)</f>
        <v>0</v>
      </c>
      <c r="H764" s="38">
        <f t="shared" si="88"/>
        <v>0</v>
      </c>
      <c r="I764" s="38">
        <f t="shared" si="88"/>
        <v>0</v>
      </c>
      <c r="J764" s="38">
        <f t="shared" si="88"/>
        <v>0</v>
      </c>
      <c r="K764" s="38">
        <f t="shared" si="88"/>
        <v>0</v>
      </c>
      <c r="L764" s="38">
        <f t="shared" si="88"/>
        <v>0</v>
      </c>
      <c r="M764" s="38">
        <f t="shared" si="88"/>
        <v>0</v>
      </c>
      <c r="N764" s="38">
        <f t="shared" si="88"/>
        <v>0</v>
      </c>
      <c r="O764" s="38">
        <f t="shared" si="81"/>
        <v>0</v>
      </c>
      <c r="P764" s="38">
        <f t="shared" si="82"/>
        <v>0</v>
      </c>
      <c r="Q764" s="38">
        <f t="shared" si="83"/>
        <v>0</v>
      </c>
      <c r="R764" s="38">
        <f t="shared" si="84"/>
        <v>0</v>
      </c>
      <c r="S764" s="38">
        <f t="shared" si="85"/>
        <v>0</v>
      </c>
      <c r="T764" s="38">
        <f t="shared" si="86"/>
        <v>0</v>
      </c>
      <c r="U764" s="38">
        <f t="shared" si="87"/>
        <v>0</v>
      </c>
      <c r="V764" s="55"/>
    </row>
    <row r="765" spans="2:22" s="50" customFormat="1" ht="11.25">
      <c r="B765" s="74" t="s">
        <v>462</v>
      </c>
      <c r="C765" s="83"/>
      <c r="D765" s="28"/>
      <c r="E765" s="5"/>
      <c r="F765" s="5"/>
      <c r="G765" s="5"/>
      <c r="H765" s="29"/>
      <c r="I765" s="5">
        <f>H765</f>
        <v>0</v>
      </c>
      <c r="J765" s="29"/>
      <c r="K765" s="29"/>
      <c r="L765" s="22"/>
      <c r="M765" s="22"/>
      <c r="N765" s="22"/>
      <c r="O765" s="38">
        <f t="shared" si="81"/>
        <v>0</v>
      </c>
      <c r="P765" s="38">
        <f>IF(I765=0,0,J766/I765*10)</f>
        <v>0</v>
      </c>
      <c r="Q765" s="38">
        <f t="shared" si="83"/>
        <v>0</v>
      </c>
      <c r="R765" s="38">
        <f t="shared" si="84"/>
        <v>0</v>
      </c>
      <c r="S765" s="38">
        <f t="shared" si="85"/>
        <v>0</v>
      </c>
      <c r="T765" s="38">
        <f t="shared" si="86"/>
        <v>0</v>
      </c>
      <c r="U765" s="38">
        <f t="shared" si="87"/>
        <v>0</v>
      </c>
      <c r="V765" s="55"/>
    </row>
    <row r="766" spans="2:22" s="50" customFormat="1" ht="11.25">
      <c r="B766" s="74" t="s">
        <v>462</v>
      </c>
      <c r="C766" s="83"/>
      <c r="D766" s="28"/>
      <c r="E766" s="5"/>
      <c r="F766" s="5"/>
      <c r="G766" s="5"/>
      <c r="H766" s="29"/>
      <c r="I766" s="5">
        <f>H766</f>
        <v>0</v>
      </c>
      <c r="J766" s="29"/>
      <c r="K766" s="29"/>
      <c r="L766" s="22"/>
      <c r="M766" s="22"/>
      <c r="N766" s="22"/>
      <c r="O766" s="38">
        <f t="shared" si="81"/>
        <v>0</v>
      </c>
      <c r="P766" s="38">
        <f>IF(I766=0,0,J767/I766*10)</f>
        <v>0</v>
      </c>
      <c r="Q766" s="38">
        <f>IF(I766=0,0,L766/I766*10)</f>
        <v>0</v>
      </c>
      <c r="R766" s="38">
        <f>IF(I766=0,0,M766/I766*10)</f>
        <v>0</v>
      </c>
      <c r="S766" s="38">
        <f>IF(I766=0,0,N766/I766*10)</f>
        <v>0</v>
      </c>
      <c r="T766" s="38">
        <f>IF(I766=0,0,K766/I766*10)</f>
        <v>0</v>
      </c>
      <c r="U766" s="38">
        <f t="shared" si="87"/>
        <v>0</v>
      </c>
      <c r="V766" s="55"/>
    </row>
    <row r="767" spans="2:22" s="50" customFormat="1" ht="11.25">
      <c r="B767" s="74" t="s">
        <v>462</v>
      </c>
      <c r="C767" s="82"/>
      <c r="D767" s="28"/>
      <c r="E767" s="5"/>
      <c r="F767" s="5"/>
      <c r="G767" s="5"/>
      <c r="H767" s="5"/>
      <c r="I767" s="5"/>
      <c r="J767" s="29"/>
      <c r="K767" s="29"/>
      <c r="L767" s="22"/>
      <c r="M767" s="22"/>
      <c r="N767" s="22"/>
      <c r="O767" s="38">
        <f t="shared" si="81"/>
        <v>0</v>
      </c>
      <c r="P767" s="38">
        <f t="shared" ref="P767:P830" si="89">IF(I767=0,0,J767/I767*10)</f>
        <v>0</v>
      </c>
      <c r="Q767" s="38">
        <f t="shared" si="83"/>
        <v>0</v>
      </c>
      <c r="R767" s="38">
        <f t="shared" si="84"/>
        <v>0</v>
      </c>
      <c r="S767" s="38">
        <f t="shared" si="85"/>
        <v>0</v>
      </c>
      <c r="T767" s="38">
        <f t="shared" si="86"/>
        <v>0</v>
      </c>
      <c r="U767" s="38">
        <f t="shared" si="87"/>
        <v>0</v>
      </c>
      <c r="V767" s="55"/>
    </row>
    <row r="768" spans="2:22" s="50" customFormat="1" ht="11.25">
      <c r="B768" s="74" t="s">
        <v>462</v>
      </c>
      <c r="C768" s="82"/>
      <c r="D768" s="28"/>
      <c r="E768" s="5"/>
      <c r="F768" s="5"/>
      <c r="G768" s="5"/>
      <c r="H768" s="5"/>
      <c r="I768" s="5"/>
      <c r="J768" s="29"/>
      <c r="K768" s="29"/>
      <c r="L768" s="22"/>
      <c r="M768" s="22"/>
      <c r="N768" s="22"/>
      <c r="O768" s="38">
        <f t="shared" si="81"/>
        <v>0</v>
      </c>
      <c r="P768" s="38">
        <f t="shared" si="89"/>
        <v>0</v>
      </c>
      <c r="Q768" s="38">
        <f t="shared" si="83"/>
        <v>0</v>
      </c>
      <c r="R768" s="38">
        <f t="shared" si="84"/>
        <v>0</v>
      </c>
      <c r="S768" s="38">
        <f t="shared" si="85"/>
        <v>0</v>
      </c>
      <c r="T768" s="38">
        <f t="shared" si="86"/>
        <v>0</v>
      </c>
      <c r="U768" s="38">
        <f t="shared" si="87"/>
        <v>0</v>
      </c>
      <c r="V768" s="55"/>
    </row>
    <row r="769" spans="2:22" s="50" customFormat="1" ht="11.25" hidden="1">
      <c r="B769" s="74" t="s">
        <v>462</v>
      </c>
      <c r="C769" s="82"/>
      <c r="D769" s="28"/>
      <c r="E769" s="5"/>
      <c r="F769" s="5"/>
      <c r="G769" s="5"/>
      <c r="H769" s="5"/>
      <c r="I769" s="5"/>
      <c r="J769" s="29"/>
      <c r="K769" s="29"/>
      <c r="L769" s="22"/>
      <c r="M769" s="22"/>
      <c r="N769" s="22"/>
      <c r="O769" s="38">
        <f t="shared" si="81"/>
        <v>0</v>
      </c>
      <c r="P769" s="38">
        <f t="shared" si="89"/>
        <v>0</v>
      </c>
      <c r="Q769" s="38">
        <f t="shared" si="83"/>
        <v>0</v>
      </c>
      <c r="R769" s="38">
        <f t="shared" si="84"/>
        <v>0</v>
      </c>
      <c r="S769" s="38">
        <f t="shared" si="85"/>
        <v>0</v>
      </c>
      <c r="T769" s="38">
        <f t="shared" si="86"/>
        <v>0</v>
      </c>
      <c r="U769" s="38">
        <f t="shared" si="87"/>
        <v>0</v>
      </c>
      <c r="V769" s="55"/>
    </row>
    <row r="770" spans="2:22" s="50" customFormat="1" ht="11.25" hidden="1">
      <c r="B770" s="74" t="s">
        <v>462</v>
      </c>
      <c r="C770" s="82"/>
      <c r="D770" s="28"/>
      <c r="E770" s="5"/>
      <c r="F770" s="5"/>
      <c r="G770" s="5"/>
      <c r="H770" s="5"/>
      <c r="I770" s="5"/>
      <c r="J770" s="29"/>
      <c r="K770" s="29"/>
      <c r="L770" s="22"/>
      <c r="M770" s="22"/>
      <c r="N770" s="22"/>
      <c r="O770" s="38">
        <f t="shared" si="81"/>
        <v>0</v>
      </c>
      <c r="P770" s="38">
        <f t="shared" si="89"/>
        <v>0</v>
      </c>
      <c r="Q770" s="38">
        <f t="shared" si="83"/>
        <v>0</v>
      </c>
      <c r="R770" s="38">
        <f t="shared" si="84"/>
        <v>0</v>
      </c>
      <c r="S770" s="38">
        <f t="shared" si="85"/>
        <v>0</v>
      </c>
      <c r="T770" s="38">
        <f t="shared" si="86"/>
        <v>0</v>
      </c>
      <c r="U770" s="38">
        <f t="shared" si="87"/>
        <v>0</v>
      </c>
      <c r="V770" s="55"/>
    </row>
    <row r="771" spans="2:22" s="50" customFormat="1" ht="11.25" hidden="1">
      <c r="B771" s="74" t="s">
        <v>462</v>
      </c>
      <c r="C771" s="82"/>
      <c r="D771" s="28"/>
      <c r="E771" s="5"/>
      <c r="F771" s="5"/>
      <c r="G771" s="5"/>
      <c r="H771" s="5"/>
      <c r="I771" s="5"/>
      <c r="J771" s="29"/>
      <c r="K771" s="29"/>
      <c r="L771" s="22"/>
      <c r="M771" s="22"/>
      <c r="N771" s="22"/>
      <c r="O771" s="38">
        <f t="shared" si="81"/>
        <v>0</v>
      </c>
      <c r="P771" s="38">
        <f t="shared" si="89"/>
        <v>0</v>
      </c>
      <c r="Q771" s="38">
        <f t="shared" si="83"/>
        <v>0</v>
      </c>
      <c r="R771" s="38">
        <f t="shared" si="84"/>
        <v>0</v>
      </c>
      <c r="S771" s="38">
        <f t="shared" si="85"/>
        <v>0</v>
      </c>
      <c r="T771" s="38">
        <f t="shared" si="86"/>
        <v>0</v>
      </c>
      <c r="U771" s="38">
        <f t="shared" si="87"/>
        <v>0</v>
      </c>
      <c r="V771" s="55"/>
    </row>
    <row r="772" spans="2:22" s="50" customFormat="1" ht="11.25" hidden="1">
      <c r="B772" s="74" t="s">
        <v>462</v>
      </c>
      <c r="C772" s="82"/>
      <c r="D772" s="28"/>
      <c r="E772" s="5"/>
      <c r="F772" s="5"/>
      <c r="G772" s="5"/>
      <c r="H772" s="5"/>
      <c r="I772" s="5"/>
      <c r="J772" s="29"/>
      <c r="K772" s="29"/>
      <c r="L772" s="22"/>
      <c r="M772" s="22"/>
      <c r="N772" s="22"/>
      <c r="O772" s="38">
        <f t="shared" si="81"/>
        <v>0</v>
      </c>
      <c r="P772" s="38">
        <f t="shared" si="89"/>
        <v>0</v>
      </c>
      <c r="Q772" s="38">
        <f t="shared" si="83"/>
        <v>0</v>
      </c>
      <c r="R772" s="38">
        <f t="shared" si="84"/>
        <v>0</v>
      </c>
      <c r="S772" s="38">
        <f t="shared" si="85"/>
        <v>0</v>
      </c>
      <c r="T772" s="38">
        <f t="shared" si="86"/>
        <v>0</v>
      </c>
      <c r="U772" s="38">
        <f t="shared" si="87"/>
        <v>0</v>
      </c>
      <c r="V772" s="55"/>
    </row>
    <row r="773" spans="2:22" s="50" customFormat="1" ht="11.25" hidden="1">
      <c r="B773" s="74" t="s">
        <v>462</v>
      </c>
      <c r="C773" s="82"/>
      <c r="D773" s="28"/>
      <c r="E773" s="5"/>
      <c r="F773" s="5"/>
      <c r="G773" s="5"/>
      <c r="H773" s="5"/>
      <c r="I773" s="5"/>
      <c r="J773" s="29"/>
      <c r="K773" s="29"/>
      <c r="L773" s="22"/>
      <c r="M773" s="22"/>
      <c r="N773" s="22"/>
      <c r="O773" s="38">
        <f t="shared" si="81"/>
        <v>0</v>
      </c>
      <c r="P773" s="38">
        <f t="shared" si="89"/>
        <v>0</v>
      </c>
      <c r="Q773" s="38">
        <f t="shared" si="83"/>
        <v>0</v>
      </c>
      <c r="R773" s="38">
        <f t="shared" si="84"/>
        <v>0</v>
      </c>
      <c r="S773" s="38">
        <f t="shared" si="85"/>
        <v>0</v>
      </c>
      <c r="T773" s="38">
        <f t="shared" si="86"/>
        <v>0</v>
      </c>
      <c r="U773" s="38">
        <f t="shared" si="87"/>
        <v>0</v>
      </c>
      <c r="V773" s="55"/>
    </row>
    <row r="774" spans="2:22" s="50" customFormat="1" ht="11.25" hidden="1">
      <c r="B774" s="74" t="s">
        <v>462</v>
      </c>
      <c r="C774" s="82"/>
      <c r="D774" s="28"/>
      <c r="E774" s="5"/>
      <c r="F774" s="5"/>
      <c r="G774" s="5"/>
      <c r="H774" s="5"/>
      <c r="I774" s="5"/>
      <c r="J774" s="29"/>
      <c r="K774" s="29"/>
      <c r="L774" s="22"/>
      <c r="M774" s="22"/>
      <c r="N774" s="22"/>
      <c r="O774" s="38">
        <f t="shared" si="81"/>
        <v>0</v>
      </c>
      <c r="P774" s="38">
        <f t="shared" si="89"/>
        <v>0</v>
      </c>
      <c r="Q774" s="38">
        <f t="shared" si="83"/>
        <v>0</v>
      </c>
      <c r="R774" s="38">
        <f t="shared" si="84"/>
        <v>0</v>
      </c>
      <c r="S774" s="38">
        <f t="shared" si="85"/>
        <v>0</v>
      </c>
      <c r="T774" s="38">
        <f t="shared" si="86"/>
        <v>0</v>
      </c>
      <c r="U774" s="38">
        <f t="shared" si="87"/>
        <v>0</v>
      </c>
      <c r="V774" s="55"/>
    </row>
    <row r="775" spans="2:22" s="50" customFormat="1" ht="11.25" hidden="1">
      <c r="B775" s="74" t="s">
        <v>462</v>
      </c>
      <c r="C775" s="84"/>
      <c r="D775" s="31"/>
      <c r="E775" s="5"/>
      <c r="F775" s="5"/>
      <c r="G775" s="5"/>
      <c r="H775" s="5"/>
      <c r="I775" s="29"/>
      <c r="J775" s="29"/>
      <c r="K775" s="29"/>
      <c r="L775" s="29"/>
      <c r="M775" s="29"/>
      <c r="N775" s="29"/>
      <c r="O775" s="38">
        <f t="shared" si="81"/>
        <v>0</v>
      </c>
      <c r="P775" s="38">
        <f t="shared" si="89"/>
        <v>0</v>
      </c>
      <c r="Q775" s="38">
        <f t="shared" si="83"/>
        <v>0</v>
      </c>
      <c r="R775" s="38">
        <f t="shared" si="84"/>
        <v>0</v>
      </c>
      <c r="S775" s="38">
        <f t="shared" si="85"/>
        <v>0</v>
      </c>
      <c r="T775" s="38">
        <f t="shared" si="86"/>
        <v>0</v>
      </c>
      <c r="U775" s="38">
        <f t="shared" si="87"/>
        <v>0</v>
      </c>
      <c r="V775" s="55"/>
    </row>
    <row r="776" spans="2:22" s="50" customFormat="1" ht="11.25" hidden="1">
      <c r="B776" s="74" t="s">
        <v>462</v>
      </c>
      <c r="C776" s="84"/>
      <c r="D776" s="31"/>
      <c r="E776" s="5"/>
      <c r="F776" s="5"/>
      <c r="G776" s="5"/>
      <c r="H776" s="5"/>
      <c r="I776" s="29"/>
      <c r="J776" s="29"/>
      <c r="K776" s="29"/>
      <c r="L776" s="29"/>
      <c r="M776" s="29"/>
      <c r="N776" s="29"/>
      <c r="O776" s="38">
        <f t="shared" si="81"/>
        <v>0</v>
      </c>
      <c r="P776" s="38">
        <f t="shared" si="89"/>
        <v>0</v>
      </c>
      <c r="Q776" s="38">
        <f t="shared" si="83"/>
        <v>0</v>
      </c>
      <c r="R776" s="38">
        <f t="shared" si="84"/>
        <v>0</v>
      </c>
      <c r="S776" s="38">
        <f t="shared" si="85"/>
        <v>0</v>
      </c>
      <c r="T776" s="38">
        <f t="shared" si="86"/>
        <v>0</v>
      </c>
      <c r="U776" s="38">
        <f t="shared" si="87"/>
        <v>0</v>
      </c>
      <c r="V776" s="55"/>
    </row>
    <row r="777" spans="2:22" s="50" customFormat="1" ht="11.25" hidden="1">
      <c r="B777" s="74" t="s">
        <v>462</v>
      </c>
      <c r="C777" s="84"/>
      <c r="D777" s="31"/>
      <c r="E777" s="5"/>
      <c r="F777" s="5"/>
      <c r="G777" s="5"/>
      <c r="H777" s="5"/>
      <c r="I777" s="29"/>
      <c r="J777" s="29"/>
      <c r="K777" s="29"/>
      <c r="L777" s="29"/>
      <c r="M777" s="29"/>
      <c r="N777" s="29"/>
      <c r="O777" s="38">
        <f t="shared" si="81"/>
        <v>0</v>
      </c>
      <c r="P777" s="38">
        <f t="shared" si="89"/>
        <v>0</v>
      </c>
      <c r="Q777" s="38">
        <f t="shared" si="83"/>
        <v>0</v>
      </c>
      <c r="R777" s="38">
        <f t="shared" si="84"/>
        <v>0</v>
      </c>
      <c r="S777" s="38">
        <f t="shared" si="85"/>
        <v>0</v>
      </c>
      <c r="T777" s="38">
        <f t="shared" si="86"/>
        <v>0</v>
      </c>
      <c r="U777" s="38">
        <f t="shared" si="87"/>
        <v>0</v>
      </c>
      <c r="V777" s="55"/>
    </row>
    <row r="778" spans="2:22" s="50" customFormat="1" ht="11.25" hidden="1">
      <c r="B778" s="74" t="s">
        <v>462</v>
      </c>
      <c r="C778" s="84"/>
      <c r="D778" s="31"/>
      <c r="E778" s="5"/>
      <c r="F778" s="5"/>
      <c r="G778" s="5"/>
      <c r="H778" s="5"/>
      <c r="I778" s="29"/>
      <c r="J778" s="29"/>
      <c r="K778" s="29"/>
      <c r="L778" s="29"/>
      <c r="M778" s="29"/>
      <c r="N778" s="29"/>
      <c r="O778" s="38">
        <f t="shared" ref="O778:O841" si="90">SUM(J778:N778)</f>
        <v>0</v>
      </c>
      <c r="P778" s="38">
        <f t="shared" si="89"/>
        <v>0</v>
      </c>
      <c r="Q778" s="38">
        <f t="shared" ref="Q778:Q841" si="91">IF(I778=0,0,L778/I778*10)</f>
        <v>0</v>
      </c>
      <c r="R778" s="38">
        <f t="shared" ref="R778:R841" si="92">IF(I778=0,0,M778/I778*10)</f>
        <v>0</v>
      </c>
      <c r="S778" s="38">
        <f t="shared" ref="S778:S841" si="93">IF(I778=0,0,N778/I778*10)</f>
        <v>0</v>
      </c>
      <c r="T778" s="38">
        <f t="shared" ref="T778:T841" si="94">IF(I778=0,0,K778/I778*10)</f>
        <v>0</v>
      </c>
      <c r="U778" s="38">
        <f t="shared" ref="U778:U841" si="95">IF(I778=0,0,O778/I778*10)</f>
        <v>0</v>
      </c>
      <c r="V778" s="55"/>
    </row>
    <row r="779" spans="2:22" s="50" customFormat="1" ht="11.25" hidden="1">
      <c r="B779" s="74" t="s">
        <v>462</v>
      </c>
      <c r="C779" s="84"/>
      <c r="D779" s="31"/>
      <c r="E779" s="5"/>
      <c r="F779" s="5"/>
      <c r="G779" s="5"/>
      <c r="H779" s="5"/>
      <c r="I779" s="29"/>
      <c r="J779" s="29"/>
      <c r="K779" s="29"/>
      <c r="L779" s="29"/>
      <c r="M779" s="29"/>
      <c r="N779" s="29"/>
      <c r="O779" s="38">
        <f t="shared" si="90"/>
        <v>0</v>
      </c>
      <c r="P779" s="38">
        <f t="shared" si="89"/>
        <v>0</v>
      </c>
      <c r="Q779" s="38">
        <f t="shared" si="91"/>
        <v>0</v>
      </c>
      <c r="R779" s="38">
        <f t="shared" si="92"/>
        <v>0</v>
      </c>
      <c r="S779" s="38">
        <f t="shared" si="93"/>
        <v>0</v>
      </c>
      <c r="T779" s="38">
        <f t="shared" si="94"/>
        <v>0</v>
      </c>
      <c r="U779" s="38">
        <f t="shared" si="95"/>
        <v>0</v>
      </c>
      <c r="V779" s="55"/>
    </row>
    <row r="780" spans="2:22" s="50" customFormat="1" ht="11.25" hidden="1">
      <c r="B780" s="74" t="s">
        <v>462</v>
      </c>
      <c r="C780" s="84"/>
      <c r="D780" s="31"/>
      <c r="E780" s="5"/>
      <c r="F780" s="5"/>
      <c r="G780" s="5"/>
      <c r="H780" s="5"/>
      <c r="I780" s="29"/>
      <c r="J780" s="29"/>
      <c r="K780" s="29"/>
      <c r="L780" s="29"/>
      <c r="M780" s="29"/>
      <c r="N780" s="29"/>
      <c r="O780" s="38">
        <f t="shared" si="90"/>
        <v>0</v>
      </c>
      <c r="P780" s="38">
        <f t="shared" si="89"/>
        <v>0</v>
      </c>
      <c r="Q780" s="38">
        <f t="shared" si="91"/>
        <v>0</v>
      </c>
      <c r="R780" s="38">
        <f t="shared" si="92"/>
        <v>0</v>
      </c>
      <c r="S780" s="38">
        <f t="shared" si="93"/>
        <v>0</v>
      </c>
      <c r="T780" s="38">
        <f t="shared" si="94"/>
        <v>0</v>
      </c>
      <c r="U780" s="38">
        <f t="shared" si="95"/>
        <v>0</v>
      </c>
      <c r="V780" s="55"/>
    </row>
    <row r="781" spans="2:22" s="50" customFormat="1" ht="11.25" hidden="1">
      <c r="B781" s="74" t="s">
        <v>462</v>
      </c>
      <c r="C781" s="84"/>
      <c r="D781" s="31"/>
      <c r="E781" s="5"/>
      <c r="F781" s="5"/>
      <c r="G781" s="5"/>
      <c r="H781" s="5"/>
      <c r="I781" s="29"/>
      <c r="J781" s="29"/>
      <c r="K781" s="29"/>
      <c r="L781" s="29"/>
      <c r="M781" s="29"/>
      <c r="N781" s="29"/>
      <c r="O781" s="38">
        <f t="shared" si="90"/>
        <v>0</v>
      </c>
      <c r="P781" s="38">
        <f t="shared" si="89"/>
        <v>0</v>
      </c>
      <c r="Q781" s="38">
        <f t="shared" si="91"/>
        <v>0</v>
      </c>
      <c r="R781" s="38">
        <f t="shared" si="92"/>
        <v>0</v>
      </c>
      <c r="S781" s="38">
        <f t="shared" si="93"/>
        <v>0</v>
      </c>
      <c r="T781" s="38">
        <f t="shared" si="94"/>
        <v>0</v>
      </c>
      <c r="U781" s="38">
        <f t="shared" si="95"/>
        <v>0</v>
      </c>
      <c r="V781" s="55"/>
    </row>
    <row r="782" spans="2:22" s="50" customFormat="1" ht="11.25" hidden="1">
      <c r="B782" s="74" t="s">
        <v>462</v>
      </c>
      <c r="C782" s="84"/>
      <c r="D782" s="31"/>
      <c r="E782" s="5"/>
      <c r="F782" s="5"/>
      <c r="G782" s="5"/>
      <c r="H782" s="5"/>
      <c r="I782" s="29"/>
      <c r="J782" s="29"/>
      <c r="K782" s="29"/>
      <c r="L782" s="29"/>
      <c r="M782" s="29"/>
      <c r="N782" s="29"/>
      <c r="O782" s="38">
        <f t="shared" si="90"/>
        <v>0</v>
      </c>
      <c r="P782" s="38">
        <f t="shared" si="89"/>
        <v>0</v>
      </c>
      <c r="Q782" s="38">
        <f t="shared" si="91"/>
        <v>0</v>
      </c>
      <c r="R782" s="38">
        <f t="shared" si="92"/>
        <v>0</v>
      </c>
      <c r="S782" s="38">
        <f t="shared" si="93"/>
        <v>0</v>
      </c>
      <c r="T782" s="38">
        <f t="shared" si="94"/>
        <v>0</v>
      </c>
      <c r="U782" s="38">
        <f t="shared" si="95"/>
        <v>0</v>
      </c>
      <c r="V782" s="55"/>
    </row>
    <row r="783" spans="2:22" s="50" customFormat="1" ht="11.25" hidden="1">
      <c r="B783" s="74" t="s">
        <v>462</v>
      </c>
      <c r="C783" s="84"/>
      <c r="D783" s="31"/>
      <c r="E783" s="5"/>
      <c r="F783" s="5"/>
      <c r="G783" s="5"/>
      <c r="H783" s="5"/>
      <c r="I783" s="29"/>
      <c r="J783" s="29"/>
      <c r="K783" s="29"/>
      <c r="L783" s="29"/>
      <c r="M783" s="29"/>
      <c r="N783" s="29"/>
      <c r="O783" s="38">
        <f t="shared" si="90"/>
        <v>0</v>
      </c>
      <c r="P783" s="38">
        <f t="shared" si="89"/>
        <v>0</v>
      </c>
      <c r="Q783" s="38">
        <f t="shared" si="91"/>
        <v>0</v>
      </c>
      <c r="R783" s="38">
        <f t="shared" si="92"/>
        <v>0</v>
      </c>
      <c r="S783" s="38">
        <f t="shared" si="93"/>
        <v>0</v>
      </c>
      <c r="T783" s="38">
        <f t="shared" si="94"/>
        <v>0</v>
      </c>
      <c r="U783" s="38">
        <f t="shared" si="95"/>
        <v>0</v>
      </c>
      <c r="V783" s="55"/>
    </row>
    <row r="784" spans="2:22" s="50" customFormat="1" ht="11.25" hidden="1">
      <c r="B784" s="74" t="s">
        <v>462</v>
      </c>
      <c r="C784" s="84"/>
      <c r="D784" s="31"/>
      <c r="E784" s="5"/>
      <c r="F784" s="5"/>
      <c r="G784" s="5"/>
      <c r="H784" s="5"/>
      <c r="I784" s="29"/>
      <c r="J784" s="29"/>
      <c r="K784" s="29"/>
      <c r="L784" s="29"/>
      <c r="M784" s="29"/>
      <c r="N784" s="29"/>
      <c r="O784" s="38">
        <f t="shared" si="90"/>
        <v>0</v>
      </c>
      <c r="P784" s="38">
        <f t="shared" si="89"/>
        <v>0</v>
      </c>
      <c r="Q784" s="38">
        <f t="shared" si="91"/>
        <v>0</v>
      </c>
      <c r="R784" s="38">
        <f t="shared" si="92"/>
        <v>0</v>
      </c>
      <c r="S784" s="38">
        <f t="shared" si="93"/>
        <v>0</v>
      </c>
      <c r="T784" s="38">
        <f t="shared" si="94"/>
        <v>0</v>
      </c>
      <c r="U784" s="38">
        <f t="shared" si="95"/>
        <v>0</v>
      </c>
      <c r="V784" s="55"/>
    </row>
    <row r="785" spans="2:22" s="50" customFormat="1" ht="11.25" hidden="1">
      <c r="B785" s="74" t="s">
        <v>462</v>
      </c>
      <c r="C785" s="84"/>
      <c r="D785" s="31"/>
      <c r="E785" s="5"/>
      <c r="F785" s="5"/>
      <c r="G785" s="5"/>
      <c r="H785" s="5"/>
      <c r="I785" s="29"/>
      <c r="J785" s="29"/>
      <c r="K785" s="29"/>
      <c r="L785" s="29"/>
      <c r="M785" s="29"/>
      <c r="N785" s="29"/>
      <c r="O785" s="38">
        <f t="shared" si="90"/>
        <v>0</v>
      </c>
      <c r="P785" s="38">
        <f t="shared" si="89"/>
        <v>0</v>
      </c>
      <c r="Q785" s="38">
        <f t="shared" si="91"/>
        <v>0</v>
      </c>
      <c r="R785" s="38">
        <f t="shared" si="92"/>
        <v>0</v>
      </c>
      <c r="S785" s="38">
        <f t="shared" si="93"/>
        <v>0</v>
      </c>
      <c r="T785" s="38">
        <f t="shared" si="94"/>
        <v>0</v>
      </c>
      <c r="U785" s="38">
        <f t="shared" si="95"/>
        <v>0</v>
      </c>
      <c r="V785" s="55"/>
    </row>
    <row r="786" spans="2:22" s="50" customFormat="1" ht="11.25" hidden="1">
      <c r="B786" s="74" t="s">
        <v>462</v>
      </c>
      <c r="C786" s="84"/>
      <c r="D786" s="31"/>
      <c r="E786" s="5"/>
      <c r="F786" s="5"/>
      <c r="G786" s="5"/>
      <c r="H786" s="5"/>
      <c r="I786" s="29"/>
      <c r="J786" s="29"/>
      <c r="K786" s="29"/>
      <c r="L786" s="29"/>
      <c r="M786" s="29"/>
      <c r="N786" s="29"/>
      <c r="O786" s="38">
        <f t="shared" si="90"/>
        <v>0</v>
      </c>
      <c r="P786" s="38">
        <f t="shared" si="89"/>
        <v>0</v>
      </c>
      <c r="Q786" s="38">
        <f t="shared" si="91"/>
        <v>0</v>
      </c>
      <c r="R786" s="38">
        <f t="shared" si="92"/>
        <v>0</v>
      </c>
      <c r="S786" s="38">
        <f t="shared" si="93"/>
        <v>0</v>
      </c>
      <c r="T786" s="38">
        <f t="shared" si="94"/>
        <v>0</v>
      </c>
      <c r="U786" s="38">
        <f t="shared" si="95"/>
        <v>0</v>
      </c>
      <c r="V786" s="55"/>
    </row>
    <row r="787" spans="2:22" s="50" customFormat="1" ht="11.25" hidden="1">
      <c r="B787" s="74" t="s">
        <v>462</v>
      </c>
      <c r="C787" s="84"/>
      <c r="D787" s="31"/>
      <c r="E787" s="5"/>
      <c r="F787" s="5"/>
      <c r="G787" s="5"/>
      <c r="H787" s="5"/>
      <c r="I787" s="29"/>
      <c r="J787" s="29"/>
      <c r="K787" s="29"/>
      <c r="L787" s="29"/>
      <c r="M787" s="29"/>
      <c r="N787" s="29"/>
      <c r="O787" s="38">
        <f t="shared" si="90"/>
        <v>0</v>
      </c>
      <c r="P787" s="38">
        <f t="shared" si="89"/>
        <v>0</v>
      </c>
      <c r="Q787" s="38">
        <f t="shared" si="91"/>
        <v>0</v>
      </c>
      <c r="R787" s="38">
        <f t="shared" si="92"/>
        <v>0</v>
      </c>
      <c r="S787" s="38">
        <f t="shared" si="93"/>
        <v>0</v>
      </c>
      <c r="T787" s="38">
        <f t="shared" si="94"/>
        <v>0</v>
      </c>
      <c r="U787" s="38">
        <f t="shared" si="95"/>
        <v>0</v>
      </c>
      <c r="V787" s="55"/>
    </row>
    <row r="788" spans="2:22" s="50" customFormat="1" ht="11.25" hidden="1">
      <c r="B788" s="74" t="s">
        <v>462</v>
      </c>
      <c r="C788" s="84"/>
      <c r="D788" s="31"/>
      <c r="E788" s="5"/>
      <c r="F788" s="5"/>
      <c r="G788" s="5"/>
      <c r="H788" s="5"/>
      <c r="I788" s="29"/>
      <c r="J788" s="29"/>
      <c r="K788" s="29"/>
      <c r="L788" s="29"/>
      <c r="M788" s="29"/>
      <c r="N788" s="29"/>
      <c r="O788" s="38">
        <f t="shared" si="90"/>
        <v>0</v>
      </c>
      <c r="P788" s="38">
        <f t="shared" si="89"/>
        <v>0</v>
      </c>
      <c r="Q788" s="38">
        <f t="shared" si="91"/>
        <v>0</v>
      </c>
      <c r="R788" s="38">
        <f t="shared" si="92"/>
        <v>0</v>
      </c>
      <c r="S788" s="38">
        <f t="shared" si="93"/>
        <v>0</v>
      </c>
      <c r="T788" s="38">
        <f t="shared" si="94"/>
        <v>0</v>
      </c>
      <c r="U788" s="38">
        <f t="shared" si="95"/>
        <v>0</v>
      </c>
      <c r="V788" s="55"/>
    </row>
    <row r="789" spans="2:22" s="50" customFormat="1" ht="11.25" hidden="1">
      <c r="B789" s="74" t="s">
        <v>462</v>
      </c>
      <c r="C789" s="84"/>
      <c r="D789" s="31"/>
      <c r="E789" s="5"/>
      <c r="F789" s="5"/>
      <c r="G789" s="5"/>
      <c r="H789" s="5"/>
      <c r="I789" s="29"/>
      <c r="J789" s="29"/>
      <c r="K789" s="29"/>
      <c r="L789" s="29"/>
      <c r="M789" s="29"/>
      <c r="N789" s="29"/>
      <c r="O789" s="38">
        <f t="shared" si="90"/>
        <v>0</v>
      </c>
      <c r="P789" s="38">
        <f t="shared" si="89"/>
        <v>0</v>
      </c>
      <c r="Q789" s="38">
        <f t="shared" si="91"/>
        <v>0</v>
      </c>
      <c r="R789" s="38">
        <f t="shared" si="92"/>
        <v>0</v>
      </c>
      <c r="S789" s="38">
        <f t="shared" si="93"/>
        <v>0</v>
      </c>
      <c r="T789" s="38">
        <f t="shared" si="94"/>
        <v>0</v>
      </c>
      <c r="U789" s="38">
        <f t="shared" si="95"/>
        <v>0</v>
      </c>
      <c r="V789" s="55"/>
    </row>
    <row r="790" spans="2:22" s="50" customFormat="1" ht="11.25" hidden="1">
      <c r="B790" s="74" t="s">
        <v>462</v>
      </c>
      <c r="C790" s="84"/>
      <c r="D790" s="31"/>
      <c r="E790" s="5"/>
      <c r="F790" s="5"/>
      <c r="G790" s="5"/>
      <c r="H790" s="5"/>
      <c r="I790" s="29"/>
      <c r="J790" s="29"/>
      <c r="K790" s="29"/>
      <c r="L790" s="29"/>
      <c r="M790" s="29"/>
      <c r="N790" s="29"/>
      <c r="O790" s="38">
        <f t="shared" si="90"/>
        <v>0</v>
      </c>
      <c r="P790" s="38">
        <f t="shared" si="89"/>
        <v>0</v>
      </c>
      <c r="Q790" s="38">
        <f t="shared" si="91"/>
        <v>0</v>
      </c>
      <c r="R790" s="38">
        <f t="shared" si="92"/>
        <v>0</v>
      </c>
      <c r="S790" s="38">
        <f t="shared" si="93"/>
        <v>0</v>
      </c>
      <c r="T790" s="38">
        <f t="shared" si="94"/>
        <v>0</v>
      </c>
      <c r="U790" s="38">
        <f t="shared" si="95"/>
        <v>0</v>
      </c>
      <c r="V790" s="55"/>
    </row>
    <row r="791" spans="2:22" s="50" customFormat="1" ht="11.25" hidden="1">
      <c r="B791" s="74" t="s">
        <v>462</v>
      </c>
      <c r="C791" s="84"/>
      <c r="D791" s="31"/>
      <c r="E791" s="5"/>
      <c r="F791" s="5"/>
      <c r="G791" s="5"/>
      <c r="H791" s="5"/>
      <c r="I791" s="29"/>
      <c r="J791" s="29"/>
      <c r="K791" s="29"/>
      <c r="L791" s="29"/>
      <c r="M791" s="29"/>
      <c r="N791" s="29"/>
      <c r="O791" s="38">
        <f t="shared" si="90"/>
        <v>0</v>
      </c>
      <c r="P791" s="38">
        <f t="shared" si="89"/>
        <v>0</v>
      </c>
      <c r="Q791" s="38">
        <f t="shared" si="91"/>
        <v>0</v>
      </c>
      <c r="R791" s="38">
        <f t="shared" si="92"/>
        <v>0</v>
      </c>
      <c r="S791" s="38">
        <f t="shared" si="93"/>
        <v>0</v>
      </c>
      <c r="T791" s="38">
        <f t="shared" si="94"/>
        <v>0</v>
      </c>
      <c r="U791" s="38">
        <f t="shared" si="95"/>
        <v>0</v>
      </c>
      <c r="V791" s="55"/>
    </row>
    <row r="792" spans="2:22" s="50" customFormat="1" ht="11.25" hidden="1">
      <c r="B792" s="74" t="s">
        <v>462</v>
      </c>
      <c r="C792" s="84"/>
      <c r="D792" s="31"/>
      <c r="E792" s="5"/>
      <c r="F792" s="5"/>
      <c r="G792" s="5"/>
      <c r="H792" s="5"/>
      <c r="I792" s="29"/>
      <c r="J792" s="29"/>
      <c r="K792" s="29"/>
      <c r="L792" s="29"/>
      <c r="M792" s="29"/>
      <c r="N792" s="29"/>
      <c r="O792" s="38">
        <f t="shared" si="90"/>
        <v>0</v>
      </c>
      <c r="P792" s="38">
        <f t="shared" si="89"/>
        <v>0</v>
      </c>
      <c r="Q792" s="38">
        <f t="shared" si="91"/>
        <v>0</v>
      </c>
      <c r="R792" s="38">
        <f t="shared" si="92"/>
        <v>0</v>
      </c>
      <c r="S792" s="38">
        <f t="shared" si="93"/>
        <v>0</v>
      </c>
      <c r="T792" s="38">
        <f t="shared" si="94"/>
        <v>0</v>
      </c>
      <c r="U792" s="38">
        <f t="shared" si="95"/>
        <v>0</v>
      </c>
      <c r="V792" s="55"/>
    </row>
    <row r="793" spans="2:22" s="50" customFormat="1" ht="11.25" hidden="1">
      <c r="B793" s="74" t="s">
        <v>462</v>
      </c>
      <c r="C793" s="84"/>
      <c r="D793" s="31"/>
      <c r="E793" s="5"/>
      <c r="F793" s="5"/>
      <c r="G793" s="5"/>
      <c r="H793" s="5"/>
      <c r="I793" s="29"/>
      <c r="J793" s="29"/>
      <c r="K793" s="29"/>
      <c r="L793" s="29"/>
      <c r="M793" s="29"/>
      <c r="N793" s="29"/>
      <c r="O793" s="38">
        <f t="shared" si="90"/>
        <v>0</v>
      </c>
      <c r="P793" s="38">
        <f t="shared" si="89"/>
        <v>0</v>
      </c>
      <c r="Q793" s="38">
        <f t="shared" si="91"/>
        <v>0</v>
      </c>
      <c r="R793" s="38">
        <f t="shared" si="92"/>
        <v>0</v>
      </c>
      <c r="S793" s="38">
        <f t="shared" si="93"/>
        <v>0</v>
      </c>
      <c r="T793" s="38">
        <f t="shared" si="94"/>
        <v>0</v>
      </c>
      <c r="U793" s="38">
        <f t="shared" si="95"/>
        <v>0</v>
      </c>
      <c r="V793" s="55"/>
    </row>
    <row r="794" spans="2:22" s="50" customFormat="1" ht="11.25" hidden="1">
      <c r="B794" s="74" t="s">
        <v>462</v>
      </c>
      <c r="C794" s="84"/>
      <c r="D794" s="31"/>
      <c r="E794" s="5"/>
      <c r="F794" s="5"/>
      <c r="G794" s="5"/>
      <c r="H794" s="5"/>
      <c r="I794" s="29"/>
      <c r="J794" s="29"/>
      <c r="K794" s="29"/>
      <c r="L794" s="29"/>
      <c r="M794" s="29"/>
      <c r="N794" s="29"/>
      <c r="O794" s="38">
        <f t="shared" si="90"/>
        <v>0</v>
      </c>
      <c r="P794" s="38">
        <f t="shared" si="89"/>
        <v>0</v>
      </c>
      <c r="Q794" s="38">
        <f t="shared" si="91"/>
        <v>0</v>
      </c>
      <c r="R794" s="38">
        <f t="shared" si="92"/>
        <v>0</v>
      </c>
      <c r="S794" s="38">
        <f t="shared" si="93"/>
        <v>0</v>
      </c>
      <c r="T794" s="38">
        <f t="shared" si="94"/>
        <v>0</v>
      </c>
      <c r="U794" s="38">
        <f t="shared" si="95"/>
        <v>0</v>
      </c>
      <c r="V794" s="55"/>
    </row>
    <row r="795" spans="2:22" s="50" customFormat="1" ht="11.25" hidden="1">
      <c r="B795" s="74" t="s">
        <v>462</v>
      </c>
      <c r="C795" s="84"/>
      <c r="D795" s="31"/>
      <c r="E795" s="5"/>
      <c r="F795" s="5"/>
      <c r="G795" s="5"/>
      <c r="H795" s="5"/>
      <c r="I795" s="29"/>
      <c r="J795" s="29"/>
      <c r="K795" s="29"/>
      <c r="L795" s="29"/>
      <c r="M795" s="29"/>
      <c r="N795" s="29"/>
      <c r="O795" s="38">
        <f t="shared" si="90"/>
        <v>0</v>
      </c>
      <c r="P795" s="38">
        <f t="shared" si="89"/>
        <v>0</v>
      </c>
      <c r="Q795" s="38">
        <f t="shared" si="91"/>
        <v>0</v>
      </c>
      <c r="R795" s="38">
        <f t="shared" si="92"/>
        <v>0</v>
      </c>
      <c r="S795" s="38">
        <f t="shared" si="93"/>
        <v>0</v>
      </c>
      <c r="T795" s="38">
        <f t="shared" si="94"/>
        <v>0</v>
      </c>
      <c r="U795" s="38">
        <f t="shared" si="95"/>
        <v>0</v>
      </c>
      <c r="V795" s="55"/>
    </row>
    <row r="796" spans="2:22" s="50" customFormat="1" ht="11.25" hidden="1">
      <c r="B796" s="74" t="s">
        <v>462</v>
      </c>
      <c r="C796" s="84"/>
      <c r="D796" s="31"/>
      <c r="E796" s="5"/>
      <c r="F796" s="5"/>
      <c r="G796" s="5"/>
      <c r="H796" s="5"/>
      <c r="I796" s="29"/>
      <c r="J796" s="29"/>
      <c r="K796" s="29"/>
      <c r="L796" s="29"/>
      <c r="M796" s="29"/>
      <c r="N796" s="29"/>
      <c r="O796" s="38">
        <f t="shared" si="90"/>
        <v>0</v>
      </c>
      <c r="P796" s="38">
        <f t="shared" si="89"/>
        <v>0</v>
      </c>
      <c r="Q796" s="38">
        <f t="shared" si="91"/>
        <v>0</v>
      </c>
      <c r="R796" s="38">
        <f t="shared" si="92"/>
        <v>0</v>
      </c>
      <c r="S796" s="38">
        <f t="shared" si="93"/>
        <v>0</v>
      </c>
      <c r="T796" s="38">
        <f t="shared" si="94"/>
        <v>0</v>
      </c>
      <c r="U796" s="38">
        <f t="shared" si="95"/>
        <v>0</v>
      </c>
      <c r="V796" s="55"/>
    </row>
    <row r="797" spans="2:22" s="50" customFormat="1" ht="11.25" hidden="1">
      <c r="B797" s="74" t="s">
        <v>462</v>
      </c>
      <c r="C797" s="84"/>
      <c r="D797" s="31"/>
      <c r="E797" s="5"/>
      <c r="F797" s="5"/>
      <c r="G797" s="5"/>
      <c r="H797" s="5"/>
      <c r="I797" s="29"/>
      <c r="J797" s="29"/>
      <c r="K797" s="29"/>
      <c r="L797" s="29"/>
      <c r="M797" s="29"/>
      <c r="N797" s="29"/>
      <c r="O797" s="38">
        <f t="shared" si="90"/>
        <v>0</v>
      </c>
      <c r="P797" s="38">
        <f t="shared" si="89"/>
        <v>0</v>
      </c>
      <c r="Q797" s="38">
        <f t="shared" si="91"/>
        <v>0</v>
      </c>
      <c r="R797" s="38">
        <f t="shared" si="92"/>
        <v>0</v>
      </c>
      <c r="S797" s="38">
        <f t="shared" si="93"/>
        <v>0</v>
      </c>
      <c r="T797" s="38">
        <f t="shared" si="94"/>
        <v>0</v>
      </c>
      <c r="U797" s="38">
        <f t="shared" si="95"/>
        <v>0</v>
      </c>
      <c r="V797" s="55"/>
    </row>
    <row r="798" spans="2:22" s="50" customFormat="1" ht="11.25" hidden="1">
      <c r="B798" s="74" t="s">
        <v>462</v>
      </c>
      <c r="C798" s="84"/>
      <c r="D798" s="31"/>
      <c r="E798" s="5"/>
      <c r="F798" s="5"/>
      <c r="G798" s="5"/>
      <c r="H798" s="5"/>
      <c r="I798" s="29"/>
      <c r="J798" s="29"/>
      <c r="K798" s="29"/>
      <c r="L798" s="29"/>
      <c r="M798" s="29"/>
      <c r="N798" s="29"/>
      <c r="O798" s="38">
        <f t="shared" si="90"/>
        <v>0</v>
      </c>
      <c r="P798" s="38">
        <f t="shared" si="89"/>
        <v>0</v>
      </c>
      <c r="Q798" s="38">
        <f t="shared" si="91"/>
        <v>0</v>
      </c>
      <c r="R798" s="38">
        <f t="shared" si="92"/>
        <v>0</v>
      </c>
      <c r="S798" s="38">
        <f t="shared" si="93"/>
        <v>0</v>
      </c>
      <c r="T798" s="38">
        <f t="shared" si="94"/>
        <v>0</v>
      </c>
      <c r="U798" s="38">
        <f t="shared" si="95"/>
        <v>0</v>
      </c>
      <c r="V798" s="55"/>
    </row>
    <row r="799" spans="2:22" s="50" customFormat="1" ht="11.25" hidden="1">
      <c r="B799" s="74" t="s">
        <v>462</v>
      </c>
      <c r="C799" s="84"/>
      <c r="D799" s="31"/>
      <c r="E799" s="5"/>
      <c r="F799" s="5"/>
      <c r="G799" s="5"/>
      <c r="H799" s="5"/>
      <c r="I799" s="29"/>
      <c r="J799" s="29"/>
      <c r="K799" s="29"/>
      <c r="L799" s="29"/>
      <c r="M799" s="29"/>
      <c r="N799" s="29"/>
      <c r="O799" s="38">
        <f t="shared" si="90"/>
        <v>0</v>
      </c>
      <c r="P799" s="38">
        <f t="shared" si="89"/>
        <v>0</v>
      </c>
      <c r="Q799" s="38">
        <f t="shared" si="91"/>
        <v>0</v>
      </c>
      <c r="R799" s="38">
        <f t="shared" si="92"/>
        <v>0</v>
      </c>
      <c r="S799" s="38">
        <f t="shared" si="93"/>
        <v>0</v>
      </c>
      <c r="T799" s="38">
        <f t="shared" si="94"/>
        <v>0</v>
      </c>
      <c r="U799" s="38">
        <f t="shared" si="95"/>
        <v>0</v>
      </c>
      <c r="V799" s="55"/>
    </row>
    <row r="800" spans="2:22" s="50" customFormat="1" ht="11.25" hidden="1">
      <c r="B800" s="74" t="s">
        <v>462</v>
      </c>
      <c r="C800" s="84"/>
      <c r="D800" s="31"/>
      <c r="E800" s="5"/>
      <c r="F800" s="5"/>
      <c r="G800" s="5"/>
      <c r="H800" s="5"/>
      <c r="I800" s="29"/>
      <c r="J800" s="29"/>
      <c r="K800" s="29"/>
      <c r="L800" s="29"/>
      <c r="M800" s="29"/>
      <c r="N800" s="29"/>
      <c r="O800" s="38">
        <f t="shared" si="90"/>
        <v>0</v>
      </c>
      <c r="P800" s="38">
        <f t="shared" si="89"/>
        <v>0</v>
      </c>
      <c r="Q800" s="38">
        <f t="shared" si="91"/>
        <v>0</v>
      </c>
      <c r="R800" s="38">
        <f t="shared" si="92"/>
        <v>0</v>
      </c>
      <c r="S800" s="38">
        <f t="shared" si="93"/>
        <v>0</v>
      </c>
      <c r="T800" s="38">
        <f t="shared" si="94"/>
        <v>0</v>
      </c>
      <c r="U800" s="38">
        <f t="shared" si="95"/>
        <v>0</v>
      </c>
      <c r="V800" s="55"/>
    </row>
    <row r="801" spans="2:22" s="50" customFormat="1" ht="11.25" hidden="1">
      <c r="B801" s="74" t="s">
        <v>462</v>
      </c>
      <c r="C801" s="84"/>
      <c r="D801" s="31"/>
      <c r="E801" s="5"/>
      <c r="F801" s="5"/>
      <c r="G801" s="5"/>
      <c r="H801" s="5"/>
      <c r="I801" s="29"/>
      <c r="J801" s="29"/>
      <c r="K801" s="29"/>
      <c r="L801" s="29"/>
      <c r="M801" s="29"/>
      <c r="N801" s="29"/>
      <c r="O801" s="38">
        <f t="shared" si="90"/>
        <v>0</v>
      </c>
      <c r="P801" s="38">
        <f t="shared" si="89"/>
        <v>0</v>
      </c>
      <c r="Q801" s="38">
        <f t="shared" si="91"/>
        <v>0</v>
      </c>
      <c r="R801" s="38">
        <f t="shared" si="92"/>
        <v>0</v>
      </c>
      <c r="S801" s="38">
        <f t="shared" si="93"/>
        <v>0</v>
      </c>
      <c r="T801" s="38">
        <f t="shared" si="94"/>
        <v>0</v>
      </c>
      <c r="U801" s="38">
        <f t="shared" si="95"/>
        <v>0</v>
      </c>
      <c r="V801" s="55"/>
    </row>
    <row r="802" spans="2:22" s="50" customFormat="1" ht="11.25" hidden="1">
      <c r="B802" s="74" t="s">
        <v>462</v>
      </c>
      <c r="C802" s="84"/>
      <c r="D802" s="31"/>
      <c r="E802" s="5"/>
      <c r="F802" s="5"/>
      <c r="G802" s="5"/>
      <c r="H802" s="5"/>
      <c r="I802" s="29"/>
      <c r="J802" s="29"/>
      <c r="K802" s="29"/>
      <c r="L802" s="29"/>
      <c r="M802" s="29"/>
      <c r="N802" s="29"/>
      <c r="O802" s="38">
        <f t="shared" si="90"/>
        <v>0</v>
      </c>
      <c r="P802" s="38">
        <f t="shared" si="89"/>
        <v>0</v>
      </c>
      <c r="Q802" s="38">
        <f t="shared" si="91"/>
        <v>0</v>
      </c>
      <c r="R802" s="38">
        <f t="shared" si="92"/>
        <v>0</v>
      </c>
      <c r="S802" s="38">
        <f t="shared" si="93"/>
        <v>0</v>
      </c>
      <c r="T802" s="38">
        <f t="shared" si="94"/>
        <v>0</v>
      </c>
      <c r="U802" s="38">
        <f t="shared" si="95"/>
        <v>0</v>
      </c>
      <c r="V802" s="55"/>
    </row>
    <row r="803" spans="2:22" s="50" customFormat="1" ht="11.25" hidden="1">
      <c r="B803" s="74" t="s">
        <v>462</v>
      </c>
      <c r="C803" s="84"/>
      <c r="D803" s="31"/>
      <c r="E803" s="5"/>
      <c r="F803" s="5"/>
      <c r="G803" s="5"/>
      <c r="H803" s="5"/>
      <c r="I803" s="29"/>
      <c r="J803" s="29"/>
      <c r="K803" s="29"/>
      <c r="L803" s="29"/>
      <c r="M803" s="29"/>
      <c r="N803" s="29"/>
      <c r="O803" s="38">
        <f t="shared" si="90"/>
        <v>0</v>
      </c>
      <c r="P803" s="38">
        <f t="shared" si="89"/>
        <v>0</v>
      </c>
      <c r="Q803" s="38">
        <f t="shared" si="91"/>
        <v>0</v>
      </c>
      <c r="R803" s="38">
        <f t="shared" si="92"/>
        <v>0</v>
      </c>
      <c r="S803" s="38">
        <f t="shared" si="93"/>
        <v>0</v>
      </c>
      <c r="T803" s="38">
        <f t="shared" si="94"/>
        <v>0</v>
      </c>
      <c r="U803" s="38">
        <f t="shared" si="95"/>
        <v>0</v>
      </c>
      <c r="V803" s="55"/>
    </row>
    <row r="804" spans="2:22" s="50" customFormat="1" ht="11.25" hidden="1">
      <c r="B804" s="74" t="s">
        <v>462</v>
      </c>
      <c r="C804" s="84"/>
      <c r="D804" s="31"/>
      <c r="E804" s="5"/>
      <c r="F804" s="5"/>
      <c r="G804" s="5"/>
      <c r="H804" s="5"/>
      <c r="I804" s="29"/>
      <c r="J804" s="29"/>
      <c r="K804" s="29"/>
      <c r="L804" s="29"/>
      <c r="M804" s="29"/>
      <c r="N804" s="29"/>
      <c r="O804" s="38">
        <f t="shared" si="90"/>
        <v>0</v>
      </c>
      <c r="P804" s="38">
        <f t="shared" si="89"/>
        <v>0</v>
      </c>
      <c r="Q804" s="38">
        <f t="shared" si="91"/>
        <v>0</v>
      </c>
      <c r="R804" s="38">
        <f t="shared" si="92"/>
        <v>0</v>
      </c>
      <c r="S804" s="38">
        <f t="shared" si="93"/>
        <v>0</v>
      </c>
      <c r="T804" s="38">
        <f t="shared" si="94"/>
        <v>0</v>
      </c>
      <c r="U804" s="38">
        <f t="shared" si="95"/>
        <v>0</v>
      </c>
      <c r="V804" s="55"/>
    </row>
    <row r="805" spans="2:22" s="50" customFormat="1" ht="11.25" hidden="1">
      <c r="B805" s="74" t="s">
        <v>462</v>
      </c>
      <c r="C805" s="84"/>
      <c r="D805" s="31"/>
      <c r="E805" s="5"/>
      <c r="F805" s="5"/>
      <c r="G805" s="5"/>
      <c r="H805" s="5"/>
      <c r="I805" s="29"/>
      <c r="J805" s="29"/>
      <c r="K805" s="29"/>
      <c r="L805" s="29"/>
      <c r="M805" s="29"/>
      <c r="N805" s="29"/>
      <c r="O805" s="38">
        <f t="shared" si="90"/>
        <v>0</v>
      </c>
      <c r="P805" s="38">
        <f t="shared" si="89"/>
        <v>0</v>
      </c>
      <c r="Q805" s="38">
        <f t="shared" si="91"/>
        <v>0</v>
      </c>
      <c r="R805" s="38">
        <f t="shared" si="92"/>
        <v>0</v>
      </c>
      <c r="S805" s="38">
        <f t="shared" si="93"/>
        <v>0</v>
      </c>
      <c r="T805" s="38">
        <f t="shared" si="94"/>
        <v>0</v>
      </c>
      <c r="U805" s="38">
        <f t="shared" si="95"/>
        <v>0</v>
      </c>
      <c r="V805" s="55"/>
    </row>
    <row r="806" spans="2:22" s="50" customFormat="1" ht="11.25" hidden="1">
      <c r="B806" s="74" t="s">
        <v>462</v>
      </c>
      <c r="C806" s="84"/>
      <c r="D806" s="31"/>
      <c r="E806" s="5"/>
      <c r="F806" s="5"/>
      <c r="G806" s="5"/>
      <c r="H806" s="5"/>
      <c r="I806" s="29"/>
      <c r="J806" s="29"/>
      <c r="K806" s="29"/>
      <c r="L806" s="29"/>
      <c r="M806" s="29"/>
      <c r="N806" s="29"/>
      <c r="O806" s="38">
        <f t="shared" si="90"/>
        <v>0</v>
      </c>
      <c r="P806" s="38">
        <f t="shared" si="89"/>
        <v>0</v>
      </c>
      <c r="Q806" s="38">
        <f t="shared" si="91"/>
        <v>0</v>
      </c>
      <c r="R806" s="38">
        <f t="shared" si="92"/>
        <v>0</v>
      </c>
      <c r="S806" s="38">
        <f t="shared" si="93"/>
        <v>0</v>
      </c>
      <c r="T806" s="38">
        <f t="shared" si="94"/>
        <v>0</v>
      </c>
      <c r="U806" s="38">
        <f t="shared" si="95"/>
        <v>0</v>
      </c>
      <c r="V806" s="55"/>
    </row>
    <row r="807" spans="2:22" s="50" customFormat="1" ht="11.25" hidden="1">
      <c r="B807" s="74" t="s">
        <v>462</v>
      </c>
      <c r="C807" s="84"/>
      <c r="D807" s="31"/>
      <c r="E807" s="5"/>
      <c r="F807" s="5"/>
      <c r="G807" s="5"/>
      <c r="H807" s="5"/>
      <c r="I807" s="29"/>
      <c r="J807" s="29"/>
      <c r="K807" s="29"/>
      <c r="L807" s="29"/>
      <c r="M807" s="29"/>
      <c r="N807" s="29"/>
      <c r="O807" s="38">
        <f t="shared" si="90"/>
        <v>0</v>
      </c>
      <c r="P807" s="38">
        <f t="shared" si="89"/>
        <v>0</v>
      </c>
      <c r="Q807" s="38">
        <f t="shared" si="91"/>
        <v>0</v>
      </c>
      <c r="R807" s="38">
        <f t="shared" si="92"/>
        <v>0</v>
      </c>
      <c r="S807" s="38">
        <f t="shared" si="93"/>
        <v>0</v>
      </c>
      <c r="T807" s="38">
        <f t="shared" si="94"/>
        <v>0</v>
      </c>
      <c r="U807" s="38">
        <f t="shared" si="95"/>
        <v>0</v>
      </c>
      <c r="V807" s="55"/>
    </row>
    <row r="808" spans="2:22" s="50" customFormat="1" ht="11.25" hidden="1">
      <c r="B808" s="74" t="s">
        <v>462</v>
      </c>
      <c r="C808" s="84"/>
      <c r="D808" s="31"/>
      <c r="E808" s="5"/>
      <c r="F808" s="5"/>
      <c r="G808" s="5"/>
      <c r="H808" s="5"/>
      <c r="I808" s="29"/>
      <c r="J808" s="29"/>
      <c r="K808" s="29"/>
      <c r="L808" s="29"/>
      <c r="M808" s="29"/>
      <c r="N808" s="29"/>
      <c r="O808" s="38">
        <f t="shared" si="90"/>
        <v>0</v>
      </c>
      <c r="P808" s="38">
        <f t="shared" si="89"/>
        <v>0</v>
      </c>
      <c r="Q808" s="38">
        <f t="shared" si="91"/>
        <v>0</v>
      </c>
      <c r="R808" s="38">
        <f t="shared" si="92"/>
        <v>0</v>
      </c>
      <c r="S808" s="38">
        <f t="shared" si="93"/>
        <v>0</v>
      </c>
      <c r="T808" s="38">
        <f t="shared" si="94"/>
        <v>0</v>
      </c>
      <c r="U808" s="38">
        <f t="shared" si="95"/>
        <v>0</v>
      </c>
      <c r="V808" s="55"/>
    </row>
    <row r="809" spans="2:22" s="50" customFormat="1" ht="11.25" hidden="1">
      <c r="B809" s="74" t="s">
        <v>462</v>
      </c>
      <c r="C809" s="84"/>
      <c r="D809" s="31"/>
      <c r="E809" s="5"/>
      <c r="F809" s="5"/>
      <c r="G809" s="5"/>
      <c r="H809" s="5"/>
      <c r="I809" s="29"/>
      <c r="J809" s="29"/>
      <c r="K809" s="29"/>
      <c r="L809" s="29"/>
      <c r="M809" s="29"/>
      <c r="N809" s="29"/>
      <c r="O809" s="38">
        <f t="shared" si="90"/>
        <v>0</v>
      </c>
      <c r="P809" s="38">
        <f t="shared" si="89"/>
        <v>0</v>
      </c>
      <c r="Q809" s="38">
        <f t="shared" si="91"/>
        <v>0</v>
      </c>
      <c r="R809" s="38">
        <f t="shared" si="92"/>
        <v>0</v>
      </c>
      <c r="S809" s="38">
        <f t="shared" si="93"/>
        <v>0</v>
      </c>
      <c r="T809" s="38">
        <f t="shared" si="94"/>
        <v>0</v>
      </c>
      <c r="U809" s="38">
        <f t="shared" si="95"/>
        <v>0</v>
      </c>
      <c r="V809" s="55"/>
    </row>
    <row r="810" spans="2:22" s="50" customFormat="1" ht="11.25" hidden="1">
      <c r="B810" s="74" t="s">
        <v>462</v>
      </c>
      <c r="C810" s="84"/>
      <c r="D810" s="31"/>
      <c r="E810" s="5"/>
      <c r="F810" s="5"/>
      <c r="G810" s="5"/>
      <c r="H810" s="5"/>
      <c r="I810" s="29"/>
      <c r="J810" s="29"/>
      <c r="K810" s="29"/>
      <c r="L810" s="29"/>
      <c r="M810" s="29"/>
      <c r="N810" s="29"/>
      <c r="O810" s="38">
        <f t="shared" si="90"/>
        <v>0</v>
      </c>
      <c r="P810" s="38">
        <f t="shared" si="89"/>
        <v>0</v>
      </c>
      <c r="Q810" s="38">
        <f t="shared" si="91"/>
        <v>0</v>
      </c>
      <c r="R810" s="38">
        <f t="shared" si="92"/>
        <v>0</v>
      </c>
      <c r="S810" s="38">
        <f t="shared" si="93"/>
        <v>0</v>
      </c>
      <c r="T810" s="38">
        <f t="shared" si="94"/>
        <v>0</v>
      </c>
      <c r="U810" s="38">
        <f t="shared" si="95"/>
        <v>0</v>
      </c>
      <c r="V810" s="55"/>
    </row>
    <row r="811" spans="2:22" s="50" customFormat="1" ht="11.25" hidden="1">
      <c r="B811" s="74" t="s">
        <v>462</v>
      </c>
      <c r="C811" s="84"/>
      <c r="D811" s="31"/>
      <c r="E811" s="5"/>
      <c r="F811" s="5"/>
      <c r="G811" s="5"/>
      <c r="H811" s="5"/>
      <c r="I811" s="29"/>
      <c r="J811" s="29"/>
      <c r="K811" s="29"/>
      <c r="L811" s="29"/>
      <c r="M811" s="29"/>
      <c r="N811" s="29"/>
      <c r="O811" s="38">
        <f t="shared" si="90"/>
        <v>0</v>
      </c>
      <c r="P811" s="38">
        <f t="shared" si="89"/>
        <v>0</v>
      </c>
      <c r="Q811" s="38">
        <f t="shared" si="91"/>
        <v>0</v>
      </c>
      <c r="R811" s="38">
        <f t="shared" si="92"/>
        <v>0</v>
      </c>
      <c r="S811" s="38">
        <f t="shared" si="93"/>
        <v>0</v>
      </c>
      <c r="T811" s="38">
        <f t="shared" si="94"/>
        <v>0</v>
      </c>
      <c r="U811" s="38">
        <f t="shared" si="95"/>
        <v>0</v>
      </c>
      <c r="V811" s="55"/>
    </row>
    <row r="812" spans="2:22" s="50" customFormat="1" ht="11.25" hidden="1">
      <c r="B812" s="74" t="s">
        <v>462</v>
      </c>
      <c r="C812" s="84"/>
      <c r="D812" s="31"/>
      <c r="E812" s="5"/>
      <c r="F812" s="5"/>
      <c r="G812" s="5"/>
      <c r="H812" s="5"/>
      <c r="I812" s="29"/>
      <c r="J812" s="29"/>
      <c r="K812" s="29"/>
      <c r="L812" s="29"/>
      <c r="M812" s="29"/>
      <c r="N812" s="29"/>
      <c r="O812" s="38">
        <f t="shared" si="90"/>
        <v>0</v>
      </c>
      <c r="P812" s="38">
        <f t="shared" si="89"/>
        <v>0</v>
      </c>
      <c r="Q812" s="38">
        <f t="shared" si="91"/>
        <v>0</v>
      </c>
      <c r="R812" s="38">
        <f t="shared" si="92"/>
        <v>0</v>
      </c>
      <c r="S812" s="38">
        <f t="shared" si="93"/>
        <v>0</v>
      </c>
      <c r="T812" s="38">
        <f t="shared" si="94"/>
        <v>0</v>
      </c>
      <c r="U812" s="38">
        <f t="shared" si="95"/>
        <v>0</v>
      </c>
      <c r="V812" s="55"/>
    </row>
    <row r="813" spans="2:22" s="50" customFormat="1" ht="11.25" hidden="1">
      <c r="B813" s="74" t="s">
        <v>462</v>
      </c>
      <c r="C813" s="84"/>
      <c r="D813" s="31"/>
      <c r="E813" s="5"/>
      <c r="F813" s="5"/>
      <c r="G813" s="5"/>
      <c r="H813" s="5"/>
      <c r="I813" s="29"/>
      <c r="J813" s="29"/>
      <c r="K813" s="29"/>
      <c r="L813" s="29"/>
      <c r="M813" s="29"/>
      <c r="N813" s="29"/>
      <c r="O813" s="38">
        <f t="shared" si="90"/>
        <v>0</v>
      </c>
      <c r="P813" s="38">
        <f t="shared" si="89"/>
        <v>0</v>
      </c>
      <c r="Q813" s="38">
        <f t="shared" si="91"/>
        <v>0</v>
      </c>
      <c r="R813" s="38">
        <f t="shared" si="92"/>
        <v>0</v>
      </c>
      <c r="S813" s="38">
        <f t="shared" si="93"/>
        <v>0</v>
      </c>
      <c r="T813" s="38">
        <f t="shared" si="94"/>
        <v>0</v>
      </c>
      <c r="U813" s="38">
        <f t="shared" si="95"/>
        <v>0</v>
      </c>
      <c r="V813" s="55"/>
    </row>
    <row r="814" spans="2:22" s="50" customFormat="1" ht="11.25" hidden="1">
      <c r="B814" s="74" t="s">
        <v>462</v>
      </c>
      <c r="C814" s="84"/>
      <c r="D814" s="31"/>
      <c r="E814" s="5"/>
      <c r="F814" s="5"/>
      <c r="G814" s="5"/>
      <c r="H814" s="5"/>
      <c r="I814" s="29"/>
      <c r="J814" s="29"/>
      <c r="K814" s="29"/>
      <c r="L814" s="29"/>
      <c r="M814" s="29"/>
      <c r="N814" s="29"/>
      <c r="O814" s="38">
        <f t="shared" si="90"/>
        <v>0</v>
      </c>
      <c r="P814" s="38">
        <f t="shared" si="89"/>
        <v>0</v>
      </c>
      <c r="Q814" s="38">
        <f t="shared" si="91"/>
        <v>0</v>
      </c>
      <c r="R814" s="38">
        <f t="shared" si="92"/>
        <v>0</v>
      </c>
      <c r="S814" s="38">
        <f t="shared" si="93"/>
        <v>0</v>
      </c>
      <c r="T814" s="38">
        <f t="shared" si="94"/>
        <v>0</v>
      </c>
      <c r="U814" s="38">
        <f t="shared" si="95"/>
        <v>0</v>
      </c>
      <c r="V814" s="55"/>
    </row>
    <row r="815" spans="2:22" s="50" customFormat="1" ht="11.25" hidden="1">
      <c r="B815" s="74" t="s">
        <v>462</v>
      </c>
      <c r="C815" s="84"/>
      <c r="D815" s="31"/>
      <c r="E815" s="5"/>
      <c r="F815" s="5"/>
      <c r="G815" s="5"/>
      <c r="H815" s="5"/>
      <c r="I815" s="29"/>
      <c r="J815" s="29"/>
      <c r="K815" s="29"/>
      <c r="L815" s="29"/>
      <c r="M815" s="29"/>
      <c r="N815" s="29"/>
      <c r="O815" s="38">
        <f t="shared" si="90"/>
        <v>0</v>
      </c>
      <c r="P815" s="38">
        <f t="shared" si="89"/>
        <v>0</v>
      </c>
      <c r="Q815" s="38">
        <f t="shared" si="91"/>
        <v>0</v>
      </c>
      <c r="R815" s="38">
        <f t="shared" si="92"/>
        <v>0</v>
      </c>
      <c r="S815" s="38">
        <f t="shared" si="93"/>
        <v>0</v>
      </c>
      <c r="T815" s="38">
        <f t="shared" si="94"/>
        <v>0</v>
      </c>
      <c r="U815" s="38">
        <f t="shared" si="95"/>
        <v>0</v>
      </c>
      <c r="V815" s="55"/>
    </row>
    <row r="816" spans="2:22" s="50" customFormat="1" ht="11.25" hidden="1">
      <c r="B816" s="74" t="s">
        <v>462</v>
      </c>
      <c r="C816" s="84"/>
      <c r="D816" s="31"/>
      <c r="E816" s="5"/>
      <c r="F816" s="5"/>
      <c r="G816" s="5"/>
      <c r="H816" s="5"/>
      <c r="I816" s="29"/>
      <c r="J816" s="29"/>
      <c r="K816" s="29"/>
      <c r="L816" s="29"/>
      <c r="M816" s="29"/>
      <c r="N816" s="29"/>
      <c r="O816" s="38">
        <f t="shared" si="90"/>
        <v>0</v>
      </c>
      <c r="P816" s="38">
        <f t="shared" si="89"/>
        <v>0</v>
      </c>
      <c r="Q816" s="38">
        <f t="shared" si="91"/>
        <v>0</v>
      </c>
      <c r="R816" s="38">
        <f t="shared" si="92"/>
        <v>0</v>
      </c>
      <c r="S816" s="38">
        <f t="shared" si="93"/>
        <v>0</v>
      </c>
      <c r="T816" s="38">
        <f t="shared" si="94"/>
        <v>0</v>
      </c>
      <c r="U816" s="38">
        <f t="shared" si="95"/>
        <v>0</v>
      </c>
      <c r="V816" s="55"/>
    </row>
    <row r="817" spans="2:22" s="50" customFormat="1" ht="11.25" hidden="1">
      <c r="B817" s="74" t="s">
        <v>462</v>
      </c>
      <c r="C817" s="84"/>
      <c r="D817" s="31"/>
      <c r="E817" s="5"/>
      <c r="F817" s="5"/>
      <c r="G817" s="5"/>
      <c r="H817" s="5"/>
      <c r="I817" s="29"/>
      <c r="J817" s="29"/>
      <c r="K817" s="29"/>
      <c r="L817" s="29"/>
      <c r="M817" s="29"/>
      <c r="N817" s="29"/>
      <c r="O817" s="38">
        <f t="shared" si="90"/>
        <v>0</v>
      </c>
      <c r="P817" s="38">
        <f t="shared" si="89"/>
        <v>0</v>
      </c>
      <c r="Q817" s="38">
        <f t="shared" si="91"/>
        <v>0</v>
      </c>
      <c r="R817" s="38">
        <f t="shared" si="92"/>
        <v>0</v>
      </c>
      <c r="S817" s="38">
        <f t="shared" si="93"/>
        <v>0</v>
      </c>
      <c r="T817" s="38">
        <f t="shared" si="94"/>
        <v>0</v>
      </c>
      <c r="U817" s="38">
        <f t="shared" si="95"/>
        <v>0</v>
      </c>
      <c r="V817" s="55"/>
    </row>
    <row r="818" spans="2:22" s="50" customFormat="1" ht="11.25" hidden="1">
      <c r="B818" s="74" t="s">
        <v>462</v>
      </c>
      <c r="C818" s="84"/>
      <c r="D818" s="31"/>
      <c r="E818" s="5"/>
      <c r="F818" s="5"/>
      <c r="G818" s="5"/>
      <c r="H818" s="5"/>
      <c r="I818" s="29"/>
      <c r="J818" s="29"/>
      <c r="K818" s="29"/>
      <c r="L818" s="29"/>
      <c r="M818" s="29"/>
      <c r="N818" s="29"/>
      <c r="O818" s="38">
        <f t="shared" si="90"/>
        <v>0</v>
      </c>
      <c r="P818" s="38">
        <f t="shared" si="89"/>
        <v>0</v>
      </c>
      <c r="Q818" s="38">
        <f t="shared" si="91"/>
        <v>0</v>
      </c>
      <c r="R818" s="38">
        <f t="shared" si="92"/>
        <v>0</v>
      </c>
      <c r="S818" s="38">
        <f t="shared" si="93"/>
        <v>0</v>
      </c>
      <c r="T818" s="38">
        <f t="shared" si="94"/>
        <v>0</v>
      </c>
      <c r="U818" s="38">
        <f t="shared" si="95"/>
        <v>0</v>
      </c>
      <c r="V818" s="55"/>
    </row>
    <row r="819" spans="2:22" s="50" customFormat="1" ht="11.25" hidden="1">
      <c r="B819" s="74" t="s">
        <v>462</v>
      </c>
      <c r="C819" s="84"/>
      <c r="D819" s="31"/>
      <c r="E819" s="5"/>
      <c r="F819" s="5"/>
      <c r="G819" s="5"/>
      <c r="H819" s="5"/>
      <c r="I819" s="29"/>
      <c r="J819" s="29"/>
      <c r="K819" s="29"/>
      <c r="L819" s="29"/>
      <c r="M819" s="29"/>
      <c r="N819" s="29"/>
      <c r="O819" s="38">
        <f t="shared" si="90"/>
        <v>0</v>
      </c>
      <c r="P819" s="38">
        <f t="shared" si="89"/>
        <v>0</v>
      </c>
      <c r="Q819" s="38">
        <f t="shared" si="91"/>
        <v>0</v>
      </c>
      <c r="R819" s="38">
        <f t="shared" si="92"/>
        <v>0</v>
      </c>
      <c r="S819" s="38">
        <f t="shared" si="93"/>
        <v>0</v>
      </c>
      <c r="T819" s="38">
        <f t="shared" si="94"/>
        <v>0</v>
      </c>
      <c r="U819" s="38">
        <f t="shared" si="95"/>
        <v>0</v>
      </c>
      <c r="V819" s="55"/>
    </row>
    <row r="820" spans="2:22" s="50" customFormat="1" ht="11.25" hidden="1">
      <c r="B820" s="74" t="s">
        <v>462</v>
      </c>
      <c r="C820" s="84"/>
      <c r="D820" s="31"/>
      <c r="E820" s="5"/>
      <c r="F820" s="5"/>
      <c r="G820" s="5"/>
      <c r="H820" s="5"/>
      <c r="I820" s="29"/>
      <c r="J820" s="29"/>
      <c r="K820" s="29"/>
      <c r="L820" s="29"/>
      <c r="M820" s="29"/>
      <c r="N820" s="29"/>
      <c r="O820" s="38">
        <f t="shared" si="90"/>
        <v>0</v>
      </c>
      <c r="P820" s="38">
        <f t="shared" si="89"/>
        <v>0</v>
      </c>
      <c r="Q820" s="38">
        <f t="shared" si="91"/>
        <v>0</v>
      </c>
      <c r="R820" s="38">
        <f t="shared" si="92"/>
        <v>0</v>
      </c>
      <c r="S820" s="38">
        <f t="shared" si="93"/>
        <v>0</v>
      </c>
      <c r="T820" s="38">
        <f t="shared" si="94"/>
        <v>0</v>
      </c>
      <c r="U820" s="38">
        <f t="shared" si="95"/>
        <v>0</v>
      </c>
      <c r="V820" s="55"/>
    </row>
    <row r="821" spans="2:22" s="50" customFormat="1" ht="11.25" hidden="1">
      <c r="B821" s="74" t="s">
        <v>462</v>
      </c>
      <c r="C821" s="84"/>
      <c r="D821" s="31"/>
      <c r="E821" s="5"/>
      <c r="F821" s="5"/>
      <c r="G821" s="5"/>
      <c r="H821" s="5"/>
      <c r="I821" s="29"/>
      <c r="J821" s="29"/>
      <c r="K821" s="29"/>
      <c r="L821" s="29"/>
      <c r="M821" s="29"/>
      <c r="N821" s="29"/>
      <c r="O821" s="38">
        <f t="shared" si="90"/>
        <v>0</v>
      </c>
      <c r="P821" s="38">
        <f t="shared" si="89"/>
        <v>0</v>
      </c>
      <c r="Q821" s="38">
        <f t="shared" si="91"/>
        <v>0</v>
      </c>
      <c r="R821" s="38">
        <f t="shared" si="92"/>
        <v>0</v>
      </c>
      <c r="S821" s="38">
        <f t="shared" si="93"/>
        <v>0</v>
      </c>
      <c r="T821" s="38">
        <f t="shared" si="94"/>
        <v>0</v>
      </c>
      <c r="U821" s="38">
        <f t="shared" si="95"/>
        <v>0</v>
      </c>
      <c r="V821" s="55"/>
    </row>
    <row r="822" spans="2:22" s="50" customFormat="1" ht="11.25" hidden="1">
      <c r="B822" s="74" t="s">
        <v>462</v>
      </c>
      <c r="C822" s="84"/>
      <c r="D822" s="31"/>
      <c r="E822" s="5"/>
      <c r="F822" s="5"/>
      <c r="G822" s="5"/>
      <c r="H822" s="5"/>
      <c r="I822" s="29"/>
      <c r="J822" s="29"/>
      <c r="K822" s="29"/>
      <c r="L822" s="29"/>
      <c r="M822" s="29"/>
      <c r="N822" s="29"/>
      <c r="O822" s="38">
        <f t="shared" si="90"/>
        <v>0</v>
      </c>
      <c r="P822" s="38">
        <f t="shared" si="89"/>
        <v>0</v>
      </c>
      <c r="Q822" s="38">
        <f t="shared" si="91"/>
        <v>0</v>
      </c>
      <c r="R822" s="38">
        <f t="shared" si="92"/>
        <v>0</v>
      </c>
      <c r="S822" s="38">
        <f t="shared" si="93"/>
        <v>0</v>
      </c>
      <c r="T822" s="38">
        <f t="shared" si="94"/>
        <v>0</v>
      </c>
      <c r="U822" s="38">
        <f t="shared" si="95"/>
        <v>0</v>
      </c>
      <c r="V822" s="55"/>
    </row>
    <row r="823" spans="2:22" s="50" customFormat="1" ht="11.25" hidden="1">
      <c r="B823" s="74" t="s">
        <v>462</v>
      </c>
      <c r="C823" s="84"/>
      <c r="D823" s="31"/>
      <c r="E823" s="5"/>
      <c r="F823" s="5"/>
      <c r="G823" s="5"/>
      <c r="H823" s="5"/>
      <c r="I823" s="29"/>
      <c r="J823" s="29"/>
      <c r="K823" s="29"/>
      <c r="L823" s="29"/>
      <c r="M823" s="29"/>
      <c r="N823" s="29"/>
      <c r="O823" s="38">
        <f t="shared" si="90"/>
        <v>0</v>
      </c>
      <c r="P823" s="38">
        <f t="shared" si="89"/>
        <v>0</v>
      </c>
      <c r="Q823" s="38">
        <f t="shared" si="91"/>
        <v>0</v>
      </c>
      <c r="R823" s="38">
        <f t="shared" si="92"/>
        <v>0</v>
      </c>
      <c r="S823" s="38">
        <f t="shared" si="93"/>
        <v>0</v>
      </c>
      <c r="T823" s="38">
        <f t="shared" si="94"/>
        <v>0</v>
      </c>
      <c r="U823" s="38">
        <f t="shared" si="95"/>
        <v>0</v>
      </c>
      <c r="V823" s="55"/>
    </row>
    <row r="824" spans="2:22" s="50" customFormat="1" ht="11.25" hidden="1">
      <c r="B824" s="74" t="s">
        <v>462</v>
      </c>
      <c r="C824" s="84"/>
      <c r="D824" s="31"/>
      <c r="E824" s="5"/>
      <c r="F824" s="5"/>
      <c r="G824" s="5"/>
      <c r="H824" s="5"/>
      <c r="I824" s="29"/>
      <c r="J824" s="29"/>
      <c r="K824" s="29"/>
      <c r="L824" s="29"/>
      <c r="M824" s="29"/>
      <c r="N824" s="29"/>
      <c r="O824" s="38">
        <f t="shared" si="90"/>
        <v>0</v>
      </c>
      <c r="P824" s="38">
        <f t="shared" si="89"/>
        <v>0</v>
      </c>
      <c r="Q824" s="38">
        <f t="shared" si="91"/>
        <v>0</v>
      </c>
      <c r="R824" s="38">
        <f t="shared" si="92"/>
        <v>0</v>
      </c>
      <c r="S824" s="38">
        <f t="shared" si="93"/>
        <v>0</v>
      </c>
      <c r="T824" s="38">
        <f t="shared" si="94"/>
        <v>0</v>
      </c>
      <c r="U824" s="38">
        <f t="shared" si="95"/>
        <v>0</v>
      </c>
      <c r="V824" s="55"/>
    </row>
    <row r="825" spans="2:22" s="50" customFormat="1" ht="11.25" hidden="1">
      <c r="B825" s="74" t="s">
        <v>462</v>
      </c>
      <c r="C825" s="84"/>
      <c r="D825" s="31"/>
      <c r="E825" s="5"/>
      <c r="F825" s="5"/>
      <c r="G825" s="5"/>
      <c r="H825" s="5"/>
      <c r="I825" s="29"/>
      <c r="J825" s="29"/>
      <c r="K825" s="29"/>
      <c r="L825" s="29"/>
      <c r="M825" s="29"/>
      <c r="N825" s="29"/>
      <c r="O825" s="38">
        <f t="shared" si="90"/>
        <v>0</v>
      </c>
      <c r="P825" s="38">
        <f t="shared" si="89"/>
        <v>0</v>
      </c>
      <c r="Q825" s="38">
        <f t="shared" si="91"/>
        <v>0</v>
      </c>
      <c r="R825" s="38">
        <f t="shared" si="92"/>
        <v>0</v>
      </c>
      <c r="S825" s="38">
        <f t="shared" si="93"/>
        <v>0</v>
      </c>
      <c r="T825" s="38">
        <f t="shared" si="94"/>
        <v>0</v>
      </c>
      <c r="U825" s="38">
        <f t="shared" si="95"/>
        <v>0</v>
      </c>
      <c r="V825" s="55"/>
    </row>
    <row r="826" spans="2:22" s="50" customFormat="1" ht="11.25" hidden="1">
      <c r="B826" s="74" t="s">
        <v>462</v>
      </c>
      <c r="C826" s="84"/>
      <c r="D826" s="31"/>
      <c r="E826" s="5"/>
      <c r="F826" s="5"/>
      <c r="G826" s="5"/>
      <c r="H826" s="5"/>
      <c r="I826" s="29"/>
      <c r="J826" s="29"/>
      <c r="K826" s="29"/>
      <c r="L826" s="29"/>
      <c r="M826" s="29"/>
      <c r="N826" s="29"/>
      <c r="O826" s="38">
        <f t="shared" si="90"/>
        <v>0</v>
      </c>
      <c r="P826" s="38">
        <f t="shared" si="89"/>
        <v>0</v>
      </c>
      <c r="Q826" s="38">
        <f t="shared" si="91"/>
        <v>0</v>
      </c>
      <c r="R826" s="38">
        <f t="shared" si="92"/>
        <v>0</v>
      </c>
      <c r="S826" s="38">
        <f t="shared" si="93"/>
        <v>0</v>
      </c>
      <c r="T826" s="38">
        <f t="shared" si="94"/>
        <v>0</v>
      </c>
      <c r="U826" s="38">
        <f t="shared" si="95"/>
        <v>0</v>
      </c>
      <c r="V826" s="55"/>
    </row>
    <row r="827" spans="2:22" s="50" customFormat="1" ht="11.25" hidden="1">
      <c r="B827" s="74" t="s">
        <v>462</v>
      </c>
      <c r="C827" s="84"/>
      <c r="D827" s="31"/>
      <c r="E827" s="5"/>
      <c r="F827" s="5"/>
      <c r="G827" s="5"/>
      <c r="H827" s="5"/>
      <c r="I827" s="29"/>
      <c r="J827" s="29"/>
      <c r="K827" s="29"/>
      <c r="L827" s="29"/>
      <c r="M827" s="29"/>
      <c r="N827" s="29"/>
      <c r="O827" s="38">
        <f t="shared" si="90"/>
        <v>0</v>
      </c>
      <c r="P827" s="38">
        <f t="shared" si="89"/>
        <v>0</v>
      </c>
      <c r="Q827" s="38">
        <f t="shared" si="91"/>
        <v>0</v>
      </c>
      <c r="R827" s="38">
        <f t="shared" si="92"/>
        <v>0</v>
      </c>
      <c r="S827" s="38">
        <f t="shared" si="93"/>
        <v>0</v>
      </c>
      <c r="T827" s="38">
        <f t="shared" si="94"/>
        <v>0</v>
      </c>
      <c r="U827" s="38">
        <f t="shared" si="95"/>
        <v>0</v>
      </c>
      <c r="V827" s="55"/>
    </row>
    <row r="828" spans="2:22" s="50" customFormat="1" ht="11.25" hidden="1">
      <c r="B828" s="74" t="s">
        <v>462</v>
      </c>
      <c r="C828" s="84"/>
      <c r="D828" s="31"/>
      <c r="E828" s="5"/>
      <c r="F828" s="5"/>
      <c r="G828" s="5"/>
      <c r="H828" s="5"/>
      <c r="I828" s="29"/>
      <c r="J828" s="29"/>
      <c r="K828" s="29"/>
      <c r="L828" s="29"/>
      <c r="M828" s="29"/>
      <c r="N828" s="29"/>
      <c r="O828" s="38">
        <f t="shared" si="90"/>
        <v>0</v>
      </c>
      <c r="P828" s="38">
        <f t="shared" si="89"/>
        <v>0</v>
      </c>
      <c r="Q828" s="38">
        <f t="shared" si="91"/>
        <v>0</v>
      </c>
      <c r="R828" s="38">
        <f t="shared" si="92"/>
        <v>0</v>
      </c>
      <c r="S828" s="38">
        <f t="shared" si="93"/>
        <v>0</v>
      </c>
      <c r="T828" s="38">
        <f t="shared" si="94"/>
        <v>0</v>
      </c>
      <c r="U828" s="38">
        <f t="shared" si="95"/>
        <v>0</v>
      </c>
      <c r="V828" s="55"/>
    </row>
    <row r="829" spans="2:22" s="50" customFormat="1" ht="11.25" hidden="1">
      <c r="B829" s="74" t="s">
        <v>462</v>
      </c>
      <c r="C829" s="84"/>
      <c r="D829" s="31"/>
      <c r="E829" s="5"/>
      <c r="F829" s="5"/>
      <c r="G829" s="5"/>
      <c r="H829" s="5"/>
      <c r="I829" s="29"/>
      <c r="J829" s="29"/>
      <c r="K829" s="29"/>
      <c r="L829" s="29"/>
      <c r="M829" s="29"/>
      <c r="N829" s="29"/>
      <c r="O829" s="38">
        <f t="shared" si="90"/>
        <v>0</v>
      </c>
      <c r="P829" s="38">
        <f t="shared" si="89"/>
        <v>0</v>
      </c>
      <c r="Q829" s="38">
        <f t="shared" si="91"/>
        <v>0</v>
      </c>
      <c r="R829" s="38">
        <f t="shared" si="92"/>
        <v>0</v>
      </c>
      <c r="S829" s="38">
        <f t="shared" si="93"/>
        <v>0</v>
      </c>
      <c r="T829" s="38">
        <f t="shared" si="94"/>
        <v>0</v>
      </c>
      <c r="U829" s="38">
        <f t="shared" si="95"/>
        <v>0</v>
      </c>
      <c r="V829" s="55"/>
    </row>
    <row r="830" spans="2:22" s="50" customFormat="1" ht="11.25" hidden="1">
      <c r="B830" s="74" t="s">
        <v>462</v>
      </c>
      <c r="C830" s="84"/>
      <c r="D830" s="31"/>
      <c r="E830" s="5"/>
      <c r="F830" s="5"/>
      <c r="G830" s="5"/>
      <c r="H830" s="5"/>
      <c r="I830" s="29"/>
      <c r="J830" s="29"/>
      <c r="K830" s="29"/>
      <c r="L830" s="29"/>
      <c r="M830" s="29"/>
      <c r="N830" s="29"/>
      <c r="O830" s="38">
        <f t="shared" si="90"/>
        <v>0</v>
      </c>
      <c r="P830" s="38">
        <f t="shared" si="89"/>
        <v>0</v>
      </c>
      <c r="Q830" s="38">
        <f t="shared" si="91"/>
        <v>0</v>
      </c>
      <c r="R830" s="38">
        <f t="shared" si="92"/>
        <v>0</v>
      </c>
      <c r="S830" s="38">
        <f t="shared" si="93"/>
        <v>0</v>
      </c>
      <c r="T830" s="38">
        <f t="shared" si="94"/>
        <v>0</v>
      </c>
      <c r="U830" s="38">
        <f t="shared" si="95"/>
        <v>0</v>
      </c>
      <c r="V830" s="55"/>
    </row>
    <row r="831" spans="2:22" s="50" customFormat="1" ht="11.25" hidden="1">
      <c r="B831" s="74" t="s">
        <v>462</v>
      </c>
      <c r="C831" s="84"/>
      <c r="D831" s="31"/>
      <c r="E831" s="5"/>
      <c r="F831" s="5"/>
      <c r="G831" s="5"/>
      <c r="H831" s="5"/>
      <c r="I831" s="29"/>
      <c r="J831" s="29"/>
      <c r="K831" s="29"/>
      <c r="L831" s="29"/>
      <c r="M831" s="29"/>
      <c r="N831" s="29"/>
      <c r="O831" s="38">
        <f t="shared" si="90"/>
        <v>0</v>
      </c>
      <c r="P831" s="38">
        <f t="shared" ref="P831:P894" si="96">IF(I831=0,0,J831/I831*10)</f>
        <v>0</v>
      </c>
      <c r="Q831" s="38">
        <f t="shared" si="91"/>
        <v>0</v>
      </c>
      <c r="R831" s="38">
        <f t="shared" si="92"/>
        <v>0</v>
      </c>
      <c r="S831" s="38">
        <f t="shared" si="93"/>
        <v>0</v>
      </c>
      <c r="T831" s="38">
        <f t="shared" si="94"/>
        <v>0</v>
      </c>
      <c r="U831" s="38">
        <f t="shared" si="95"/>
        <v>0</v>
      </c>
      <c r="V831" s="55"/>
    </row>
    <row r="832" spans="2:22" s="50" customFormat="1" ht="11.25" hidden="1">
      <c r="B832" s="74" t="s">
        <v>462</v>
      </c>
      <c r="C832" s="84"/>
      <c r="D832" s="31"/>
      <c r="E832" s="5"/>
      <c r="F832" s="5"/>
      <c r="G832" s="5"/>
      <c r="H832" s="5"/>
      <c r="I832" s="29"/>
      <c r="J832" s="29"/>
      <c r="K832" s="29"/>
      <c r="L832" s="29"/>
      <c r="M832" s="29"/>
      <c r="N832" s="29"/>
      <c r="O832" s="38">
        <f t="shared" si="90"/>
        <v>0</v>
      </c>
      <c r="P832" s="38">
        <f t="shared" si="96"/>
        <v>0</v>
      </c>
      <c r="Q832" s="38">
        <f t="shared" si="91"/>
        <v>0</v>
      </c>
      <c r="R832" s="38">
        <f t="shared" si="92"/>
        <v>0</v>
      </c>
      <c r="S832" s="38">
        <f t="shared" si="93"/>
        <v>0</v>
      </c>
      <c r="T832" s="38">
        <f t="shared" si="94"/>
        <v>0</v>
      </c>
      <c r="U832" s="38">
        <f t="shared" si="95"/>
        <v>0</v>
      </c>
      <c r="V832" s="55"/>
    </row>
    <row r="833" spans="2:22" s="50" customFormat="1" ht="11.25" hidden="1">
      <c r="B833" s="74" t="s">
        <v>462</v>
      </c>
      <c r="C833" s="84"/>
      <c r="D833" s="31"/>
      <c r="E833" s="5"/>
      <c r="F833" s="5"/>
      <c r="G833" s="5"/>
      <c r="H833" s="5"/>
      <c r="I833" s="29"/>
      <c r="J833" s="29"/>
      <c r="K833" s="29"/>
      <c r="L833" s="29"/>
      <c r="M833" s="29"/>
      <c r="N833" s="29"/>
      <c r="O833" s="38">
        <f t="shared" si="90"/>
        <v>0</v>
      </c>
      <c r="P833" s="38">
        <f t="shared" si="96"/>
        <v>0</v>
      </c>
      <c r="Q833" s="38">
        <f t="shared" si="91"/>
        <v>0</v>
      </c>
      <c r="R833" s="38">
        <f t="shared" si="92"/>
        <v>0</v>
      </c>
      <c r="S833" s="38">
        <f t="shared" si="93"/>
        <v>0</v>
      </c>
      <c r="T833" s="38">
        <f t="shared" si="94"/>
        <v>0</v>
      </c>
      <c r="U833" s="38">
        <f t="shared" si="95"/>
        <v>0</v>
      </c>
      <c r="V833" s="55"/>
    </row>
    <row r="834" spans="2:22" s="50" customFormat="1" ht="11.25" hidden="1">
      <c r="B834" s="74" t="s">
        <v>462</v>
      </c>
      <c r="C834" s="84"/>
      <c r="D834" s="31"/>
      <c r="E834" s="5"/>
      <c r="F834" s="5"/>
      <c r="G834" s="5"/>
      <c r="H834" s="5"/>
      <c r="I834" s="29"/>
      <c r="J834" s="29"/>
      <c r="K834" s="29"/>
      <c r="L834" s="29"/>
      <c r="M834" s="29"/>
      <c r="N834" s="29"/>
      <c r="O834" s="38">
        <f t="shared" si="90"/>
        <v>0</v>
      </c>
      <c r="P834" s="38">
        <f t="shared" si="96"/>
        <v>0</v>
      </c>
      <c r="Q834" s="38">
        <f t="shared" si="91"/>
        <v>0</v>
      </c>
      <c r="R834" s="38">
        <f t="shared" si="92"/>
        <v>0</v>
      </c>
      <c r="S834" s="38">
        <f t="shared" si="93"/>
        <v>0</v>
      </c>
      <c r="T834" s="38">
        <f t="shared" si="94"/>
        <v>0</v>
      </c>
      <c r="U834" s="38">
        <f t="shared" si="95"/>
        <v>0</v>
      </c>
      <c r="V834" s="55"/>
    </row>
    <row r="835" spans="2:22" s="50" customFormat="1" ht="11.25" hidden="1">
      <c r="B835" s="74" t="s">
        <v>462</v>
      </c>
      <c r="C835" s="84"/>
      <c r="D835" s="31"/>
      <c r="E835" s="5"/>
      <c r="F835" s="5"/>
      <c r="G835" s="5"/>
      <c r="H835" s="5"/>
      <c r="I835" s="29"/>
      <c r="J835" s="29"/>
      <c r="K835" s="29"/>
      <c r="L835" s="29"/>
      <c r="M835" s="29"/>
      <c r="N835" s="29"/>
      <c r="O835" s="38">
        <f t="shared" si="90"/>
        <v>0</v>
      </c>
      <c r="P835" s="38">
        <f t="shared" si="96"/>
        <v>0</v>
      </c>
      <c r="Q835" s="38">
        <f t="shared" si="91"/>
        <v>0</v>
      </c>
      <c r="R835" s="38">
        <f t="shared" si="92"/>
        <v>0</v>
      </c>
      <c r="S835" s="38">
        <f t="shared" si="93"/>
        <v>0</v>
      </c>
      <c r="T835" s="38">
        <f t="shared" si="94"/>
        <v>0</v>
      </c>
      <c r="U835" s="38">
        <f t="shared" si="95"/>
        <v>0</v>
      </c>
      <c r="V835" s="55"/>
    </row>
    <row r="836" spans="2:22" s="50" customFormat="1" ht="11.25" hidden="1">
      <c r="B836" s="74" t="s">
        <v>462</v>
      </c>
      <c r="C836" s="84"/>
      <c r="D836" s="31"/>
      <c r="E836" s="5"/>
      <c r="F836" s="5"/>
      <c r="G836" s="5"/>
      <c r="H836" s="5"/>
      <c r="I836" s="29"/>
      <c r="J836" s="29"/>
      <c r="K836" s="29"/>
      <c r="L836" s="29"/>
      <c r="M836" s="29"/>
      <c r="N836" s="29"/>
      <c r="O836" s="38">
        <f t="shared" si="90"/>
        <v>0</v>
      </c>
      <c r="P836" s="38">
        <f t="shared" si="96"/>
        <v>0</v>
      </c>
      <c r="Q836" s="38">
        <f t="shared" si="91"/>
        <v>0</v>
      </c>
      <c r="R836" s="38">
        <f t="shared" si="92"/>
        <v>0</v>
      </c>
      <c r="S836" s="38">
        <f t="shared" si="93"/>
        <v>0</v>
      </c>
      <c r="T836" s="38">
        <f t="shared" si="94"/>
        <v>0</v>
      </c>
      <c r="U836" s="38">
        <f t="shared" si="95"/>
        <v>0</v>
      </c>
      <c r="V836" s="55"/>
    </row>
    <row r="837" spans="2:22" s="50" customFormat="1" ht="11.25" hidden="1">
      <c r="B837" s="74" t="s">
        <v>462</v>
      </c>
      <c r="C837" s="84"/>
      <c r="D837" s="31"/>
      <c r="E837" s="5"/>
      <c r="F837" s="5"/>
      <c r="G837" s="5"/>
      <c r="H837" s="5"/>
      <c r="I837" s="29"/>
      <c r="J837" s="29"/>
      <c r="K837" s="29"/>
      <c r="L837" s="29"/>
      <c r="M837" s="29"/>
      <c r="N837" s="29"/>
      <c r="O837" s="38">
        <f t="shared" si="90"/>
        <v>0</v>
      </c>
      <c r="P837" s="38">
        <f t="shared" si="96"/>
        <v>0</v>
      </c>
      <c r="Q837" s="38">
        <f t="shared" si="91"/>
        <v>0</v>
      </c>
      <c r="R837" s="38">
        <f t="shared" si="92"/>
        <v>0</v>
      </c>
      <c r="S837" s="38">
        <f t="shared" si="93"/>
        <v>0</v>
      </c>
      <c r="T837" s="38">
        <f t="shared" si="94"/>
        <v>0</v>
      </c>
      <c r="U837" s="38">
        <f t="shared" si="95"/>
        <v>0</v>
      </c>
      <c r="V837" s="55"/>
    </row>
    <row r="838" spans="2:22" s="50" customFormat="1" ht="11.25" hidden="1">
      <c r="B838" s="74" t="s">
        <v>462</v>
      </c>
      <c r="C838" s="84"/>
      <c r="D838" s="31"/>
      <c r="E838" s="5"/>
      <c r="F838" s="5"/>
      <c r="G838" s="5"/>
      <c r="H838" s="5"/>
      <c r="I838" s="29"/>
      <c r="J838" s="29"/>
      <c r="K838" s="29"/>
      <c r="L838" s="29"/>
      <c r="M838" s="29"/>
      <c r="N838" s="29"/>
      <c r="O838" s="38">
        <f t="shared" si="90"/>
        <v>0</v>
      </c>
      <c r="P838" s="38">
        <f t="shared" si="96"/>
        <v>0</v>
      </c>
      <c r="Q838" s="38">
        <f t="shared" si="91"/>
        <v>0</v>
      </c>
      <c r="R838" s="38">
        <f t="shared" si="92"/>
        <v>0</v>
      </c>
      <c r="S838" s="38">
        <f t="shared" si="93"/>
        <v>0</v>
      </c>
      <c r="T838" s="38">
        <f t="shared" si="94"/>
        <v>0</v>
      </c>
      <c r="U838" s="38">
        <f t="shared" si="95"/>
        <v>0</v>
      </c>
      <c r="V838" s="55"/>
    </row>
    <row r="839" spans="2:22" s="50" customFormat="1" ht="11.25" hidden="1">
      <c r="B839" s="74" t="s">
        <v>462</v>
      </c>
      <c r="C839" s="84"/>
      <c r="D839" s="31"/>
      <c r="E839" s="5"/>
      <c r="F839" s="5"/>
      <c r="G839" s="5"/>
      <c r="H839" s="5"/>
      <c r="I839" s="29"/>
      <c r="J839" s="29"/>
      <c r="K839" s="29"/>
      <c r="L839" s="29"/>
      <c r="M839" s="29"/>
      <c r="N839" s="29"/>
      <c r="O839" s="38">
        <f t="shared" si="90"/>
        <v>0</v>
      </c>
      <c r="P839" s="38">
        <f t="shared" si="96"/>
        <v>0</v>
      </c>
      <c r="Q839" s="38">
        <f t="shared" si="91"/>
        <v>0</v>
      </c>
      <c r="R839" s="38">
        <f t="shared" si="92"/>
        <v>0</v>
      </c>
      <c r="S839" s="38">
        <f t="shared" si="93"/>
        <v>0</v>
      </c>
      <c r="T839" s="38">
        <f t="shared" si="94"/>
        <v>0</v>
      </c>
      <c r="U839" s="38">
        <f t="shared" si="95"/>
        <v>0</v>
      </c>
      <c r="V839" s="55"/>
    </row>
    <row r="840" spans="2:22" s="50" customFormat="1" ht="11.25" hidden="1">
      <c r="B840" s="74" t="s">
        <v>462</v>
      </c>
      <c r="C840" s="84"/>
      <c r="D840" s="31"/>
      <c r="E840" s="5"/>
      <c r="F840" s="5"/>
      <c r="G840" s="5"/>
      <c r="H840" s="5"/>
      <c r="I840" s="29"/>
      <c r="J840" s="29"/>
      <c r="K840" s="29"/>
      <c r="L840" s="29"/>
      <c r="M840" s="29"/>
      <c r="N840" s="29"/>
      <c r="O840" s="38">
        <f t="shared" si="90"/>
        <v>0</v>
      </c>
      <c r="P840" s="38">
        <f t="shared" si="96"/>
        <v>0</v>
      </c>
      <c r="Q840" s="38">
        <f t="shared" si="91"/>
        <v>0</v>
      </c>
      <c r="R840" s="38">
        <f t="shared" si="92"/>
        <v>0</v>
      </c>
      <c r="S840" s="38">
        <f t="shared" si="93"/>
        <v>0</v>
      </c>
      <c r="T840" s="38">
        <f t="shared" si="94"/>
        <v>0</v>
      </c>
      <c r="U840" s="38">
        <f t="shared" si="95"/>
        <v>0</v>
      </c>
      <c r="V840" s="55"/>
    </row>
    <row r="841" spans="2:22" s="50" customFormat="1" ht="11.25" hidden="1">
      <c r="B841" s="74" t="s">
        <v>462</v>
      </c>
      <c r="C841" s="84"/>
      <c r="D841" s="31"/>
      <c r="E841" s="5"/>
      <c r="F841" s="5"/>
      <c r="G841" s="5"/>
      <c r="H841" s="5"/>
      <c r="I841" s="29"/>
      <c r="J841" s="29"/>
      <c r="K841" s="29"/>
      <c r="L841" s="29"/>
      <c r="M841" s="29"/>
      <c r="N841" s="29"/>
      <c r="O841" s="38">
        <f t="shared" si="90"/>
        <v>0</v>
      </c>
      <c r="P841" s="38">
        <f t="shared" si="96"/>
        <v>0</v>
      </c>
      <c r="Q841" s="38">
        <f t="shared" si="91"/>
        <v>0</v>
      </c>
      <c r="R841" s="38">
        <f t="shared" si="92"/>
        <v>0</v>
      </c>
      <c r="S841" s="38">
        <f t="shared" si="93"/>
        <v>0</v>
      </c>
      <c r="T841" s="38">
        <f t="shared" si="94"/>
        <v>0</v>
      </c>
      <c r="U841" s="38">
        <f t="shared" si="95"/>
        <v>0</v>
      </c>
      <c r="V841" s="55"/>
    </row>
    <row r="842" spans="2:22" s="50" customFormat="1" ht="11.25" hidden="1">
      <c r="B842" s="74" t="s">
        <v>462</v>
      </c>
      <c r="C842" s="84"/>
      <c r="D842" s="31"/>
      <c r="E842" s="5"/>
      <c r="F842" s="5"/>
      <c r="G842" s="5"/>
      <c r="H842" s="5"/>
      <c r="I842" s="29"/>
      <c r="J842" s="29"/>
      <c r="K842" s="29"/>
      <c r="L842" s="29"/>
      <c r="M842" s="29"/>
      <c r="N842" s="29"/>
      <c r="O842" s="38">
        <f t="shared" ref="O842:O905" si="97">SUM(J842:N842)</f>
        <v>0</v>
      </c>
      <c r="P842" s="38">
        <f t="shared" si="96"/>
        <v>0</v>
      </c>
      <c r="Q842" s="38">
        <f t="shared" ref="Q842:Q905" si="98">IF(I842=0,0,L842/I842*10)</f>
        <v>0</v>
      </c>
      <c r="R842" s="38">
        <f t="shared" ref="R842:R905" si="99">IF(I842=0,0,M842/I842*10)</f>
        <v>0</v>
      </c>
      <c r="S842" s="38">
        <f t="shared" ref="S842:S905" si="100">IF(I842=0,0,N842/I842*10)</f>
        <v>0</v>
      </c>
      <c r="T842" s="38">
        <f t="shared" ref="T842:T905" si="101">IF(I842=0,0,K842/I842*10)</f>
        <v>0</v>
      </c>
      <c r="U842" s="38">
        <f t="shared" ref="U842:U905" si="102">IF(I842=0,0,O842/I842*10)</f>
        <v>0</v>
      </c>
      <c r="V842" s="55"/>
    </row>
    <row r="843" spans="2:22" s="50" customFormat="1" ht="11.25" hidden="1">
      <c r="B843" s="74" t="s">
        <v>462</v>
      </c>
      <c r="C843" s="84"/>
      <c r="D843" s="31"/>
      <c r="E843" s="5"/>
      <c r="F843" s="5"/>
      <c r="G843" s="5"/>
      <c r="H843" s="5"/>
      <c r="I843" s="29"/>
      <c r="J843" s="29"/>
      <c r="K843" s="29"/>
      <c r="L843" s="29"/>
      <c r="M843" s="29"/>
      <c r="N843" s="29"/>
      <c r="O843" s="38">
        <f t="shared" si="97"/>
        <v>0</v>
      </c>
      <c r="P843" s="38">
        <f t="shared" si="96"/>
        <v>0</v>
      </c>
      <c r="Q843" s="38">
        <f t="shared" si="98"/>
        <v>0</v>
      </c>
      <c r="R843" s="38">
        <f t="shared" si="99"/>
        <v>0</v>
      </c>
      <c r="S843" s="38">
        <f t="shared" si="100"/>
        <v>0</v>
      </c>
      <c r="T843" s="38">
        <f t="shared" si="101"/>
        <v>0</v>
      </c>
      <c r="U843" s="38">
        <f t="shared" si="102"/>
        <v>0</v>
      </c>
      <c r="V843" s="55"/>
    </row>
    <row r="844" spans="2:22" s="50" customFormat="1" ht="11.25" hidden="1">
      <c r="B844" s="74" t="s">
        <v>462</v>
      </c>
      <c r="C844" s="84"/>
      <c r="D844" s="31"/>
      <c r="E844" s="5"/>
      <c r="F844" s="5"/>
      <c r="G844" s="5"/>
      <c r="H844" s="5"/>
      <c r="I844" s="29"/>
      <c r="J844" s="29"/>
      <c r="K844" s="29"/>
      <c r="L844" s="29"/>
      <c r="M844" s="29"/>
      <c r="N844" s="29"/>
      <c r="O844" s="38">
        <f t="shared" si="97"/>
        <v>0</v>
      </c>
      <c r="P844" s="38">
        <f t="shared" si="96"/>
        <v>0</v>
      </c>
      <c r="Q844" s="38">
        <f t="shared" si="98"/>
        <v>0</v>
      </c>
      <c r="R844" s="38">
        <f t="shared" si="99"/>
        <v>0</v>
      </c>
      <c r="S844" s="38">
        <f t="shared" si="100"/>
        <v>0</v>
      </c>
      <c r="T844" s="38">
        <f t="shared" si="101"/>
        <v>0</v>
      </c>
      <c r="U844" s="38">
        <f t="shared" si="102"/>
        <v>0</v>
      </c>
      <c r="V844" s="55"/>
    </row>
    <row r="845" spans="2:22" s="50" customFormat="1" ht="11.25" hidden="1">
      <c r="B845" s="74" t="s">
        <v>462</v>
      </c>
      <c r="C845" s="84"/>
      <c r="D845" s="31"/>
      <c r="E845" s="5"/>
      <c r="F845" s="5"/>
      <c r="G845" s="5"/>
      <c r="H845" s="5"/>
      <c r="I845" s="29"/>
      <c r="J845" s="29"/>
      <c r="K845" s="29"/>
      <c r="L845" s="29"/>
      <c r="M845" s="29"/>
      <c r="N845" s="29"/>
      <c r="O845" s="38">
        <f t="shared" si="97"/>
        <v>0</v>
      </c>
      <c r="P845" s="38">
        <f t="shared" si="96"/>
        <v>0</v>
      </c>
      <c r="Q845" s="38">
        <f t="shared" si="98"/>
        <v>0</v>
      </c>
      <c r="R845" s="38">
        <f t="shared" si="99"/>
        <v>0</v>
      </c>
      <c r="S845" s="38">
        <f t="shared" si="100"/>
        <v>0</v>
      </c>
      <c r="T845" s="38">
        <f t="shared" si="101"/>
        <v>0</v>
      </c>
      <c r="U845" s="38">
        <f t="shared" si="102"/>
        <v>0</v>
      </c>
      <c r="V845" s="55"/>
    </row>
    <row r="846" spans="2:22" s="50" customFormat="1" ht="11.25" hidden="1">
      <c r="B846" s="74" t="s">
        <v>462</v>
      </c>
      <c r="C846" s="84"/>
      <c r="D846" s="31"/>
      <c r="E846" s="5"/>
      <c r="F846" s="5"/>
      <c r="G846" s="5"/>
      <c r="H846" s="5"/>
      <c r="I846" s="29"/>
      <c r="J846" s="29"/>
      <c r="K846" s="29"/>
      <c r="L846" s="29"/>
      <c r="M846" s="29"/>
      <c r="N846" s="29"/>
      <c r="O846" s="38">
        <f t="shared" si="97"/>
        <v>0</v>
      </c>
      <c r="P846" s="38">
        <f t="shared" si="96"/>
        <v>0</v>
      </c>
      <c r="Q846" s="38">
        <f t="shared" si="98"/>
        <v>0</v>
      </c>
      <c r="R846" s="38">
        <f t="shared" si="99"/>
        <v>0</v>
      </c>
      <c r="S846" s="38">
        <f t="shared" si="100"/>
        <v>0</v>
      </c>
      <c r="T846" s="38">
        <f t="shared" si="101"/>
        <v>0</v>
      </c>
      <c r="U846" s="38">
        <f t="shared" si="102"/>
        <v>0</v>
      </c>
      <c r="V846" s="55"/>
    </row>
    <row r="847" spans="2:22" s="50" customFormat="1" ht="11.25" hidden="1">
      <c r="B847" s="74" t="s">
        <v>462</v>
      </c>
      <c r="C847" s="84"/>
      <c r="D847" s="31"/>
      <c r="E847" s="5"/>
      <c r="F847" s="5"/>
      <c r="G847" s="5"/>
      <c r="H847" s="5"/>
      <c r="I847" s="29"/>
      <c r="J847" s="29"/>
      <c r="K847" s="29"/>
      <c r="L847" s="29"/>
      <c r="M847" s="29"/>
      <c r="N847" s="29"/>
      <c r="O847" s="38">
        <f t="shared" si="97"/>
        <v>0</v>
      </c>
      <c r="P847" s="38">
        <f t="shared" si="96"/>
        <v>0</v>
      </c>
      <c r="Q847" s="38">
        <f t="shared" si="98"/>
        <v>0</v>
      </c>
      <c r="R847" s="38">
        <f t="shared" si="99"/>
        <v>0</v>
      </c>
      <c r="S847" s="38">
        <f t="shared" si="100"/>
        <v>0</v>
      </c>
      <c r="T847" s="38">
        <f t="shared" si="101"/>
        <v>0</v>
      </c>
      <c r="U847" s="38">
        <f t="shared" si="102"/>
        <v>0</v>
      </c>
      <c r="V847" s="55"/>
    </row>
    <row r="848" spans="2:22" s="50" customFormat="1" ht="11.25" hidden="1">
      <c r="B848" s="74" t="s">
        <v>462</v>
      </c>
      <c r="C848" s="84"/>
      <c r="D848" s="31"/>
      <c r="E848" s="5"/>
      <c r="F848" s="5"/>
      <c r="G848" s="5"/>
      <c r="H848" s="5"/>
      <c r="I848" s="29"/>
      <c r="J848" s="29"/>
      <c r="K848" s="29"/>
      <c r="L848" s="29"/>
      <c r="M848" s="29"/>
      <c r="N848" s="29"/>
      <c r="O848" s="38">
        <f t="shared" si="97"/>
        <v>0</v>
      </c>
      <c r="P848" s="38">
        <f t="shared" si="96"/>
        <v>0</v>
      </c>
      <c r="Q848" s="38">
        <f t="shared" si="98"/>
        <v>0</v>
      </c>
      <c r="R848" s="38">
        <f t="shared" si="99"/>
        <v>0</v>
      </c>
      <c r="S848" s="38">
        <f t="shared" si="100"/>
        <v>0</v>
      </c>
      <c r="T848" s="38">
        <f t="shared" si="101"/>
        <v>0</v>
      </c>
      <c r="U848" s="38">
        <f t="shared" si="102"/>
        <v>0</v>
      </c>
      <c r="V848" s="55"/>
    </row>
    <row r="849" spans="2:22" s="50" customFormat="1" ht="11.25" hidden="1">
      <c r="B849" s="74" t="s">
        <v>462</v>
      </c>
      <c r="C849" s="84"/>
      <c r="D849" s="31"/>
      <c r="E849" s="5"/>
      <c r="F849" s="5"/>
      <c r="G849" s="5"/>
      <c r="H849" s="5"/>
      <c r="I849" s="29"/>
      <c r="J849" s="29"/>
      <c r="K849" s="29"/>
      <c r="L849" s="29"/>
      <c r="M849" s="29"/>
      <c r="N849" s="29"/>
      <c r="O849" s="38">
        <f t="shared" si="97"/>
        <v>0</v>
      </c>
      <c r="P849" s="38">
        <f t="shared" si="96"/>
        <v>0</v>
      </c>
      <c r="Q849" s="38">
        <f t="shared" si="98"/>
        <v>0</v>
      </c>
      <c r="R849" s="38">
        <f t="shared" si="99"/>
        <v>0</v>
      </c>
      <c r="S849" s="38">
        <f t="shared" si="100"/>
        <v>0</v>
      </c>
      <c r="T849" s="38">
        <f t="shared" si="101"/>
        <v>0</v>
      </c>
      <c r="U849" s="38">
        <f t="shared" si="102"/>
        <v>0</v>
      </c>
      <c r="V849" s="55"/>
    </row>
    <row r="850" spans="2:22" s="50" customFormat="1" ht="11.25" hidden="1">
      <c r="B850" s="74" t="s">
        <v>462</v>
      </c>
      <c r="C850" s="84"/>
      <c r="D850" s="31"/>
      <c r="E850" s="5"/>
      <c r="F850" s="5"/>
      <c r="G850" s="5"/>
      <c r="H850" s="5"/>
      <c r="I850" s="29"/>
      <c r="J850" s="29"/>
      <c r="K850" s="29"/>
      <c r="L850" s="29"/>
      <c r="M850" s="29"/>
      <c r="N850" s="29"/>
      <c r="O850" s="38">
        <f t="shared" si="97"/>
        <v>0</v>
      </c>
      <c r="P850" s="38">
        <f t="shared" si="96"/>
        <v>0</v>
      </c>
      <c r="Q850" s="38">
        <f t="shared" si="98"/>
        <v>0</v>
      </c>
      <c r="R850" s="38">
        <f t="shared" si="99"/>
        <v>0</v>
      </c>
      <c r="S850" s="38">
        <f t="shared" si="100"/>
        <v>0</v>
      </c>
      <c r="T850" s="38">
        <f t="shared" si="101"/>
        <v>0</v>
      </c>
      <c r="U850" s="38">
        <f t="shared" si="102"/>
        <v>0</v>
      </c>
      <c r="V850" s="55"/>
    </row>
    <row r="851" spans="2:22" s="50" customFormat="1" ht="11.25" hidden="1">
      <c r="B851" s="74" t="s">
        <v>462</v>
      </c>
      <c r="C851" s="84"/>
      <c r="D851" s="31"/>
      <c r="E851" s="5"/>
      <c r="F851" s="5"/>
      <c r="G851" s="5"/>
      <c r="H851" s="5"/>
      <c r="I851" s="29"/>
      <c r="J851" s="29"/>
      <c r="K851" s="29"/>
      <c r="L851" s="29"/>
      <c r="M851" s="29"/>
      <c r="N851" s="29"/>
      <c r="O851" s="38">
        <f t="shared" si="97"/>
        <v>0</v>
      </c>
      <c r="P851" s="38">
        <f t="shared" si="96"/>
        <v>0</v>
      </c>
      <c r="Q851" s="38">
        <f t="shared" si="98"/>
        <v>0</v>
      </c>
      <c r="R851" s="38">
        <f t="shared" si="99"/>
        <v>0</v>
      </c>
      <c r="S851" s="38">
        <f t="shared" si="100"/>
        <v>0</v>
      </c>
      <c r="T851" s="38">
        <f t="shared" si="101"/>
        <v>0</v>
      </c>
      <c r="U851" s="38">
        <f t="shared" si="102"/>
        <v>0</v>
      </c>
      <c r="V851" s="55"/>
    </row>
    <row r="852" spans="2:22" s="50" customFormat="1" ht="11.25" hidden="1">
      <c r="B852" s="74" t="s">
        <v>462</v>
      </c>
      <c r="C852" s="84"/>
      <c r="D852" s="31"/>
      <c r="E852" s="5"/>
      <c r="F852" s="5"/>
      <c r="G852" s="5"/>
      <c r="H852" s="5"/>
      <c r="I852" s="29"/>
      <c r="J852" s="29"/>
      <c r="K852" s="29"/>
      <c r="L852" s="29"/>
      <c r="M852" s="29"/>
      <c r="N852" s="29"/>
      <c r="O852" s="38">
        <f t="shared" si="97"/>
        <v>0</v>
      </c>
      <c r="P852" s="38">
        <f t="shared" si="96"/>
        <v>0</v>
      </c>
      <c r="Q852" s="38">
        <f t="shared" si="98"/>
        <v>0</v>
      </c>
      <c r="R852" s="38">
        <f t="shared" si="99"/>
        <v>0</v>
      </c>
      <c r="S852" s="38">
        <f t="shared" si="100"/>
        <v>0</v>
      </c>
      <c r="T852" s="38">
        <f t="shared" si="101"/>
        <v>0</v>
      </c>
      <c r="U852" s="38">
        <f t="shared" si="102"/>
        <v>0</v>
      </c>
      <c r="V852" s="55"/>
    </row>
    <row r="853" spans="2:22" s="50" customFormat="1" ht="11.25" hidden="1">
      <c r="B853" s="74" t="s">
        <v>462</v>
      </c>
      <c r="C853" s="84"/>
      <c r="D853" s="31"/>
      <c r="E853" s="5"/>
      <c r="F853" s="5"/>
      <c r="G853" s="5"/>
      <c r="H853" s="5"/>
      <c r="I853" s="29"/>
      <c r="J853" s="29"/>
      <c r="K853" s="29"/>
      <c r="L853" s="29"/>
      <c r="M853" s="29"/>
      <c r="N853" s="29"/>
      <c r="O853" s="38">
        <f t="shared" si="97"/>
        <v>0</v>
      </c>
      <c r="P853" s="38">
        <f t="shared" si="96"/>
        <v>0</v>
      </c>
      <c r="Q853" s="38">
        <f t="shared" si="98"/>
        <v>0</v>
      </c>
      <c r="R853" s="38">
        <f t="shared" si="99"/>
        <v>0</v>
      </c>
      <c r="S853" s="38">
        <f t="shared" si="100"/>
        <v>0</v>
      </c>
      <c r="T853" s="38">
        <f t="shared" si="101"/>
        <v>0</v>
      </c>
      <c r="U853" s="38">
        <f t="shared" si="102"/>
        <v>0</v>
      </c>
      <c r="V853" s="55"/>
    </row>
    <row r="854" spans="2:22" s="50" customFormat="1" ht="11.25" hidden="1">
      <c r="B854" s="74" t="s">
        <v>462</v>
      </c>
      <c r="C854" s="84"/>
      <c r="D854" s="31"/>
      <c r="E854" s="5"/>
      <c r="F854" s="5"/>
      <c r="G854" s="5"/>
      <c r="H854" s="5"/>
      <c r="I854" s="29"/>
      <c r="J854" s="29"/>
      <c r="K854" s="29"/>
      <c r="L854" s="29"/>
      <c r="M854" s="29"/>
      <c r="N854" s="29"/>
      <c r="O854" s="38">
        <f t="shared" si="97"/>
        <v>0</v>
      </c>
      <c r="P854" s="38">
        <f t="shared" si="96"/>
        <v>0</v>
      </c>
      <c r="Q854" s="38">
        <f t="shared" si="98"/>
        <v>0</v>
      </c>
      <c r="R854" s="38">
        <f t="shared" si="99"/>
        <v>0</v>
      </c>
      <c r="S854" s="38">
        <f t="shared" si="100"/>
        <v>0</v>
      </c>
      <c r="T854" s="38">
        <f t="shared" si="101"/>
        <v>0</v>
      </c>
      <c r="U854" s="38">
        <f t="shared" si="102"/>
        <v>0</v>
      </c>
      <c r="V854" s="55"/>
    </row>
    <row r="855" spans="2:22" s="50" customFormat="1" ht="11.25" hidden="1">
      <c r="B855" s="74" t="s">
        <v>462</v>
      </c>
      <c r="C855" s="84"/>
      <c r="D855" s="31"/>
      <c r="E855" s="5"/>
      <c r="F855" s="5"/>
      <c r="G855" s="5"/>
      <c r="H855" s="5"/>
      <c r="I855" s="29"/>
      <c r="J855" s="29"/>
      <c r="K855" s="29"/>
      <c r="L855" s="29"/>
      <c r="M855" s="29"/>
      <c r="N855" s="29"/>
      <c r="O855" s="38">
        <f t="shared" si="97"/>
        <v>0</v>
      </c>
      <c r="P855" s="38">
        <f t="shared" si="96"/>
        <v>0</v>
      </c>
      <c r="Q855" s="38">
        <f t="shared" si="98"/>
        <v>0</v>
      </c>
      <c r="R855" s="38">
        <f t="shared" si="99"/>
        <v>0</v>
      </c>
      <c r="S855" s="38">
        <f t="shared" si="100"/>
        <v>0</v>
      </c>
      <c r="T855" s="38">
        <f t="shared" si="101"/>
        <v>0</v>
      </c>
      <c r="U855" s="38">
        <f t="shared" si="102"/>
        <v>0</v>
      </c>
      <c r="V855" s="55"/>
    </row>
    <row r="856" spans="2:22" s="50" customFormat="1" ht="11.25" hidden="1">
      <c r="B856" s="74" t="s">
        <v>462</v>
      </c>
      <c r="C856" s="84"/>
      <c r="D856" s="31"/>
      <c r="E856" s="5"/>
      <c r="F856" s="5"/>
      <c r="G856" s="5"/>
      <c r="H856" s="5"/>
      <c r="I856" s="29"/>
      <c r="J856" s="29"/>
      <c r="K856" s="29"/>
      <c r="L856" s="29"/>
      <c r="M856" s="29"/>
      <c r="N856" s="29"/>
      <c r="O856" s="38">
        <f t="shared" si="97"/>
        <v>0</v>
      </c>
      <c r="P856" s="38">
        <f t="shared" si="96"/>
        <v>0</v>
      </c>
      <c r="Q856" s="38">
        <f t="shared" si="98"/>
        <v>0</v>
      </c>
      <c r="R856" s="38">
        <f t="shared" si="99"/>
        <v>0</v>
      </c>
      <c r="S856" s="38">
        <f t="shared" si="100"/>
        <v>0</v>
      </c>
      <c r="T856" s="38">
        <f t="shared" si="101"/>
        <v>0</v>
      </c>
      <c r="U856" s="38">
        <f t="shared" si="102"/>
        <v>0</v>
      </c>
      <c r="V856" s="55"/>
    </row>
    <row r="857" spans="2:22" s="50" customFormat="1" ht="11.25" hidden="1">
      <c r="B857" s="74" t="s">
        <v>462</v>
      </c>
      <c r="C857" s="84"/>
      <c r="D857" s="31"/>
      <c r="E857" s="5"/>
      <c r="F857" s="5"/>
      <c r="G857" s="5"/>
      <c r="H857" s="5"/>
      <c r="I857" s="29"/>
      <c r="J857" s="29"/>
      <c r="K857" s="29"/>
      <c r="L857" s="29"/>
      <c r="M857" s="29"/>
      <c r="N857" s="29"/>
      <c r="O857" s="38">
        <f t="shared" si="97"/>
        <v>0</v>
      </c>
      <c r="P857" s="38">
        <f t="shared" si="96"/>
        <v>0</v>
      </c>
      <c r="Q857" s="38">
        <f t="shared" si="98"/>
        <v>0</v>
      </c>
      <c r="R857" s="38">
        <f t="shared" si="99"/>
        <v>0</v>
      </c>
      <c r="S857" s="38">
        <f t="shared" si="100"/>
        <v>0</v>
      </c>
      <c r="T857" s="38">
        <f t="shared" si="101"/>
        <v>0</v>
      </c>
      <c r="U857" s="38">
        <f t="shared" si="102"/>
        <v>0</v>
      </c>
      <c r="V857" s="55"/>
    </row>
    <row r="858" spans="2:22" s="50" customFormat="1" ht="11.25" hidden="1">
      <c r="B858" s="74" t="s">
        <v>462</v>
      </c>
      <c r="C858" s="84"/>
      <c r="D858" s="31"/>
      <c r="E858" s="5"/>
      <c r="F858" s="5"/>
      <c r="G858" s="5"/>
      <c r="H858" s="5"/>
      <c r="I858" s="29"/>
      <c r="J858" s="29"/>
      <c r="K858" s="29"/>
      <c r="L858" s="29"/>
      <c r="M858" s="29"/>
      <c r="N858" s="29"/>
      <c r="O858" s="38">
        <f t="shared" si="97"/>
        <v>0</v>
      </c>
      <c r="P858" s="38">
        <f t="shared" si="96"/>
        <v>0</v>
      </c>
      <c r="Q858" s="38">
        <f t="shared" si="98"/>
        <v>0</v>
      </c>
      <c r="R858" s="38">
        <f t="shared" si="99"/>
        <v>0</v>
      </c>
      <c r="S858" s="38">
        <f t="shared" si="100"/>
        <v>0</v>
      </c>
      <c r="T858" s="38">
        <f t="shared" si="101"/>
        <v>0</v>
      </c>
      <c r="U858" s="38">
        <f t="shared" si="102"/>
        <v>0</v>
      </c>
      <c r="V858" s="55"/>
    </row>
    <row r="859" spans="2:22" s="50" customFormat="1" ht="11.25" hidden="1">
      <c r="B859" s="74" t="s">
        <v>462</v>
      </c>
      <c r="C859" s="84"/>
      <c r="D859" s="31"/>
      <c r="E859" s="5"/>
      <c r="F859" s="5"/>
      <c r="G859" s="5"/>
      <c r="H859" s="5"/>
      <c r="I859" s="29"/>
      <c r="J859" s="29"/>
      <c r="K859" s="29"/>
      <c r="L859" s="29"/>
      <c r="M859" s="29"/>
      <c r="N859" s="29"/>
      <c r="O859" s="38">
        <f t="shared" si="97"/>
        <v>0</v>
      </c>
      <c r="P859" s="38">
        <f t="shared" si="96"/>
        <v>0</v>
      </c>
      <c r="Q859" s="38">
        <f t="shared" si="98"/>
        <v>0</v>
      </c>
      <c r="R859" s="38">
        <f t="shared" si="99"/>
        <v>0</v>
      </c>
      <c r="S859" s="38">
        <f t="shared" si="100"/>
        <v>0</v>
      </c>
      <c r="T859" s="38">
        <f t="shared" si="101"/>
        <v>0</v>
      </c>
      <c r="U859" s="38">
        <f t="shared" si="102"/>
        <v>0</v>
      </c>
      <c r="V859" s="55"/>
    </row>
    <row r="860" spans="2:22" s="50" customFormat="1" ht="11.25" hidden="1">
      <c r="B860" s="74" t="s">
        <v>462</v>
      </c>
      <c r="C860" s="84"/>
      <c r="D860" s="31"/>
      <c r="E860" s="5"/>
      <c r="F860" s="5"/>
      <c r="G860" s="5"/>
      <c r="H860" s="5"/>
      <c r="I860" s="29"/>
      <c r="J860" s="29"/>
      <c r="K860" s="29"/>
      <c r="L860" s="29"/>
      <c r="M860" s="29"/>
      <c r="N860" s="29"/>
      <c r="O860" s="38">
        <f t="shared" si="97"/>
        <v>0</v>
      </c>
      <c r="P860" s="38">
        <f t="shared" si="96"/>
        <v>0</v>
      </c>
      <c r="Q860" s="38">
        <f t="shared" si="98"/>
        <v>0</v>
      </c>
      <c r="R860" s="38">
        <f t="shared" si="99"/>
        <v>0</v>
      </c>
      <c r="S860" s="38">
        <f t="shared" si="100"/>
        <v>0</v>
      </c>
      <c r="T860" s="38">
        <f t="shared" si="101"/>
        <v>0</v>
      </c>
      <c r="U860" s="38">
        <f t="shared" si="102"/>
        <v>0</v>
      </c>
      <c r="V860" s="55"/>
    </row>
    <row r="861" spans="2:22" s="50" customFormat="1" ht="11.25" hidden="1">
      <c r="B861" s="74" t="s">
        <v>462</v>
      </c>
      <c r="C861" s="84"/>
      <c r="D861" s="31"/>
      <c r="E861" s="5"/>
      <c r="F861" s="5"/>
      <c r="G861" s="5"/>
      <c r="H861" s="5"/>
      <c r="I861" s="29"/>
      <c r="J861" s="29"/>
      <c r="K861" s="29"/>
      <c r="L861" s="29"/>
      <c r="M861" s="29"/>
      <c r="N861" s="29"/>
      <c r="O861" s="38">
        <f t="shared" si="97"/>
        <v>0</v>
      </c>
      <c r="P861" s="38">
        <f t="shared" si="96"/>
        <v>0</v>
      </c>
      <c r="Q861" s="38">
        <f t="shared" si="98"/>
        <v>0</v>
      </c>
      <c r="R861" s="38">
        <f t="shared" si="99"/>
        <v>0</v>
      </c>
      <c r="S861" s="38">
        <f t="shared" si="100"/>
        <v>0</v>
      </c>
      <c r="T861" s="38">
        <f t="shared" si="101"/>
        <v>0</v>
      </c>
      <c r="U861" s="38">
        <f t="shared" si="102"/>
        <v>0</v>
      </c>
      <c r="V861" s="55"/>
    </row>
    <row r="862" spans="2:22" s="50" customFormat="1" ht="11.25" hidden="1">
      <c r="B862" s="74" t="s">
        <v>462</v>
      </c>
      <c r="C862" s="84"/>
      <c r="D862" s="31"/>
      <c r="E862" s="5"/>
      <c r="F862" s="5"/>
      <c r="G862" s="5"/>
      <c r="H862" s="5"/>
      <c r="I862" s="29"/>
      <c r="J862" s="29"/>
      <c r="K862" s="29"/>
      <c r="L862" s="29"/>
      <c r="M862" s="29"/>
      <c r="N862" s="29"/>
      <c r="O862" s="38">
        <f t="shared" si="97"/>
        <v>0</v>
      </c>
      <c r="P862" s="38">
        <f t="shared" si="96"/>
        <v>0</v>
      </c>
      <c r="Q862" s="38">
        <f t="shared" si="98"/>
        <v>0</v>
      </c>
      <c r="R862" s="38">
        <f t="shared" si="99"/>
        <v>0</v>
      </c>
      <c r="S862" s="38">
        <f t="shared" si="100"/>
        <v>0</v>
      </c>
      <c r="T862" s="38">
        <f t="shared" si="101"/>
        <v>0</v>
      </c>
      <c r="U862" s="38">
        <f t="shared" si="102"/>
        <v>0</v>
      </c>
      <c r="V862" s="55"/>
    </row>
    <row r="863" spans="2:22" s="50" customFormat="1" ht="11.25" hidden="1">
      <c r="B863" s="74" t="s">
        <v>462</v>
      </c>
      <c r="C863" s="84"/>
      <c r="D863" s="31"/>
      <c r="E863" s="5"/>
      <c r="F863" s="5"/>
      <c r="G863" s="5"/>
      <c r="H863" s="5"/>
      <c r="I863" s="29"/>
      <c r="J863" s="29"/>
      <c r="K863" s="29"/>
      <c r="L863" s="29"/>
      <c r="M863" s="29"/>
      <c r="N863" s="29"/>
      <c r="O863" s="38">
        <f t="shared" si="97"/>
        <v>0</v>
      </c>
      <c r="P863" s="38">
        <f t="shared" si="96"/>
        <v>0</v>
      </c>
      <c r="Q863" s="38">
        <f t="shared" si="98"/>
        <v>0</v>
      </c>
      <c r="R863" s="38">
        <f t="shared" si="99"/>
        <v>0</v>
      </c>
      <c r="S863" s="38">
        <f t="shared" si="100"/>
        <v>0</v>
      </c>
      <c r="T863" s="38">
        <f t="shared" si="101"/>
        <v>0</v>
      </c>
      <c r="U863" s="38">
        <f t="shared" si="102"/>
        <v>0</v>
      </c>
      <c r="V863" s="55"/>
    </row>
    <row r="864" spans="2:22" s="50" customFormat="1" ht="11.25" hidden="1">
      <c r="B864" s="74" t="s">
        <v>462</v>
      </c>
      <c r="C864" s="84"/>
      <c r="D864" s="31"/>
      <c r="E864" s="5"/>
      <c r="F864" s="5"/>
      <c r="G864" s="5"/>
      <c r="H864" s="5"/>
      <c r="I864" s="29"/>
      <c r="J864" s="29"/>
      <c r="K864" s="29"/>
      <c r="L864" s="29"/>
      <c r="M864" s="29"/>
      <c r="N864" s="29"/>
      <c r="O864" s="38">
        <f t="shared" si="97"/>
        <v>0</v>
      </c>
      <c r="P864" s="38">
        <f t="shared" si="96"/>
        <v>0</v>
      </c>
      <c r="Q864" s="38">
        <f t="shared" si="98"/>
        <v>0</v>
      </c>
      <c r="R864" s="38">
        <f t="shared" si="99"/>
        <v>0</v>
      </c>
      <c r="S864" s="38">
        <f t="shared" si="100"/>
        <v>0</v>
      </c>
      <c r="T864" s="38">
        <f t="shared" si="101"/>
        <v>0</v>
      </c>
      <c r="U864" s="38">
        <f t="shared" si="102"/>
        <v>0</v>
      </c>
      <c r="V864" s="55"/>
    </row>
    <row r="865" spans="2:22" s="50" customFormat="1" ht="11.25" hidden="1">
      <c r="B865" s="74" t="s">
        <v>462</v>
      </c>
      <c r="C865" s="84"/>
      <c r="D865" s="31"/>
      <c r="E865" s="5"/>
      <c r="F865" s="5"/>
      <c r="G865" s="5"/>
      <c r="H865" s="5"/>
      <c r="I865" s="29"/>
      <c r="J865" s="29"/>
      <c r="K865" s="29"/>
      <c r="L865" s="29"/>
      <c r="M865" s="29"/>
      <c r="N865" s="29"/>
      <c r="O865" s="38">
        <f t="shared" si="97"/>
        <v>0</v>
      </c>
      <c r="P865" s="38">
        <f t="shared" si="96"/>
        <v>0</v>
      </c>
      <c r="Q865" s="38">
        <f t="shared" si="98"/>
        <v>0</v>
      </c>
      <c r="R865" s="38">
        <f t="shared" si="99"/>
        <v>0</v>
      </c>
      <c r="S865" s="38">
        <f t="shared" si="100"/>
        <v>0</v>
      </c>
      <c r="T865" s="38">
        <f t="shared" si="101"/>
        <v>0</v>
      </c>
      <c r="U865" s="38">
        <f t="shared" si="102"/>
        <v>0</v>
      </c>
      <c r="V865" s="55"/>
    </row>
    <row r="866" spans="2:22" s="50" customFormat="1" ht="11.25" hidden="1">
      <c r="B866" s="74" t="s">
        <v>462</v>
      </c>
      <c r="C866" s="84"/>
      <c r="D866" s="31"/>
      <c r="E866" s="5"/>
      <c r="F866" s="5"/>
      <c r="G866" s="5"/>
      <c r="H866" s="5"/>
      <c r="I866" s="29"/>
      <c r="J866" s="29"/>
      <c r="K866" s="29"/>
      <c r="L866" s="29"/>
      <c r="M866" s="29"/>
      <c r="N866" s="29"/>
      <c r="O866" s="38">
        <f t="shared" si="97"/>
        <v>0</v>
      </c>
      <c r="P866" s="38">
        <f t="shared" si="96"/>
        <v>0</v>
      </c>
      <c r="Q866" s="38">
        <f t="shared" si="98"/>
        <v>0</v>
      </c>
      <c r="R866" s="38">
        <f t="shared" si="99"/>
        <v>0</v>
      </c>
      <c r="S866" s="38">
        <f t="shared" si="100"/>
        <v>0</v>
      </c>
      <c r="T866" s="38">
        <f t="shared" si="101"/>
        <v>0</v>
      </c>
      <c r="U866" s="38">
        <f t="shared" si="102"/>
        <v>0</v>
      </c>
      <c r="V866" s="55"/>
    </row>
    <row r="867" spans="2:22" s="50" customFormat="1" ht="11.25" hidden="1">
      <c r="B867" s="74" t="s">
        <v>462</v>
      </c>
      <c r="C867" s="84"/>
      <c r="D867" s="31"/>
      <c r="E867" s="5"/>
      <c r="F867" s="5"/>
      <c r="G867" s="5"/>
      <c r="H867" s="5"/>
      <c r="I867" s="29"/>
      <c r="J867" s="29"/>
      <c r="K867" s="29"/>
      <c r="L867" s="29"/>
      <c r="M867" s="29"/>
      <c r="N867" s="29"/>
      <c r="O867" s="38">
        <f t="shared" si="97"/>
        <v>0</v>
      </c>
      <c r="P867" s="38">
        <f t="shared" si="96"/>
        <v>0</v>
      </c>
      <c r="Q867" s="38">
        <f t="shared" si="98"/>
        <v>0</v>
      </c>
      <c r="R867" s="38">
        <f t="shared" si="99"/>
        <v>0</v>
      </c>
      <c r="S867" s="38">
        <f t="shared" si="100"/>
        <v>0</v>
      </c>
      <c r="T867" s="38">
        <f t="shared" si="101"/>
        <v>0</v>
      </c>
      <c r="U867" s="38">
        <f t="shared" si="102"/>
        <v>0</v>
      </c>
      <c r="V867" s="55"/>
    </row>
    <row r="868" spans="2:22" s="50" customFormat="1" ht="11.25" hidden="1">
      <c r="B868" s="74" t="s">
        <v>462</v>
      </c>
      <c r="C868" s="84"/>
      <c r="D868" s="31"/>
      <c r="E868" s="5"/>
      <c r="F868" s="5"/>
      <c r="G868" s="5"/>
      <c r="H868" s="5"/>
      <c r="I868" s="29"/>
      <c r="J868" s="29"/>
      <c r="K868" s="29"/>
      <c r="L868" s="29"/>
      <c r="M868" s="29"/>
      <c r="N868" s="29"/>
      <c r="O868" s="38">
        <f t="shared" si="97"/>
        <v>0</v>
      </c>
      <c r="P868" s="38">
        <f t="shared" si="96"/>
        <v>0</v>
      </c>
      <c r="Q868" s="38">
        <f t="shared" si="98"/>
        <v>0</v>
      </c>
      <c r="R868" s="38">
        <f t="shared" si="99"/>
        <v>0</v>
      </c>
      <c r="S868" s="38">
        <f t="shared" si="100"/>
        <v>0</v>
      </c>
      <c r="T868" s="38">
        <f t="shared" si="101"/>
        <v>0</v>
      </c>
      <c r="U868" s="38">
        <f t="shared" si="102"/>
        <v>0</v>
      </c>
      <c r="V868" s="55"/>
    </row>
    <row r="869" spans="2:22" s="50" customFormat="1" ht="11.25" hidden="1">
      <c r="B869" s="74" t="s">
        <v>462</v>
      </c>
      <c r="C869" s="84"/>
      <c r="D869" s="31"/>
      <c r="E869" s="5"/>
      <c r="F869" s="5"/>
      <c r="G869" s="5"/>
      <c r="H869" s="5"/>
      <c r="I869" s="29"/>
      <c r="J869" s="29"/>
      <c r="K869" s="29"/>
      <c r="L869" s="29"/>
      <c r="M869" s="29"/>
      <c r="N869" s="29"/>
      <c r="O869" s="38">
        <f t="shared" si="97"/>
        <v>0</v>
      </c>
      <c r="P869" s="38">
        <f t="shared" si="96"/>
        <v>0</v>
      </c>
      <c r="Q869" s="38">
        <f t="shared" si="98"/>
        <v>0</v>
      </c>
      <c r="R869" s="38">
        <f t="shared" si="99"/>
        <v>0</v>
      </c>
      <c r="S869" s="38">
        <f t="shared" si="100"/>
        <v>0</v>
      </c>
      <c r="T869" s="38">
        <f t="shared" si="101"/>
        <v>0</v>
      </c>
      <c r="U869" s="38">
        <f t="shared" si="102"/>
        <v>0</v>
      </c>
      <c r="V869" s="55"/>
    </row>
    <row r="870" spans="2:22" s="50" customFormat="1" ht="11.25" hidden="1">
      <c r="B870" s="74" t="s">
        <v>462</v>
      </c>
      <c r="C870" s="84"/>
      <c r="D870" s="31"/>
      <c r="E870" s="5"/>
      <c r="F870" s="5"/>
      <c r="G870" s="5"/>
      <c r="H870" s="5"/>
      <c r="I870" s="29"/>
      <c r="J870" s="29"/>
      <c r="K870" s="29"/>
      <c r="L870" s="29"/>
      <c r="M870" s="29"/>
      <c r="N870" s="29"/>
      <c r="O870" s="38">
        <f t="shared" si="97"/>
        <v>0</v>
      </c>
      <c r="P870" s="38">
        <f t="shared" si="96"/>
        <v>0</v>
      </c>
      <c r="Q870" s="38">
        <f t="shared" si="98"/>
        <v>0</v>
      </c>
      <c r="R870" s="38">
        <f t="shared" si="99"/>
        <v>0</v>
      </c>
      <c r="S870" s="38">
        <f t="shared" si="100"/>
        <v>0</v>
      </c>
      <c r="T870" s="38">
        <f t="shared" si="101"/>
        <v>0</v>
      </c>
      <c r="U870" s="38">
        <f t="shared" si="102"/>
        <v>0</v>
      </c>
      <c r="V870" s="55"/>
    </row>
    <row r="871" spans="2:22" s="50" customFormat="1" ht="11.25" hidden="1">
      <c r="B871" s="74" t="s">
        <v>462</v>
      </c>
      <c r="C871" s="84"/>
      <c r="D871" s="31"/>
      <c r="E871" s="5"/>
      <c r="F871" s="5"/>
      <c r="G871" s="5"/>
      <c r="H871" s="5"/>
      <c r="I871" s="29"/>
      <c r="J871" s="29"/>
      <c r="K871" s="29"/>
      <c r="L871" s="29"/>
      <c r="M871" s="29"/>
      <c r="N871" s="29"/>
      <c r="O871" s="38">
        <f t="shared" si="97"/>
        <v>0</v>
      </c>
      <c r="P871" s="38">
        <f t="shared" si="96"/>
        <v>0</v>
      </c>
      <c r="Q871" s="38">
        <f t="shared" si="98"/>
        <v>0</v>
      </c>
      <c r="R871" s="38">
        <f t="shared" si="99"/>
        <v>0</v>
      </c>
      <c r="S871" s="38">
        <f t="shared" si="100"/>
        <v>0</v>
      </c>
      <c r="T871" s="38">
        <f t="shared" si="101"/>
        <v>0</v>
      </c>
      <c r="U871" s="38">
        <f t="shared" si="102"/>
        <v>0</v>
      </c>
      <c r="V871" s="55"/>
    </row>
    <row r="872" spans="2:22" s="50" customFormat="1" ht="11.25" hidden="1">
      <c r="B872" s="74" t="s">
        <v>462</v>
      </c>
      <c r="C872" s="84"/>
      <c r="D872" s="31"/>
      <c r="E872" s="5"/>
      <c r="F872" s="5"/>
      <c r="G872" s="5"/>
      <c r="H872" s="5"/>
      <c r="I872" s="29"/>
      <c r="J872" s="29"/>
      <c r="K872" s="29"/>
      <c r="L872" s="29"/>
      <c r="M872" s="29"/>
      <c r="N872" s="29"/>
      <c r="O872" s="38">
        <f t="shared" si="97"/>
        <v>0</v>
      </c>
      <c r="P872" s="38">
        <f t="shared" si="96"/>
        <v>0</v>
      </c>
      <c r="Q872" s="38">
        <f t="shared" si="98"/>
        <v>0</v>
      </c>
      <c r="R872" s="38">
        <f t="shared" si="99"/>
        <v>0</v>
      </c>
      <c r="S872" s="38">
        <f t="shared" si="100"/>
        <v>0</v>
      </c>
      <c r="T872" s="38">
        <f t="shared" si="101"/>
        <v>0</v>
      </c>
      <c r="U872" s="38">
        <f t="shared" si="102"/>
        <v>0</v>
      </c>
      <c r="V872" s="55"/>
    </row>
    <row r="873" spans="2:22" s="50" customFormat="1" ht="11.25" hidden="1">
      <c r="B873" s="74" t="s">
        <v>462</v>
      </c>
      <c r="C873" s="84"/>
      <c r="D873" s="31"/>
      <c r="E873" s="5"/>
      <c r="F873" s="5"/>
      <c r="G873" s="5"/>
      <c r="H873" s="5"/>
      <c r="I873" s="29"/>
      <c r="J873" s="29"/>
      <c r="K873" s="29"/>
      <c r="L873" s="29"/>
      <c r="M873" s="29"/>
      <c r="N873" s="29"/>
      <c r="O873" s="38">
        <f t="shared" si="97"/>
        <v>0</v>
      </c>
      <c r="P873" s="38">
        <f t="shared" si="96"/>
        <v>0</v>
      </c>
      <c r="Q873" s="38">
        <f t="shared" si="98"/>
        <v>0</v>
      </c>
      <c r="R873" s="38">
        <f t="shared" si="99"/>
        <v>0</v>
      </c>
      <c r="S873" s="38">
        <f t="shared" si="100"/>
        <v>0</v>
      </c>
      <c r="T873" s="38">
        <f t="shared" si="101"/>
        <v>0</v>
      </c>
      <c r="U873" s="38">
        <f t="shared" si="102"/>
        <v>0</v>
      </c>
      <c r="V873" s="55"/>
    </row>
    <row r="874" spans="2:22" s="50" customFormat="1" ht="11.25" hidden="1">
      <c r="B874" s="74" t="s">
        <v>462</v>
      </c>
      <c r="C874" s="84"/>
      <c r="D874" s="31"/>
      <c r="E874" s="5"/>
      <c r="F874" s="5"/>
      <c r="G874" s="5"/>
      <c r="H874" s="5"/>
      <c r="I874" s="29"/>
      <c r="J874" s="29"/>
      <c r="K874" s="29"/>
      <c r="L874" s="29"/>
      <c r="M874" s="29"/>
      <c r="N874" s="29"/>
      <c r="O874" s="38">
        <f t="shared" si="97"/>
        <v>0</v>
      </c>
      <c r="P874" s="38">
        <f t="shared" si="96"/>
        <v>0</v>
      </c>
      <c r="Q874" s="38">
        <f t="shared" si="98"/>
        <v>0</v>
      </c>
      <c r="R874" s="38">
        <f t="shared" si="99"/>
        <v>0</v>
      </c>
      <c r="S874" s="38">
        <f t="shared" si="100"/>
        <v>0</v>
      </c>
      <c r="T874" s="38">
        <f t="shared" si="101"/>
        <v>0</v>
      </c>
      <c r="U874" s="38">
        <f t="shared" si="102"/>
        <v>0</v>
      </c>
      <c r="V874" s="55"/>
    </row>
    <row r="875" spans="2:22" s="50" customFormat="1" ht="11.25" hidden="1">
      <c r="B875" s="74" t="s">
        <v>462</v>
      </c>
      <c r="C875" s="84"/>
      <c r="D875" s="31"/>
      <c r="E875" s="5"/>
      <c r="F875" s="5"/>
      <c r="G875" s="5"/>
      <c r="H875" s="5"/>
      <c r="I875" s="29"/>
      <c r="J875" s="29"/>
      <c r="K875" s="29"/>
      <c r="L875" s="29"/>
      <c r="M875" s="29"/>
      <c r="N875" s="29"/>
      <c r="O875" s="38">
        <f t="shared" si="97"/>
        <v>0</v>
      </c>
      <c r="P875" s="38">
        <f t="shared" si="96"/>
        <v>0</v>
      </c>
      <c r="Q875" s="38">
        <f t="shared" si="98"/>
        <v>0</v>
      </c>
      <c r="R875" s="38">
        <f t="shared" si="99"/>
        <v>0</v>
      </c>
      <c r="S875" s="38">
        <f t="shared" si="100"/>
        <v>0</v>
      </c>
      <c r="T875" s="38">
        <f t="shared" si="101"/>
        <v>0</v>
      </c>
      <c r="U875" s="38">
        <f t="shared" si="102"/>
        <v>0</v>
      </c>
      <c r="V875" s="55"/>
    </row>
    <row r="876" spans="2:22" s="50" customFormat="1" ht="11.25" hidden="1">
      <c r="B876" s="74" t="s">
        <v>462</v>
      </c>
      <c r="C876" s="84"/>
      <c r="D876" s="31"/>
      <c r="E876" s="5"/>
      <c r="F876" s="5"/>
      <c r="G876" s="5"/>
      <c r="H876" s="5"/>
      <c r="I876" s="29"/>
      <c r="J876" s="29"/>
      <c r="K876" s="29"/>
      <c r="L876" s="29"/>
      <c r="M876" s="29"/>
      <c r="N876" s="29"/>
      <c r="O876" s="38">
        <f t="shared" si="97"/>
        <v>0</v>
      </c>
      <c r="P876" s="38">
        <f t="shared" si="96"/>
        <v>0</v>
      </c>
      <c r="Q876" s="38">
        <f t="shared" si="98"/>
        <v>0</v>
      </c>
      <c r="R876" s="38">
        <f t="shared" si="99"/>
        <v>0</v>
      </c>
      <c r="S876" s="38">
        <f t="shared" si="100"/>
        <v>0</v>
      </c>
      <c r="T876" s="38">
        <f t="shared" si="101"/>
        <v>0</v>
      </c>
      <c r="U876" s="38">
        <f t="shared" si="102"/>
        <v>0</v>
      </c>
      <c r="V876" s="55"/>
    </row>
    <row r="877" spans="2:22" s="50" customFormat="1" ht="11.25" hidden="1">
      <c r="B877" s="74" t="s">
        <v>462</v>
      </c>
      <c r="C877" s="84"/>
      <c r="D877" s="31"/>
      <c r="E877" s="5"/>
      <c r="F877" s="5"/>
      <c r="G877" s="5"/>
      <c r="H877" s="5"/>
      <c r="I877" s="29"/>
      <c r="J877" s="29"/>
      <c r="K877" s="29"/>
      <c r="L877" s="29"/>
      <c r="M877" s="29"/>
      <c r="N877" s="29"/>
      <c r="O877" s="38">
        <f t="shared" si="97"/>
        <v>0</v>
      </c>
      <c r="P877" s="38">
        <f t="shared" si="96"/>
        <v>0</v>
      </c>
      <c r="Q877" s="38">
        <f t="shared" si="98"/>
        <v>0</v>
      </c>
      <c r="R877" s="38">
        <f t="shared" si="99"/>
        <v>0</v>
      </c>
      <c r="S877" s="38">
        <f t="shared" si="100"/>
        <v>0</v>
      </c>
      <c r="T877" s="38">
        <f t="shared" si="101"/>
        <v>0</v>
      </c>
      <c r="U877" s="38">
        <f t="shared" si="102"/>
        <v>0</v>
      </c>
      <c r="V877" s="55"/>
    </row>
    <row r="878" spans="2:22" s="50" customFormat="1" ht="11.25" hidden="1">
      <c r="B878" s="74" t="s">
        <v>462</v>
      </c>
      <c r="C878" s="84"/>
      <c r="D878" s="31"/>
      <c r="E878" s="5"/>
      <c r="F878" s="5"/>
      <c r="G878" s="5"/>
      <c r="H878" s="5"/>
      <c r="I878" s="29"/>
      <c r="J878" s="29"/>
      <c r="K878" s="29"/>
      <c r="L878" s="29"/>
      <c r="M878" s="29"/>
      <c r="N878" s="29"/>
      <c r="O878" s="38">
        <f t="shared" si="97"/>
        <v>0</v>
      </c>
      <c r="P878" s="38">
        <f t="shared" si="96"/>
        <v>0</v>
      </c>
      <c r="Q878" s="38">
        <f t="shared" si="98"/>
        <v>0</v>
      </c>
      <c r="R878" s="38">
        <f t="shared" si="99"/>
        <v>0</v>
      </c>
      <c r="S878" s="38">
        <f t="shared" si="100"/>
        <v>0</v>
      </c>
      <c r="T878" s="38">
        <f t="shared" si="101"/>
        <v>0</v>
      </c>
      <c r="U878" s="38">
        <f t="shared" si="102"/>
        <v>0</v>
      </c>
      <c r="V878" s="55"/>
    </row>
    <row r="879" spans="2:22" s="50" customFormat="1" ht="11.25" hidden="1">
      <c r="B879" s="74" t="s">
        <v>462</v>
      </c>
      <c r="C879" s="84"/>
      <c r="D879" s="31"/>
      <c r="E879" s="5"/>
      <c r="F879" s="5"/>
      <c r="G879" s="5"/>
      <c r="H879" s="5"/>
      <c r="I879" s="29"/>
      <c r="J879" s="29"/>
      <c r="K879" s="29"/>
      <c r="L879" s="29"/>
      <c r="M879" s="29"/>
      <c r="N879" s="29"/>
      <c r="O879" s="38">
        <f t="shared" si="97"/>
        <v>0</v>
      </c>
      <c r="P879" s="38">
        <f t="shared" si="96"/>
        <v>0</v>
      </c>
      <c r="Q879" s="38">
        <f t="shared" si="98"/>
        <v>0</v>
      </c>
      <c r="R879" s="38">
        <f t="shared" si="99"/>
        <v>0</v>
      </c>
      <c r="S879" s="38">
        <f t="shared" si="100"/>
        <v>0</v>
      </c>
      <c r="T879" s="38">
        <f t="shared" si="101"/>
        <v>0</v>
      </c>
      <c r="U879" s="38">
        <f t="shared" si="102"/>
        <v>0</v>
      </c>
      <c r="V879" s="55"/>
    </row>
    <row r="880" spans="2:22" s="50" customFormat="1" ht="11.25" hidden="1">
      <c r="B880" s="74" t="s">
        <v>462</v>
      </c>
      <c r="C880" s="84"/>
      <c r="D880" s="31"/>
      <c r="E880" s="5"/>
      <c r="F880" s="5"/>
      <c r="G880" s="5"/>
      <c r="H880" s="5"/>
      <c r="I880" s="29"/>
      <c r="J880" s="29"/>
      <c r="K880" s="29"/>
      <c r="L880" s="29"/>
      <c r="M880" s="29"/>
      <c r="N880" s="29"/>
      <c r="O880" s="38">
        <f t="shared" si="97"/>
        <v>0</v>
      </c>
      <c r="P880" s="38">
        <f t="shared" si="96"/>
        <v>0</v>
      </c>
      <c r="Q880" s="38">
        <f t="shared" si="98"/>
        <v>0</v>
      </c>
      <c r="R880" s="38">
        <f t="shared" si="99"/>
        <v>0</v>
      </c>
      <c r="S880" s="38">
        <f t="shared" si="100"/>
        <v>0</v>
      </c>
      <c r="T880" s="38">
        <f t="shared" si="101"/>
        <v>0</v>
      </c>
      <c r="U880" s="38">
        <f t="shared" si="102"/>
        <v>0</v>
      </c>
      <c r="V880" s="55"/>
    </row>
    <row r="881" spans="2:22" s="50" customFormat="1" ht="11.25" hidden="1">
      <c r="B881" s="74" t="s">
        <v>462</v>
      </c>
      <c r="C881" s="84"/>
      <c r="D881" s="31"/>
      <c r="E881" s="5"/>
      <c r="F881" s="5"/>
      <c r="G881" s="5"/>
      <c r="H881" s="5"/>
      <c r="I881" s="29"/>
      <c r="J881" s="29"/>
      <c r="K881" s="29"/>
      <c r="L881" s="29"/>
      <c r="M881" s="29"/>
      <c r="N881" s="29"/>
      <c r="O881" s="38">
        <f t="shared" si="97"/>
        <v>0</v>
      </c>
      <c r="P881" s="38">
        <f t="shared" si="96"/>
        <v>0</v>
      </c>
      <c r="Q881" s="38">
        <f t="shared" si="98"/>
        <v>0</v>
      </c>
      <c r="R881" s="38">
        <f t="shared" si="99"/>
        <v>0</v>
      </c>
      <c r="S881" s="38">
        <f t="shared" si="100"/>
        <v>0</v>
      </c>
      <c r="T881" s="38">
        <f t="shared" si="101"/>
        <v>0</v>
      </c>
      <c r="U881" s="38">
        <f t="shared" si="102"/>
        <v>0</v>
      </c>
      <c r="V881" s="55"/>
    </row>
    <row r="882" spans="2:22" s="50" customFormat="1" ht="11.25" hidden="1">
      <c r="B882" s="74" t="s">
        <v>462</v>
      </c>
      <c r="C882" s="84"/>
      <c r="D882" s="31"/>
      <c r="E882" s="5"/>
      <c r="F882" s="5"/>
      <c r="G882" s="5"/>
      <c r="H882" s="5"/>
      <c r="I882" s="29"/>
      <c r="J882" s="29"/>
      <c r="K882" s="29"/>
      <c r="L882" s="29"/>
      <c r="M882" s="29"/>
      <c r="N882" s="29"/>
      <c r="O882" s="38">
        <f t="shared" si="97"/>
        <v>0</v>
      </c>
      <c r="P882" s="38">
        <f t="shared" si="96"/>
        <v>0</v>
      </c>
      <c r="Q882" s="38">
        <f t="shared" si="98"/>
        <v>0</v>
      </c>
      <c r="R882" s="38">
        <f t="shared" si="99"/>
        <v>0</v>
      </c>
      <c r="S882" s="38">
        <f t="shared" si="100"/>
        <v>0</v>
      </c>
      <c r="T882" s="38">
        <f t="shared" si="101"/>
        <v>0</v>
      </c>
      <c r="U882" s="38">
        <f t="shared" si="102"/>
        <v>0</v>
      </c>
      <c r="V882" s="55"/>
    </row>
    <row r="883" spans="2:22" s="50" customFormat="1" ht="11.25" hidden="1">
      <c r="B883" s="74" t="s">
        <v>462</v>
      </c>
      <c r="C883" s="84"/>
      <c r="D883" s="31"/>
      <c r="E883" s="5"/>
      <c r="F883" s="5"/>
      <c r="G883" s="5"/>
      <c r="H883" s="5"/>
      <c r="I883" s="29"/>
      <c r="J883" s="29"/>
      <c r="K883" s="29"/>
      <c r="L883" s="29"/>
      <c r="M883" s="29"/>
      <c r="N883" s="29"/>
      <c r="O883" s="38">
        <f t="shared" si="97"/>
        <v>0</v>
      </c>
      <c r="P883" s="38">
        <f t="shared" si="96"/>
        <v>0</v>
      </c>
      <c r="Q883" s="38">
        <f t="shared" si="98"/>
        <v>0</v>
      </c>
      <c r="R883" s="38">
        <f t="shared" si="99"/>
        <v>0</v>
      </c>
      <c r="S883" s="38">
        <f t="shared" si="100"/>
        <v>0</v>
      </c>
      <c r="T883" s="38">
        <f t="shared" si="101"/>
        <v>0</v>
      </c>
      <c r="U883" s="38">
        <f t="shared" si="102"/>
        <v>0</v>
      </c>
      <c r="V883" s="55"/>
    </row>
    <row r="884" spans="2:22" s="50" customFormat="1" ht="11.25" hidden="1">
      <c r="B884" s="74" t="s">
        <v>462</v>
      </c>
      <c r="C884" s="84"/>
      <c r="D884" s="31"/>
      <c r="E884" s="5"/>
      <c r="F884" s="5"/>
      <c r="G884" s="5"/>
      <c r="H884" s="5"/>
      <c r="I884" s="29"/>
      <c r="J884" s="29"/>
      <c r="K884" s="29"/>
      <c r="L884" s="29"/>
      <c r="M884" s="29"/>
      <c r="N884" s="29"/>
      <c r="O884" s="38">
        <f t="shared" si="97"/>
        <v>0</v>
      </c>
      <c r="P884" s="38">
        <f t="shared" si="96"/>
        <v>0</v>
      </c>
      <c r="Q884" s="38">
        <f t="shared" si="98"/>
        <v>0</v>
      </c>
      <c r="R884" s="38">
        <f t="shared" si="99"/>
        <v>0</v>
      </c>
      <c r="S884" s="38">
        <f t="shared" si="100"/>
        <v>0</v>
      </c>
      <c r="T884" s="38">
        <f t="shared" si="101"/>
        <v>0</v>
      </c>
      <c r="U884" s="38">
        <f t="shared" si="102"/>
        <v>0</v>
      </c>
      <c r="V884" s="55"/>
    </row>
    <row r="885" spans="2:22" s="50" customFormat="1" ht="11.25" hidden="1">
      <c r="B885" s="74" t="s">
        <v>462</v>
      </c>
      <c r="C885" s="84"/>
      <c r="D885" s="31"/>
      <c r="E885" s="5"/>
      <c r="F885" s="5"/>
      <c r="G885" s="5"/>
      <c r="H885" s="5"/>
      <c r="I885" s="29"/>
      <c r="J885" s="29"/>
      <c r="K885" s="29"/>
      <c r="L885" s="29"/>
      <c r="M885" s="29"/>
      <c r="N885" s="29"/>
      <c r="O885" s="38">
        <f t="shared" si="97"/>
        <v>0</v>
      </c>
      <c r="P885" s="38">
        <f t="shared" si="96"/>
        <v>0</v>
      </c>
      <c r="Q885" s="38">
        <f t="shared" si="98"/>
        <v>0</v>
      </c>
      <c r="R885" s="38">
        <f t="shared" si="99"/>
        <v>0</v>
      </c>
      <c r="S885" s="38">
        <f t="shared" si="100"/>
        <v>0</v>
      </c>
      <c r="T885" s="38">
        <f t="shared" si="101"/>
        <v>0</v>
      </c>
      <c r="U885" s="38">
        <f t="shared" si="102"/>
        <v>0</v>
      </c>
      <c r="V885" s="55"/>
    </row>
    <row r="886" spans="2:22" s="50" customFormat="1" ht="11.25" hidden="1">
      <c r="B886" s="74" t="s">
        <v>462</v>
      </c>
      <c r="C886" s="84"/>
      <c r="D886" s="31"/>
      <c r="E886" s="5"/>
      <c r="F886" s="5"/>
      <c r="G886" s="5"/>
      <c r="H886" s="5"/>
      <c r="I886" s="29"/>
      <c r="J886" s="29"/>
      <c r="K886" s="29"/>
      <c r="L886" s="29"/>
      <c r="M886" s="29"/>
      <c r="N886" s="29"/>
      <c r="O886" s="38">
        <f t="shared" si="97"/>
        <v>0</v>
      </c>
      <c r="P886" s="38">
        <f t="shared" si="96"/>
        <v>0</v>
      </c>
      <c r="Q886" s="38">
        <f t="shared" si="98"/>
        <v>0</v>
      </c>
      <c r="R886" s="38">
        <f t="shared" si="99"/>
        <v>0</v>
      </c>
      <c r="S886" s="38">
        <f t="shared" si="100"/>
        <v>0</v>
      </c>
      <c r="T886" s="38">
        <f t="shared" si="101"/>
        <v>0</v>
      </c>
      <c r="U886" s="38">
        <f t="shared" si="102"/>
        <v>0</v>
      </c>
      <c r="V886" s="55"/>
    </row>
    <row r="887" spans="2:22" s="50" customFormat="1" ht="11.25" hidden="1">
      <c r="B887" s="74" t="s">
        <v>462</v>
      </c>
      <c r="C887" s="84"/>
      <c r="D887" s="31"/>
      <c r="E887" s="5"/>
      <c r="F887" s="5"/>
      <c r="G887" s="5"/>
      <c r="H887" s="5"/>
      <c r="I887" s="29"/>
      <c r="J887" s="29"/>
      <c r="K887" s="29"/>
      <c r="L887" s="29"/>
      <c r="M887" s="29"/>
      <c r="N887" s="29"/>
      <c r="O887" s="38">
        <f t="shared" si="97"/>
        <v>0</v>
      </c>
      <c r="P887" s="38">
        <f t="shared" si="96"/>
        <v>0</v>
      </c>
      <c r="Q887" s="38">
        <f t="shared" si="98"/>
        <v>0</v>
      </c>
      <c r="R887" s="38">
        <f t="shared" si="99"/>
        <v>0</v>
      </c>
      <c r="S887" s="38">
        <f t="shared" si="100"/>
        <v>0</v>
      </c>
      <c r="T887" s="38">
        <f t="shared" si="101"/>
        <v>0</v>
      </c>
      <c r="U887" s="38">
        <f t="shared" si="102"/>
        <v>0</v>
      </c>
      <c r="V887" s="55"/>
    </row>
    <row r="888" spans="2:22" s="50" customFormat="1" ht="11.25" hidden="1">
      <c r="B888" s="74" t="s">
        <v>462</v>
      </c>
      <c r="C888" s="84"/>
      <c r="D888" s="31"/>
      <c r="E888" s="5"/>
      <c r="F888" s="5"/>
      <c r="G888" s="5"/>
      <c r="H888" s="5"/>
      <c r="I888" s="29"/>
      <c r="J888" s="29"/>
      <c r="K888" s="29"/>
      <c r="L888" s="29"/>
      <c r="M888" s="29"/>
      <c r="N888" s="29"/>
      <c r="O888" s="38">
        <f t="shared" si="97"/>
        <v>0</v>
      </c>
      <c r="P888" s="38">
        <f t="shared" si="96"/>
        <v>0</v>
      </c>
      <c r="Q888" s="38">
        <f t="shared" si="98"/>
        <v>0</v>
      </c>
      <c r="R888" s="38">
        <f t="shared" si="99"/>
        <v>0</v>
      </c>
      <c r="S888" s="38">
        <f t="shared" si="100"/>
        <v>0</v>
      </c>
      <c r="T888" s="38">
        <f t="shared" si="101"/>
        <v>0</v>
      </c>
      <c r="U888" s="38">
        <f t="shared" si="102"/>
        <v>0</v>
      </c>
      <c r="V888" s="55"/>
    </row>
    <row r="889" spans="2:22" s="50" customFormat="1" ht="11.25" hidden="1">
      <c r="B889" s="74" t="s">
        <v>462</v>
      </c>
      <c r="C889" s="84"/>
      <c r="D889" s="31"/>
      <c r="E889" s="5"/>
      <c r="F889" s="5"/>
      <c r="G889" s="5"/>
      <c r="H889" s="5"/>
      <c r="I889" s="29"/>
      <c r="J889" s="29"/>
      <c r="K889" s="29"/>
      <c r="L889" s="29"/>
      <c r="M889" s="29"/>
      <c r="N889" s="29"/>
      <c r="O889" s="38">
        <f t="shared" si="97"/>
        <v>0</v>
      </c>
      <c r="P889" s="38">
        <f t="shared" si="96"/>
        <v>0</v>
      </c>
      <c r="Q889" s="38">
        <f t="shared" si="98"/>
        <v>0</v>
      </c>
      <c r="R889" s="38">
        <f t="shared" si="99"/>
        <v>0</v>
      </c>
      <c r="S889" s="38">
        <f t="shared" si="100"/>
        <v>0</v>
      </c>
      <c r="T889" s="38">
        <f t="shared" si="101"/>
        <v>0</v>
      </c>
      <c r="U889" s="38">
        <f t="shared" si="102"/>
        <v>0</v>
      </c>
      <c r="V889" s="55"/>
    </row>
    <row r="890" spans="2:22" s="50" customFormat="1" ht="11.25" hidden="1">
      <c r="B890" s="74" t="s">
        <v>462</v>
      </c>
      <c r="C890" s="84"/>
      <c r="D890" s="31"/>
      <c r="E890" s="5"/>
      <c r="F890" s="5"/>
      <c r="G890" s="5"/>
      <c r="H890" s="5"/>
      <c r="I890" s="29"/>
      <c r="J890" s="29"/>
      <c r="K890" s="29"/>
      <c r="L890" s="29"/>
      <c r="M890" s="29"/>
      <c r="N890" s="29"/>
      <c r="O890" s="38">
        <f t="shared" si="97"/>
        <v>0</v>
      </c>
      <c r="P890" s="38">
        <f t="shared" si="96"/>
        <v>0</v>
      </c>
      <c r="Q890" s="38">
        <f t="shared" si="98"/>
        <v>0</v>
      </c>
      <c r="R890" s="38">
        <f t="shared" si="99"/>
        <v>0</v>
      </c>
      <c r="S890" s="38">
        <f t="shared" si="100"/>
        <v>0</v>
      </c>
      <c r="T890" s="38">
        <f t="shared" si="101"/>
        <v>0</v>
      </c>
      <c r="U890" s="38">
        <f t="shared" si="102"/>
        <v>0</v>
      </c>
      <c r="V890" s="55"/>
    </row>
    <row r="891" spans="2:22" s="50" customFormat="1" ht="11.25" hidden="1">
      <c r="B891" s="74" t="s">
        <v>462</v>
      </c>
      <c r="C891" s="84"/>
      <c r="D891" s="31"/>
      <c r="E891" s="5"/>
      <c r="F891" s="5"/>
      <c r="G891" s="5"/>
      <c r="H891" s="5"/>
      <c r="I891" s="29"/>
      <c r="J891" s="29"/>
      <c r="K891" s="29"/>
      <c r="L891" s="29"/>
      <c r="M891" s="29"/>
      <c r="N891" s="29"/>
      <c r="O891" s="38">
        <f t="shared" si="97"/>
        <v>0</v>
      </c>
      <c r="P891" s="38">
        <f t="shared" si="96"/>
        <v>0</v>
      </c>
      <c r="Q891" s="38">
        <f t="shared" si="98"/>
        <v>0</v>
      </c>
      <c r="R891" s="38">
        <f t="shared" si="99"/>
        <v>0</v>
      </c>
      <c r="S891" s="38">
        <f t="shared" si="100"/>
        <v>0</v>
      </c>
      <c r="T891" s="38">
        <f t="shared" si="101"/>
        <v>0</v>
      </c>
      <c r="U891" s="38">
        <f t="shared" si="102"/>
        <v>0</v>
      </c>
      <c r="V891" s="55"/>
    </row>
    <row r="892" spans="2:22" s="50" customFormat="1" ht="11.25" hidden="1">
      <c r="B892" s="74" t="s">
        <v>462</v>
      </c>
      <c r="C892" s="84"/>
      <c r="D892" s="31"/>
      <c r="E892" s="5"/>
      <c r="F892" s="5"/>
      <c r="G892" s="5"/>
      <c r="H892" s="5"/>
      <c r="I892" s="29"/>
      <c r="J892" s="29"/>
      <c r="K892" s="29"/>
      <c r="L892" s="29"/>
      <c r="M892" s="29"/>
      <c r="N892" s="29"/>
      <c r="O892" s="38">
        <f t="shared" si="97"/>
        <v>0</v>
      </c>
      <c r="P892" s="38">
        <f t="shared" si="96"/>
        <v>0</v>
      </c>
      <c r="Q892" s="38">
        <f t="shared" si="98"/>
        <v>0</v>
      </c>
      <c r="R892" s="38">
        <f t="shared" si="99"/>
        <v>0</v>
      </c>
      <c r="S892" s="38">
        <f t="shared" si="100"/>
        <v>0</v>
      </c>
      <c r="T892" s="38">
        <f t="shared" si="101"/>
        <v>0</v>
      </c>
      <c r="U892" s="38">
        <f t="shared" si="102"/>
        <v>0</v>
      </c>
      <c r="V892" s="55"/>
    </row>
    <row r="893" spans="2:22" s="50" customFormat="1" ht="11.25" hidden="1">
      <c r="B893" s="74" t="s">
        <v>462</v>
      </c>
      <c r="C893" s="84"/>
      <c r="D893" s="31"/>
      <c r="E893" s="5"/>
      <c r="F893" s="5"/>
      <c r="G893" s="5"/>
      <c r="H893" s="5"/>
      <c r="I893" s="29"/>
      <c r="J893" s="29"/>
      <c r="K893" s="29"/>
      <c r="L893" s="29"/>
      <c r="M893" s="29"/>
      <c r="N893" s="29"/>
      <c r="O893" s="38">
        <f t="shared" si="97"/>
        <v>0</v>
      </c>
      <c r="P893" s="38">
        <f t="shared" si="96"/>
        <v>0</v>
      </c>
      <c r="Q893" s="38">
        <f t="shared" si="98"/>
        <v>0</v>
      </c>
      <c r="R893" s="38">
        <f t="shared" si="99"/>
        <v>0</v>
      </c>
      <c r="S893" s="38">
        <f t="shared" si="100"/>
        <v>0</v>
      </c>
      <c r="T893" s="38">
        <f t="shared" si="101"/>
        <v>0</v>
      </c>
      <c r="U893" s="38">
        <f t="shared" si="102"/>
        <v>0</v>
      </c>
      <c r="V893" s="55"/>
    </row>
    <row r="894" spans="2:22" s="50" customFormat="1" ht="11.25" hidden="1">
      <c r="B894" s="74" t="s">
        <v>462</v>
      </c>
      <c r="C894" s="84"/>
      <c r="D894" s="31"/>
      <c r="E894" s="5"/>
      <c r="F894" s="5"/>
      <c r="G894" s="5"/>
      <c r="H894" s="5"/>
      <c r="I894" s="29"/>
      <c r="J894" s="29"/>
      <c r="K894" s="29"/>
      <c r="L894" s="29"/>
      <c r="M894" s="29"/>
      <c r="N894" s="29"/>
      <c r="O894" s="38">
        <f t="shared" si="97"/>
        <v>0</v>
      </c>
      <c r="P894" s="38">
        <f t="shared" si="96"/>
        <v>0</v>
      </c>
      <c r="Q894" s="38">
        <f t="shared" si="98"/>
        <v>0</v>
      </c>
      <c r="R894" s="38">
        <f t="shared" si="99"/>
        <v>0</v>
      </c>
      <c r="S894" s="38">
        <f t="shared" si="100"/>
        <v>0</v>
      </c>
      <c r="T894" s="38">
        <f t="shared" si="101"/>
        <v>0</v>
      </c>
      <c r="U894" s="38">
        <f t="shared" si="102"/>
        <v>0</v>
      </c>
      <c r="V894" s="55"/>
    </row>
    <row r="895" spans="2:22" s="50" customFormat="1" ht="11.25" hidden="1">
      <c r="B895" s="74" t="s">
        <v>462</v>
      </c>
      <c r="C895" s="84"/>
      <c r="D895" s="31"/>
      <c r="E895" s="5"/>
      <c r="F895" s="5"/>
      <c r="G895" s="5"/>
      <c r="H895" s="5"/>
      <c r="I895" s="29"/>
      <c r="J895" s="29"/>
      <c r="K895" s="29"/>
      <c r="L895" s="29"/>
      <c r="M895" s="29"/>
      <c r="N895" s="29"/>
      <c r="O895" s="38">
        <f t="shared" si="97"/>
        <v>0</v>
      </c>
      <c r="P895" s="38">
        <f t="shared" ref="P895:P958" si="103">IF(I895=0,0,J895/I895*10)</f>
        <v>0</v>
      </c>
      <c r="Q895" s="38">
        <f t="shared" si="98"/>
        <v>0</v>
      </c>
      <c r="R895" s="38">
        <f t="shared" si="99"/>
        <v>0</v>
      </c>
      <c r="S895" s="38">
        <f t="shared" si="100"/>
        <v>0</v>
      </c>
      <c r="T895" s="38">
        <f t="shared" si="101"/>
        <v>0</v>
      </c>
      <c r="U895" s="38">
        <f t="shared" si="102"/>
        <v>0</v>
      </c>
      <c r="V895" s="55"/>
    </row>
    <row r="896" spans="2:22" s="50" customFormat="1" ht="11.25" hidden="1">
      <c r="B896" s="74" t="s">
        <v>462</v>
      </c>
      <c r="C896" s="84"/>
      <c r="D896" s="31"/>
      <c r="E896" s="5"/>
      <c r="F896" s="5"/>
      <c r="G896" s="5"/>
      <c r="H896" s="5"/>
      <c r="I896" s="29"/>
      <c r="J896" s="29"/>
      <c r="K896" s="29"/>
      <c r="L896" s="29"/>
      <c r="M896" s="29"/>
      <c r="N896" s="29"/>
      <c r="O896" s="38">
        <f t="shared" si="97"/>
        <v>0</v>
      </c>
      <c r="P896" s="38">
        <f t="shared" si="103"/>
        <v>0</v>
      </c>
      <c r="Q896" s="38">
        <f t="shared" si="98"/>
        <v>0</v>
      </c>
      <c r="R896" s="38">
        <f t="shared" si="99"/>
        <v>0</v>
      </c>
      <c r="S896" s="38">
        <f t="shared" si="100"/>
        <v>0</v>
      </c>
      <c r="T896" s="38">
        <f t="shared" si="101"/>
        <v>0</v>
      </c>
      <c r="U896" s="38">
        <f t="shared" si="102"/>
        <v>0</v>
      </c>
      <c r="V896" s="55"/>
    </row>
    <row r="897" spans="2:22" s="50" customFormat="1" ht="11.25" hidden="1">
      <c r="B897" s="74" t="s">
        <v>462</v>
      </c>
      <c r="C897" s="84"/>
      <c r="D897" s="31"/>
      <c r="E897" s="5"/>
      <c r="F897" s="5"/>
      <c r="G897" s="5"/>
      <c r="H897" s="5"/>
      <c r="I897" s="29"/>
      <c r="J897" s="29"/>
      <c r="K897" s="29"/>
      <c r="L897" s="29"/>
      <c r="M897" s="29"/>
      <c r="N897" s="29"/>
      <c r="O897" s="38">
        <f t="shared" si="97"/>
        <v>0</v>
      </c>
      <c r="P897" s="38">
        <f t="shared" si="103"/>
        <v>0</v>
      </c>
      <c r="Q897" s="38">
        <f t="shared" si="98"/>
        <v>0</v>
      </c>
      <c r="R897" s="38">
        <f t="shared" si="99"/>
        <v>0</v>
      </c>
      <c r="S897" s="38">
        <f t="shared" si="100"/>
        <v>0</v>
      </c>
      <c r="T897" s="38">
        <f t="shared" si="101"/>
        <v>0</v>
      </c>
      <c r="U897" s="38">
        <f t="shared" si="102"/>
        <v>0</v>
      </c>
      <c r="V897" s="55"/>
    </row>
    <row r="898" spans="2:22" s="50" customFormat="1" ht="11.25" hidden="1">
      <c r="B898" s="74" t="s">
        <v>462</v>
      </c>
      <c r="C898" s="84"/>
      <c r="D898" s="31"/>
      <c r="E898" s="5"/>
      <c r="F898" s="5"/>
      <c r="G898" s="5"/>
      <c r="H898" s="5"/>
      <c r="I898" s="29"/>
      <c r="J898" s="29"/>
      <c r="K898" s="29"/>
      <c r="L898" s="29"/>
      <c r="M898" s="29"/>
      <c r="N898" s="29"/>
      <c r="O898" s="38">
        <f t="shared" si="97"/>
        <v>0</v>
      </c>
      <c r="P898" s="38">
        <f t="shared" si="103"/>
        <v>0</v>
      </c>
      <c r="Q898" s="38">
        <f t="shared" si="98"/>
        <v>0</v>
      </c>
      <c r="R898" s="38">
        <f t="shared" si="99"/>
        <v>0</v>
      </c>
      <c r="S898" s="38">
        <f t="shared" si="100"/>
        <v>0</v>
      </c>
      <c r="T898" s="38">
        <f t="shared" si="101"/>
        <v>0</v>
      </c>
      <c r="U898" s="38">
        <f t="shared" si="102"/>
        <v>0</v>
      </c>
      <c r="V898" s="55"/>
    </row>
    <row r="899" spans="2:22" s="50" customFormat="1" ht="11.25" hidden="1">
      <c r="B899" s="74" t="s">
        <v>462</v>
      </c>
      <c r="C899" s="84"/>
      <c r="D899" s="31"/>
      <c r="E899" s="5"/>
      <c r="F899" s="5"/>
      <c r="G899" s="5"/>
      <c r="H899" s="5"/>
      <c r="I899" s="29"/>
      <c r="J899" s="29"/>
      <c r="K899" s="29"/>
      <c r="L899" s="29"/>
      <c r="M899" s="29"/>
      <c r="N899" s="29"/>
      <c r="O899" s="38">
        <f t="shared" si="97"/>
        <v>0</v>
      </c>
      <c r="P899" s="38">
        <f t="shared" si="103"/>
        <v>0</v>
      </c>
      <c r="Q899" s="38">
        <f t="shared" si="98"/>
        <v>0</v>
      </c>
      <c r="R899" s="38">
        <f t="shared" si="99"/>
        <v>0</v>
      </c>
      <c r="S899" s="38">
        <f t="shared" si="100"/>
        <v>0</v>
      </c>
      <c r="T899" s="38">
        <f t="shared" si="101"/>
        <v>0</v>
      </c>
      <c r="U899" s="38">
        <f t="shared" si="102"/>
        <v>0</v>
      </c>
      <c r="V899" s="55"/>
    </row>
    <row r="900" spans="2:22" s="50" customFormat="1" ht="11.25" hidden="1">
      <c r="B900" s="74" t="s">
        <v>462</v>
      </c>
      <c r="C900" s="84"/>
      <c r="D900" s="31"/>
      <c r="E900" s="5"/>
      <c r="F900" s="5"/>
      <c r="G900" s="5"/>
      <c r="H900" s="5"/>
      <c r="I900" s="29"/>
      <c r="J900" s="29"/>
      <c r="K900" s="29"/>
      <c r="L900" s="29"/>
      <c r="M900" s="29"/>
      <c r="N900" s="29"/>
      <c r="O900" s="38">
        <f t="shared" si="97"/>
        <v>0</v>
      </c>
      <c r="P900" s="38">
        <f t="shared" si="103"/>
        <v>0</v>
      </c>
      <c r="Q900" s="38">
        <f t="shared" si="98"/>
        <v>0</v>
      </c>
      <c r="R900" s="38">
        <f t="shared" si="99"/>
        <v>0</v>
      </c>
      <c r="S900" s="38">
        <f t="shared" si="100"/>
        <v>0</v>
      </c>
      <c r="T900" s="38">
        <f t="shared" si="101"/>
        <v>0</v>
      </c>
      <c r="U900" s="38">
        <f t="shared" si="102"/>
        <v>0</v>
      </c>
      <c r="V900" s="55"/>
    </row>
    <row r="901" spans="2:22" s="50" customFormat="1" ht="11.25" hidden="1">
      <c r="B901" s="74" t="s">
        <v>462</v>
      </c>
      <c r="C901" s="84"/>
      <c r="D901" s="31"/>
      <c r="E901" s="5"/>
      <c r="F901" s="5"/>
      <c r="G901" s="5"/>
      <c r="H901" s="5"/>
      <c r="I901" s="29"/>
      <c r="J901" s="29"/>
      <c r="K901" s="29"/>
      <c r="L901" s="29"/>
      <c r="M901" s="29"/>
      <c r="N901" s="29"/>
      <c r="O901" s="38">
        <f t="shared" si="97"/>
        <v>0</v>
      </c>
      <c r="P901" s="38">
        <f t="shared" si="103"/>
        <v>0</v>
      </c>
      <c r="Q901" s="38">
        <f t="shared" si="98"/>
        <v>0</v>
      </c>
      <c r="R901" s="38">
        <f t="shared" si="99"/>
        <v>0</v>
      </c>
      <c r="S901" s="38">
        <f t="shared" si="100"/>
        <v>0</v>
      </c>
      <c r="T901" s="38">
        <f t="shared" si="101"/>
        <v>0</v>
      </c>
      <c r="U901" s="38">
        <f t="shared" si="102"/>
        <v>0</v>
      </c>
      <c r="V901" s="55"/>
    </row>
    <row r="902" spans="2:22" s="50" customFormat="1" ht="11.25" hidden="1">
      <c r="B902" s="74" t="s">
        <v>462</v>
      </c>
      <c r="C902" s="84"/>
      <c r="D902" s="31"/>
      <c r="E902" s="5"/>
      <c r="F902" s="5"/>
      <c r="G902" s="5"/>
      <c r="H902" s="5"/>
      <c r="I902" s="29"/>
      <c r="J902" s="29"/>
      <c r="K902" s="29"/>
      <c r="L902" s="29"/>
      <c r="M902" s="29"/>
      <c r="N902" s="29"/>
      <c r="O902" s="38">
        <f t="shared" si="97"/>
        <v>0</v>
      </c>
      <c r="P902" s="38">
        <f t="shared" si="103"/>
        <v>0</v>
      </c>
      <c r="Q902" s="38">
        <f t="shared" si="98"/>
        <v>0</v>
      </c>
      <c r="R902" s="38">
        <f t="shared" si="99"/>
        <v>0</v>
      </c>
      <c r="S902" s="38">
        <f t="shared" si="100"/>
        <v>0</v>
      </c>
      <c r="T902" s="38">
        <f t="shared" si="101"/>
        <v>0</v>
      </c>
      <c r="U902" s="38">
        <f t="shared" si="102"/>
        <v>0</v>
      </c>
      <c r="V902" s="55"/>
    </row>
    <row r="903" spans="2:22" s="50" customFormat="1" ht="11.25" hidden="1">
      <c r="B903" s="74" t="s">
        <v>462</v>
      </c>
      <c r="C903" s="84"/>
      <c r="D903" s="31"/>
      <c r="E903" s="5"/>
      <c r="F903" s="5"/>
      <c r="G903" s="5"/>
      <c r="H903" s="5"/>
      <c r="I903" s="29"/>
      <c r="J903" s="29"/>
      <c r="K903" s="29"/>
      <c r="L903" s="29"/>
      <c r="M903" s="29"/>
      <c r="N903" s="29"/>
      <c r="O903" s="38">
        <f t="shared" si="97"/>
        <v>0</v>
      </c>
      <c r="P903" s="38">
        <f t="shared" si="103"/>
        <v>0</v>
      </c>
      <c r="Q903" s="38">
        <f t="shared" si="98"/>
        <v>0</v>
      </c>
      <c r="R903" s="38">
        <f t="shared" si="99"/>
        <v>0</v>
      </c>
      <c r="S903" s="38">
        <f t="shared" si="100"/>
        <v>0</v>
      </c>
      <c r="T903" s="38">
        <f t="shared" si="101"/>
        <v>0</v>
      </c>
      <c r="U903" s="38">
        <f t="shared" si="102"/>
        <v>0</v>
      </c>
      <c r="V903" s="55"/>
    </row>
    <row r="904" spans="2:22" s="50" customFormat="1" ht="11.25" hidden="1">
      <c r="B904" s="74" t="s">
        <v>462</v>
      </c>
      <c r="C904" s="84"/>
      <c r="D904" s="31"/>
      <c r="E904" s="5"/>
      <c r="F904" s="5"/>
      <c r="G904" s="5"/>
      <c r="H904" s="5"/>
      <c r="I904" s="29"/>
      <c r="J904" s="29"/>
      <c r="K904" s="29"/>
      <c r="L904" s="29"/>
      <c r="M904" s="29"/>
      <c r="N904" s="29"/>
      <c r="O904" s="38">
        <f t="shared" si="97"/>
        <v>0</v>
      </c>
      <c r="P904" s="38">
        <f t="shared" si="103"/>
        <v>0</v>
      </c>
      <c r="Q904" s="38">
        <f t="shared" si="98"/>
        <v>0</v>
      </c>
      <c r="R904" s="38">
        <f t="shared" si="99"/>
        <v>0</v>
      </c>
      <c r="S904" s="38">
        <f t="shared" si="100"/>
        <v>0</v>
      </c>
      <c r="T904" s="38">
        <f t="shared" si="101"/>
        <v>0</v>
      </c>
      <c r="U904" s="38">
        <f t="shared" si="102"/>
        <v>0</v>
      </c>
      <c r="V904" s="55"/>
    </row>
    <row r="905" spans="2:22" s="50" customFormat="1" ht="11.25" hidden="1">
      <c r="B905" s="74" t="s">
        <v>462</v>
      </c>
      <c r="C905" s="84"/>
      <c r="D905" s="31"/>
      <c r="E905" s="5"/>
      <c r="F905" s="5"/>
      <c r="G905" s="5"/>
      <c r="H905" s="5"/>
      <c r="I905" s="29"/>
      <c r="J905" s="29"/>
      <c r="K905" s="29"/>
      <c r="L905" s="29"/>
      <c r="M905" s="29"/>
      <c r="N905" s="29"/>
      <c r="O905" s="38">
        <f t="shared" si="97"/>
        <v>0</v>
      </c>
      <c r="P905" s="38">
        <f t="shared" si="103"/>
        <v>0</v>
      </c>
      <c r="Q905" s="38">
        <f t="shared" si="98"/>
        <v>0</v>
      </c>
      <c r="R905" s="38">
        <f t="shared" si="99"/>
        <v>0</v>
      </c>
      <c r="S905" s="38">
        <f t="shared" si="100"/>
        <v>0</v>
      </c>
      <c r="T905" s="38">
        <f t="shared" si="101"/>
        <v>0</v>
      </c>
      <c r="U905" s="38">
        <f t="shared" si="102"/>
        <v>0</v>
      </c>
      <c r="V905" s="55"/>
    </row>
    <row r="906" spans="2:22" s="50" customFormat="1" ht="11.25" hidden="1">
      <c r="B906" s="74" t="s">
        <v>462</v>
      </c>
      <c r="C906" s="84"/>
      <c r="D906" s="31"/>
      <c r="E906" s="5"/>
      <c r="F906" s="5"/>
      <c r="G906" s="5"/>
      <c r="H906" s="5"/>
      <c r="I906" s="29"/>
      <c r="J906" s="29"/>
      <c r="K906" s="29"/>
      <c r="L906" s="29"/>
      <c r="M906" s="29"/>
      <c r="N906" s="29"/>
      <c r="O906" s="38">
        <f t="shared" ref="O906:O969" si="104">SUM(J906:N906)</f>
        <v>0</v>
      </c>
      <c r="P906" s="38">
        <f t="shared" si="103"/>
        <v>0</v>
      </c>
      <c r="Q906" s="38">
        <f t="shared" ref="Q906:Q969" si="105">IF(I906=0,0,L906/I906*10)</f>
        <v>0</v>
      </c>
      <c r="R906" s="38">
        <f t="shared" ref="R906:R969" si="106">IF(I906=0,0,M906/I906*10)</f>
        <v>0</v>
      </c>
      <c r="S906" s="38">
        <f t="shared" ref="S906:S969" si="107">IF(I906=0,0,N906/I906*10)</f>
        <v>0</v>
      </c>
      <c r="T906" s="38">
        <f t="shared" ref="T906:T969" si="108">IF(I906=0,0,K906/I906*10)</f>
        <v>0</v>
      </c>
      <c r="U906" s="38">
        <f t="shared" ref="U906:U969" si="109">IF(I906=0,0,O906/I906*10)</f>
        <v>0</v>
      </c>
      <c r="V906" s="55"/>
    </row>
    <row r="907" spans="2:22" s="50" customFormat="1" ht="11.25" hidden="1">
      <c r="B907" s="74" t="s">
        <v>462</v>
      </c>
      <c r="C907" s="84"/>
      <c r="D907" s="31"/>
      <c r="E907" s="5"/>
      <c r="F907" s="5"/>
      <c r="G907" s="5"/>
      <c r="H907" s="5"/>
      <c r="I907" s="29"/>
      <c r="J907" s="29"/>
      <c r="K907" s="29"/>
      <c r="L907" s="29"/>
      <c r="M907" s="29"/>
      <c r="N907" s="29"/>
      <c r="O907" s="38">
        <f t="shared" si="104"/>
        <v>0</v>
      </c>
      <c r="P907" s="38">
        <f t="shared" si="103"/>
        <v>0</v>
      </c>
      <c r="Q907" s="38">
        <f t="shared" si="105"/>
        <v>0</v>
      </c>
      <c r="R907" s="38">
        <f t="shared" si="106"/>
        <v>0</v>
      </c>
      <c r="S907" s="38">
        <f t="shared" si="107"/>
        <v>0</v>
      </c>
      <c r="T907" s="38">
        <f t="shared" si="108"/>
        <v>0</v>
      </c>
      <c r="U907" s="38">
        <f t="shared" si="109"/>
        <v>0</v>
      </c>
      <c r="V907" s="55"/>
    </row>
    <row r="908" spans="2:22" s="50" customFormat="1" ht="11.25" hidden="1">
      <c r="B908" s="74" t="s">
        <v>462</v>
      </c>
      <c r="C908" s="84"/>
      <c r="D908" s="31"/>
      <c r="E908" s="5"/>
      <c r="F908" s="5"/>
      <c r="G908" s="5"/>
      <c r="H908" s="5"/>
      <c r="I908" s="29"/>
      <c r="J908" s="29"/>
      <c r="K908" s="29"/>
      <c r="L908" s="29"/>
      <c r="M908" s="29"/>
      <c r="N908" s="29"/>
      <c r="O908" s="38">
        <f t="shared" si="104"/>
        <v>0</v>
      </c>
      <c r="P908" s="38">
        <f t="shared" si="103"/>
        <v>0</v>
      </c>
      <c r="Q908" s="38">
        <f t="shared" si="105"/>
        <v>0</v>
      </c>
      <c r="R908" s="38">
        <f t="shared" si="106"/>
        <v>0</v>
      </c>
      <c r="S908" s="38">
        <f t="shared" si="107"/>
        <v>0</v>
      </c>
      <c r="T908" s="38">
        <f t="shared" si="108"/>
        <v>0</v>
      </c>
      <c r="U908" s="38">
        <f t="shared" si="109"/>
        <v>0</v>
      </c>
      <c r="V908" s="55"/>
    </row>
    <row r="909" spans="2:22" s="50" customFormat="1" ht="11.25" hidden="1">
      <c r="B909" s="74" t="s">
        <v>462</v>
      </c>
      <c r="C909" s="84"/>
      <c r="D909" s="31"/>
      <c r="E909" s="5"/>
      <c r="F909" s="5"/>
      <c r="G909" s="5"/>
      <c r="H909" s="5"/>
      <c r="I909" s="29"/>
      <c r="J909" s="29"/>
      <c r="K909" s="29"/>
      <c r="L909" s="29"/>
      <c r="M909" s="29"/>
      <c r="N909" s="29"/>
      <c r="O909" s="38">
        <f t="shared" si="104"/>
        <v>0</v>
      </c>
      <c r="P909" s="38">
        <f t="shared" si="103"/>
        <v>0</v>
      </c>
      <c r="Q909" s="38">
        <f t="shared" si="105"/>
        <v>0</v>
      </c>
      <c r="R909" s="38">
        <f t="shared" si="106"/>
        <v>0</v>
      </c>
      <c r="S909" s="38">
        <f t="shared" si="107"/>
        <v>0</v>
      </c>
      <c r="T909" s="38">
        <f t="shared" si="108"/>
        <v>0</v>
      </c>
      <c r="U909" s="38">
        <f t="shared" si="109"/>
        <v>0</v>
      </c>
      <c r="V909" s="55"/>
    </row>
    <row r="910" spans="2:22" s="50" customFormat="1" ht="11.25" hidden="1">
      <c r="B910" s="74" t="s">
        <v>462</v>
      </c>
      <c r="C910" s="84"/>
      <c r="D910" s="31"/>
      <c r="E910" s="5"/>
      <c r="F910" s="5"/>
      <c r="G910" s="5"/>
      <c r="H910" s="5"/>
      <c r="I910" s="29"/>
      <c r="J910" s="29"/>
      <c r="K910" s="29"/>
      <c r="L910" s="29"/>
      <c r="M910" s="29"/>
      <c r="N910" s="29"/>
      <c r="O910" s="38">
        <f t="shared" si="104"/>
        <v>0</v>
      </c>
      <c r="P910" s="38">
        <f t="shared" si="103"/>
        <v>0</v>
      </c>
      <c r="Q910" s="38">
        <f t="shared" si="105"/>
        <v>0</v>
      </c>
      <c r="R910" s="38">
        <f t="shared" si="106"/>
        <v>0</v>
      </c>
      <c r="S910" s="38">
        <f t="shared" si="107"/>
        <v>0</v>
      </c>
      <c r="T910" s="38">
        <f t="shared" si="108"/>
        <v>0</v>
      </c>
      <c r="U910" s="38">
        <f t="shared" si="109"/>
        <v>0</v>
      </c>
      <c r="V910" s="55"/>
    </row>
    <row r="911" spans="2:22" s="50" customFormat="1" ht="11.25" hidden="1">
      <c r="B911" s="74" t="s">
        <v>462</v>
      </c>
      <c r="C911" s="84"/>
      <c r="D911" s="31"/>
      <c r="E911" s="5"/>
      <c r="F911" s="5"/>
      <c r="G911" s="5"/>
      <c r="H911" s="5"/>
      <c r="I911" s="29"/>
      <c r="J911" s="29"/>
      <c r="K911" s="29"/>
      <c r="L911" s="29"/>
      <c r="M911" s="29"/>
      <c r="N911" s="29"/>
      <c r="O911" s="38">
        <f t="shared" si="104"/>
        <v>0</v>
      </c>
      <c r="P911" s="38">
        <f t="shared" si="103"/>
        <v>0</v>
      </c>
      <c r="Q911" s="38">
        <f t="shared" si="105"/>
        <v>0</v>
      </c>
      <c r="R911" s="38">
        <f t="shared" si="106"/>
        <v>0</v>
      </c>
      <c r="S911" s="38">
        <f t="shared" si="107"/>
        <v>0</v>
      </c>
      <c r="T911" s="38">
        <f t="shared" si="108"/>
        <v>0</v>
      </c>
      <c r="U911" s="38">
        <f t="shared" si="109"/>
        <v>0</v>
      </c>
      <c r="V911" s="55"/>
    </row>
    <row r="912" spans="2:22" s="50" customFormat="1" ht="11.25" hidden="1">
      <c r="B912" s="74" t="s">
        <v>462</v>
      </c>
      <c r="C912" s="84"/>
      <c r="D912" s="31"/>
      <c r="E912" s="5"/>
      <c r="F912" s="5"/>
      <c r="G912" s="5"/>
      <c r="H912" s="5"/>
      <c r="I912" s="29"/>
      <c r="J912" s="29"/>
      <c r="K912" s="29"/>
      <c r="L912" s="29"/>
      <c r="M912" s="29"/>
      <c r="N912" s="29"/>
      <c r="O912" s="38">
        <f t="shared" si="104"/>
        <v>0</v>
      </c>
      <c r="P912" s="38">
        <f t="shared" si="103"/>
        <v>0</v>
      </c>
      <c r="Q912" s="38">
        <f t="shared" si="105"/>
        <v>0</v>
      </c>
      <c r="R912" s="38">
        <f t="shared" si="106"/>
        <v>0</v>
      </c>
      <c r="S912" s="38">
        <f t="shared" si="107"/>
        <v>0</v>
      </c>
      <c r="T912" s="38">
        <f t="shared" si="108"/>
        <v>0</v>
      </c>
      <c r="U912" s="38">
        <f t="shared" si="109"/>
        <v>0</v>
      </c>
      <c r="V912" s="55"/>
    </row>
    <row r="913" spans="2:22" s="50" customFormat="1" ht="11.25" hidden="1">
      <c r="B913" s="74" t="s">
        <v>462</v>
      </c>
      <c r="C913" s="84"/>
      <c r="D913" s="31"/>
      <c r="E913" s="5"/>
      <c r="F913" s="5"/>
      <c r="G913" s="5"/>
      <c r="H913" s="5"/>
      <c r="I913" s="29"/>
      <c r="J913" s="29"/>
      <c r="K913" s="29"/>
      <c r="L913" s="29"/>
      <c r="M913" s="29"/>
      <c r="N913" s="29"/>
      <c r="O913" s="38">
        <f t="shared" si="104"/>
        <v>0</v>
      </c>
      <c r="P913" s="38">
        <f t="shared" si="103"/>
        <v>0</v>
      </c>
      <c r="Q913" s="38">
        <f t="shared" si="105"/>
        <v>0</v>
      </c>
      <c r="R913" s="38">
        <f t="shared" si="106"/>
        <v>0</v>
      </c>
      <c r="S913" s="38">
        <f t="shared" si="107"/>
        <v>0</v>
      </c>
      <c r="T913" s="38">
        <f t="shared" si="108"/>
        <v>0</v>
      </c>
      <c r="U913" s="38">
        <f t="shared" si="109"/>
        <v>0</v>
      </c>
      <c r="V913" s="55"/>
    </row>
    <row r="914" spans="2:22" s="50" customFormat="1" ht="11.25">
      <c r="B914" s="74" t="s">
        <v>462</v>
      </c>
      <c r="C914" s="84"/>
      <c r="D914" s="31"/>
      <c r="E914" s="5"/>
      <c r="F914" s="5"/>
      <c r="G914" s="5"/>
      <c r="H914" s="5"/>
      <c r="I914" s="29"/>
      <c r="J914" s="29"/>
      <c r="K914" s="29"/>
      <c r="L914" s="29"/>
      <c r="M914" s="29"/>
      <c r="N914" s="29"/>
      <c r="O914" s="38">
        <f t="shared" si="104"/>
        <v>0</v>
      </c>
      <c r="P914" s="38">
        <f t="shared" si="103"/>
        <v>0</v>
      </c>
      <c r="Q914" s="38">
        <f t="shared" si="105"/>
        <v>0</v>
      </c>
      <c r="R914" s="38">
        <f t="shared" si="106"/>
        <v>0</v>
      </c>
      <c r="S914" s="38">
        <f t="shared" si="107"/>
        <v>0</v>
      </c>
      <c r="T914" s="38">
        <f t="shared" si="108"/>
        <v>0</v>
      </c>
      <c r="U914" s="38">
        <f t="shared" si="109"/>
        <v>0</v>
      </c>
      <c r="V914" s="55"/>
    </row>
    <row r="915" spans="2:22" s="50" customFormat="1" ht="11.25">
      <c r="B915" s="72" t="s">
        <v>463</v>
      </c>
      <c r="C915" s="87"/>
      <c r="D915" s="72"/>
      <c r="E915" s="38">
        <f>SUM(E765:E914)</f>
        <v>0</v>
      </c>
      <c r="F915" s="38"/>
      <c r="G915" s="38">
        <f>SUM(G765:G914)</f>
        <v>0</v>
      </c>
      <c r="H915" s="38">
        <f>SUM(H765:H914)</f>
        <v>0</v>
      </c>
      <c r="I915" s="38">
        <f>SUM(I765:I914)</f>
        <v>0</v>
      </c>
      <c r="J915" s="38">
        <f>SUM(J766:J914)</f>
        <v>0</v>
      </c>
      <c r="K915" s="38">
        <f>SUM(K765:K914)</f>
        <v>0</v>
      </c>
      <c r="L915" s="38">
        <f>SUM(L765:L914)</f>
        <v>0</v>
      </c>
      <c r="M915" s="38">
        <f>SUM(M765:M914)</f>
        <v>0</v>
      </c>
      <c r="N915" s="38">
        <f>SUM(N765:N914)</f>
        <v>0</v>
      </c>
      <c r="O915" s="38">
        <f t="shared" si="104"/>
        <v>0</v>
      </c>
      <c r="P915" s="38">
        <f t="shared" si="103"/>
        <v>0</v>
      </c>
      <c r="Q915" s="38">
        <f t="shared" si="105"/>
        <v>0</v>
      </c>
      <c r="R915" s="38">
        <f t="shared" si="106"/>
        <v>0</v>
      </c>
      <c r="S915" s="38">
        <f t="shared" si="107"/>
        <v>0</v>
      </c>
      <c r="T915" s="38">
        <f t="shared" si="108"/>
        <v>0</v>
      </c>
      <c r="U915" s="38">
        <f t="shared" si="109"/>
        <v>0</v>
      </c>
      <c r="V915" s="55"/>
    </row>
    <row r="916" spans="2:22" s="50" customFormat="1" ht="11.25">
      <c r="B916" s="74" t="s">
        <v>482</v>
      </c>
      <c r="C916" s="82"/>
      <c r="D916" s="28"/>
      <c r="E916" s="5"/>
      <c r="F916" s="5"/>
      <c r="G916" s="5"/>
      <c r="H916" s="5"/>
      <c r="I916" s="5">
        <f>H916</f>
        <v>0</v>
      </c>
      <c r="J916" s="29"/>
      <c r="K916" s="29"/>
      <c r="L916" s="22"/>
      <c r="M916" s="22"/>
      <c r="N916" s="22"/>
      <c r="O916" s="38">
        <f t="shared" si="104"/>
        <v>0</v>
      </c>
      <c r="P916" s="38">
        <f t="shared" si="103"/>
        <v>0</v>
      </c>
      <c r="Q916" s="38">
        <f t="shared" si="105"/>
        <v>0</v>
      </c>
      <c r="R916" s="38">
        <f t="shared" si="106"/>
        <v>0</v>
      </c>
      <c r="S916" s="38">
        <f t="shared" si="107"/>
        <v>0</v>
      </c>
      <c r="T916" s="38">
        <f t="shared" si="108"/>
        <v>0</v>
      </c>
      <c r="U916" s="38">
        <f t="shared" si="109"/>
        <v>0</v>
      </c>
      <c r="V916" s="55"/>
    </row>
    <row r="917" spans="2:22" s="50" customFormat="1" ht="11.25">
      <c r="B917" s="74" t="s">
        <v>482</v>
      </c>
      <c r="C917" s="84"/>
      <c r="D917" s="31"/>
      <c r="E917" s="5"/>
      <c r="F917" s="5"/>
      <c r="G917" s="5"/>
      <c r="H917" s="5"/>
      <c r="I917" s="29"/>
      <c r="J917" s="29"/>
      <c r="K917" s="29"/>
      <c r="L917" s="29"/>
      <c r="M917" s="29"/>
      <c r="N917" s="29"/>
      <c r="O917" s="38">
        <f t="shared" si="104"/>
        <v>0</v>
      </c>
      <c r="P917" s="38">
        <f t="shared" si="103"/>
        <v>0</v>
      </c>
      <c r="Q917" s="38">
        <f t="shared" si="105"/>
        <v>0</v>
      </c>
      <c r="R917" s="38">
        <f t="shared" si="106"/>
        <v>0</v>
      </c>
      <c r="S917" s="38">
        <f t="shared" si="107"/>
        <v>0</v>
      </c>
      <c r="T917" s="38">
        <f t="shared" si="108"/>
        <v>0</v>
      </c>
      <c r="U917" s="38">
        <f t="shared" si="109"/>
        <v>0</v>
      </c>
      <c r="V917" s="55"/>
    </row>
    <row r="918" spans="2:22" s="50" customFormat="1" ht="11.25">
      <c r="B918" s="74" t="s">
        <v>482</v>
      </c>
      <c r="C918" s="84"/>
      <c r="D918" s="31"/>
      <c r="E918" s="5"/>
      <c r="F918" s="5"/>
      <c r="G918" s="5"/>
      <c r="H918" s="5"/>
      <c r="I918" s="29"/>
      <c r="J918" s="29"/>
      <c r="K918" s="29"/>
      <c r="L918" s="29"/>
      <c r="M918" s="29"/>
      <c r="N918" s="29"/>
      <c r="O918" s="38">
        <f t="shared" si="104"/>
        <v>0</v>
      </c>
      <c r="P918" s="38">
        <f t="shared" si="103"/>
        <v>0</v>
      </c>
      <c r="Q918" s="38">
        <f t="shared" si="105"/>
        <v>0</v>
      </c>
      <c r="R918" s="38">
        <f t="shared" si="106"/>
        <v>0</v>
      </c>
      <c r="S918" s="38">
        <f t="shared" si="107"/>
        <v>0</v>
      </c>
      <c r="T918" s="38">
        <f t="shared" si="108"/>
        <v>0</v>
      </c>
      <c r="U918" s="38">
        <f t="shared" si="109"/>
        <v>0</v>
      </c>
      <c r="V918" s="55"/>
    </row>
    <row r="919" spans="2:22" s="50" customFormat="1" ht="11.25">
      <c r="B919" s="74" t="s">
        <v>482</v>
      </c>
      <c r="C919" s="84"/>
      <c r="D919" s="31"/>
      <c r="E919" s="5"/>
      <c r="F919" s="5"/>
      <c r="G919" s="5"/>
      <c r="H919" s="5"/>
      <c r="I919" s="29"/>
      <c r="J919" s="29"/>
      <c r="K919" s="29"/>
      <c r="L919" s="29"/>
      <c r="M919" s="29"/>
      <c r="N919" s="29"/>
      <c r="O919" s="38">
        <f t="shared" si="104"/>
        <v>0</v>
      </c>
      <c r="P919" s="38">
        <f t="shared" si="103"/>
        <v>0</v>
      </c>
      <c r="Q919" s="38">
        <f t="shared" si="105"/>
        <v>0</v>
      </c>
      <c r="R919" s="38">
        <f t="shared" si="106"/>
        <v>0</v>
      </c>
      <c r="S919" s="38">
        <f t="shared" si="107"/>
        <v>0</v>
      </c>
      <c r="T919" s="38">
        <f t="shared" si="108"/>
        <v>0</v>
      </c>
      <c r="U919" s="38">
        <f t="shared" si="109"/>
        <v>0</v>
      </c>
      <c r="V919" s="55"/>
    </row>
    <row r="920" spans="2:22" s="50" customFormat="1" ht="11.25" hidden="1">
      <c r="B920" s="74" t="s">
        <v>482</v>
      </c>
      <c r="C920" s="84"/>
      <c r="D920" s="31"/>
      <c r="E920" s="5"/>
      <c r="F920" s="5"/>
      <c r="G920" s="5"/>
      <c r="H920" s="5"/>
      <c r="I920" s="29"/>
      <c r="J920" s="29"/>
      <c r="K920" s="29"/>
      <c r="L920" s="29"/>
      <c r="M920" s="29"/>
      <c r="N920" s="29"/>
      <c r="O920" s="38">
        <f t="shared" si="104"/>
        <v>0</v>
      </c>
      <c r="P920" s="38">
        <f t="shared" si="103"/>
        <v>0</v>
      </c>
      <c r="Q920" s="38">
        <f t="shared" si="105"/>
        <v>0</v>
      </c>
      <c r="R920" s="38">
        <f t="shared" si="106"/>
        <v>0</v>
      </c>
      <c r="S920" s="38">
        <f t="shared" si="107"/>
        <v>0</v>
      </c>
      <c r="T920" s="38">
        <f t="shared" si="108"/>
        <v>0</v>
      </c>
      <c r="U920" s="38">
        <f t="shared" si="109"/>
        <v>0</v>
      </c>
      <c r="V920" s="55"/>
    </row>
    <row r="921" spans="2:22" s="50" customFormat="1" ht="11.25" hidden="1">
      <c r="B921" s="74" t="s">
        <v>482</v>
      </c>
      <c r="C921" s="84"/>
      <c r="D921" s="31"/>
      <c r="E921" s="5"/>
      <c r="F921" s="5"/>
      <c r="G921" s="5"/>
      <c r="H921" s="5"/>
      <c r="I921" s="29"/>
      <c r="J921" s="29"/>
      <c r="K921" s="29"/>
      <c r="L921" s="29"/>
      <c r="M921" s="29"/>
      <c r="N921" s="29"/>
      <c r="O921" s="38">
        <f t="shared" si="104"/>
        <v>0</v>
      </c>
      <c r="P921" s="38">
        <f t="shared" si="103"/>
        <v>0</v>
      </c>
      <c r="Q921" s="38">
        <f t="shared" si="105"/>
        <v>0</v>
      </c>
      <c r="R921" s="38">
        <f t="shared" si="106"/>
        <v>0</v>
      </c>
      <c r="S921" s="38">
        <f t="shared" si="107"/>
        <v>0</v>
      </c>
      <c r="T921" s="38">
        <f t="shared" si="108"/>
        <v>0</v>
      </c>
      <c r="U921" s="38">
        <f t="shared" si="109"/>
        <v>0</v>
      </c>
      <c r="V921" s="55"/>
    </row>
    <row r="922" spans="2:22" s="50" customFormat="1" ht="11.25" hidden="1">
      <c r="B922" s="74" t="s">
        <v>482</v>
      </c>
      <c r="C922" s="84"/>
      <c r="D922" s="31"/>
      <c r="E922" s="5"/>
      <c r="F922" s="5"/>
      <c r="G922" s="5"/>
      <c r="H922" s="5"/>
      <c r="I922" s="29"/>
      <c r="J922" s="29"/>
      <c r="K922" s="29"/>
      <c r="L922" s="29"/>
      <c r="M922" s="29"/>
      <c r="N922" s="29"/>
      <c r="O922" s="38">
        <f t="shared" si="104"/>
        <v>0</v>
      </c>
      <c r="P922" s="38">
        <f t="shared" si="103"/>
        <v>0</v>
      </c>
      <c r="Q922" s="38">
        <f t="shared" si="105"/>
        <v>0</v>
      </c>
      <c r="R922" s="38">
        <f t="shared" si="106"/>
        <v>0</v>
      </c>
      <c r="S922" s="38">
        <f t="shared" si="107"/>
        <v>0</v>
      </c>
      <c r="T922" s="38">
        <f t="shared" si="108"/>
        <v>0</v>
      </c>
      <c r="U922" s="38">
        <f t="shared" si="109"/>
        <v>0</v>
      </c>
      <c r="V922" s="55"/>
    </row>
    <row r="923" spans="2:22" s="50" customFormat="1" ht="11.25" hidden="1">
      <c r="B923" s="74" t="s">
        <v>482</v>
      </c>
      <c r="C923" s="84"/>
      <c r="D923" s="31"/>
      <c r="E923" s="5"/>
      <c r="F923" s="5"/>
      <c r="G923" s="5"/>
      <c r="H923" s="5"/>
      <c r="I923" s="29"/>
      <c r="J923" s="29"/>
      <c r="K923" s="29"/>
      <c r="L923" s="29"/>
      <c r="M923" s="29"/>
      <c r="N923" s="29"/>
      <c r="O923" s="38">
        <f t="shared" si="104"/>
        <v>0</v>
      </c>
      <c r="P923" s="38">
        <f t="shared" si="103"/>
        <v>0</v>
      </c>
      <c r="Q923" s="38">
        <f t="shared" si="105"/>
        <v>0</v>
      </c>
      <c r="R923" s="38">
        <f t="shared" si="106"/>
        <v>0</v>
      </c>
      <c r="S923" s="38">
        <f t="shared" si="107"/>
        <v>0</v>
      </c>
      <c r="T923" s="38">
        <f t="shared" si="108"/>
        <v>0</v>
      </c>
      <c r="U923" s="38">
        <f t="shared" si="109"/>
        <v>0</v>
      </c>
      <c r="V923" s="55"/>
    </row>
    <row r="924" spans="2:22" s="50" customFormat="1" ht="11.25" hidden="1">
      <c r="B924" s="74" t="s">
        <v>482</v>
      </c>
      <c r="C924" s="84"/>
      <c r="D924" s="31"/>
      <c r="E924" s="5"/>
      <c r="F924" s="5"/>
      <c r="G924" s="5"/>
      <c r="H924" s="5"/>
      <c r="I924" s="29"/>
      <c r="J924" s="29"/>
      <c r="K924" s="29"/>
      <c r="L924" s="29"/>
      <c r="M924" s="29"/>
      <c r="N924" s="29"/>
      <c r="O924" s="38">
        <f t="shared" si="104"/>
        <v>0</v>
      </c>
      <c r="P924" s="38">
        <f t="shared" si="103"/>
        <v>0</v>
      </c>
      <c r="Q924" s="38">
        <f t="shared" si="105"/>
        <v>0</v>
      </c>
      <c r="R924" s="38">
        <f t="shared" si="106"/>
        <v>0</v>
      </c>
      <c r="S924" s="38">
        <f t="shared" si="107"/>
        <v>0</v>
      </c>
      <c r="T924" s="38">
        <f t="shared" si="108"/>
        <v>0</v>
      </c>
      <c r="U924" s="38">
        <f t="shared" si="109"/>
        <v>0</v>
      </c>
      <c r="V924" s="55"/>
    </row>
    <row r="925" spans="2:22" s="50" customFormat="1" ht="11.25" hidden="1">
      <c r="B925" s="74" t="s">
        <v>482</v>
      </c>
      <c r="C925" s="84"/>
      <c r="D925" s="31"/>
      <c r="E925" s="5"/>
      <c r="F925" s="5"/>
      <c r="G925" s="5"/>
      <c r="H925" s="5"/>
      <c r="I925" s="29"/>
      <c r="J925" s="29"/>
      <c r="K925" s="29"/>
      <c r="L925" s="29"/>
      <c r="M925" s="29"/>
      <c r="N925" s="29"/>
      <c r="O925" s="38">
        <f t="shared" si="104"/>
        <v>0</v>
      </c>
      <c r="P925" s="38">
        <f t="shared" si="103"/>
        <v>0</v>
      </c>
      <c r="Q925" s="38">
        <f t="shared" si="105"/>
        <v>0</v>
      </c>
      <c r="R925" s="38">
        <f t="shared" si="106"/>
        <v>0</v>
      </c>
      <c r="S925" s="38">
        <f t="shared" si="107"/>
        <v>0</v>
      </c>
      <c r="T925" s="38">
        <f t="shared" si="108"/>
        <v>0</v>
      </c>
      <c r="U925" s="38">
        <f t="shared" si="109"/>
        <v>0</v>
      </c>
      <c r="V925" s="55"/>
    </row>
    <row r="926" spans="2:22" s="50" customFormat="1" ht="11.25" hidden="1">
      <c r="B926" s="74" t="s">
        <v>482</v>
      </c>
      <c r="C926" s="84"/>
      <c r="D926" s="31"/>
      <c r="E926" s="5"/>
      <c r="F926" s="5"/>
      <c r="G926" s="5"/>
      <c r="H926" s="5"/>
      <c r="I926" s="29"/>
      <c r="J926" s="29"/>
      <c r="K926" s="29"/>
      <c r="L926" s="29"/>
      <c r="M926" s="29"/>
      <c r="N926" s="29"/>
      <c r="O926" s="38">
        <f t="shared" si="104"/>
        <v>0</v>
      </c>
      <c r="P926" s="38">
        <f t="shared" si="103"/>
        <v>0</v>
      </c>
      <c r="Q926" s="38">
        <f t="shared" si="105"/>
        <v>0</v>
      </c>
      <c r="R926" s="38">
        <f t="shared" si="106"/>
        <v>0</v>
      </c>
      <c r="S926" s="38">
        <f t="shared" si="107"/>
        <v>0</v>
      </c>
      <c r="T926" s="38">
        <f t="shared" si="108"/>
        <v>0</v>
      </c>
      <c r="U926" s="38">
        <f t="shared" si="109"/>
        <v>0</v>
      </c>
      <c r="V926" s="55"/>
    </row>
    <row r="927" spans="2:22" s="50" customFormat="1" ht="11.25" hidden="1">
      <c r="B927" s="74" t="s">
        <v>482</v>
      </c>
      <c r="C927" s="84"/>
      <c r="D927" s="31"/>
      <c r="E927" s="5"/>
      <c r="F927" s="5"/>
      <c r="G927" s="5"/>
      <c r="H927" s="5"/>
      <c r="I927" s="29"/>
      <c r="J927" s="29"/>
      <c r="K927" s="29"/>
      <c r="L927" s="29"/>
      <c r="M927" s="29"/>
      <c r="N927" s="29"/>
      <c r="O927" s="38">
        <f t="shared" si="104"/>
        <v>0</v>
      </c>
      <c r="P927" s="38">
        <f t="shared" si="103"/>
        <v>0</v>
      </c>
      <c r="Q927" s="38">
        <f t="shared" si="105"/>
        <v>0</v>
      </c>
      <c r="R927" s="38">
        <f t="shared" si="106"/>
        <v>0</v>
      </c>
      <c r="S927" s="38">
        <f t="shared" si="107"/>
        <v>0</v>
      </c>
      <c r="T927" s="38">
        <f t="shared" si="108"/>
        <v>0</v>
      </c>
      <c r="U927" s="38">
        <f t="shared" si="109"/>
        <v>0</v>
      </c>
      <c r="V927" s="55"/>
    </row>
    <row r="928" spans="2:22" s="50" customFormat="1" ht="11.25" hidden="1">
      <c r="B928" s="74" t="s">
        <v>482</v>
      </c>
      <c r="C928" s="84"/>
      <c r="D928" s="31"/>
      <c r="E928" s="5"/>
      <c r="F928" s="5"/>
      <c r="G928" s="5"/>
      <c r="H928" s="5"/>
      <c r="I928" s="29"/>
      <c r="J928" s="29"/>
      <c r="K928" s="29"/>
      <c r="L928" s="29"/>
      <c r="M928" s="29"/>
      <c r="N928" s="29"/>
      <c r="O928" s="38">
        <f t="shared" si="104"/>
        <v>0</v>
      </c>
      <c r="P928" s="38">
        <f t="shared" si="103"/>
        <v>0</v>
      </c>
      <c r="Q928" s="38">
        <f t="shared" si="105"/>
        <v>0</v>
      </c>
      <c r="R928" s="38">
        <f t="shared" si="106"/>
        <v>0</v>
      </c>
      <c r="S928" s="38">
        <f t="shared" si="107"/>
        <v>0</v>
      </c>
      <c r="T928" s="38">
        <f t="shared" si="108"/>
        <v>0</v>
      </c>
      <c r="U928" s="38">
        <f t="shared" si="109"/>
        <v>0</v>
      </c>
      <c r="V928" s="55"/>
    </row>
    <row r="929" spans="2:22" s="50" customFormat="1" ht="11.25" hidden="1">
      <c r="B929" s="74" t="s">
        <v>482</v>
      </c>
      <c r="C929" s="84"/>
      <c r="D929" s="31"/>
      <c r="E929" s="5"/>
      <c r="F929" s="5"/>
      <c r="G929" s="5"/>
      <c r="H929" s="5"/>
      <c r="I929" s="29"/>
      <c r="J929" s="29"/>
      <c r="K929" s="29"/>
      <c r="L929" s="29"/>
      <c r="M929" s="29"/>
      <c r="N929" s="29"/>
      <c r="O929" s="38">
        <f t="shared" si="104"/>
        <v>0</v>
      </c>
      <c r="P929" s="38">
        <f t="shared" si="103"/>
        <v>0</v>
      </c>
      <c r="Q929" s="38">
        <f t="shared" si="105"/>
        <v>0</v>
      </c>
      <c r="R929" s="38">
        <f t="shared" si="106"/>
        <v>0</v>
      </c>
      <c r="S929" s="38">
        <f t="shared" si="107"/>
        <v>0</v>
      </c>
      <c r="T929" s="38">
        <f t="shared" si="108"/>
        <v>0</v>
      </c>
      <c r="U929" s="38">
        <f t="shared" si="109"/>
        <v>0</v>
      </c>
      <c r="V929" s="55"/>
    </row>
    <row r="930" spans="2:22" s="50" customFormat="1" ht="11.25" hidden="1">
      <c r="B930" s="74" t="s">
        <v>482</v>
      </c>
      <c r="C930" s="84"/>
      <c r="D930" s="31"/>
      <c r="E930" s="5"/>
      <c r="F930" s="5"/>
      <c r="G930" s="5"/>
      <c r="H930" s="5"/>
      <c r="I930" s="29"/>
      <c r="J930" s="29"/>
      <c r="K930" s="29"/>
      <c r="L930" s="29"/>
      <c r="M930" s="29"/>
      <c r="N930" s="29"/>
      <c r="O930" s="38">
        <f t="shared" si="104"/>
        <v>0</v>
      </c>
      <c r="P930" s="38">
        <f t="shared" si="103"/>
        <v>0</v>
      </c>
      <c r="Q930" s="38">
        <f t="shared" si="105"/>
        <v>0</v>
      </c>
      <c r="R930" s="38">
        <f t="shared" si="106"/>
        <v>0</v>
      </c>
      <c r="S930" s="38">
        <f t="shared" si="107"/>
        <v>0</v>
      </c>
      <c r="T930" s="38">
        <f t="shared" si="108"/>
        <v>0</v>
      </c>
      <c r="U930" s="38">
        <f t="shared" si="109"/>
        <v>0</v>
      </c>
      <c r="V930" s="55"/>
    </row>
    <row r="931" spans="2:22" s="50" customFormat="1" ht="11.25" hidden="1">
      <c r="B931" s="74" t="s">
        <v>482</v>
      </c>
      <c r="C931" s="84"/>
      <c r="D931" s="31"/>
      <c r="E931" s="5"/>
      <c r="F931" s="5"/>
      <c r="G931" s="5"/>
      <c r="H931" s="5"/>
      <c r="I931" s="29"/>
      <c r="J931" s="29"/>
      <c r="K931" s="29"/>
      <c r="L931" s="29"/>
      <c r="M931" s="29"/>
      <c r="N931" s="29"/>
      <c r="O931" s="38">
        <f t="shared" si="104"/>
        <v>0</v>
      </c>
      <c r="P931" s="38">
        <f t="shared" si="103"/>
        <v>0</v>
      </c>
      <c r="Q931" s="38">
        <f t="shared" si="105"/>
        <v>0</v>
      </c>
      <c r="R931" s="38">
        <f t="shared" si="106"/>
        <v>0</v>
      </c>
      <c r="S931" s="38">
        <f t="shared" si="107"/>
        <v>0</v>
      </c>
      <c r="T931" s="38">
        <f t="shared" si="108"/>
        <v>0</v>
      </c>
      <c r="U931" s="38">
        <f t="shared" si="109"/>
        <v>0</v>
      </c>
      <c r="V931" s="55"/>
    </row>
    <row r="932" spans="2:22" s="50" customFormat="1" ht="11.25" hidden="1">
      <c r="B932" s="74" t="s">
        <v>482</v>
      </c>
      <c r="C932" s="84"/>
      <c r="D932" s="31"/>
      <c r="E932" s="5"/>
      <c r="F932" s="5"/>
      <c r="G932" s="5"/>
      <c r="H932" s="5"/>
      <c r="I932" s="29"/>
      <c r="J932" s="29"/>
      <c r="K932" s="29"/>
      <c r="L932" s="29"/>
      <c r="M932" s="29"/>
      <c r="N932" s="29"/>
      <c r="O932" s="38">
        <f t="shared" si="104"/>
        <v>0</v>
      </c>
      <c r="P932" s="38">
        <f t="shared" si="103"/>
        <v>0</v>
      </c>
      <c r="Q932" s="38">
        <f t="shared" si="105"/>
        <v>0</v>
      </c>
      <c r="R932" s="38">
        <f t="shared" si="106"/>
        <v>0</v>
      </c>
      <c r="S932" s="38">
        <f t="shared" si="107"/>
        <v>0</v>
      </c>
      <c r="T932" s="38">
        <f t="shared" si="108"/>
        <v>0</v>
      </c>
      <c r="U932" s="38">
        <f t="shared" si="109"/>
        <v>0</v>
      </c>
      <c r="V932" s="55"/>
    </row>
    <row r="933" spans="2:22" s="50" customFormat="1" ht="11.25" hidden="1">
      <c r="B933" s="74" t="s">
        <v>482</v>
      </c>
      <c r="C933" s="84"/>
      <c r="D933" s="31"/>
      <c r="E933" s="5"/>
      <c r="F933" s="5"/>
      <c r="G933" s="5"/>
      <c r="H933" s="5"/>
      <c r="I933" s="29"/>
      <c r="J933" s="29"/>
      <c r="K933" s="29"/>
      <c r="L933" s="29"/>
      <c r="M933" s="29"/>
      <c r="N933" s="29"/>
      <c r="O933" s="38">
        <f t="shared" si="104"/>
        <v>0</v>
      </c>
      <c r="P933" s="38">
        <f t="shared" si="103"/>
        <v>0</v>
      </c>
      <c r="Q933" s="38">
        <f t="shared" si="105"/>
        <v>0</v>
      </c>
      <c r="R933" s="38">
        <f t="shared" si="106"/>
        <v>0</v>
      </c>
      <c r="S933" s="38">
        <f t="shared" si="107"/>
        <v>0</v>
      </c>
      <c r="T933" s="38">
        <f t="shared" si="108"/>
        <v>0</v>
      </c>
      <c r="U933" s="38">
        <f t="shared" si="109"/>
        <v>0</v>
      </c>
      <c r="V933" s="55"/>
    </row>
    <row r="934" spans="2:22" s="50" customFormat="1" ht="11.25" hidden="1">
      <c r="B934" s="74" t="s">
        <v>482</v>
      </c>
      <c r="C934" s="84"/>
      <c r="D934" s="31"/>
      <c r="E934" s="5"/>
      <c r="F934" s="5"/>
      <c r="G934" s="5"/>
      <c r="H934" s="5"/>
      <c r="I934" s="29"/>
      <c r="J934" s="29"/>
      <c r="K934" s="29"/>
      <c r="L934" s="29"/>
      <c r="M934" s="29"/>
      <c r="N934" s="29"/>
      <c r="O934" s="38">
        <f t="shared" si="104"/>
        <v>0</v>
      </c>
      <c r="P934" s="38">
        <f t="shared" si="103"/>
        <v>0</v>
      </c>
      <c r="Q934" s="38">
        <f t="shared" si="105"/>
        <v>0</v>
      </c>
      <c r="R934" s="38">
        <f t="shared" si="106"/>
        <v>0</v>
      </c>
      <c r="S934" s="38">
        <f t="shared" si="107"/>
        <v>0</v>
      </c>
      <c r="T934" s="38">
        <f t="shared" si="108"/>
        <v>0</v>
      </c>
      <c r="U934" s="38">
        <f t="shared" si="109"/>
        <v>0</v>
      </c>
      <c r="V934" s="55"/>
    </row>
    <row r="935" spans="2:22" s="50" customFormat="1" ht="11.25" hidden="1">
      <c r="B935" s="74" t="s">
        <v>482</v>
      </c>
      <c r="C935" s="84"/>
      <c r="D935" s="31"/>
      <c r="E935" s="5"/>
      <c r="F935" s="5"/>
      <c r="G935" s="5"/>
      <c r="H935" s="5"/>
      <c r="I935" s="29"/>
      <c r="J935" s="29"/>
      <c r="K935" s="29"/>
      <c r="L935" s="29"/>
      <c r="M935" s="29"/>
      <c r="N935" s="29"/>
      <c r="O935" s="38">
        <f t="shared" si="104"/>
        <v>0</v>
      </c>
      <c r="P935" s="38">
        <f t="shared" si="103"/>
        <v>0</v>
      </c>
      <c r="Q935" s="38">
        <f t="shared" si="105"/>
        <v>0</v>
      </c>
      <c r="R935" s="38">
        <f t="shared" si="106"/>
        <v>0</v>
      </c>
      <c r="S935" s="38">
        <f t="shared" si="107"/>
        <v>0</v>
      </c>
      <c r="T935" s="38">
        <f t="shared" si="108"/>
        <v>0</v>
      </c>
      <c r="U935" s="38">
        <f t="shared" si="109"/>
        <v>0</v>
      </c>
      <c r="V935" s="55"/>
    </row>
    <row r="936" spans="2:22" s="50" customFormat="1" ht="11.25" hidden="1">
      <c r="B936" s="74" t="s">
        <v>482</v>
      </c>
      <c r="C936" s="84"/>
      <c r="D936" s="31"/>
      <c r="E936" s="5"/>
      <c r="F936" s="5"/>
      <c r="G936" s="5"/>
      <c r="H936" s="5"/>
      <c r="I936" s="29"/>
      <c r="J936" s="29"/>
      <c r="K936" s="29"/>
      <c r="L936" s="29"/>
      <c r="M936" s="29"/>
      <c r="N936" s="29"/>
      <c r="O936" s="38">
        <f t="shared" si="104"/>
        <v>0</v>
      </c>
      <c r="P936" s="38">
        <f t="shared" si="103"/>
        <v>0</v>
      </c>
      <c r="Q936" s="38">
        <f t="shared" si="105"/>
        <v>0</v>
      </c>
      <c r="R936" s="38">
        <f t="shared" si="106"/>
        <v>0</v>
      </c>
      <c r="S936" s="38">
        <f t="shared" si="107"/>
        <v>0</v>
      </c>
      <c r="T936" s="38">
        <f t="shared" si="108"/>
        <v>0</v>
      </c>
      <c r="U936" s="38">
        <f t="shared" si="109"/>
        <v>0</v>
      </c>
      <c r="V936" s="55"/>
    </row>
    <row r="937" spans="2:22" s="50" customFormat="1" ht="11.25" hidden="1">
      <c r="B937" s="74" t="s">
        <v>482</v>
      </c>
      <c r="C937" s="84"/>
      <c r="D937" s="31"/>
      <c r="E937" s="5"/>
      <c r="F937" s="5"/>
      <c r="G937" s="5"/>
      <c r="H937" s="5"/>
      <c r="I937" s="29"/>
      <c r="J937" s="29"/>
      <c r="K937" s="29"/>
      <c r="L937" s="29"/>
      <c r="M937" s="29"/>
      <c r="N937" s="29"/>
      <c r="O937" s="38">
        <f t="shared" si="104"/>
        <v>0</v>
      </c>
      <c r="P937" s="38">
        <f t="shared" si="103"/>
        <v>0</v>
      </c>
      <c r="Q937" s="38">
        <f t="shared" si="105"/>
        <v>0</v>
      </c>
      <c r="R937" s="38">
        <f t="shared" si="106"/>
        <v>0</v>
      </c>
      <c r="S937" s="38">
        <f t="shared" si="107"/>
        <v>0</v>
      </c>
      <c r="T937" s="38">
        <f t="shared" si="108"/>
        <v>0</v>
      </c>
      <c r="U937" s="38">
        <f t="shared" si="109"/>
        <v>0</v>
      </c>
      <c r="V937" s="55"/>
    </row>
    <row r="938" spans="2:22" s="50" customFormat="1" ht="11.25" hidden="1">
      <c r="B938" s="74" t="s">
        <v>482</v>
      </c>
      <c r="C938" s="84"/>
      <c r="D938" s="31"/>
      <c r="E938" s="5"/>
      <c r="F938" s="5"/>
      <c r="G938" s="5"/>
      <c r="H938" s="5"/>
      <c r="I938" s="29"/>
      <c r="J938" s="29"/>
      <c r="K938" s="29"/>
      <c r="L938" s="29"/>
      <c r="M938" s="29"/>
      <c r="N938" s="29"/>
      <c r="O938" s="38">
        <f t="shared" si="104"/>
        <v>0</v>
      </c>
      <c r="P938" s="38">
        <f t="shared" si="103"/>
        <v>0</v>
      </c>
      <c r="Q938" s="38">
        <f t="shared" si="105"/>
        <v>0</v>
      </c>
      <c r="R938" s="38">
        <f t="shared" si="106"/>
        <v>0</v>
      </c>
      <c r="S938" s="38">
        <f t="shared" si="107"/>
        <v>0</v>
      </c>
      <c r="T938" s="38">
        <f t="shared" si="108"/>
        <v>0</v>
      </c>
      <c r="U938" s="38">
        <f t="shared" si="109"/>
        <v>0</v>
      </c>
      <c r="V938" s="55"/>
    </row>
    <row r="939" spans="2:22" s="50" customFormat="1" ht="11.25" hidden="1">
      <c r="B939" s="74" t="s">
        <v>482</v>
      </c>
      <c r="C939" s="84"/>
      <c r="D939" s="31"/>
      <c r="E939" s="5"/>
      <c r="F939" s="5"/>
      <c r="G939" s="5"/>
      <c r="H939" s="5"/>
      <c r="I939" s="29"/>
      <c r="J939" s="29"/>
      <c r="K939" s="29"/>
      <c r="L939" s="29"/>
      <c r="M939" s="29"/>
      <c r="N939" s="29"/>
      <c r="O939" s="38">
        <f t="shared" si="104"/>
        <v>0</v>
      </c>
      <c r="P939" s="38">
        <f t="shared" si="103"/>
        <v>0</v>
      </c>
      <c r="Q939" s="38">
        <f t="shared" si="105"/>
        <v>0</v>
      </c>
      <c r="R939" s="38">
        <f t="shared" si="106"/>
        <v>0</v>
      </c>
      <c r="S939" s="38">
        <f t="shared" si="107"/>
        <v>0</v>
      </c>
      <c r="T939" s="38">
        <f t="shared" si="108"/>
        <v>0</v>
      </c>
      <c r="U939" s="38">
        <f t="shared" si="109"/>
        <v>0</v>
      </c>
      <c r="V939" s="55"/>
    </row>
    <row r="940" spans="2:22" s="50" customFormat="1" ht="11.25" hidden="1">
      <c r="B940" s="74" t="s">
        <v>482</v>
      </c>
      <c r="C940" s="84"/>
      <c r="D940" s="31"/>
      <c r="E940" s="5"/>
      <c r="F940" s="5"/>
      <c r="G940" s="5"/>
      <c r="H940" s="5"/>
      <c r="I940" s="29"/>
      <c r="J940" s="29"/>
      <c r="K940" s="29"/>
      <c r="L940" s="29"/>
      <c r="M940" s="29"/>
      <c r="N940" s="29"/>
      <c r="O940" s="38">
        <f t="shared" si="104"/>
        <v>0</v>
      </c>
      <c r="P940" s="38">
        <f t="shared" si="103"/>
        <v>0</v>
      </c>
      <c r="Q940" s="38">
        <f t="shared" si="105"/>
        <v>0</v>
      </c>
      <c r="R940" s="38">
        <f t="shared" si="106"/>
        <v>0</v>
      </c>
      <c r="S940" s="38">
        <f t="shared" si="107"/>
        <v>0</v>
      </c>
      <c r="T940" s="38">
        <f t="shared" si="108"/>
        <v>0</v>
      </c>
      <c r="U940" s="38">
        <f t="shared" si="109"/>
        <v>0</v>
      </c>
      <c r="V940" s="55"/>
    </row>
    <row r="941" spans="2:22" s="50" customFormat="1" ht="11.25" hidden="1">
      <c r="B941" s="74" t="s">
        <v>482</v>
      </c>
      <c r="C941" s="84"/>
      <c r="D941" s="31"/>
      <c r="E941" s="5"/>
      <c r="F941" s="5"/>
      <c r="G941" s="5"/>
      <c r="H941" s="5"/>
      <c r="I941" s="29"/>
      <c r="J941" s="29"/>
      <c r="K941" s="29"/>
      <c r="L941" s="29"/>
      <c r="M941" s="29"/>
      <c r="N941" s="29"/>
      <c r="O941" s="38">
        <f t="shared" si="104"/>
        <v>0</v>
      </c>
      <c r="P941" s="38">
        <f t="shared" si="103"/>
        <v>0</v>
      </c>
      <c r="Q941" s="38">
        <f t="shared" si="105"/>
        <v>0</v>
      </c>
      <c r="R941" s="38">
        <f t="shared" si="106"/>
        <v>0</v>
      </c>
      <c r="S941" s="38">
        <f t="shared" si="107"/>
        <v>0</v>
      </c>
      <c r="T941" s="38">
        <f t="shared" si="108"/>
        <v>0</v>
      </c>
      <c r="U941" s="38">
        <f t="shared" si="109"/>
        <v>0</v>
      </c>
      <c r="V941" s="55"/>
    </row>
    <row r="942" spans="2:22" s="50" customFormat="1" ht="11.25" hidden="1">
      <c r="B942" s="74" t="s">
        <v>482</v>
      </c>
      <c r="C942" s="84"/>
      <c r="D942" s="31"/>
      <c r="E942" s="5"/>
      <c r="F942" s="5"/>
      <c r="G942" s="5"/>
      <c r="H942" s="5"/>
      <c r="I942" s="29"/>
      <c r="J942" s="29"/>
      <c r="K942" s="29"/>
      <c r="L942" s="29"/>
      <c r="M942" s="29"/>
      <c r="N942" s="29"/>
      <c r="O942" s="38">
        <f t="shared" si="104"/>
        <v>0</v>
      </c>
      <c r="P942" s="38">
        <f t="shared" si="103"/>
        <v>0</v>
      </c>
      <c r="Q942" s="38">
        <f t="shared" si="105"/>
        <v>0</v>
      </c>
      <c r="R942" s="38">
        <f t="shared" si="106"/>
        <v>0</v>
      </c>
      <c r="S942" s="38">
        <f t="shared" si="107"/>
        <v>0</v>
      </c>
      <c r="T942" s="38">
        <f t="shared" si="108"/>
        <v>0</v>
      </c>
      <c r="U942" s="38">
        <f t="shared" si="109"/>
        <v>0</v>
      </c>
      <c r="V942" s="55"/>
    </row>
    <row r="943" spans="2:22" s="50" customFormat="1" ht="11.25" hidden="1">
      <c r="B943" s="74" t="s">
        <v>482</v>
      </c>
      <c r="C943" s="84"/>
      <c r="D943" s="31"/>
      <c r="E943" s="5"/>
      <c r="F943" s="5"/>
      <c r="G943" s="5"/>
      <c r="H943" s="5"/>
      <c r="I943" s="29"/>
      <c r="J943" s="29"/>
      <c r="K943" s="29"/>
      <c r="L943" s="29"/>
      <c r="M943" s="29"/>
      <c r="N943" s="29"/>
      <c r="O943" s="38">
        <f t="shared" si="104"/>
        <v>0</v>
      </c>
      <c r="P943" s="38">
        <f t="shared" si="103"/>
        <v>0</v>
      </c>
      <c r="Q943" s="38">
        <f t="shared" si="105"/>
        <v>0</v>
      </c>
      <c r="R943" s="38">
        <f t="shared" si="106"/>
        <v>0</v>
      </c>
      <c r="S943" s="38">
        <f t="shared" si="107"/>
        <v>0</v>
      </c>
      <c r="T943" s="38">
        <f t="shared" si="108"/>
        <v>0</v>
      </c>
      <c r="U943" s="38">
        <f t="shared" si="109"/>
        <v>0</v>
      </c>
      <c r="V943" s="55"/>
    </row>
    <row r="944" spans="2:22" s="50" customFormat="1" ht="11.25" hidden="1">
      <c r="B944" s="74" t="s">
        <v>482</v>
      </c>
      <c r="C944" s="84"/>
      <c r="D944" s="31"/>
      <c r="E944" s="5"/>
      <c r="F944" s="5"/>
      <c r="G944" s="5"/>
      <c r="H944" s="5"/>
      <c r="I944" s="29"/>
      <c r="J944" s="29"/>
      <c r="K944" s="29"/>
      <c r="L944" s="29"/>
      <c r="M944" s="29"/>
      <c r="N944" s="29"/>
      <c r="O944" s="38">
        <f t="shared" si="104"/>
        <v>0</v>
      </c>
      <c r="P944" s="38">
        <f t="shared" si="103"/>
        <v>0</v>
      </c>
      <c r="Q944" s="38">
        <f t="shared" si="105"/>
        <v>0</v>
      </c>
      <c r="R944" s="38">
        <f t="shared" si="106"/>
        <v>0</v>
      </c>
      <c r="S944" s="38">
        <f t="shared" si="107"/>
        <v>0</v>
      </c>
      <c r="T944" s="38">
        <f t="shared" si="108"/>
        <v>0</v>
      </c>
      <c r="U944" s="38">
        <f t="shared" si="109"/>
        <v>0</v>
      </c>
      <c r="V944" s="55"/>
    </row>
    <row r="945" spans="2:22" s="50" customFormat="1" ht="11.25" hidden="1">
      <c r="B945" s="74" t="s">
        <v>482</v>
      </c>
      <c r="C945" s="84"/>
      <c r="D945" s="31"/>
      <c r="E945" s="5"/>
      <c r="F945" s="5"/>
      <c r="G945" s="5"/>
      <c r="H945" s="5"/>
      <c r="I945" s="29"/>
      <c r="J945" s="29"/>
      <c r="K945" s="29"/>
      <c r="L945" s="29"/>
      <c r="M945" s="29"/>
      <c r="N945" s="29"/>
      <c r="O945" s="38">
        <f t="shared" si="104"/>
        <v>0</v>
      </c>
      <c r="P945" s="38">
        <f t="shared" si="103"/>
        <v>0</v>
      </c>
      <c r="Q945" s="38">
        <f t="shared" si="105"/>
        <v>0</v>
      </c>
      <c r="R945" s="38">
        <f t="shared" si="106"/>
        <v>0</v>
      </c>
      <c r="S945" s="38">
        <f t="shared" si="107"/>
        <v>0</v>
      </c>
      <c r="T945" s="38">
        <f t="shared" si="108"/>
        <v>0</v>
      </c>
      <c r="U945" s="38">
        <f t="shared" si="109"/>
        <v>0</v>
      </c>
      <c r="V945" s="55"/>
    </row>
    <row r="946" spans="2:22" s="50" customFormat="1" ht="11.25" hidden="1">
      <c r="B946" s="74" t="s">
        <v>482</v>
      </c>
      <c r="C946" s="84"/>
      <c r="D946" s="31"/>
      <c r="E946" s="5"/>
      <c r="F946" s="5"/>
      <c r="G946" s="5"/>
      <c r="H946" s="5"/>
      <c r="I946" s="29"/>
      <c r="J946" s="29"/>
      <c r="K946" s="29"/>
      <c r="L946" s="29"/>
      <c r="M946" s="29"/>
      <c r="N946" s="29"/>
      <c r="O946" s="38">
        <f t="shared" si="104"/>
        <v>0</v>
      </c>
      <c r="P946" s="38">
        <f t="shared" si="103"/>
        <v>0</v>
      </c>
      <c r="Q946" s="38">
        <f t="shared" si="105"/>
        <v>0</v>
      </c>
      <c r="R946" s="38">
        <f t="shared" si="106"/>
        <v>0</v>
      </c>
      <c r="S946" s="38">
        <f t="shared" si="107"/>
        <v>0</v>
      </c>
      <c r="T946" s="38">
        <f t="shared" si="108"/>
        <v>0</v>
      </c>
      <c r="U946" s="38">
        <f t="shared" si="109"/>
        <v>0</v>
      </c>
      <c r="V946" s="55"/>
    </row>
    <row r="947" spans="2:22" s="50" customFormat="1" ht="11.25" hidden="1">
      <c r="B947" s="74" t="s">
        <v>482</v>
      </c>
      <c r="C947" s="84"/>
      <c r="D947" s="31"/>
      <c r="E947" s="5"/>
      <c r="F947" s="5"/>
      <c r="G947" s="5"/>
      <c r="H947" s="5"/>
      <c r="I947" s="29"/>
      <c r="J947" s="29"/>
      <c r="K947" s="29"/>
      <c r="L947" s="29"/>
      <c r="M947" s="29"/>
      <c r="N947" s="29"/>
      <c r="O947" s="38">
        <f t="shared" si="104"/>
        <v>0</v>
      </c>
      <c r="P947" s="38">
        <f t="shared" si="103"/>
        <v>0</v>
      </c>
      <c r="Q947" s="38">
        <f t="shared" si="105"/>
        <v>0</v>
      </c>
      <c r="R947" s="38">
        <f t="shared" si="106"/>
        <v>0</v>
      </c>
      <c r="S947" s="38">
        <f t="shared" si="107"/>
        <v>0</v>
      </c>
      <c r="T947" s="38">
        <f t="shared" si="108"/>
        <v>0</v>
      </c>
      <c r="U947" s="38">
        <f t="shared" si="109"/>
        <v>0</v>
      </c>
      <c r="V947" s="55"/>
    </row>
    <row r="948" spans="2:22" s="50" customFormat="1" ht="11.25" hidden="1">
      <c r="B948" s="74" t="s">
        <v>482</v>
      </c>
      <c r="C948" s="84"/>
      <c r="D948" s="31"/>
      <c r="E948" s="5"/>
      <c r="F948" s="5"/>
      <c r="G948" s="5"/>
      <c r="H948" s="5"/>
      <c r="I948" s="29"/>
      <c r="J948" s="29"/>
      <c r="K948" s="29"/>
      <c r="L948" s="29"/>
      <c r="M948" s="29"/>
      <c r="N948" s="29"/>
      <c r="O948" s="38">
        <f t="shared" si="104"/>
        <v>0</v>
      </c>
      <c r="P948" s="38">
        <f t="shared" si="103"/>
        <v>0</v>
      </c>
      <c r="Q948" s="38">
        <f t="shared" si="105"/>
        <v>0</v>
      </c>
      <c r="R948" s="38">
        <f t="shared" si="106"/>
        <v>0</v>
      </c>
      <c r="S948" s="38">
        <f t="shared" si="107"/>
        <v>0</v>
      </c>
      <c r="T948" s="38">
        <f t="shared" si="108"/>
        <v>0</v>
      </c>
      <c r="U948" s="38">
        <f t="shared" si="109"/>
        <v>0</v>
      </c>
      <c r="V948" s="55"/>
    </row>
    <row r="949" spans="2:22" s="50" customFormat="1" ht="11.25" hidden="1">
      <c r="B949" s="74" t="s">
        <v>482</v>
      </c>
      <c r="C949" s="84"/>
      <c r="D949" s="31"/>
      <c r="E949" s="5"/>
      <c r="F949" s="5"/>
      <c r="G949" s="5"/>
      <c r="H949" s="5"/>
      <c r="I949" s="29"/>
      <c r="J949" s="29"/>
      <c r="K949" s="29"/>
      <c r="L949" s="29"/>
      <c r="M949" s="29"/>
      <c r="N949" s="29"/>
      <c r="O949" s="38">
        <f t="shared" si="104"/>
        <v>0</v>
      </c>
      <c r="P949" s="38">
        <f t="shared" si="103"/>
        <v>0</v>
      </c>
      <c r="Q949" s="38">
        <f t="shared" si="105"/>
        <v>0</v>
      </c>
      <c r="R949" s="38">
        <f t="shared" si="106"/>
        <v>0</v>
      </c>
      <c r="S949" s="38">
        <f t="shared" si="107"/>
        <v>0</v>
      </c>
      <c r="T949" s="38">
        <f t="shared" si="108"/>
        <v>0</v>
      </c>
      <c r="U949" s="38">
        <f t="shared" si="109"/>
        <v>0</v>
      </c>
      <c r="V949" s="55"/>
    </row>
    <row r="950" spans="2:22" s="50" customFormat="1" ht="11.25" hidden="1">
      <c r="B950" s="74" t="s">
        <v>482</v>
      </c>
      <c r="C950" s="84"/>
      <c r="D950" s="31"/>
      <c r="E950" s="5"/>
      <c r="F950" s="5"/>
      <c r="G950" s="5"/>
      <c r="H950" s="5"/>
      <c r="I950" s="29"/>
      <c r="J950" s="29"/>
      <c r="K950" s="29"/>
      <c r="L950" s="29"/>
      <c r="M950" s="29"/>
      <c r="N950" s="29"/>
      <c r="O950" s="38">
        <f t="shared" si="104"/>
        <v>0</v>
      </c>
      <c r="P950" s="38">
        <f t="shared" si="103"/>
        <v>0</v>
      </c>
      <c r="Q950" s="38">
        <f t="shared" si="105"/>
        <v>0</v>
      </c>
      <c r="R950" s="38">
        <f t="shared" si="106"/>
        <v>0</v>
      </c>
      <c r="S950" s="38">
        <f t="shared" si="107"/>
        <v>0</v>
      </c>
      <c r="T950" s="38">
        <f t="shared" si="108"/>
        <v>0</v>
      </c>
      <c r="U950" s="38">
        <f t="shared" si="109"/>
        <v>0</v>
      </c>
      <c r="V950" s="55"/>
    </row>
    <row r="951" spans="2:22" s="50" customFormat="1" ht="11.25" hidden="1">
      <c r="B951" s="74" t="s">
        <v>482</v>
      </c>
      <c r="C951" s="84"/>
      <c r="D951" s="31"/>
      <c r="E951" s="5"/>
      <c r="F951" s="5"/>
      <c r="G951" s="5"/>
      <c r="H951" s="5"/>
      <c r="I951" s="29"/>
      <c r="J951" s="29"/>
      <c r="K951" s="29"/>
      <c r="L951" s="29"/>
      <c r="M951" s="29"/>
      <c r="N951" s="29"/>
      <c r="O951" s="38">
        <f t="shared" si="104"/>
        <v>0</v>
      </c>
      <c r="P951" s="38">
        <f t="shared" si="103"/>
        <v>0</v>
      </c>
      <c r="Q951" s="38">
        <f t="shared" si="105"/>
        <v>0</v>
      </c>
      <c r="R951" s="38">
        <f t="shared" si="106"/>
        <v>0</v>
      </c>
      <c r="S951" s="38">
        <f t="shared" si="107"/>
        <v>0</v>
      </c>
      <c r="T951" s="38">
        <f t="shared" si="108"/>
        <v>0</v>
      </c>
      <c r="U951" s="38">
        <f t="shared" si="109"/>
        <v>0</v>
      </c>
      <c r="V951" s="55"/>
    </row>
    <row r="952" spans="2:22" s="50" customFormat="1" ht="11.25" hidden="1">
      <c r="B952" s="74" t="s">
        <v>482</v>
      </c>
      <c r="C952" s="84"/>
      <c r="D952" s="31"/>
      <c r="E952" s="5"/>
      <c r="F952" s="5"/>
      <c r="G952" s="5"/>
      <c r="H952" s="5"/>
      <c r="I952" s="29"/>
      <c r="J952" s="29"/>
      <c r="K952" s="29"/>
      <c r="L952" s="29"/>
      <c r="M952" s="29"/>
      <c r="N952" s="29"/>
      <c r="O952" s="38">
        <f t="shared" si="104"/>
        <v>0</v>
      </c>
      <c r="P952" s="38">
        <f t="shared" si="103"/>
        <v>0</v>
      </c>
      <c r="Q952" s="38">
        <f t="shared" si="105"/>
        <v>0</v>
      </c>
      <c r="R952" s="38">
        <f t="shared" si="106"/>
        <v>0</v>
      </c>
      <c r="S952" s="38">
        <f t="shared" si="107"/>
        <v>0</v>
      </c>
      <c r="T952" s="38">
        <f t="shared" si="108"/>
        <v>0</v>
      </c>
      <c r="U952" s="38">
        <f t="shared" si="109"/>
        <v>0</v>
      </c>
      <c r="V952" s="55"/>
    </row>
    <row r="953" spans="2:22" s="50" customFormat="1" ht="11.25" hidden="1">
      <c r="B953" s="74" t="s">
        <v>482</v>
      </c>
      <c r="C953" s="84"/>
      <c r="D953" s="31"/>
      <c r="E953" s="5"/>
      <c r="F953" s="5"/>
      <c r="G953" s="5"/>
      <c r="H953" s="5"/>
      <c r="I953" s="29"/>
      <c r="J953" s="29"/>
      <c r="K953" s="29"/>
      <c r="L953" s="29"/>
      <c r="M953" s="29"/>
      <c r="N953" s="29"/>
      <c r="O953" s="38">
        <f t="shared" si="104"/>
        <v>0</v>
      </c>
      <c r="P953" s="38">
        <f t="shared" si="103"/>
        <v>0</v>
      </c>
      <c r="Q953" s="38">
        <f t="shared" si="105"/>
        <v>0</v>
      </c>
      <c r="R953" s="38">
        <f t="shared" si="106"/>
        <v>0</v>
      </c>
      <c r="S953" s="38">
        <f t="shared" si="107"/>
        <v>0</v>
      </c>
      <c r="T953" s="38">
        <f t="shared" si="108"/>
        <v>0</v>
      </c>
      <c r="U953" s="38">
        <f t="shared" si="109"/>
        <v>0</v>
      </c>
      <c r="V953" s="55"/>
    </row>
    <row r="954" spans="2:22" s="50" customFormat="1" ht="11.25" hidden="1">
      <c r="B954" s="74" t="s">
        <v>482</v>
      </c>
      <c r="C954" s="84"/>
      <c r="D954" s="31"/>
      <c r="E954" s="5"/>
      <c r="F954" s="5"/>
      <c r="G954" s="5"/>
      <c r="H954" s="5"/>
      <c r="I954" s="29"/>
      <c r="J954" s="29"/>
      <c r="K954" s="29"/>
      <c r="L954" s="29"/>
      <c r="M954" s="29"/>
      <c r="N954" s="29"/>
      <c r="O954" s="38">
        <f t="shared" si="104"/>
        <v>0</v>
      </c>
      <c r="P954" s="38">
        <f t="shared" si="103"/>
        <v>0</v>
      </c>
      <c r="Q954" s="38">
        <f t="shared" si="105"/>
        <v>0</v>
      </c>
      <c r="R954" s="38">
        <f t="shared" si="106"/>
        <v>0</v>
      </c>
      <c r="S954" s="38">
        <f t="shared" si="107"/>
        <v>0</v>
      </c>
      <c r="T954" s="38">
        <f t="shared" si="108"/>
        <v>0</v>
      </c>
      <c r="U954" s="38">
        <f t="shared" si="109"/>
        <v>0</v>
      </c>
      <c r="V954" s="55"/>
    </row>
    <row r="955" spans="2:22" s="50" customFormat="1" ht="11.25" hidden="1">
      <c r="B955" s="74" t="s">
        <v>482</v>
      </c>
      <c r="C955" s="84"/>
      <c r="D955" s="31"/>
      <c r="E955" s="5"/>
      <c r="F955" s="5"/>
      <c r="G955" s="5"/>
      <c r="H955" s="5"/>
      <c r="I955" s="29"/>
      <c r="J955" s="29"/>
      <c r="K955" s="29"/>
      <c r="L955" s="29"/>
      <c r="M955" s="29"/>
      <c r="N955" s="29"/>
      <c r="O955" s="38">
        <f t="shared" si="104"/>
        <v>0</v>
      </c>
      <c r="P955" s="38">
        <f t="shared" si="103"/>
        <v>0</v>
      </c>
      <c r="Q955" s="38">
        <f t="shared" si="105"/>
        <v>0</v>
      </c>
      <c r="R955" s="38">
        <f t="shared" si="106"/>
        <v>0</v>
      </c>
      <c r="S955" s="38">
        <f t="shared" si="107"/>
        <v>0</v>
      </c>
      <c r="T955" s="38">
        <f t="shared" si="108"/>
        <v>0</v>
      </c>
      <c r="U955" s="38">
        <f t="shared" si="109"/>
        <v>0</v>
      </c>
      <c r="V955" s="55"/>
    </row>
    <row r="956" spans="2:22" s="50" customFormat="1" ht="11.25" hidden="1">
      <c r="B956" s="74" t="s">
        <v>482</v>
      </c>
      <c r="C956" s="84"/>
      <c r="D956" s="31"/>
      <c r="E956" s="5"/>
      <c r="F956" s="5"/>
      <c r="G956" s="5"/>
      <c r="H956" s="5"/>
      <c r="I956" s="29"/>
      <c r="J956" s="29"/>
      <c r="K956" s="29"/>
      <c r="L956" s="29"/>
      <c r="M956" s="29"/>
      <c r="N956" s="29"/>
      <c r="O956" s="38">
        <f t="shared" si="104"/>
        <v>0</v>
      </c>
      <c r="P956" s="38">
        <f t="shared" si="103"/>
        <v>0</v>
      </c>
      <c r="Q956" s="38">
        <f t="shared" si="105"/>
        <v>0</v>
      </c>
      <c r="R956" s="38">
        <f t="shared" si="106"/>
        <v>0</v>
      </c>
      <c r="S956" s="38">
        <f t="shared" si="107"/>
        <v>0</v>
      </c>
      <c r="T956" s="38">
        <f t="shared" si="108"/>
        <v>0</v>
      </c>
      <c r="U956" s="38">
        <f t="shared" si="109"/>
        <v>0</v>
      </c>
      <c r="V956" s="55"/>
    </row>
    <row r="957" spans="2:22" s="50" customFormat="1" ht="11.25" hidden="1">
      <c r="B957" s="74" t="s">
        <v>482</v>
      </c>
      <c r="C957" s="84"/>
      <c r="D957" s="31"/>
      <c r="E957" s="5"/>
      <c r="F957" s="5"/>
      <c r="G957" s="5"/>
      <c r="H957" s="5"/>
      <c r="I957" s="29"/>
      <c r="J957" s="29"/>
      <c r="K957" s="29"/>
      <c r="L957" s="29"/>
      <c r="M957" s="29"/>
      <c r="N957" s="29"/>
      <c r="O957" s="38">
        <f t="shared" si="104"/>
        <v>0</v>
      </c>
      <c r="P957" s="38">
        <f t="shared" si="103"/>
        <v>0</v>
      </c>
      <c r="Q957" s="38">
        <f t="shared" si="105"/>
        <v>0</v>
      </c>
      <c r="R957" s="38">
        <f t="shared" si="106"/>
        <v>0</v>
      </c>
      <c r="S957" s="38">
        <f t="shared" si="107"/>
        <v>0</v>
      </c>
      <c r="T957" s="38">
        <f t="shared" si="108"/>
        <v>0</v>
      </c>
      <c r="U957" s="38">
        <f t="shared" si="109"/>
        <v>0</v>
      </c>
      <c r="V957" s="55"/>
    </row>
    <row r="958" spans="2:22" s="50" customFormat="1" ht="11.25" hidden="1">
      <c r="B958" s="74" t="s">
        <v>482</v>
      </c>
      <c r="C958" s="84"/>
      <c r="D958" s="31"/>
      <c r="E958" s="5"/>
      <c r="F958" s="5"/>
      <c r="G958" s="5"/>
      <c r="H958" s="5"/>
      <c r="I958" s="29"/>
      <c r="J958" s="29"/>
      <c r="K958" s="29"/>
      <c r="L958" s="29"/>
      <c r="M958" s="29"/>
      <c r="N958" s="29"/>
      <c r="O958" s="38">
        <f t="shared" si="104"/>
        <v>0</v>
      </c>
      <c r="P958" s="38">
        <f t="shared" si="103"/>
        <v>0</v>
      </c>
      <c r="Q958" s="38">
        <f t="shared" si="105"/>
        <v>0</v>
      </c>
      <c r="R958" s="38">
        <f t="shared" si="106"/>
        <v>0</v>
      </c>
      <c r="S958" s="38">
        <f t="shared" si="107"/>
        <v>0</v>
      </c>
      <c r="T958" s="38">
        <f t="shared" si="108"/>
        <v>0</v>
      </c>
      <c r="U958" s="38">
        <f t="shared" si="109"/>
        <v>0</v>
      </c>
      <c r="V958" s="55"/>
    </row>
    <row r="959" spans="2:22" s="50" customFormat="1" ht="11.25" hidden="1">
      <c r="B959" s="74" t="s">
        <v>482</v>
      </c>
      <c r="C959" s="84"/>
      <c r="D959" s="31"/>
      <c r="E959" s="5"/>
      <c r="F959" s="5"/>
      <c r="G959" s="5"/>
      <c r="H959" s="5"/>
      <c r="I959" s="29"/>
      <c r="J959" s="29"/>
      <c r="K959" s="29"/>
      <c r="L959" s="29"/>
      <c r="M959" s="29"/>
      <c r="N959" s="29"/>
      <c r="O959" s="38">
        <f t="shared" si="104"/>
        <v>0</v>
      </c>
      <c r="P959" s="38">
        <f t="shared" ref="P959:P1022" si="110">IF(I959=0,0,J959/I959*10)</f>
        <v>0</v>
      </c>
      <c r="Q959" s="38">
        <f t="shared" si="105"/>
        <v>0</v>
      </c>
      <c r="R959" s="38">
        <f t="shared" si="106"/>
        <v>0</v>
      </c>
      <c r="S959" s="38">
        <f t="shared" si="107"/>
        <v>0</v>
      </c>
      <c r="T959" s="38">
        <f t="shared" si="108"/>
        <v>0</v>
      </c>
      <c r="U959" s="38">
        <f t="shared" si="109"/>
        <v>0</v>
      </c>
      <c r="V959" s="55"/>
    </row>
    <row r="960" spans="2:22" s="50" customFormat="1" ht="11.25">
      <c r="B960" s="74" t="s">
        <v>482</v>
      </c>
      <c r="C960" s="84"/>
      <c r="D960" s="31"/>
      <c r="E960" s="5"/>
      <c r="F960" s="5"/>
      <c r="G960" s="5"/>
      <c r="H960" s="5"/>
      <c r="I960" s="29"/>
      <c r="J960" s="29"/>
      <c r="K960" s="29"/>
      <c r="L960" s="29"/>
      <c r="M960" s="29"/>
      <c r="N960" s="29"/>
      <c r="O960" s="38">
        <f t="shared" si="104"/>
        <v>0</v>
      </c>
      <c r="P960" s="38">
        <f t="shared" si="110"/>
        <v>0</v>
      </c>
      <c r="Q960" s="38">
        <f t="shared" si="105"/>
        <v>0</v>
      </c>
      <c r="R960" s="38">
        <f t="shared" si="106"/>
        <v>0</v>
      </c>
      <c r="S960" s="38">
        <f t="shared" si="107"/>
        <v>0</v>
      </c>
      <c r="T960" s="38">
        <f t="shared" si="108"/>
        <v>0</v>
      </c>
      <c r="U960" s="38">
        <f t="shared" si="109"/>
        <v>0</v>
      </c>
      <c r="V960" s="55"/>
    </row>
    <row r="961" spans="2:22" s="50" customFormat="1" ht="11.25">
      <c r="B961" s="72" t="s">
        <v>481</v>
      </c>
      <c r="C961" s="89"/>
      <c r="D961" s="75"/>
      <c r="E961" s="38">
        <f>SUM(E916:E960)</f>
        <v>0</v>
      </c>
      <c r="F961" s="38"/>
      <c r="G961" s="38">
        <f t="shared" ref="G961:N961" si="111">SUM(G916:G960)</f>
        <v>0</v>
      </c>
      <c r="H961" s="38">
        <f t="shared" si="111"/>
        <v>0</v>
      </c>
      <c r="I961" s="38">
        <f t="shared" si="111"/>
        <v>0</v>
      </c>
      <c r="J961" s="38">
        <f t="shared" si="111"/>
        <v>0</v>
      </c>
      <c r="K961" s="38">
        <f t="shared" si="111"/>
        <v>0</v>
      </c>
      <c r="L961" s="38">
        <f t="shared" si="111"/>
        <v>0</v>
      </c>
      <c r="M961" s="38">
        <f t="shared" si="111"/>
        <v>0</v>
      </c>
      <c r="N961" s="38">
        <f t="shared" si="111"/>
        <v>0</v>
      </c>
      <c r="O961" s="38">
        <f t="shared" si="104"/>
        <v>0</v>
      </c>
      <c r="P961" s="38">
        <f t="shared" si="110"/>
        <v>0</v>
      </c>
      <c r="Q961" s="38">
        <f t="shared" si="105"/>
        <v>0</v>
      </c>
      <c r="R961" s="38">
        <f t="shared" si="106"/>
        <v>0</v>
      </c>
      <c r="S961" s="38">
        <f t="shared" si="107"/>
        <v>0</v>
      </c>
      <c r="T961" s="38">
        <f t="shared" si="108"/>
        <v>0</v>
      </c>
      <c r="U961" s="38">
        <f t="shared" si="109"/>
        <v>0</v>
      </c>
      <c r="V961" s="55"/>
    </row>
    <row r="962" spans="2:22" s="50" customFormat="1" ht="11.25">
      <c r="B962" s="69" t="s">
        <v>273</v>
      </c>
      <c r="C962" s="83"/>
      <c r="D962" s="28"/>
      <c r="E962" s="5"/>
      <c r="F962" s="5"/>
      <c r="G962" s="5"/>
      <c r="H962" s="5"/>
      <c r="I962" s="5">
        <f>H962</f>
        <v>0</v>
      </c>
      <c r="J962" s="29"/>
      <c r="K962" s="29"/>
      <c r="L962" s="22"/>
      <c r="M962" s="22"/>
      <c r="N962" s="22"/>
      <c r="O962" s="38">
        <f t="shared" si="104"/>
        <v>0</v>
      </c>
      <c r="P962" s="38">
        <f t="shared" si="110"/>
        <v>0</v>
      </c>
      <c r="Q962" s="38">
        <f t="shared" si="105"/>
        <v>0</v>
      </c>
      <c r="R962" s="38">
        <f>IF(I962=0,0,M962/I962*10)</f>
        <v>0</v>
      </c>
      <c r="S962" s="38">
        <f t="shared" si="107"/>
        <v>0</v>
      </c>
      <c r="T962" s="38">
        <f t="shared" si="108"/>
        <v>0</v>
      </c>
      <c r="U962" s="38">
        <f t="shared" si="109"/>
        <v>0</v>
      </c>
      <c r="V962" s="55"/>
    </row>
    <row r="963" spans="2:22" s="50" customFormat="1" ht="11.25">
      <c r="B963" s="69" t="s">
        <v>273</v>
      </c>
      <c r="C963" s="90"/>
      <c r="D963" s="31"/>
      <c r="E963" s="5"/>
      <c r="F963" s="5"/>
      <c r="G963" s="5"/>
      <c r="H963" s="5"/>
      <c r="I963" s="5">
        <f>H963</f>
        <v>0</v>
      </c>
      <c r="J963" s="5"/>
      <c r="K963" s="29"/>
      <c r="L963" s="5"/>
      <c r="M963" s="5"/>
      <c r="N963" s="5"/>
      <c r="O963" s="38">
        <f t="shared" si="104"/>
        <v>0</v>
      </c>
      <c r="P963" s="38">
        <f t="shared" si="110"/>
        <v>0</v>
      </c>
      <c r="Q963" s="38">
        <f t="shared" si="105"/>
        <v>0</v>
      </c>
      <c r="R963" s="38">
        <f>IF(I963=0,0,M963/I963*10)</f>
        <v>0</v>
      </c>
      <c r="S963" s="38">
        <f t="shared" si="107"/>
        <v>0</v>
      </c>
      <c r="T963" s="38">
        <f t="shared" si="108"/>
        <v>0</v>
      </c>
      <c r="U963" s="38">
        <f t="shared" si="109"/>
        <v>0</v>
      </c>
      <c r="V963" s="55"/>
    </row>
    <row r="964" spans="2:22" s="50" customFormat="1" ht="11.25">
      <c r="B964" s="69" t="s">
        <v>273</v>
      </c>
      <c r="C964" s="83"/>
      <c r="D964" s="31"/>
      <c r="E964" s="5"/>
      <c r="F964" s="5"/>
      <c r="G964" s="5"/>
      <c r="H964" s="5"/>
      <c r="I964" s="5">
        <f>H964</f>
        <v>0</v>
      </c>
      <c r="J964" s="5"/>
      <c r="K964" s="29"/>
      <c r="L964" s="5"/>
      <c r="M964" s="5"/>
      <c r="N964" s="5"/>
      <c r="O964" s="38">
        <f t="shared" si="104"/>
        <v>0</v>
      </c>
      <c r="P964" s="38">
        <f t="shared" si="110"/>
        <v>0</v>
      </c>
      <c r="Q964" s="38">
        <f t="shared" si="105"/>
        <v>0</v>
      </c>
      <c r="R964" s="38">
        <f>IF(I964=0,0,M964/I964*10)</f>
        <v>0</v>
      </c>
      <c r="S964" s="38">
        <f t="shared" si="107"/>
        <v>0</v>
      </c>
      <c r="T964" s="38">
        <f t="shared" si="108"/>
        <v>0</v>
      </c>
      <c r="U964" s="38">
        <f t="shared" si="109"/>
        <v>0</v>
      </c>
      <c r="V964" s="55"/>
    </row>
    <row r="965" spans="2:22" s="50" customFormat="1" ht="11.25">
      <c r="B965" s="69" t="s">
        <v>273</v>
      </c>
      <c r="C965" s="83"/>
      <c r="D965" s="31"/>
      <c r="E965" s="5"/>
      <c r="F965" s="5"/>
      <c r="G965" s="5"/>
      <c r="H965" s="5"/>
      <c r="I965" s="5">
        <f>H965</f>
        <v>0</v>
      </c>
      <c r="J965" s="5"/>
      <c r="K965" s="29"/>
      <c r="L965" s="5"/>
      <c r="M965" s="5"/>
      <c r="N965" s="5"/>
      <c r="O965" s="38">
        <f t="shared" si="104"/>
        <v>0</v>
      </c>
      <c r="P965" s="38">
        <f t="shared" si="110"/>
        <v>0</v>
      </c>
      <c r="Q965" s="38">
        <f t="shared" si="105"/>
        <v>0</v>
      </c>
      <c r="R965" s="38">
        <f t="shared" si="106"/>
        <v>0</v>
      </c>
      <c r="S965" s="38">
        <f t="shared" si="107"/>
        <v>0</v>
      </c>
      <c r="T965" s="38">
        <f t="shared" si="108"/>
        <v>0</v>
      </c>
      <c r="U965" s="38">
        <f t="shared" si="109"/>
        <v>0</v>
      </c>
      <c r="V965" s="55"/>
    </row>
    <row r="966" spans="2:22" s="50" customFormat="1" ht="11.25">
      <c r="B966" s="69" t="s">
        <v>273</v>
      </c>
      <c r="C966" s="83"/>
      <c r="D966" s="31"/>
      <c r="E966" s="5"/>
      <c r="F966" s="5"/>
      <c r="G966" s="5"/>
      <c r="H966" s="5"/>
      <c r="I966" s="5"/>
      <c r="J966" s="5"/>
      <c r="K966" s="29"/>
      <c r="L966" s="5"/>
      <c r="M966" s="5"/>
      <c r="N966" s="5"/>
      <c r="O966" s="38">
        <f t="shared" si="104"/>
        <v>0</v>
      </c>
      <c r="P966" s="38">
        <f t="shared" si="110"/>
        <v>0</v>
      </c>
      <c r="Q966" s="38">
        <f t="shared" si="105"/>
        <v>0</v>
      </c>
      <c r="R966" s="38">
        <f t="shared" si="106"/>
        <v>0</v>
      </c>
      <c r="S966" s="38">
        <f t="shared" si="107"/>
        <v>0</v>
      </c>
      <c r="T966" s="38">
        <f t="shared" si="108"/>
        <v>0</v>
      </c>
      <c r="U966" s="38">
        <f t="shared" si="109"/>
        <v>0</v>
      </c>
      <c r="V966" s="55"/>
    </row>
    <row r="967" spans="2:22" s="50" customFormat="1" ht="11.25" hidden="1">
      <c r="B967" s="69" t="s">
        <v>273</v>
      </c>
      <c r="C967" s="84"/>
      <c r="D967" s="31"/>
      <c r="E967" s="5"/>
      <c r="F967" s="5"/>
      <c r="G967" s="5"/>
      <c r="H967" s="5"/>
      <c r="I967" s="5"/>
      <c r="J967" s="5"/>
      <c r="K967" s="5"/>
      <c r="L967" s="5"/>
      <c r="M967" s="5"/>
      <c r="N967" s="5"/>
      <c r="O967" s="38">
        <f t="shared" si="104"/>
        <v>0</v>
      </c>
      <c r="P967" s="38">
        <f t="shared" si="110"/>
        <v>0</v>
      </c>
      <c r="Q967" s="38">
        <f t="shared" si="105"/>
        <v>0</v>
      </c>
      <c r="R967" s="38">
        <f t="shared" si="106"/>
        <v>0</v>
      </c>
      <c r="S967" s="38">
        <f t="shared" si="107"/>
        <v>0</v>
      </c>
      <c r="T967" s="38">
        <f t="shared" si="108"/>
        <v>0</v>
      </c>
      <c r="U967" s="38">
        <f t="shared" si="109"/>
        <v>0</v>
      </c>
      <c r="V967" s="55"/>
    </row>
    <row r="968" spans="2:22" s="50" customFormat="1" ht="11.25" hidden="1">
      <c r="B968" s="69" t="s">
        <v>273</v>
      </c>
      <c r="C968" s="84"/>
      <c r="D968" s="31"/>
      <c r="E968" s="5"/>
      <c r="F968" s="5"/>
      <c r="G968" s="5"/>
      <c r="H968" s="5"/>
      <c r="I968" s="5"/>
      <c r="J968" s="5"/>
      <c r="K968" s="5"/>
      <c r="L968" s="5"/>
      <c r="M968" s="5"/>
      <c r="N968" s="5"/>
      <c r="O968" s="38">
        <f t="shared" si="104"/>
        <v>0</v>
      </c>
      <c r="P968" s="38">
        <f t="shared" si="110"/>
        <v>0</v>
      </c>
      <c r="Q968" s="38">
        <f t="shared" si="105"/>
        <v>0</v>
      </c>
      <c r="R968" s="38">
        <f t="shared" si="106"/>
        <v>0</v>
      </c>
      <c r="S968" s="38">
        <f t="shared" si="107"/>
        <v>0</v>
      </c>
      <c r="T968" s="38">
        <f t="shared" si="108"/>
        <v>0</v>
      </c>
      <c r="U968" s="38">
        <f t="shared" si="109"/>
        <v>0</v>
      </c>
      <c r="V968" s="55"/>
    </row>
    <row r="969" spans="2:22" s="50" customFormat="1" ht="11.25" hidden="1">
      <c r="B969" s="69" t="s">
        <v>273</v>
      </c>
      <c r="C969" s="84"/>
      <c r="D969" s="31"/>
      <c r="E969" s="5"/>
      <c r="F969" s="5"/>
      <c r="G969" s="5"/>
      <c r="H969" s="5"/>
      <c r="I969" s="5"/>
      <c r="J969" s="5"/>
      <c r="K969" s="5"/>
      <c r="L969" s="5"/>
      <c r="M969" s="5"/>
      <c r="N969" s="5"/>
      <c r="O969" s="38">
        <f t="shared" si="104"/>
        <v>0</v>
      </c>
      <c r="P969" s="38">
        <f t="shared" si="110"/>
        <v>0</v>
      </c>
      <c r="Q969" s="38">
        <f t="shared" si="105"/>
        <v>0</v>
      </c>
      <c r="R969" s="38">
        <f t="shared" si="106"/>
        <v>0</v>
      </c>
      <c r="S969" s="38">
        <f t="shared" si="107"/>
        <v>0</v>
      </c>
      <c r="T969" s="38">
        <f t="shared" si="108"/>
        <v>0</v>
      </c>
      <c r="U969" s="38">
        <f t="shared" si="109"/>
        <v>0</v>
      </c>
      <c r="V969" s="55"/>
    </row>
    <row r="970" spans="2:22" s="50" customFormat="1" ht="11.25" hidden="1">
      <c r="B970" s="69" t="s">
        <v>273</v>
      </c>
      <c r="C970" s="84"/>
      <c r="D970" s="31"/>
      <c r="E970" s="5"/>
      <c r="F970" s="5"/>
      <c r="G970" s="5"/>
      <c r="H970" s="5"/>
      <c r="I970" s="5"/>
      <c r="J970" s="5"/>
      <c r="K970" s="5"/>
      <c r="L970" s="5"/>
      <c r="M970" s="5"/>
      <c r="N970" s="5"/>
      <c r="O970" s="38">
        <f t="shared" ref="O970:O1033" si="112">SUM(J970:N970)</f>
        <v>0</v>
      </c>
      <c r="P970" s="38">
        <f t="shared" si="110"/>
        <v>0</v>
      </c>
      <c r="Q970" s="38">
        <f t="shared" ref="Q970:Q1033" si="113">IF(I970=0,0,L970/I970*10)</f>
        <v>0</v>
      </c>
      <c r="R970" s="38">
        <f t="shared" ref="R970:R1033" si="114">IF(I970=0,0,M970/I970*10)</f>
        <v>0</v>
      </c>
      <c r="S970" s="38">
        <f t="shared" ref="S970:S1033" si="115">IF(I970=0,0,N970/I970*10)</f>
        <v>0</v>
      </c>
      <c r="T970" s="38">
        <f t="shared" ref="T970:T1033" si="116">IF(I970=0,0,K970/I970*10)</f>
        <v>0</v>
      </c>
      <c r="U970" s="38">
        <f t="shared" ref="U970:U1033" si="117">IF(I970=0,0,O970/I970*10)</f>
        <v>0</v>
      </c>
      <c r="V970" s="55"/>
    </row>
    <row r="971" spans="2:22" s="50" customFormat="1" ht="11.25" hidden="1">
      <c r="B971" s="69" t="s">
        <v>273</v>
      </c>
      <c r="C971" s="84"/>
      <c r="D971" s="31"/>
      <c r="E971" s="5"/>
      <c r="F971" s="5"/>
      <c r="G971" s="5"/>
      <c r="H971" s="5"/>
      <c r="I971" s="5"/>
      <c r="J971" s="5"/>
      <c r="K971" s="5"/>
      <c r="L971" s="5"/>
      <c r="M971" s="5"/>
      <c r="N971" s="5"/>
      <c r="O971" s="38">
        <f t="shared" si="112"/>
        <v>0</v>
      </c>
      <c r="P971" s="38">
        <f t="shared" si="110"/>
        <v>0</v>
      </c>
      <c r="Q971" s="38">
        <f t="shared" si="113"/>
        <v>0</v>
      </c>
      <c r="R971" s="38">
        <f t="shared" si="114"/>
        <v>0</v>
      </c>
      <c r="S971" s="38">
        <f t="shared" si="115"/>
        <v>0</v>
      </c>
      <c r="T971" s="38">
        <f t="shared" si="116"/>
        <v>0</v>
      </c>
      <c r="U971" s="38">
        <f t="shared" si="117"/>
        <v>0</v>
      </c>
      <c r="V971" s="55"/>
    </row>
    <row r="972" spans="2:22" s="50" customFormat="1" ht="11.25" hidden="1">
      <c r="B972" s="69" t="s">
        <v>273</v>
      </c>
      <c r="C972" s="84"/>
      <c r="D972" s="31"/>
      <c r="E972" s="5"/>
      <c r="F972" s="5"/>
      <c r="G972" s="5"/>
      <c r="H972" s="5"/>
      <c r="I972" s="5"/>
      <c r="J972" s="5"/>
      <c r="K972" s="5"/>
      <c r="L972" s="5"/>
      <c r="M972" s="5"/>
      <c r="N972" s="5"/>
      <c r="O972" s="38">
        <f t="shared" si="112"/>
        <v>0</v>
      </c>
      <c r="P972" s="38">
        <f t="shared" si="110"/>
        <v>0</v>
      </c>
      <c r="Q972" s="38">
        <f t="shared" si="113"/>
        <v>0</v>
      </c>
      <c r="R972" s="38">
        <f t="shared" si="114"/>
        <v>0</v>
      </c>
      <c r="S972" s="38">
        <f t="shared" si="115"/>
        <v>0</v>
      </c>
      <c r="T972" s="38">
        <f t="shared" si="116"/>
        <v>0</v>
      </c>
      <c r="U972" s="38">
        <f t="shared" si="117"/>
        <v>0</v>
      </c>
      <c r="V972" s="55"/>
    </row>
    <row r="973" spans="2:22" s="50" customFormat="1" ht="11.25" hidden="1">
      <c r="B973" s="69" t="s">
        <v>273</v>
      </c>
      <c r="C973" s="84"/>
      <c r="D973" s="31"/>
      <c r="E973" s="5"/>
      <c r="F973" s="5"/>
      <c r="G973" s="5"/>
      <c r="H973" s="5"/>
      <c r="I973" s="5"/>
      <c r="J973" s="5"/>
      <c r="K973" s="5"/>
      <c r="L973" s="5"/>
      <c r="M973" s="5"/>
      <c r="N973" s="5"/>
      <c r="O973" s="38">
        <f t="shared" si="112"/>
        <v>0</v>
      </c>
      <c r="P973" s="38">
        <f t="shared" si="110"/>
        <v>0</v>
      </c>
      <c r="Q973" s="38">
        <f t="shared" si="113"/>
        <v>0</v>
      </c>
      <c r="R973" s="38">
        <f t="shared" si="114"/>
        <v>0</v>
      </c>
      <c r="S973" s="38">
        <f t="shared" si="115"/>
        <v>0</v>
      </c>
      <c r="T973" s="38">
        <f t="shared" si="116"/>
        <v>0</v>
      </c>
      <c r="U973" s="38">
        <f t="shared" si="117"/>
        <v>0</v>
      </c>
      <c r="V973" s="55"/>
    </row>
    <row r="974" spans="2:22" s="50" customFormat="1" ht="11.25" hidden="1">
      <c r="B974" s="69" t="s">
        <v>273</v>
      </c>
      <c r="C974" s="84"/>
      <c r="D974" s="31"/>
      <c r="E974" s="5"/>
      <c r="F974" s="5"/>
      <c r="G974" s="5"/>
      <c r="H974" s="5"/>
      <c r="I974" s="5"/>
      <c r="J974" s="5"/>
      <c r="K974" s="5"/>
      <c r="L974" s="5"/>
      <c r="M974" s="5"/>
      <c r="N974" s="5"/>
      <c r="O974" s="38">
        <f t="shared" si="112"/>
        <v>0</v>
      </c>
      <c r="P974" s="38">
        <f t="shared" si="110"/>
        <v>0</v>
      </c>
      <c r="Q974" s="38">
        <f t="shared" si="113"/>
        <v>0</v>
      </c>
      <c r="R974" s="38">
        <f t="shared" si="114"/>
        <v>0</v>
      </c>
      <c r="S974" s="38">
        <f t="shared" si="115"/>
        <v>0</v>
      </c>
      <c r="T974" s="38">
        <f t="shared" si="116"/>
        <v>0</v>
      </c>
      <c r="U974" s="38">
        <f t="shared" si="117"/>
        <v>0</v>
      </c>
      <c r="V974" s="55"/>
    </row>
    <row r="975" spans="2:22" s="50" customFormat="1" ht="11.25" hidden="1">
      <c r="B975" s="69" t="s">
        <v>273</v>
      </c>
      <c r="C975" s="84"/>
      <c r="D975" s="31"/>
      <c r="E975" s="5"/>
      <c r="F975" s="5"/>
      <c r="G975" s="5"/>
      <c r="H975" s="5"/>
      <c r="I975" s="5"/>
      <c r="J975" s="5"/>
      <c r="K975" s="5"/>
      <c r="L975" s="5"/>
      <c r="M975" s="5"/>
      <c r="N975" s="5"/>
      <c r="O975" s="38">
        <f t="shared" si="112"/>
        <v>0</v>
      </c>
      <c r="P975" s="38">
        <f t="shared" si="110"/>
        <v>0</v>
      </c>
      <c r="Q975" s="38">
        <f t="shared" si="113"/>
        <v>0</v>
      </c>
      <c r="R975" s="38">
        <f t="shared" si="114"/>
        <v>0</v>
      </c>
      <c r="S975" s="38">
        <f t="shared" si="115"/>
        <v>0</v>
      </c>
      <c r="T975" s="38">
        <f t="shared" si="116"/>
        <v>0</v>
      </c>
      <c r="U975" s="38">
        <f t="shared" si="117"/>
        <v>0</v>
      </c>
      <c r="V975" s="55"/>
    </row>
    <row r="976" spans="2:22" s="50" customFormat="1" ht="11.25" hidden="1">
      <c r="B976" s="69" t="s">
        <v>273</v>
      </c>
      <c r="C976" s="84"/>
      <c r="D976" s="31"/>
      <c r="E976" s="5"/>
      <c r="F976" s="5"/>
      <c r="G976" s="5"/>
      <c r="H976" s="5"/>
      <c r="I976" s="5"/>
      <c r="J976" s="5"/>
      <c r="K976" s="5"/>
      <c r="L976" s="5"/>
      <c r="M976" s="5"/>
      <c r="N976" s="5"/>
      <c r="O976" s="38">
        <f t="shared" si="112"/>
        <v>0</v>
      </c>
      <c r="P976" s="38">
        <f t="shared" si="110"/>
        <v>0</v>
      </c>
      <c r="Q976" s="38">
        <f t="shared" si="113"/>
        <v>0</v>
      </c>
      <c r="R976" s="38">
        <f t="shared" si="114"/>
        <v>0</v>
      </c>
      <c r="S976" s="38">
        <f t="shared" si="115"/>
        <v>0</v>
      </c>
      <c r="T976" s="38">
        <f t="shared" si="116"/>
        <v>0</v>
      </c>
      <c r="U976" s="38">
        <f t="shared" si="117"/>
        <v>0</v>
      </c>
      <c r="V976" s="55"/>
    </row>
    <row r="977" spans="2:22" s="50" customFormat="1" ht="11.25" hidden="1">
      <c r="B977" s="69" t="s">
        <v>273</v>
      </c>
      <c r="C977" s="84"/>
      <c r="D977" s="31"/>
      <c r="E977" s="5"/>
      <c r="F977" s="5"/>
      <c r="G977" s="5"/>
      <c r="H977" s="5"/>
      <c r="I977" s="5"/>
      <c r="J977" s="5"/>
      <c r="K977" s="5"/>
      <c r="L977" s="5"/>
      <c r="M977" s="5"/>
      <c r="N977" s="5"/>
      <c r="O977" s="38">
        <f t="shared" si="112"/>
        <v>0</v>
      </c>
      <c r="P977" s="38">
        <f t="shared" si="110"/>
        <v>0</v>
      </c>
      <c r="Q977" s="38">
        <f t="shared" si="113"/>
        <v>0</v>
      </c>
      <c r="R977" s="38">
        <f t="shared" si="114"/>
        <v>0</v>
      </c>
      <c r="S977" s="38">
        <f t="shared" si="115"/>
        <v>0</v>
      </c>
      <c r="T977" s="38">
        <f t="shared" si="116"/>
        <v>0</v>
      </c>
      <c r="U977" s="38">
        <f t="shared" si="117"/>
        <v>0</v>
      </c>
      <c r="V977" s="55"/>
    </row>
    <row r="978" spans="2:22" s="50" customFormat="1" ht="11.25" hidden="1">
      <c r="B978" s="69" t="s">
        <v>273</v>
      </c>
      <c r="C978" s="84"/>
      <c r="D978" s="31"/>
      <c r="E978" s="5"/>
      <c r="F978" s="5"/>
      <c r="G978" s="5"/>
      <c r="H978" s="5"/>
      <c r="I978" s="5"/>
      <c r="J978" s="5"/>
      <c r="K978" s="5"/>
      <c r="L978" s="5"/>
      <c r="M978" s="5"/>
      <c r="N978" s="5"/>
      <c r="O978" s="38">
        <f t="shared" si="112"/>
        <v>0</v>
      </c>
      <c r="P978" s="38">
        <f t="shared" si="110"/>
        <v>0</v>
      </c>
      <c r="Q978" s="38">
        <f t="shared" si="113"/>
        <v>0</v>
      </c>
      <c r="R978" s="38">
        <f t="shared" si="114"/>
        <v>0</v>
      </c>
      <c r="S978" s="38">
        <f t="shared" si="115"/>
        <v>0</v>
      </c>
      <c r="T978" s="38">
        <f t="shared" si="116"/>
        <v>0</v>
      </c>
      <c r="U978" s="38">
        <f t="shared" si="117"/>
        <v>0</v>
      </c>
      <c r="V978" s="55"/>
    </row>
    <row r="979" spans="2:22" s="50" customFormat="1" ht="11.25" hidden="1">
      <c r="B979" s="69" t="s">
        <v>273</v>
      </c>
      <c r="C979" s="84"/>
      <c r="D979" s="31"/>
      <c r="E979" s="5"/>
      <c r="F979" s="5"/>
      <c r="G979" s="5"/>
      <c r="H979" s="5"/>
      <c r="I979" s="5"/>
      <c r="J979" s="5"/>
      <c r="K979" s="5"/>
      <c r="L979" s="5"/>
      <c r="M979" s="5"/>
      <c r="N979" s="5"/>
      <c r="O979" s="38">
        <f t="shared" si="112"/>
        <v>0</v>
      </c>
      <c r="P979" s="38">
        <f t="shared" si="110"/>
        <v>0</v>
      </c>
      <c r="Q979" s="38">
        <f t="shared" si="113"/>
        <v>0</v>
      </c>
      <c r="R979" s="38">
        <f t="shared" si="114"/>
        <v>0</v>
      </c>
      <c r="S979" s="38">
        <f t="shared" si="115"/>
        <v>0</v>
      </c>
      <c r="T979" s="38">
        <f t="shared" si="116"/>
        <v>0</v>
      </c>
      <c r="U979" s="38">
        <f t="shared" si="117"/>
        <v>0</v>
      </c>
      <c r="V979" s="55"/>
    </row>
    <row r="980" spans="2:22" s="50" customFormat="1" ht="11.25" hidden="1">
      <c r="B980" s="69" t="s">
        <v>273</v>
      </c>
      <c r="C980" s="84"/>
      <c r="D980" s="31"/>
      <c r="E980" s="5"/>
      <c r="F980" s="5"/>
      <c r="G980" s="5"/>
      <c r="H980" s="5"/>
      <c r="I980" s="5"/>
      <c r="J980" s="5"/>
      <c r="K980" s="5"/>
      <c r="L980" s="5"/>
      <c r="M980" s="5"/>
      <c r="N980" s="5"/>
      <c r="O980" s="38">
        <f t="shared" si="112"/>
        <v>0</v>
      </c>
      <c r="P980" s="38">
        <f t="shared" si="110"/>
        <v>0</v>
      </c>
      <c r="Q980" s="38">
        <f t="shared" si="113"/>
        <v>0</v>
      </c>
      <c r="R980" s="38">
        <f t="shared" si="114"/>
        <v>0</v>
      </c>
      <c r="S980" s="38">
        <f t="shared" si="115"/>
        <v>0</v>
      </c>
      <c r="T980" s="38">
        <f t="shared" si="116"/>
        <v>0</v>
      </c>
      <c r="U980" s="38">
        <f t="shared" si="117"/>
        <v>0</v>
      </c>
      <c r="V980" s="55"/>
    </row>
    <row r="981" spans="2:22" s="50" customFormat="1" ht="11.25" hidden="1">
      <c r="B981" s="69" t="s">
        <v>273</v>
      </c>
      <c r="C981" s="84"/>
      <c r="D981" s="31"/>
      <c r="E981" s="5"/>
      <c r="F981" s="5"/>
      <c r="G981" s="5"/>
      <c r="H981" s="5"/>
      <c r="I981" s="5"/>
      <c r="J981" s="5"/>
      <c r="K981" s="5"/>
      <c r="L981" s="5"/>
      <c r="M981" s="5"/>
      <c r="N981" s="5"/>
      <c r="O981" s="38">
        <f t="shared" si="112"/>
        <v>0</v>
      </c>
      <c r="P981" s="38">
        <f t="shared" si="110"/>
        <v>0</v>
      </c>
      <c r="Q981" s="38">
        <f t="shared" si="113"/>
        <v>0</v>
      </c>
      <c r="R981" s="38">
        <f t="shared" si="114"/>
        <v>0</v>
      </c>
      <c r="S981" s="38">
        <f t="shared" si="115"/>
        <v>0</v>
      </c>
      <c r="T981" s="38">
        <f t="shared" si="116"/>
        <v>0</v>
      </c>
      <c r="U981" s="38">
        <f t="shared" si="117"/>
        <v>0</v>
      </c>
      <c r="V981" s="55"/>
    </row>
    <row r="982" spans="2:22" s="50" customFormat="1" ht="11.25" hidden="1">
      <c r="B982" s="69" t="s">
        <v>273</v>
      </c>
      <c r="C982" s="84"/>
      <c r="D982" s="31"/>
      <c r="E982" s="5"/>
      <c r="F982" s="5"/>
      <c r="G982" s="5"/>
      <c r="H982" s="5"/>
      <c r="I982" s="5"/>
      <c r="J982" s="5"/>
      <c r="K982" s="5"/>
      <c r="L982" s="5"/>
      <c r="M982" s="5"/>
      <c r="N982" s="5"/>
      <c r="O982" s="38">
        <f t="shared" si="112"/>
        <v>0</v>
      </c>
      <c r="P982" s="38">
        <f t="shared" si="110"/>
        <v>0</v>
      </c>
      <c r="Q982" s="38">
        <f t="shared" si="113"/>
        <v>0</v>
      </c>
      <c r="R982" s="38">
        <f t="shared" si="114"/>
        <v>0</v>
      </c>
      <c r="S982" s="38">
        <f t="shared" si="115"/>
        <v>0</v>
      </c>
      <c r="T982" s="38">
        <f t="shared" si="116"/>
        <v>0</v>
      </c>
      <c r="U982" s="38">
        <f t="shared" si="117"/>
        <v>0</v>
      </c>
      <c r="V982" s="55"/>
    </row>
    <row r="983" spans="2:22" s="50" customFormat="1" ht="11.25" hidden="1">
      <c r="B983" s="69" t="s">
        <v>273</v>
      </c>
      <c r="C983" s="84"/>
      <c r="D983" s="31"/>
      <c r="E983" s="5"/>
      <c r="F983" s="5"/>
      <c r="G983" s="5"/>
      <c r="H983" s="5"/>
      <c r="I983" s="5"/>
      <c r="J983" s="5"/>
      <c r="K983" s="5"/>
      <c r="L983" s="5"/>
      <c r="M983" s="5"/>
      <c r="N983" s="5"/>
      <c r="O983" s="38">
        <f t="shared" si="112"/>
        <v>0</v>
      </c>
      <c r="P983" s="38">
        <f t="shared" si="110"/>
        <v>0</v>
      </c>
      <c r="Q983" s="38">
        <f t="shared" si="113"/>
        <v>0</v>
      </c>
      <c r="R983" s="38">
        <f t="shared" si="114"/>
        <v>0</v>
      </c>
      <c r="S983" s="38">
        <f t="shared" si="115"/>
        <v>0</v>
      </c>
      <c r="T983" s="38">
        <f t="shared" si="116"/>
        <v>0</v>
      </c>
      <c r="U983" s="38">
        <f t="shared" si="117"/>
        <v>0</v>
      </c>
      <c r="V983" s="55"/>
    </row>
    <row r="984" spans="2:22" s="50" customFormat="1" ht="11.25" hidden="1">
      <c r="B984" s="69" t="s">
        <v>273</v>
      </c>
      <c r="C984" s="84"/>
      <c r="D984" s="31"/>
      <c r="E984" s="5"/>
      <c r="F984" s="5"/>
      <c r="G984" s="5"/>
      <c r="H984" s="5"/>
      <c r="I984" s="5"/>
      <c r="J984" s="5"/>
      <c r="K984" s="5"/>
      <c r="L984" s="5"/>
      <c r="M984" s="5"/>
      <c r="N984" s="5"/>
      <c r="O984" s="38">
        <f t="shared" si="112"/>
        <v>0</v>
      </c>
      <c r="P984" s="38">
        <f t="shared" si="110"/>
        <v>0</v>
      </c>
      <c r="Q984" s="38">
        <f t="shared" si="113"/>
        <v>0</v>
      </c>
      <c r="R984" s="38">
        <f t="shared" si="114"/>
        <v>0</v>
      </c>
      <c r="S984" s="38">
        <f t="shared" si="115"/>
        <v>0</v>
      </c>
      <c r="T984" s="38">
        <f t="shared" si="116"/>
        <v>0</v>
      </c>
      <c r="U984" s="38">
        <f t="shared" si="117"/>
        <v>0</v>
      </c>
      <c r="V984" s="55"/>
    </row>
    <row r="985" spans="2:22" s="50" customFormat="1" ht="11.25" hidden="1">
      <c r="B985" s="69" t="s">
        <v>273</v>
      </c>
      <c r="C985" s="84"/>
      <c r="D985" s="31"/>
      <c r="E985" s="5"/>
      <c r="F985" s="5"/>
      <c r="G985" s="5"/>
      <c r="H985" s="5"/>
      <c r="I985" s="5"/>
      <c r="J985" s="5"/>
      <c r="K985" s="5"/>
      <c r="L985" s="5"/>
      <c r="M985" s="5"/>
      <c r="N985" s="5"/>
      <c r="O985" s="38">
        <f t="shared" si="112"/>
        <v>0</v>
      </c>
      <c r="P985" s="38">
        <f t="shared" si="110"/>
        <v>0</v>
      </c>
      <c r="Q985" s="38">
        <f t="shared" si="113"/>
        <v>0</v>
      </c>
      <c r="R985" s="38">
        <f t="shared" si="114"/>
        <v>0</v>
      </c>
      <c r="S985" s="38">
        <f t="shared" si="115"/>
        <v>0</v>
      </c>
      <c r="T985" s="38">
        <f t="shared" si="116"/>
        <v>0</v>
      </c>
      <c r="U985" s="38">
        <f t="shared" si="117"/>
        <v>0</v>
      </c>
      <c r="V985" s="55"/>
    </row>
    <row r="986" spans="2:22" s="50" customFormat="1" ht="11.25" hidden="1">
      <c r="B986" s="69" t="s">
        <v>273</v>
      </c>
      <c r="C986" s="84"/>
      <c r="D986" s="31"/>
      <c r="E986" s="5"/>
      <c r="F986" s="5"/>
      <c r="G986" s="5"/>
      <c r="H986" s="5"/>
      <c r="I986" s="5"/>
      <c r="J986" s="5"/>
      <c r="K986" s="5"/>
      <c r="L986" s="5"/>
      <c r="M986" s="5"/>
      <c r="N986" s="5"/>
      <c r="O986" s="38">
        <f t="shared" si="112"/>
        <v>0</v>
      </c>
      <c r="P986" s="38">
        <f t="shared" si="110"/>
        <v>0</v>
      </c>
      <c r="Q986" s="38">
        <f t="shared" si="113"/>
        <v>0</v>
      </c>
      <c r="R986" s="38">
        <f t="shared" si="114"/>
        <v>0</v>
      </c>
      <c r="S986" s="38">
        <f t="shared" si="115"/>
        <v>0</v>
      </c>
      <c r="T986" s="38">
        <f t="shared" si="116"/>
        <v>0</v>
      </c>
      <c r="U986" s="38">
        <f t="shared" si="117"/>
        <v>0</v>
      </c>
      <c r="V986" s="55"/>
    </row>
    <row r="987" spans="2:22" s="50" customFormat="1" ht="11.25" hidden="1">
      <c r="B987" s="69" t="s">
        <v>273</v>
      </c>
      <c r="C987" s="84"/>
      <c r="D987" s="31"/>
      <c r="E987" s="5"/>
      <c r="F987" s="5"/>
      <c r="G987" s="5"/>
      <c r="H987" s="5"/>
      <c r="I987" s="5"/>
      <c r="J987" s="5"/>
      <c r="K987" s="5"/>
      <c r="L987" s="5"/>
      <c r="M987" s="5"/>
      <c r="N987" s="5"/>
      <c r="O987" s="38">
        <f t="shared" si="112"/>
        <v>0</v>
      </c>
      <c r="P987" s="38">
        <f t="shared" si="110"/>
        <v>0</v>
      </c>
      <c r="Q987" s="38">
        <f t="shared" si="113"/>
        <v>0</v>
      </c>
      <c r="R987" s="38">
        <f t="shared" si="114"/>
        <v>0</v>
      </c>
      <c r="S987" s="38">
        <f t="shared" si="115"/>
        <v>0</v>
      </c>
      <c r="T987" s="38">
        <f t="shared" si="116"/>
        <v>0</v>
      </c>
      <c r="U987" s="38">
        <f t="shared" si="117"/>
        <v>0</v>
      </c>
      <c r="V987" s="55"/>
    </row>
    <row r="988" spans="2:22" s="50" customFormat="1" ht="11.25" hidden="1">
      <c r="B988" s="69" t="s">
        <v>273</v>
      </c>
      <c r="C988" s="84"/>
      <c r="D988" s="31"/>
      <c r="E988" s="5"/>
      <c r="F988" s="5"/>
      <c r="G988" s="5"/>
      <c r="H988" s="5"/>
      <c r="I988" s="5"/>
      <c r="J988" s="5"/>
      <c r="K988" s="5"/>
      <c r="L988" s="5"/>
      <c r="M988" s="5"/>
      <c r="N988" s="5"/>
      <c r="O988" s="38">
        <f t="shared" si="112"/>
        <v>0</v>
      </c>
      <c r="P988" s="38">
        <f t="shared" si="110"/>
        <v>0</v>
      </c>
      <c r="Q988" s="38">
        <f t="shared" si="113"/>
        <v>0</v>
      </c>
      <c r="R988" s="38">
        <f t="shared" si="114"/>
        <v>0</v>
      </c>
      <c r="S988" s="38">
        <f t="shared" si="115"/>
        <v>0</v>
      </c>
      <c r="T988" s="38">
        <f t="shared" si="116"/>
        <v>0</v>
      </c>
      <c r="U988" s="38">
        <f t="shared" si="117"/>
        <v>0</v>
      </c>
      <c r="V988" s="55"/>
    </row>
    <row r="989" spans="2:22" s="50" customFormat="1" ht="11.25" hidden="1">
      <c r="B989" s="69" t="s">
        <v>273</v>
      </c>
      <c r="C989" s="84"/>
      <c r="D989" s="31"/>
      <c r="E989" s="5"/>
      <c r="F989" s="5"/>
      <c r="G989" s="5"/>
      <c r="H989" s="5"/>
      <c r="I989" s="5"/>
      <c r="J989" s="5"/>
      <c r="K989" s="5"/>
      <c r="L989" s="5"/>
      <c r="M989" s="5"/>
      <c r="N989" s="5"/>
      <c r="O989" s="38">
        <f t="shared" si="112"/>
        <v>0</v>
      </c>
      <c r="P989" s="38">
        <f t="shared" si="110"/>
        <v>0</v>
      </c>
      <c r="Q989" s="38">
        <f t="shared" si="113"/>
        <v>0</v>
      </c>
      <c r="R989" s="38">
        <f t="shared" si="114"/>
        <v>0</v>
      </c>
      <c r="S989" s="38">
        <f t="shared" si="115"/>
        <v>0</v>
      </c>
      <c r="T989" s="38">
        <f t="shared" si="116"/>
        <v>0</v>
      </c>
      <c r="U989" s="38">
        <f t="shared" si="117"/>
        <v>0</v>
      </c>
      <c r="V989" s="55"/>
    </row>
    <row r="990" spans="2:22" s="50" customFormat="1" ht="11.25" hidden="1">
      <c r="B990" s="69" t="s">
        <v>273</v>
      </c>
      <c r="C990" s="84"/>
      <c r="D990" s="31"/>
      <c r="E990" s="5"/>
      <c r="F990" s="5"/>
      <c r="G990" s="5"/>
      <c r="H990" s="5"/>
      <c r="I990" s="5"/>
      <c r="J990" s="5"/>
      <c r="K990" s="5"/>
      <c r="L990" s="5"/>
      <c r="M990" s="5"/>
      <c r="N990" s="5"/>
      <c r="O990" s="38">
        <f t="shared" si="112"/>
        <v>0</v>
      </c>
      <c r="P990" s="38">
        <f t="shared" si="110"/>
        <v>0</v>
      </c>
      <c r="Q990" s="38">
        <f t="shared" si="113"/>
        <v>0</v>
      </c>
      <c r="R990" s="38">
        <f t="shared" si="114"/>
        <v>0</v>
      </c>
      <c r="S990" s="38">
        <f t="shared" si="115"/>
        <v>0</v>
      </c>
      <c r="T990" s="38">
        <f t="shared" si="116"/>
        <v>0</v>
      </c>
      <c r="U990" s="38">
        <f t="shared" si="117"/>
        <v>0</v>
      </c>
      <c r="V990" s="55"/>
    </row>
    <row r="991" spans="2:22" s="50" customFormat="1" ht="11.25" hidden="1">
      <c r="B991" s="69" t="s">
        <v>273</v>
      </c>
      <c r="C991" s="84"/>
      <c r="D991" s="31"/>
      <c r="E991" s="5"/>
      <c r="F991" s="5"/>
      <c r="G991" s="5"/>
      <c r="H991" s="5"/>
      <c r="I991" s="5"/>
      <c r="J991" s="5"/>
      <c r="K991" s="5"/>
      <c r="L991" s="5"/>
      <c r="M991" s="5"/>
      <c r="N991" s="5"/>
      <c r="O991" s="38">
        <f t="shared" si="112"/>
        <v>0</v>
      </c>
      <c r="P991" s="38">
        <f t="shared" si="110"/>
        <v>0</v>
      </c>
      <c r="Q991" s="38">
        <f t="shared" si="113"/>
        <v>0</v>
      </c>
      <c r="R991" s="38">
        <f t="shared" si="114"/>
        <v>0</v>
      </c>
      <c r="S991" s="38">
        <f t="shared" si="115"/>
        <v>0</v>
      </c>
      <c r="T991" s="38">
        <f t="shared" si="116"/>
        <v>0</v>
      </c>
      <c r="U991" s="38">
        <f t="shared" si="117"/>
        <v>0</v>
      </c>
      <c r="V991" s="55"/>
    </row>
    <row r="992" spans="2:22" s="50" customFormat="1" ht="11.25" hidden="1">
      <c r="B992" s="69" t="s">
        <v>273</v>
      </c>
      <c r="C992" s="84"/>
      <c r="D992" s="31"/>
      <c r="E992" s="5"/>
      <c r="F992" s="5"/>
      <c r="G992" s="5"/>
      <c r="H992" s="5"/>
      <c r="I992" s="5"/>
      <c r="J992" s="5"/>
      <c r="K992" s="5"/>
      <c r="L992" s="5"/>
      <c r="M992" s="5"/>
      <c r="N992" s="5"/>
      <c r="O992" s="38">
        <f t="shared" si="112"/>
        <v>0</v>
      </c>
      <c r="P992" s="38">
        <f t="shared" si="110"/>
        <v>0</v>
      </c>
      <c r="Q992" s="38">
        <f t="shared" si="113"/>
        <v>0</v>
      </c>
      <c r="R992" s="38">
        <f t="shared" si="114"/>
        <v>0</v>
      </c>
      <c r="S992" s="38">
        <f t="shared" si="115"/>
        <v>0</v>
      </c>
      <c r="T992" s="38">
        <f t="shared" si="116"/>
        <v>0</v>
      </c>
      <c r="U992" s="38">
        <f t="shared" si="117"/>
        <v>0</v>
      </c>
      <c r="V992" s="55"/>
    </row>
    <row r="993" spans="2:22" s="50" customFormat="1" ht="11.25" hidden="1">
      <c r="B993" s="69" t="s">
        <v>273</v>
      </c>
      <c r="C993" s="84"/>
      <c r="D993" s="31"/>
      <c r="E993" s="5"/>
      <c r="F993" s="5"/>
      <c r="G993" s="5"/>
      <c r="H993" s="5"/>
      <c r="I993" s="5"/>
      <c r="J993" s="5"/>
      <c r="K993" s="5"/>
      <c r="L993" s="5"/>
      <c r="M993" s="5"/>
      <c r="N993" s="5"/>
      <c r="O993" s="38">
        <f t="shared" si="112"/>
        <v>0</v>
      </c>
      <c r="P993" s="38">
        <f t="shared" si="110"/>
        <v>0</v>
      </c>
      <c r="Q993" s="38">
        <f t="shared" si="113"/>
        <v>0</v>
      </c>
      <c r="R993" s="38">
        <f t="shared" si="114"/>
        <v>0</v>
      </c>
      <c r="S993" s="38">
        <f t="shared" si="115"/>
        <v>0</v>
      </c>
      <c r="T993" s="38">
        <f t="shared" si="116"/>
        <v>0</v>
      </c>
      <c r="U993" s="38">
        <f t="shared" si="117"/>
        <v>0</v>
      </c>
      <c r="V993" s="55"/>
    </row>
    <row r="994" spans="2:22" s="50" customFormat="1" ht="11.25" hidden="1">
      <c r="B994" s="69" t="s">
        <v>273</v>
      </c>
      <c r="C994" s="84"/>
      <c r="D994" s="31"/>
      <c r="E994" s="5"/>
      <c r="F994" s="5"/>
      <c r="G994" s="5"/>
      <c r="H994" s="5"/>
      <c r="I994" s="5"/>
      <c r="J994" s="5"/>
      <c r="K994" s="5"/>
      <c r="L994" s="5"/>
      <c r="M994" s="5"/>
      <c r="N994" s="5"/>
      <c r="O994" s="38">
        <f t="shared" si="112"/>
        <v>0</v>
      </c>
      <c r="P994" s="38">
        <f t="shared" si="110"/>
        <v>0</v>
      </c>
      <c r="Q994" s="38">
        <f t="shared" si="113"/>
        <v>0</v>
      </c>
      <c r="R994" s="38">
        <f t="shared" si="114"/>
        <v>0</v>
      </c>
      <c r="S994" s="38">
        <f t="shared" si="115"/>
        <v>0</v>
      </c>
      <c r="T994" s="38">
        <f t="shared" si="116"/>
        <v>0</v>
      </c>
      <c r="U994" s="38">
        <f t="shared" si="117"/>
        <v>0</v>
      </c>
      <c r="V994" s="55"/>
    </row>
    <row r="995" spans="2:22" s="50" customFormat="1" ht="11.25" hidden="1">
      <c r="B995" s="69" t="s">
        <v>273</v>
      </c>
      <c r="C995" s="84"/>
      <c r="D995" s="31"/>
      <c r="E995" s="5"/>
      <c r="F995" s="5"/>
      <c r="G995" s="5"/>
      <c r="H995" s="5"/>
      <c r="I995" s="5"/>
      <c r="J995" s="5"/>
      <c r="K995" s="5"/>
      <c r="L995" s="5"/>
      <c r="M995" s="5"/>
      <c r="N995" s="5"/>
      <c r="O995" s="38">
        <f t="shared" si="112"/>
        <v>0</v>
      </c>
      <c r="P995" s="38">
        <f t="shared" si="110"/>
        <v>0</v>
      </c>
      <c r="Q995" s="38">
        <f t="shared" si="113"/>
        <v>0</v>
      </c>
      <c r="R995" s="38">
        <f t="shared" si="114"/>
        <v>0</v>
      </c>
      <c r="S995" s="38">
        <f t="shared" si="115"/>
        <v>0</v>
      </c>
      <c r="T995" s="38">
        <f t="shared" si="116"/>
        <v>0</v>
      </c>
      <c r="U995" s="38">
        <f t="shared" si="117"/>
        <v>0</v>
      </c>
      <c r="V995" s="55"/>
    </row>
    <row r="996" spans="2:22" s="50" customFormat="1" ht="11.25" hidden="1">
      <c r="B996" s="69" t="s">
        <v>273</v>
      </c>
      <c r="C996" s="84"/>
      <c r="D996" s="31"/>
      <c r="E996" s="5"/>
      <c r="F996" s="5"/>
      <c r="G996" s="5"/>
      <c r="H996" s="5"/>
      <c r="I996" s="5"/>
      <c r="J996" s="5"/>
      <c r="K996" s="5"/>
      <c r="L996" s="5"/>
      <c r="M996" s="5"/>
      <c r="N996" s="5"/>
      <c r="O996" s="38">
        <f t="shared" si="112"/>
        <v>0</v>
      </c>
      <c r="P996" s="38">
        <f t="shared" si="110"/>
        <v>0</v>
      </c>
      <c r="Q996" s="38">
        <f t="shared" si="113"/>
        <v>0</v>
      </c>
      <c r="R996" s="38">
        <f t="shared" si="114"/>
        <v>0</v>
      </c>
      <c r="S996" s="38">
        <f t="shared" si="115"/>
        <v>0</v>
      </c>
      <c r="T996" s="38">
        <f t="shared" si="116"/>
        <v>0</v>
      </c>
      <c r="U996" s="38">
        <f t="shared" si="117"/>
        <v>0</v>
      </c>
      <c r="V996" s="55"/>
    </row>
    <row r="997" spans="2:22" s="50" customFormat="1" ht="11.25" hidden="1">
      <c r="B997" s="69" t="s">
        <v>273</v>
      </c>
      <c r="C997" s="84"/>
      <c r="D997" s="31"/>
      <c r="E997" s="5"/>
      <c r="F997" s="5"/>
      <c r="G997" s="5"/>
      <c r="H997" s="5"/>
      <c r="I997" s="5"/>
      <c r="J997" s="5"/>
      <c r="K997" s="5"/>
      <c r="L997" s="5"/>
      <c r="M997" s="5"/>
      <c r="N997" s="5"/>
      <c r="O997" s="38">
        <f t="shared" si="112"/>
        <v>0</v>
      </c>
      <c r="P997" s="38">
        <f t="shared" si="110"/>
        <v>0</v>
      </c>
      <c r="Q997" s="38">
        <f t="shared" si="113"/>
        <v>0</v>
      </c>
      <c r="R997" s="38">
        <f t="shared" si="114"/>
        <v>0</v>
      </c>
      <c r="S997" s="38">
        <f t="shared" si="115"/>
        <v>0</v>
      </c>
      <c r="T997" s="38">
        <f t="shared" si="116"/>
        <v>0</v>
      </c>
      <c r="U997" s="38">
        <f t="shared" si="117"/>
        <v>0</v>
      </c>
      <c r="V997" s="55"/>
    </row>
    <row r="998" spans="2:22" s="50" customFormat="1" ht="11.25" hidden="1">
      <c r="B998" s="69" t="s">
        <v>273</v>
      </c>
      <c r="C998" s="84"/>
      <c r="D998" s="31"/>
      <c r="E998" s="5"/>
      <c r="F998" s="5"/>
      <c r="G998" s="5"/>
      <c r="H998" s="5"/>
      <c r="I998" s="5"/>
      <c r="J998" s="5"/>
      <c r="K998" s="5"/>
      <c r="L998" s="5"/>
      <c r="M998" s="5"/>
      <c r="N998" s="5"/>
      <c r="O998" s="38">
        <f t="shared" si="112"/>
        <v>0</v>
      </c>
      <c r="P998" s="38">
        <f t="shared" si="110"/>
        <v>0</v>
      </c>
      <c r="Q998" s="38">
        <f t="shared" si="113"/>
        <v>0</v>
      </c>
      <c r="R998" s="38">
        <f t="shared" si="114"/>
        <v>0</v>
      </c>
      <c r="S998" s="38">
        <f t="shared" si="115"/>
        <v>0</v>
      </c>
      <c r="T998" s="38">
        <f t="shared" si="116"/>
        <v>0</v>
      </c>
      <c r="U998" s="38">
        <f t="shared" si="117"/>
        <v>0</v>
      </c>
      <c r="V998" s="55"/>
    </row>
    <row r="999" spans="2:22" s="50" customFormat="1" ht="11.25" hidden="1">
      <c r="B999" s="69" t="s">
        <v>273</v>
      </c>
      <c r="C999" s="84"/>
      <c r="D999" s="31"/>
      <c r="E999" s="5"/>
      <c r="F999" s="5"/>
      <c r="G999" s="5"/>
      <c r="H999" s="5"/>
      <c r="I999" s="5"/>
      <c r="J999" s="5"/>
      <c r="K999" s="5"/>
      <c r="L999" s="5"/>
      <c r="M999" s="5"/>
      <c r="N999" s="5"/>
      <c r="O999" s="38">
        <f t="shared" si="112"/>
        <v>0</v>
      </c>
      <c r="P999" s="38">
        <f t="shared" si="110"/>
        <v>0</v>
      </c>
      <c r="Q999" s="38">
        <f t="shared" si="113"/>
        <v>0</v>
      </c>
      <c r="R999" s="38">
        <f t="shared" si="114"/>
        <v>0</v>
      </c>
      <c r="S999" s="38">
        <f t="shared" si="115"/>
        <v>0</v>
      </c>
      <c r="T999" s="38">
        <f t="shared" si="116"/>
        <v>0</v>
      </c>
      <c r="U999" s="38">
        <f t="shared" si="117"/>
        <v>0</v>
      </c>
      <c r="V999" s="55"/>
    </row>
    <row r="1000" spans="2:22" s="50" customFormat="1" ht="11.25" hidden="1">
      <c r="B1000" s="69" t="s">
        <v>273</v>
      </c>
      <c r="C1000" s="84"/>
      <c r="D1000" s="31"/>
      <c r="E1000" s="5"/>
      <c r="F1000" s="5"/>
      <c r="G1000" s="5"/>
      <c r="H1000" s="5"/>
      <c r="I1000" s="5"/>
      <c r="J1000" s="5"/>
      <c r="K1000" s="5"/>
      <c r="L1000" s="5"/>
      <c r="M1000" s="5"/>
      <c r="N1000" s="5"/>
      <c r="O1000" s="38">
        <f t="shared" si="112"/>
        <v>0</v>
      </c>
      <c r="P1000" s="38">
        <f t="shared" si="110"/>
        <v>0</v>
      </c>
      <c r="Q1000" s="38">
        <f t="shared" si="113"/>
        <v>0</v>
      </c>
      <c r="R1000" s="38">
        <f t="shared" si="114"/>
        <v>0</v>
      </c>
      <c r="S1000" s="38">
        <f t="shared" si="115"/>
        <v>0</v>
      </c>
      <c r="T1000" s="38">
        <f t="shared" si="116"/>
        <v>0</v>
      </c>
      <c r="U1000" s="38">
        <f t="shared" si="117"/>
        <v>0</v>
      </c>
      <c r="V1000" s="55"/>
    </row>
    <row r="1001" spans="2:22" s="50" customFormat="1" ht="11.25" hidden="1">
      <c r="B1001" s="69" t="s">
        <v>273</v>
      </c>
      <c r="C1001" s="84"/>
      <c r="D1001" s="31"/>
      <c r="E1001" s="5"/>
      <c r="F1001" s="5"/>
      <c r="G1001" s="5"/>
      <c r="H1001" s="5"/>
      <c r="I1001" s="5"/>
      <c r="J1001" s="5"/>
      <c r="K1001" s="5"/>
      <c r="L1001" s="5"/>
      <c r="M1001" s="5"/>
      <c r="N1001" s="5"/>
      <c r="O1001" s="38">
        <f t="shared" si="112"/>
        <v>0</v>
      </c>
      <c r="P1001" s="38">
        <f t="shared" si="110"/>
        <v>0</v>
      </c>
      <c r="Q1001" s="38">
        <f t="shared" si="113"/>
        <v>0</v>
      </c>
      <c r="R1001" s="38">
        <f t="shared" si="114"/>
        <v>0</v>
      </c>
      <c r="S1001" s="38">
        <f t="shared" si="115"/>
        <v>0</v>
      </c>
      <c r="T1001" s="38">
        <f t="shared" si="116"/>
        <v>0</v>
      </c>
      <c r="U1001" s="38">
        <f t="shared" si="117"/>
        <v>0</v>
      </c>
      <c r="V1001" s="55"/>
    </row>
    <row r="1002" spans="2:22" s="50" customFormat="1" ht="11.25" hidden="1">
      <c r="B1002" s="69" t="s">
        <v>273</v>
      </c>
      <c r="C1002" s="84"/>
      <c r="D1002" s="31"/>
      <c r="E1002" s="5"/>
      <c r="F1002" s="5"/>
      <c r="G1002" s="5"/>
      <c r="H1002" s="5"/>
      <c r="I1002" s="5"/>
      <c r="J1002" s="5"/>
      <c r="K1002" s="5"/>
      <c r="L1002" s="5"/>
      <c r="M1002" s="5"/>
      <c r="N1002" s="5"/>
      <c r="O1002" s="38">
        <f t="shared" si="112"/>
        <v>0</v>
      </c>
      <c r="P1002" s="38">
        <f t="shared" si="110"/>
        <v>0</v>
      </c>
      <c r="Q1002" s="38">
        <f t="shared" si="113"/>
        <v>0</v>
      </c>
      <c r="R1002" s="38">
        <f t="shared" si="114"/>
        <v>0</v>
      </c>
      <c r="S1002" s="38">
        <f t="shared" si="115"/>
        <v>0</v>
      </c>
      <c r="T1002" s="38">
        <f t="shared" si="116"/>
        <v>0</v>
      </c>
      <c r="U1002" s="38">
        <f t="shared" si="117"/>
        <v>0</v>
      </c>
      <c r="V1002" s="55"/>
    </row>
    <row r="1003" spans="2:22" s="50" customFormat="1" ht="11.25" hidden="1">
      <c r="B1003" s="69" t="s">
        <v>273</v>
      </c>
      <c r="C1003" s="84"/>
      <c r="D1003" s="31"/>
      <c r="E1003" s="5"/>
      <c r="F1003" s="5"/>
      <c r="G1003" s="5"/>
      <c r="H1003" s="5"/>
      <c r="I1003" s="5"/>
      <c r="J1003" s="5"/>
      <c r="K1003" s="5"/>
      <c r="L1003" s="5"/>
      <c r="M1003" s="5"/>
      <c r="N1003" s="5"/>
      <c r="O1003" s="38">
        <f t="shared" si="112"/>
        <v>0</v>
      </c>
      <c r="P1003" s="38">
        <f t="shared" si="110"/>
        <v>0</v>
      </c>
      <c r="Q1003" s="38">
        <f t="shared" si="113"/>
        <v>0</v>
      </c>
      <c r="R1003" s="38">
        <f t="shared" si="114"/>
        <v>0</v>
      </c>
      <c r="S1003" s="38">
        <f t="shared" si="115"/>
        <v>0</v>
      </c>
      <c r="T1003" s="38">
        <f t="shared" si="116"/>
        <v>0</v>
      </c>
      <c r="U1003" s="38">
        <f t="shared" si="117"/>
        <v>0</v>
      </c>
      <c r="V1003" s="55"/>
    </row>
    <row r="1004" spans="2:22" s="50" customFormat="1" ht="11.25" hidden="1">
      <c r="B1004" s="69" t="s">
        <v>273</v>
      </c>
      <c r="C1004" s="84"/>
      <c r="D1004" s="31"/>
      <c r="E1004" s="5"/>
      <c r="F1004" s="5"/>
      <c r="G1004" s="5"/>
      <c r="H1004" s="5"/>
      <c r="I1004" s="5"/>
      <c r="J1004" s="5"/>
      <c r="K1004" s="5"/>
      <c r="L1004" s="5"/>
      <c r="M1004" s="5"/>
      <c r="N1004" s="5"/>
      <c r="O1004" s="38">
        <f t="shared" si="112"/>
        <v>0</v>
      </c>
      <c r="P1004" s="38">
        <f t="shared" si="110"/>
        <v>0</v>
      </c>
      <c r="Q1004" s="38">
        <f t="shared" si="113"/>
        <v>0</v>
      </c>
      <c r="R1004" s="38">
        <f t="shared" si="114"/>
        <v>0</v>
      </c>
      <c r="S1004" s="38">
        <f t="shared" si="115"/>
        <v>0</v>
      </c>
      <c r="T1004" s="38">
        <f t="shared" si="116"/>
        <v>0</v>
      </c>
      <c r="U1004" s="38">
        <f t="shared" si="117"/>
        <v>0</v>
      </c>
      <c r="V1004" s="55"/>
    </row>
    <row r="1005" spans="2:22" s="50" customFormat="1" ht="11.25" hidden="1">
      <c r="B1005" s="69" t="s">
        <v>273</v>
      </c>
      <c r="C1005" s="84"/>
      <c r="D1005" s="31"/>
      <c r="E1005" s="5"/>
      <c r="F1005" s="5"/>
      <c r="G1005" s="5"/>
      <c r="H1005" s="5"/>
      <c r="I1005" s="5"/>
      <c r="J1005" s="5"/>
      <c r="K1005" s="5"/>
      <c r="L1005" s="5"/>
      <c r="M1005" s="5"/>
      <c r="N1005" s="5"/>
      <c r="O1005" s="38">
        <f t="shared" si="112"/>
        <v>0</v>
      </c>
      <c r="P1005" s="38">
        <f t="shared" si="110"/>
        <v>0</v>
      </c>
      <c r="Q1005" s="38">
        <f t="shared" si="113"/>
        <v>0</v>
      </c>
      <c r="R1005" s="38">
        <f t="shared" si="114"/>
        <v>0</v>
      </c>
      <c r="S1005" s="38">
        <f t="shared" si="115"/>
        <v>0</v>
      </c>
      <c r="T1005" s="38">
        <f t="shared" si="116"/>
        <v>0</v>
      </c>
      <c r="U1005" s="38">
        <f t="shared" si="117"/>
        <v>0</v>
      </c>
      <c r="V1005" s="55"/>
    </row>
    <row r="1006" spans="2:22" s="50" customFormat="1" ht="11.25" hidden="1">
      <c r="B1006" s="69" t="s">
        <v>273</v>
      </c>
      <c r="C1006" s="84"/>
      <c r="D1006" s="31"/>
      <c r="E1006" s="5"/>
      <c r="F1006" s="5"/>
      <c r="G1006" s="5"/>
      <c r="H1006" s="5"/>
      <c r="I1006" s="5"/>
      <c r="J1006" s="5"/>
      <c r="K1006" s="5"/>
      <c r="L1006" s="5"/>
      <c r="M1006" s="5"/>
      <c r="N1006" s="5"/>
      <c r="O1006" s="38">
        <f t="shared" si="112"/>
        <v>0</v>
      </c>
      <c r="P1006" s="38">
        <f t="shared" si="110"/>
        <v>0</v>
      </c>
      <c r="Q1006" s="38">
        <f t="shared" si="113"/>
        <v>0</v>
      </c>
      <c r="R1006" s="38">
        <f t="shared" si="114"/>
        <v>0</v>
      </c>
      <c r="S1006" s="38">
        <f t="shared" si="115"/>
        <v>0</v>
      </c>
      <c r="T1006" s="38">
        <f t="shared" si="116"/>
        <v>0</v>
      </c>
      <c r="U1006" s="38">
        <f t="shared" si="117"/>
        <v>0</v>
      </c>
      <c r="V1006" s="55"/>
    </row>
    <row r="1007" spans="2:22" s="50" customFormat="1" ht="11.25" hidden="1">
      <c r="B1007" s="69" t="s">
        <v>273</v>
      </c>
      <c r="C1007" s="84"/>
      <c r="D1007" s="31"/>
      <c r="E1007" s="5"/>
      <c r="F1007" s="5"/>
      <c r="G1007" s="5"/>
      <c r="H1007" s="5"/>
      <c r="I1007" s="5"/>
      <c r="J1007" s="5"/>
      <c r="K1007" s="5"/>
      <c r="L1007" s="5"/>
      <c r="M1007" s="5"/>
      <c r="N1007" s="5"/>
      <c r="O1007" s="38">
        <f t="shared" si="112"/>
        <v>0</v>
      </c>
      <c r="P1007" s="38">
        <f t="shared" si="110"/>
        <v>0</v>
      </c>
      <c r="Q1007" s="38">
        <f t="shared" si="113"/>
        <v>0</v>
      </c>
      <c r="R1007" s="38">
        <f t="shared" si="114"/>
        <v>0</v>
      </c>
      <c r="S1007" s="38">
        <f t="shared" si="115"/>
        <v>0</v>
      </c>
      <c r="T1007" s="38">
        <f t="shared" si="116"/>
        <v>0</v>
      </c>
      <c r="U1007" s="38">
        <f t="shared" si="117"/>
        <v>0</v>
      </c>
      <c r="V1007" s="55"/>
    </row>
    <row r="1008" spans="2:22" s="50" customFormat="1" ht="11.25" hidden="1">
      <c r="B1008" s="69" t="s">
        <v>273</v>
      </c>
      <c r="C1008" s="84"/>
      <c r="D1008" s="31"/>
      <c r="E1008" s="5"/>
      <c r="F1008" s="5"/>
      <c r="G1008" s="5"/>
      <c r="H1008" s="5"/>
      <c r="I1008" s="5"/>
      <c r="J1008" s="5"/>
      <c r="K1008" s="5"/>
      <c r="L1008" s="5"/>
      <c r="M1008" s="5"/>
      <c r="N1008" s="5"/>
      <c r="O1008" s="38">
        <f t="shared" si="112"/>
        <v>0</v>
      </c>
      <c r="P1008" s="38">
        <f t="shared" si="110"/>
        <v>0</v>
      </c>
      <c r="Q1008" s="38">
        <f t="shared" si="113"/>
        <v>0</v>
      </c>
      <c r="R1008" s="38">
        <f t="shared" si="114"/>
        <v>0</v>
      </c>
      <c r="S1008" s="38">
        <f t="shared" si="115"/>
        <v>0</v>
      </c>
      <c r="T1008" s="38">
        <f t="shared" si="116"/>
        <v>0</v>
      </c>
      <c r="U1008" s="38">
        <f t="shared" si="117"/>
        <v>0</v>
      </c>
      <c r="V1008" s="55"/>
    </row>
    <row r="1009" spans="2:22" s="50" customFormat="1" ht="11.25" hidden="1">
      <c r="B1009" s="69" t="s">
        <v>273</v>
      </c>
      <c r="C1009" s="84"/>
      <c r="D1009" s="31"/>
      <c r="E1009" s="5"/>
      <c r="F1009" s="5"/>
      <c r="G1009" s="5"/>
      <c r="H1009" s="5"/>
      <c r="I1009" s="5"/>
      <c r="J1009" s="5"/>
      <c r="K1009" s="5"/>
      <c r="L1009" s="5"/>
      <c r="M1009" s="5"/>
      <c r="N1009" s="5"/>
      <c r="O1009" s="38">
        <f t="shared" si="112"/>
        <v>0</v>
      </c>
      <c r="P1009" s="38">
        <f t="shared" si="110"/>
        <v>0</v>
      </c>
      <c r="Q1009" s="38">
        <f t="shared" si="113"/>
        <v>0</v>
      </c>
      <c r="R1009" s="38">
        <f t="shared" si="114"/>
        <v>0</v>
      </c>
      <c r="S1009" s="38">
        <f t="shared" si="115"/>
        <v>0</v>
      </c>
      <c r="T1009" s="38">
        <f t="shared" si="116"/>
        <v>0</v>
      </c>
      <c r="U1009" s="38">
        <f t="shared" si="117"/>
        <v>0</v>
      </c>
      <c r="V1009" s="55"/>
    </row>
    <row r="1010" spans="2:22" s="50" customFormat="1" ht="11.25" hidden="1">
      <c r="B1010" s="69" t="s">
        <v>273</v>
      </c>
      <c r="C1010" s="84"/>
      <c r="D1010" s="31"/>
      <c r="E1010" s="5"/>
      <c r="F1010" s="5"/>
      <c r="G1010" s="5"/>
      <c r="H1010" s="5"/>
      <c r="I1010" s="5"/>
      <c r="J1010" s="5"/>
      <c r="K1010" s="5"/>
      <c r="L1010" s="5"/>
      <c r="M1010" s="5"/>
      <c r="N1010" s="5"/>
      <c r="O1010" s="38">
        <f t="shared" si="112"/>
        <v>0</v>
      </c>
      <c r="P1010" s="38">
        <f t="shared" si="110"/>
        <v>0</v>
      </c>
      <c r="Q1010" s="38">
        <f t="shared" si="113"/>
        <v>0</v>
      </c>
      <c r="R1010" s="38">
        <f t="shared" si="114"/>
        <v>0</v>
      </c>
      <c r="S1010" s="38">
        <f t="shared" si="115"/>
        <v>0</v>
      </c>
      <c r="T1010" s="38">
        <f t="shared" si="116"/>
        <v>0</v>
      </c>
      <c r="U1010" s="38">
        <f t="shared" si="117"/>
        <v>0</v>
      </c>
      <c r="V1010" s="55"/>
    </row>
    <row r="1011" spans="2:22" s="50" customFormat="1" ht="11.25" hidden="1">
      <c r="B1011" s="69" t="s">
        <v>273</v>
      </c>
      <c r="C1011" s="84"/>
      <c r="D1011" s="31"/>
      <c r="E1011" s="5"/>
      <c r="F1011" s="5"/>
      <c r="G1011" s="5"/>
      <c r="H1011" s="5"/>
      <c r="I1011" s="5"/>
      <c r="J1011" s="5"/>
      <c r="K1011" s="5"/>
      <c r="L1011" s="5"/>
      <c r="M1011" s="5"/>
      <c r="N1011" s="5"/>
      <c r="O1011" s="38">
        <f t="shared" si="112"/>
        <v>0</v>
      </c>
      <c r="P1011" s="38">
        <f t="shared" si="110"/>
        <v>0</v>
      </c>
      <c r="Q1011" s="38">
        <f t="shared" si="113"/>
        <v>0</v>
      </c>
      <c r="R1011" s="38">
        <f t="shared" si="114"/>
        <v>0</v>
      </c>
      <c r="S1011" s="38">
        <f t="shared" si="115"/>
        <v>0</v>
      </c>
      <c r="T1011" s="38">
        <f t="shared" si="116"/>
        <v>0</v>
      </c>
      <c r="U1011" s="38">
        <f t="shared" si="117"/>
        <v>0</v>
      </c>
      <c r="V1011" s="55"/>
    </row>
    <row r="1012" spans="2:22" s="50" customFormat="1" ht="11.25" hidden="1">
      <c r="B1012" s="69" t="s">
        <v>273</v>
      </c>
      <c r="C1012" s="84"/>
      <c r="D1012" s="31"/>
      <c r="E1012" s="5"/>
      <c r="F1012" s="5"/>
      <c r="G1012" s="5"/>
      <c r="H1012" s="5"/>
      <c r="I1012" s="5"/>
      <c r="J1012" s="5"/>
      <c r="K1012" s="5"/>
      <c r="L1012" s="5"/>
      <c r="M1012" s="5"/>
      <c r="N1012" s="5"/>
      <c r="O1012" s="38">
        <f t="shared" si="112"/>
        <v>0</v>
      </c>
      <c r="P1012" s="38">
        <f t="shared" si="110"/>
        <v>0</v>
      </c>
      <c r="Q1012" s="38">
        <f t="shared" si="113"/>
        <v>0</v>
      </c>
      <c r="R1012" s="38">
        <f t="shared" si="114"/>
        <v>0</v>
      </c>
      <c r="S1012" s="38">
        <f t="shared" si="115"/>
        <v>0</v>
      </c>
      <c r="T1012" s="38">
        <f t="shared" si="116"/>
        <v>0</v>
      </c>
      <c r="U1012" s="38">
        <f t="shared" si="117"/>
        <v>0</v>
      </c>
      <c r="V1012" s="55"/>
    </row>
    <row r="1013" spans="2:22" s="50" customFormat="1" ht="11.25" hidden="1">
      <c r="B1013" s="69" t="s">
        <v>273</v>
      </c>
      <c r="C1013" s="84"/>
      <c r="D1013" s="31"/>
      <c r="E1013" s="5"/>
      <c r="F1013" s="5"/>
      <c r="G1013" s="5"/>
      <c r="H1013" s="5"/>
      <c r="I1013" s="5"/>
      <c r="J1013" s="5"/>
      <c r="K1013" s="5"/>
      <c r="L1013" s="5"/>
      <c r="M1013" s="5"/>
      <c r="N1013" s="5"/>
      <c r="O1013" s="38">
        <f t="shared" si="112"/>
        <v>0</v>
      </c>
      <c r="P1013" s="38">
        <f t="shared" si="110"/>
        <v>0</v>
      </c>
      <c r="Q1013" s="38">
        <f t="shared" si="113"/>
        <v>0</v>
      </c>
      <c r="R1013" s="38">
        <f t="shared" si="114"/>
        <v>0</v>
      </c>
      <c r="S1013" s="38">
        <f t="shared" si="115"/>
        <v>0</v>
      </c>
      <c r="T1013" s="38">
        <f t="shared" si="116"/>
        <v>0</v>
      </c>
      <c r="U1013" s="38">
        <f t="shared" si="117"/>
        <v>0</v>
      </c>
      <c r="V1013" s="55"/>
    </row>
    <row r="1014" spans="2:22" s="50" customFormat="1" ht="11.25" hidden="1">
      <c r="B1014" s="69" t="s">
        <v>273</v>
      </c>
      <c r="C1014" s="84"/>
      <c r="D1014" s="31"/>
      <c r="E1014" s="5"/>
      <c r="F1014" s="5"/>
      <c r="G1014" s="5"/>
      <c r="H1014" s="5"/>
      <c r="I1014" s="5"/>
      <c r="J1014" s="5"/>
      <c r="K1014" s="5"/>
      <c r="L1014" s="5"/>
      <c r="M1014" s="5"/>
      <c r="N1014" s="5"/>
      <c r="O1014" s="38">
        <f t="shared" si="112"/>
        <v>0</v>
      </c>
      <c r="P1014" s="38">
        <f t="shared" si="110"/>
        <v>0</v>
      </c>
      <c r="Q1014" s="38">
        <f t="shared" si="113"/>
        <v>0</v>
      </c>
      <c r="R1014" s="38">
        <f t="shared" si="114"/>
        <v>0</v>
      </c>
      <c r="S1014" s="38">
        <f t="shared" si="115"/>
        <v>0</v>
      </c>
      <c r="T1014" s="38">
        <f t="shared" si="116"/>
        <v>0</v>
      </c>
      <c r="U1014" s="38">
        <f t="shared" si="117"/>
        <v>0</v>
      </c>
      <c r="V1014" s="55"/>
    </row>
    <row r="1015" spans="2:22" s="50" customFormat="1" ht="11.25" hidden="1">
      <c r="B1015" s="69" t="s">
        <v>273</v>
      </c>
      <c r="C1015" s="84"/>
      <c r="D1015" s="31"/>
      <c r="E1015" s="5"/>
      <c r="F1015" s="5"/>
      <c r="G1015" s="5"/>
      <c r="H1015" s="5"/>
      <c r="I1015" s="5"/>
      <c r="J1015" s="5"/>
      <c r="K1015" s="5"/>
      <c r="L1015" s="5"/>
      <c r="M1015" s="5"/>
      <c r="N1015" s="5"/>
      <c r="O1015" s="38">
        <f t="shared" si="112"/>
        <v>0</v>
      </c>
      <c r="P1015" s="38">
        <f t="shared" si="110"/>
        <v>0</v>
      </c>
      <c r="Q1015" s="38">
        <f t="shared" si="113"/>
        <v>0</v>
      </c>
      <c r="R1015" s="38">
        <f t="shared" si="114"/>
        <v>0</v>
      </c>
      <c r="S1015" s="38">
        <f t="shared" si="115"/>
        <v>0</v>
      </c>
      <c r="T1015" s="38">
        <f t="shared" si="116"/>
        <v>0</v>
      </c>
      <c r="U1015" s="38">
        <f t="shared" si="117"/>
        <v>0</v>
      </c>
      <c r="V1015" s="55"/>
    </row>
    <row r="1016" spans="2:22" s="50" customFormat="1" ht="11.25" hidden="1">
      <c r="B1016" s="69" t="s">
        <v>273</v>
      </c>
      <c r="C1016" s="84"/>
      <c r="D1016" s="31"/>
      <c r="E1016" s="5"/>
      <c r="F1016" s="5"/>
      <c r="G1016" s="5"/>
      <c r="H1016" s="5"/>
      <c r="I1016" s="5"/>
      <c r="J1016" s="5"/>
      <c r="K1016" s="5"/>
      <c r="L1016" s="5"/>
      <c r="M1016" s="5"/>
      <c r="N1016" s="5"/>
      <c r="O1016" s="38">
        <f t="shared" si="112"/>
        <v>0</v>
      </c>
      <c r="P1016" s="38">
        <f t="shared" si="110"/>
        <v>0</v>
      </c>
      <c r="Q1016" s="38">
        <f t="shared" si="113"/>
        <v>0</v>
      </c>
      <c r="R1016" s="38">
        <f t="shared" si="114"/>
        <v>0</v>
      </c>
      <c r="S1016" s="38">
        <f t="shared" si="115"/>
        <v>0</v>
      </c>
      <c r="T1016" s="38">
        <f t="shared" si="116"/>
        <v>0</v>
      </c>
      <c r="U1016" s="38">
        <f t="shared" si="117"/>
        <v>0</v>
      </c>
      <c r="V1016" s="55"/>
    </row>
    <row r="1017" spans="2:22" s="50" customFormat="1" ht="11.25" hidden="1">
      <c r="B1017" s="69" t="s">
        <v>273</v>
      </c>
      <c r="C1017" s="84"/>
      <c r="D1017" s="31"/>
      <c r="E1017" s="5"/>
      <c r="F1017" s="5"/>
      <c r="G1017" s="5"/>
      <c r="H1017" s="5"/>
      <c r="I1017" s="5"/>
      <c r="J1017" s="5"/>
      <c r="K1017" s="5"/>
      <c r="L1017" s="5"/>
      <c r="M1017" s="5"/>
      <c r="N1017" s="5"/>
      <c r="O1017" s="38">
        <f t="shared" si="112"/>
        <v>0</v>
      </c>
      <c r="P1017" s="38">
        <f t="shared" si="110"/>
        <v>0</v>
      </c>
      <c r="Q1017" s="38">
        <f t="shared" si="113"/>
        <v>0</v>
      </c>
      <c r="R1017" s="38">
        <f t="shared" si="114"/>
        <v>0</v>
      </c>
      <c r="S1017" s="38">
        <f t="shared" si="115"/>
        <v>0</v>
      </c>
      <c r="T1017" s="38">
        <f t="shared" si="116"/>
        <v>0</v>
      </c>
      <c r="U1017" s="38">
        <f t="shared" si="117"/>
        <v>0</v>
      </c>
      <c r="V1017" s="55"/>
    </row>
    <row r="1018" spans="2:22" s="50" customFormat="1" ht="11.25" hidden="1">
      <c r="B1018" s="69" t="s">
        <v>273</v>
      </c>
      <c r="C1018" s="84"/>
      <c r="D1018" s="31"/>
      <c r="E1018" s="5"/>
      <c r="F1018" s="5"/>
      <c r="G1018" s="5"/>
      <c r="H1018" s="5"/>
      <c r="I1018" s="5"/>
      <c r="J1018" s="5"/>
      <c r="K1018" s="5"/>
      <c r="L1018" s="5"/>
      <c r="M1018" s="5"/>
      <c r="N1018" s="5"/>
      <c r="O1018" s="38">
        <f t="shared" si="112"/>
        <v>0</v>
      </c>
      <c r="P1018" s="38">
        <f t="shared" si="110"/>
        <v>0</v>
      </c>
      <c r="Q1018" s="38">
        <f t="shared" si="113"/>
        <v>0</v>
      </c>
      <c r="R1018" s="38">
        <f t="shared" si="114"/>
        <v>0</v>
      </c>
      <c r="S1018" s="38">
        <f t="shared" si="115"/>
        <v>0</v>
      </c>
      <c r="T1018" s="38">
        <f t="shared" si="116"/>
        <v>0</v>
      </c>
      <c r="U1018" s="38">
        <f t="shared" si="117"/>
        <v>0</v>
      </c>
      <c r="V1018" s="55"/>
    </row>
    <row r="1019" spans="2:22" s="50" customFormat="1" ht="11.25" hidden="1">
      <c r="B1019" s="69" t="s">
        <v>273</v>
      </c>
      <c r="C1019" s="84"/>
      <c r="D1019" s="31"/>
      <c r="E1019" s="5"/>
      <c r="F1019" s="5"/>
      <c r="G1019" s="5"/>
      <c r="H1019" s="5"/>
      <c r="I1019" s="5"/>
      <c r="J1019" s="5"/>
      <c r="K1019" s="5"/>
      <c r="L1019" s="5"/>
      <c r="M1019" s="5"/>
      <c r="N1019" s="5"/>
      <c r="O1019" s="38">
        <f t="shared" si="112"/>
        <v>0</v>
      </c>
      <c r="P1019" s="38">
        <f t="shared" si="110"/>
        <v>0</v>
      </c>
      <c r="Q1019" s="38">
        <f t="shared" si="113"/>
        <v>0</v>
      </c>
      <c r="R1019" s="38">
        <f t="shared" si="114"/>
        <v>0</v>
      </c>
      <c r="S1019" s="38">
        <f t="shared" si="115"/>
        <v>0</v>
      </c>
      <c r="T1019" s="38">
        <f t="shared" si="116"/>
        <v>0</v>
      </c>
      <c r="U1019" s="38">
        <f t="shared" si="117"/>
        <v>0</v>
      </c>
      <c r="V1019" s="55"/>
    </row>
    <row r="1020" spans="2:22" s="50" customFormat="1" ht="11.25" hidden="1">
      <c r="B1020" s="69" t="s">
        <v>273</v>
      </c>
      <c r="C1020" s="84"/>
      <c r="D1020" s="31"/>
      <c r="E1020" s="5"/>
      <c r="F1020" s="5"/>
      <c r="G1020" s="5"/>
      <c r="H1020" s="5"/>
      <c r="I1020" s="5"/>
      <c r="J1020" s="5"/>
      <c r="K1020" s="5"/>
      <c r="L1020" s="5"/>
      <c r="M1020" s="5"/>
      <c r="N1020" s="5"/>
      <c r="O1020" s="38">
        <f t="shared" si="112"/>
        <v>0</v>
      </c>
      <c r="P1020" s="38">
        <f t="shared" si="110"/>
        <v>0</v>
      </c>
      <c r="Q1020" s="38">
        <f t="shared" si="113"/>
        <v>0</v>
      </c>
      <c r="R1020" s="38">
        <f t="shared" si="114"/>
        <v>0</v>
      </c>
      <c r="S1020" s="38">
        <f t="shared" si="115"/>
        <v>0</v>
      </c>
      <c r="T1020" s="38">
        <f t="shared" si="116"/>
        <v>0</v>
      </c>
      <c r="U1020" s="38">
        <f t="shared" si="117"/>
        <v>0</v>
      </c>
      <c r="V1020" s="55"/>
    </row>
    <row r="1021" spans="2:22" s="50" customFormat="1" ht="11.25" hidden="1">
      <c r="B1021" s="69" t="s">
        <v>273</v>
      </c>
      <c r="C1021" s="84"/>
      <c r="D1021" s="31"/>
      <c r="E1021" s="5"/>
      <c r="F1021" s="5"/>
      <c r="G1021" s="5"/>
      <c r="H1021" s="5"/>
      <c r="I1021" s="5"/>
      <c r="J1021" s="5"/>
      <c r="K1021" s="5"/>
      <c r="L1021" s="5"/>
      <c r="M1021" s="5"/>
      <c r="N1021" s="5"/>
      <c r="O1021" s="38">
        <f t="shared" si="112"/>
        <v>0</v>
      </c>
      <c r="P1021" s="38">
        <f t="shared" si="110"/>
        <v>0</v>
      </c>
      <c r="Q1021" s="38">
        <f t="shared" si="113"/>
        <v>0</v>
      </c>
      <c r="R1021" s="38">
        <f t="shared" si="114"/>
        <v>0</v>
      </c>
      <c r="S1021" s="38">
        <f t="shared" si="115"/>
        <v>0</v>
      </c>
      <c r="T1021" s="38">
        <f t="shared" si="116"/>
        <v>0</v>
      </c>
      <c r="U1021" s="38">
        <f t="shared" si="117"/>
        <v>0</v>
      </c>
      <c r="V1021" s="55"/>
    </row>
    <row r="1022" spans="2:22" s="50" customFormat="1" ht="11.25" hidden="1">
      <c r="B1022" s="69" t="s">
        <v>273</v>
      </c>
      <c r="C1022" s="84"/>
      <c r="D1022" s="31"/>
      <c r="E1022" s="5"/>
      <c r="F1022" s="5"/>
      <c r="G1022" s="5"/>
      <c r="H1022" s="5"/>
      <c r="I1022" s="5"/>
      <c r="J1022" s="5"/>
      <c r="K1022" s="5"/>
      <c r="L1022" s="5"/>
      <c r="M1022" s="5"/>
      <c r="N1022" s="5"/>
      <c r="O1022" s="38">
        <f t="shared" si="112"/>
        <v>0</v>
      </c>
      <c r="P1022" s="38">
        <f t="shared" si="110"/>
        <v>0</v>
      </c>
      <c r="Q1022" s="38">
        <f t="shared" si="113"/>
        <v>0</v>
      </c>
      <c r="R1022" s="38">
        <f t="shared" si="114"/>
        <v>0</v>
      </c>
      <c r="S1022" s="38">
        <f t="shared" si="115"/>
        <v>0</v>
      </c>
      <c r="T1022" s="38">
        <f t="shared" si="116"/>
        <v>0</v>
      </c>
      <c r="U1022" s="38">
        <f t="shared" si="117"/>
        <v>0</v>
      </c>
      <c r="V1022" s="55"/>
    </row>
    <row r="1023" spans="2:22" s="50" customFormat="1" ht="11.25" hidden="1">
      <c r="B1023" s="69" t="s">
        <v>273</v>
      </c>
      <c r="C1023" s="84"/>
      <c r="D1023" s="31"/>
      <c r="E1023" s="5"/>
      <c r="F1023" s="5"/>
      <c r="G1023" s="5"/>
      <c r="H1023" s="5"/>
      <c r="I1023" s="5"/>
      <c r="J1023" s="5"/>
      <c r="K1023" s="5"/>
      <c r="L1023" s="5"/>
      <c r="M1023" s="5"/>
      <c r="N1023" s="5"/>
      <c r="O1023" s="38">
        <f t="shared" si="112"/>
        <v>0</v>
      </c>
      <c r="P1023" s="38">
        <f t="shared" ref="P1023:P1086" si="118">IF(I1023=0,0,J1023/I1023*10)</f>
        <v>0</v>
      </c>
      <c r="Q1023" s="38">
        <f t="shared" si="113"/>
        <v>0</v>
      </c>
      <c r="R1023" s="38">
        <f t="shared" si="114"/>
        <v>0</v>
      </c>
      <c r="S1023" s="38">
        <f t="shared" si="115"/>
        <v>0</v>
      </c>
      <c r="T1023" s="38">
        <f t="shared" si="116"/>
        <v>0</v>
      </c>
      <c r="U1023" s="38">
        <f t="shared" si="117"/>
        <v>0</v>
      </c>
      <c r="V1023" s="55"/>
    </row>
    <row r="1024" spans="2:22" s="50" customFormat="1" ht="11.25" hidden="1">
      <c r="B1024" s="69" t="s">
        <v>273</v>
      </c>
      <c r="C1024" s="84"/>
      <c r="D1024" s="31"/>
      <c r="E1024" s="5"/>
      <c r="F1024" s="5"/>
      <c r="G1024" s="5"/>
      <c r="H1024" s="5"/>
      <c r="I1024" s="5"/>
      <c r="J1024" s="5"/>
      <c r="K1024" s="5"/>
      <c r="L1024" s="5"/>
      <c r="M1024" s="5"/>
      <c r="N1024" s="5"/>
      <c r="O1024" s="38">
        <f t="shared" si="112"/>
        <v>0</v>
      </c>
      <c r="P1024" s="38">
        <f t="shared" si="118"/>
        <v>0</v>
      </c>
      <c r="Q1024" s="38">
        <f t="shared" si="113"/>
        <v>0</v>
      </c>
      <c r="R1024" s="38">
        <f t="shared" si="114"/>
        <v>0</v>
      </c>
      <c r="S1024" s="38">
        <f t="shared" si="115"/>
        <v>0</v>
      </c>
      <c r="T1024" s="38">
        <f t="shared" si="116"/>
        <v>0</v>
      </c>
      <c r="U1024" s="38">
        <f t="shared" si="117"/>
        <v>0</v>
      </c>
      <c r="V1024" s="55"/>
    </row>
    <row r="1025" spans="2:22" s="50" customFormat="1" ht="11.25" hidden="1">
      <c r="B1025" s="69" t="s">
        <v>273</v>
      </c>
      <c r="C1025" s="84"/>
      <c r="D1025" s="31"/>
      <c r="E1025" s="5"/>
      <c r="F1025" s="5"/>
      <c r="G1025" s="5"/>
      <c r="H1025" s="5"/>
      <c r="I1025" s="5"/>
      <c r="J1025" s="5"/>
      <c r="K1025" s="5"/>
      <c r="L1025" s="5"/>
      <c r="M1025" s="5"/>
      <c r="N1025" s="5"/>
      <c r="O1025" s="38">
        <f t="shared" si="112"/>
        <v>0</v>
      </c>
      <c r="P1025" s="38">
        <f t="shared" si="118"/>
        <v>0</v>
      </c>
      <c r="Q1025" s="38">
        <f t="shared" si="113"/>
        <v>0</v>
      </c>
      <c r="R1025" s="38">
        <f t="shared" si="114"/>
        <v>0</v>
      </c>
      <c r="S1025" s="38">
        <f t="shared" si="115"/>
        <v>0</v>
      </c>
      <c r="T1025" s="38">
        <f t="shared" si="116"/>
        <v>0</v>
      </c>
      <c r="U1025" s="38">
        <f t="shared" si="117"/>
        <v>0</v>
      </c>
      <c r="V1025" s="55"/>
    </row>
    <row r="1026" spans="2:22" s="50" customFormat="1" ht="11.25" hidden="1">
      <c r="B1026" s="69" t="s">
        <v>273</v>
      </c>
      <c r="C1026" s="84"/>
      <c r="D1026" s="31"/>
      <c r="E1026" s="5"/>
      <c r="F1026" s="5"/>
      <c r="G1026" s="5"/>
      <c r="H1026" s="5"/>
      <c r="I1026" s="5"/>
      <c r="J1026" s="5"/>
      <c r="K1026" s="5"/>
      <c r="L1026" s="5"/>
      <c r="M1026" s="5"/>
      <c r="N1026" s="5"/>
      <c r="O1026" s="38">
        <f t="shared" si="112"/>
        <v>0</v>
      </c>
      <c r="P1026" s="38">
        <f t="shared" si="118"/>
        <v>0</v>
      </c>
      <c r="Q1026" s="38">
        <f t="shared" si="113"/>
        <v>0</v>
      </c>
      <c r="R1026" s="38">
        <f t="shared" si="114"/>
        <v>0</v>
      </c>
      <c r="S1026" s="38">
        <f t="shared" si="115"/>
        <v>0</v>
      </c>
      <c r="T1026" s="38">
        <f t="shared" si="116"/>
        <v>0</v>
      </c>
      <c r="U1026" s="38">
        <f t="shared" si="117"/>
        <v>0</v>
      </c>
      <c r="V1026" s="55"/>
    </row>
    <row r="1027" spans="2:22" s="50" customFormat="1" ht="11.25" hidden="1">
      <c r="B1027" s="69" t="s">
        <v>273</v>
      </c>
      <c r="C1027" s="84"/>
      <c r="D1027" s="31"/>
      <c r="E1027" s="5"/>
      <c r="F1027" s="5"/>
      <c r="G1027" s="5"/>
      <c r="H1027" s="5"/>
      <c r="I1027" s="5"/>
      <c r="J1027" s="5"/>
      <c r="K1027" s="5"/>
      <c r="L1027" s="5"/>
      <c r="M1027" s="5"/>
      <c r="N1027" s="5"/>
      <c r="O1027" s="38">
        <f t="shared" si="112"/>
        <v>0</v>
      </c>
      <c r="P1027" s="38">
        <f t="shared" si="118"/>
        <v>0</v>
      </c>
      <c r="Q1027" s="38">
        <f t="shared" si="113"/>
        <v>0</v>
      </c>
      <c r="R1027" s="38">
        <f t="shared" si="114"/>
        <v>0</v>
      </c>
      <c r="S1027" s="38">
        <f t="shared" si="115"/>
        <v>0</v>
      </c>
      <c r="T1027" s="38">
        <f t="shared" si="116"/>
        <v>0</v>
      </c>
      <c r="U1027" s="38">
        <f t="shared" si="117"/>
        <v>0</v>
      </c>
      <c r="V1027" s="55"/>
    </row>
    <row r="1028" spans="2:22" s="50" customFormat="1" ht="11.25" hidden="1">
      <c r="B1028" s="69" t="s">
        <v>273</v>
      </c>
      <c r="C1028" s="84"/>
      <c r="D1028" s="31"/>
      <c r="E1028" s="5"/>
      <c r="F1028" s="5"/>
      <c r="G1028" s="5"/>
      <c r="H1028" s="5"/>
      <c r="I1028" s="5"/>
      <c r="J1028" s="5"/>
      <c r="K1028" s="5"/>
      <c r="L1028" s="5"/>
      <c r="M1028" s="5"/>
      <c r="N1028" s="5"/>
      <c r="O1028" s="38">
        <f t="shared" si="112"/>
        <v>0</v>
      </c>
      <c r="P1028" s="38">
        <f t="shared" si="118"/>
        <v>0</v>
      </c>
      <c r="Q1028" s="38">
        <f t="shared" si="113"/>
        <v>0</v>
      </c>
      <c r="R1028" s="38">
        <f t="shared" si="114"/>
        <v>0</v>
      </c>
      <c r="S1028" s="38">
        <f t="shared" si="115"/>
        <v>0</v>
      </c>
      <c r="T1028" s="38">
        <f t="shared" si="116"/>
        <v>0</v>
      </c>
      <c r="U1028" s="38">
        <f t="shared" si="117"/>
        <v>0</v>
      </c>
      <c r="V1028" s="55"/>
    </row>
    <row r="1029" spans="2:22" s="50" customFormat="1" ht="11.25" hidden="1">
      <c r="B1029" s="69" t="s">
        <v>273</v>
      </c>
      <c r="C1029" s="84"/>
      <c r="D1029" s="31"/>
      <c r="E1029" s="5"/>
      <c r="F1029" s="5"/>
      <c r="G1029" s="5"/>
      <c r="H1029" s="5"/>
      <c r="I1029" s="5"/>
      <c r="J1029" s="5"/>
      <c r="K1029" s="5"/>
      <c r="L1029" s="5"/>
      <c r="M1029" s="5"/>
      <c r="N1029" s="5"/>
      <c r="O1029" s="38">
        <f t="shared" si="112"/>
        <v>0</v>
      </c>
      <c r="P1029" s="38">
        <f t="shared" si="118"/>
        <v>0</v>
      </c>
      <c r="Q1029" s="38">
        <f t="shared" si="113"/>
        <v>0</v>
      </c>
      <c r="R1029" s="38">
        <f t="shared" si="114"/>
        <v>0</v>
      </c>
      <c r="S1029" s="38">
        <f t="shared" si="115"/>
        <v>0</v>
      </c>
      <c r="T1029" s="38">
        <f t="shared" si="116"/>
        <v>0</v>
      </c>
      <c r="U1029" s="38">
        <f t="shared" si="117"/>
        <v>0</v>
      </c>
      <c r="V1029" s="55"/>
    </row>
    <row r="1030" spans="2:22" s="50" customFormat="1" ht="11.25" hidden="1">
      <c r="B1030" s="69" t="s">
        <v>273</v>
      </c>
      <c r="C1030" s="84"/>
      <c r="D1030" s="31"/>
      <c r="E1030" s="5"/>
      <c r="F1030" s="5"/>
      <c r="G1030" s="5"/>
      <c r="H1030" s="5"/>
      <c r="I1030" s="5"/>
      <c r="J1030" s="5"/>
      <c r="K1030" s="5"/>
      <c r="L1030" s="5"/>
      <c r="M1030" s="5"/>
      <c r="N1030" s="5"/>
      <c r="O1030" s="38">
        <f t="shared" si="112"/>
        <v>0</v>
      </c>
      <c r="P1030" s="38">
        <f t="shared" si="118"/>
        <v>0</v>
      </c>
      <c r="Q1030" s="38">
        <f t="shared" si="113"/>
        <v>0</v>
      </c>
      <c r="R1030" s="38">
        <f t="shared" si="114"/>
        <v>0</v>
      </c>
      <c r="S1030" s="38">
        <f t="shared" si="115"/>
        <v>0</v>
      </c>
      <c r="T1030" s="38">
        <f t="shared" si="116"/>
        <v>0</v>
      </c>
      <c r="U1030" s="38">
        <f t="shared" si="117"/>
        <v>0</v>
      </c>
      <c r="V1030" s="55"/>
    </row>
    <row r="1031" spans="2:22" s="50" customFormat="1" ht="11.25" hidden="1">
      <c r="B1031" s="69" t="s">
        <v>273</v>
      </c>
      <c r="C1031" s="84"/>
      <c r="D1031" s="31"/>
      <c r="E1031" s="5"/>
      <c r="F1031" s="5"/>
      <c r="G1031" s="5"/>
      <c r="H1031" s="5"/>
      <c r="I1031" s="5"/>
      <c r="J1031" s="5"/>
      <c r="K1031" s="5"/>
      <c r="L1031" s="5"/>
      <c r="M1031" s="5"/>
      <c r="N1031" s="5"/>
      <c r="O1031" s="38">
        <f t="shared" si="112"/>
        <v>0</v>
      </c>
      <c r="P1031" s="38">
        <f t="shared" si="118"/>
        <v>0</v>
      </c>
      <c r="Q1031" s="38">
        <f t="shared" si="113"/>
        <v>0</v>
      </c>
      <c r="R1031" s="38">
        <f t="shared" si="114"/>
        <v>0</v>
      </c>
      <c r="S1031" s="38">
        <f t="shared" si="115"/>
        <v>0</v>
      </c>
      <c r="T1031" s="38">
        <f t="shared" si="116"/>
        <v>0</v>
      </c>
      <c r="U1031" s="38">
        <f t="shared" si="117"/>
        <v>0</v>
      </c>
      <c r="V1031" s="55"/>
    </row>
    <row r="1032" spans="2:22" s="50" customFormat="1" ht="11.25" hidden="1">
      <c r="B1032" s="69" t="s">
        <v>273</v>
      </c>
      <c r="C1032" s="84"/>
      <c r="D1032" s="31"/>
      <c r="E1032" s="5"/>
      <c r="F1032" s="5"/>
      <c r="G1032" s="5"/>
      <c r="H1032" s="5"/>
      <c r="I1032" s="5"/>
      <c r="J1032" s="5"/>
      <c r="K1032" s="5"/>
      <c r="L1032" s="5"/>
      <c r="M1032" s="5"/>
      <c r="N1032" s="5"/>
      <c r="O1032" s="38">
        <f t="shared" si="112"/>
        <v>0</v>
      </c>
      <c r="P1032" s="38">
        <f t="shared" si="118"/>
        <v>0</v>
      </c>
      <c r="Q1032" s="38">
        <f t="shared" si="113"/>
        <v>0</v>
      </c>
      <c r="R1032" s="38">
        <f t="shared" si="114"/>
        <v>0</v>
      </c>
      <c r="S1032" s="38">
        <f t="shared" si="115"/>
        <v>0</v>
      </c>
      <c r="T1032" s="38">
        <f t="shared" si="116"/>
        <v>0</v>
      </c>
      <c r="U1032" s="38">
        <f t="shared" si="117"/>
        <v>0</v>
      </c>
      <c r="V1032" s="55"/>
    </row>
    <row r="1033" spans="2:22" s="50" customFormat="1" ht="11.25" hidden="1">
      <c r="B1033" s="69" t="s">
        <v>273</v>
      </c>
      <c r="C1033" s="84"/>
      <c r="D1033" s="31"/>
      <c r="E1033" s="5"/>
      <c r="F1033" s="5"/>
      <c r="G1033" s="5"/>
      <c r="H1033" s="5"/>
      <c r="I1033" s="5"/>
      <c r="J1033" s="5"/>
      <c r="K1033" s="5"/>
      <c r="L1033" s="5"/>
      <c r="M1033" s="5"/>
      <c r="N1033" s="5"/>
      <c r="O1033" s="38">
        <f t="shared" si="112"/>
        <v>0</v>
      </c>
      <c r="P1033" s="38">
        <f t="shared" si="118"/>
        <v>0</v>
      </c>
      <c r="Q1033" s="38">
        <f t="shared" si="113"/>
        <v>0</v>
      </c>
      <c r="R1033" s="38">
        <f t="shared" si="114"/>
        <v>0</v>
      </c>
      <c r="S1033" s="38">
        <f t="shared" si="115"/>
        <v>0</v>
      </c>
      <c r="T1033" s="38">
        <f t="shared" si="116"/>
        <v>0</v>
      </c>
      <c r="U1033" s="38">
        <f t="shared" si="117"/>
        <v>0</v>
      </c>
      <c r="V1033" s="55"/>
    </row>
    <row r="1034" spans="2:22" s="50" customFormat="1" ht="11.25" hidden="1">
      <c r="B1034" s="69" t="s">
        <v>273</v>
      </c>
      <c r="C1034" s="84"/>
      <c r="D1034" s="31"/>
      <c r="E1034" s="5"/>
      <c r="F1034" s="5"/>
      <c r="G1034" s="5"/>
      <c r="H1034" s="5"/>
      <c r="I1034" s="5"/>
      <c r="J1034" s="5"/>
      <c r="K1034" s="5"/>
      <c r="L1034" s="5"/>
      <c r="M1034" s="5"/>
      <c r="N1034" s="5"/>
      <c r="O1034" s="38">
        <f t="shared" ref="O1034:O1097" si="119">SUM(J1034:N1034)</f>
        <v>0</v>
      </c>
      <c r="P1034" s="38">
        <f t="shared" si="118"/>
        <v>0</v>
      </c>
      <c r="Q1034" s="38">
        <f t="shared" ref="Q1034:Q1097" si="120">IF(I1034=0,0,L1034/I1034*10)</f>
        <v>0</v>
      </c>
      <c r="R1034" s="38">
        <f t="shared" ref="R1034:R1097" si="121">IF(I1034=0,0,M1034/I1034*10)</f>
        <v>0</v>
      </c>
      <c r="S1034" s="38">
        <f t="shared" ref="S1034:S1097" si="122">IF(I1034=0,0,N1034/I1034*10)</f>
        <v>0</v>
      </c>
      <c r="T1034" s="38">
        <f t="shared" ref="T1034:T1097" si="123">IF(I1034=0,0,K1034/I1034*10)</f>
        <v>0</v>
      </c>
      <c r="U1034" s="38">
        <f t="shared" ref="U1034:U1097" si="124">IF(I1034=0,0,O1034/I1034*10)</f>
        <v>0</v>
      </c>
      <c r="V1034" s="55"/>
    </row>
    <row r="1035" spans="2:22" s="50" customFormat="1" ht="11.25" hidden="1">
      <c r="B1035" s="69" t="s">
        <v>273</v>
      </c>
      <c r="C1035" s="84"/>
      <c r="D1035" s="31"/>
      <c r="E1035" s="5"/>
      <c r="F1035" s="5"/>
      <c r="G1035" s="5"/>
      <c r="H1035" s="5"/>
      <c r="I1035" s="5"/>
      <c r="J1035" s="5"/>
      <c r="K1035" s="5"/>
      <c r="L1035" s="5"/>
      <c r="M1035" s="5"/>
      <c r="N1035" s="5"/>
      <c r="O1035" s="38">
        <f t="shared" si="119"/>
        <v>0</v>
      </c>
      <c r="P1035" s="38">
        <f t="shared" si="118"/>
        <v>0</v>
      </c>
      <c r="Q1035" s="38">
        <f t="shared" si="120"/>
        <v>0</v>
      </c>
      <c r="R1035" s="38">
        <f t="shared" si="121"/>
        <v>0</v>
      </c>
      <c r="S1035" s="38">
        <f t="shared" si="122"/>
        <v>0</v>
      </c>
      <c r="T1035" s="38">
        <f t="shared" si="123"/>
        <v>0</v>
      </c>
      <c r="U1035" s="38">
        <f t="shared" si="124"/>
        <v>0</v>
      </c>
      <c r="V1035" s="55"/>
    </row>
    <row r="1036" spans="2:22" s="50" customFormat="1" ht="11.25" hidden="1">
      <c r="B1036" s="69" t="s">
        <v>273</v>
      </c>
      <c r="C1036" s="84"/>
      <c r="D1036" s="31"/>
      <c r="E1036" s="5"/>
      <c r="F1036" s="5"/>
      <c r="G1036" s="5"/>
      <c r="H1036" s="5"/>
      <c r="I1036" s="5"/>
      <c r="J1036" s="5"/>
      <c r="K1036" s="5"/>
      <c r="L1036" s="5"/>
      <c r="M1036" s="5"/>
      <c r="N1036" s="5"/>
      <c r="O1036" s="38">
        <f t="shared" si="119"/>
        <v>0</v>
      </c>
      <c r="P1036" s="38">
        <f t="shared" si="118"/>
        <v>0</v>
      </c>
      <c r="Q1036" s="38">
        <f t="shared" si="120"/>
        <v>0</v>
      </c>
      <c r="R1036" s="38">
        <f t="shared" si="121"/>
        <v>0</v>
      </c>
      <c r="S1036" s="38">
        <f t="shared" si="122"/>
        <v>0</v>
      </c>
      <c r="T1036" s="38">
        <f t="shared" si="123"/>
        <v>0</v>
      </c>
      <c r="U1036" s="38">
        <f t="shared" si="124"/>
        <v>0</v>
      </c>
      <c r="V1036" s="55"/>
    </row>
    <row r="1037" spans="2:22" s="50" customFormat="1" ht="11.25" hidden="1">
      <c r="B1037" s="69" t="s">
        <v>273</v>
      </c>
      <c r="C1037" s="84"/>
      <c r="D1037" s="31"/>
      <c r="E1037" s="5"/>
      <c r="F1037" s="5"/>
      <c r="G1037" s="5"/>
      <c r="H1037" s="5"/>
      <c r="I1037" s="5"/>
      <c r="J1037" s="5"/>
      <c r="K1037" s="5"/>
      <c r="L1037" s="5"/>
      <c r="M1037" s="5"/>
      <c r="N1037" s="5"/>
      <c r="O1037" s="38">
        <f t="shared" si="119"/>
        <v>0</v>
      </c>
      <c r="P1037" s="38">
        <f t="shared" si="118"/>
        <v>0</v>
      </c>
      <c r="Q1037" s="38">
        <f t="shared" si="120"/>
        <v>0</v>
      </c>
      <c r="R1037" s="38">
        <f t="shared" si="121"/>
        <v>0</v>
      </c>
      <c r="S1037" s="38">
        <f t="shared" si="122"/>
        <v>0</v>
      </c>
      <c r="T1037" s="38">
        <f t="shared" si="123"/>
        <v>0</v>
      </c>
      <c r="U1037" s="38">
        <f t="shared" si="124"/>
        <v>0</v>
      </c>
      <c r="V1037" s="55"/>
    </row>
    <row r="1038" spans="2:22" s="50" customFormat="1" ht="11.25" hidden="1">
      <c r="B1038" s="69" t="s">
        <v>273</v>
      </c>
      <c r="C1038" s="84"/>
      <c r="D1038" s="31"/>
      <c r="E1038" s="5"/>
      <c r="F1038" s="5"/>
      <c r="G1038" s="5"/>
      <c r="H1038" s="5"/>
      <c r="I1038" s="5"/>
      <c r="J1038" s="5"/>
      <c r="K1038" s="5"/>
      <c r="L1038" s="5"/>
      <c r="M1038" s="5"/>
      <c r="N1038" s="5"/>
      <c r="O1038" s="38">
        <f t="shared" si="119"/>
        <v>0</v>
      </c>
      <c r="P1038" s="38">
        <f t="shared" si="118"/>
        <v>0</v>
      </c>
      <c r="Q1038" s="38">
        <f t="shared" si="120"/>
        <v>0</v>
      </c>
      <c r="R1038" s="38">
        <f t="shared" si="121"/>
        <v>0</v>
      </c>
      <c r="S1038" s="38">
        <f t="shared" si="122"/>
        <v>0</v>
      </c>
      <c r="T1038" s="38">
        <f t="shared" si="123"/>
        <v>0</v>
      </c>
      <c r="U1038" s="38">
        <f t="shared" si="124"/>
        <v>0</v>
      </c>
      <c r="V1038" s="55"/>
    </row>
    <row r="1039" spans="2:22" s="50" customFormat="1" ht="11.25" hidden="1">
      <c r="B1039" s="69" t="s">
        <v>273</v>
      </c>
      <c r="C1039" s="84"/>
      <c r="D1039" s="31"/>
      <c r="E1039" s="5"/>
      <c r="F1039" s="5"/>
      <c r="G1039" s="5"/>
      <c r="H1039" s="5"/>
      <c r="I1039" s="5"/>
      <c r="J1039" s="5"/>
      <c r="K1039" s="5"/>
      <c r="L1039" s="5"/>
      <c r="M1039" s="5"/>
      <c r="N1039" s="5"/>
      <c r="O1039" s="38">
        <f t="shared" si="119"/>
        <v>0</v>
      </c>
      <c r="P1039" s="38">
        <f t="shared" si="118"/>
        <v>0</v>
      </c>
      <c r="Q1039" s="38">
        <f t="shared" si="120"/>
        <v>0</v>
      </c>
      <c r="R1039" s="38">
        <f t="shared" si="121"/>
        <v>0</v>
      </c>
      <c r="S1039" s="38">
        <f t="shared" si="122"/>
        <v>0</v>
      </c>
      <c r="T1039" s="38">
        <f t="shared" si="123"/>
        <v>0</v>
      </c>
      <c r="U1039" s="38">
        <f t="shared" si="124"/>
        <v>0</v>
      </c>
      <c r="V1039" s="55"/>
    </row>
    <row r="1040" spans="2:22" s="50" customFormat="1" ht="11.25" hidden="1">
      <c r="B1040" s="69" t="s">
        <v>273</v>
      </c>
      <c r="C1040" s="84"/>
      <c r="D1040" s="31"/>
      <c r="E1040" s="5"/>
      <c r="F1040" s="5"/>
      <c r="G1040" s="5"/>
      <c r="H1040" s="5"/>
      <c r="I1040" s="5"/>
      <c r="J1040" s="5"/>
      <c r="K1040" s="5"/>
      <c r="L1040" s="5"/>
      <c r="M1040" s="5"/>
      <c r="N1040" s="5"/>
      <c r="O1040" s="38">
        <f t="shared" si="119"/>
        <v>0</v>
      </c>
      <c r="P1040" s="38">
        <f t="shared" si="118"/>
        <v>0</v>
      </c>
      <c r="Q1040" s="38">
        <f t="shared" si="120"/>
        <v>0</v>
      </c>
      <c r="R1040" s="38">
        <f t="shared" si="121"/>
        <v>0</v>
      </c>
      <c r="S1040" s="38">
        <f t="shared" si="122"/>
        <v>0</v>
      </c>
      <c r="T1040" s="38">
        <f t="shared" si="123"/>
        <v>0</v>
      </c>
      <c r="U1040" s="38">
        <f t="shared" si="124"/>
        <v>0</v>
      </c>
      <c r="V1040" s="55"/>
    </row>
    <row r="1041" spans="2:22" s="50" customFormat="1" ht="11.25" hidden="1">
      <c r="B1041" s="69" t="s">
        <v>273</v>
      </c>
      <c r="C1041" s="84"/>
      <c r="D1041" s="31"/>
      <c r="E1041" s="5"/>
      <c r="F1041" s="5"/>
      <c r="G1041" s="5"/>
      <c r="H1041" s="5"/>
      <c r="I1041" s="5"/>
      <c r="J1041" s="5"/>
      <c r="K1041" s="5"/>
      <c r="L1041" s="5"/>
      <c r="M1041" s="5"/>
      <c r="N1041" s="5"/>
      <c r="O1041" s="38">
        <f t="shared" si="119"/>
        <v>0</v>
      </c>
      <c r="P1041" s="38">
        <f t="shared" si="118"/>
        <v>0</v>
      </c>
      <c r="Q1041" s="38">
        <f t="shared" si="120"/>
        <v>0</v>
      </c>
      <c r="R1041" s="38">
        <f t="shared" si="121"/>
        <v>0</v>
      </c>
      <c r="S1041" s="38">
        <f t="shared" si="122"/>
        <v>0</v>
      </c>
      <c r="T1041" s="38">
        <f t="shared" si="123"/>
        <v>0</v>
      </c>
      <c r="U1041" s="38">
        <f t="shared" si="124"/>
        <v>0</v>
      </c>
      <c r="V1041" s="55"/>
    </row>
    <row r="1042" spans="2:22" s="50" customFormat="1" ht="11.25" hidden="1">
      <c r="B1042" s="69" t="s">
        <v>273</v>
      </c>
      <c r="C1042" s="84"/>
      <c r="D1042" s="31"/>
      <c r="E1042" s="5"/>
      <c r="F1042" s="5"/>
      <c r="G1042" s="5"/>
      <c r="H1042" s="5"/>
      <c r="I1042" s="5"/>
      <c r="J1042" s="5"/>
      <c r="K1042" s="5"/>
      <c r="L1042" s="5"/>
      <c r="M1042" s="5"/>
      <c r="N1042" s="5"/>
      <c r="O1042" s="38">
        <f t="shared" si="119"/>
        <v>0</v>
      </c>
      <c r="P1042" s="38">
        <f t="shared" si="118"/>
        <v>0</v>
      </c>
      <c r="Q1042" s="38">
        <f t="shared" si="120"/>
        <v>0</v>
      </c>
      <c r="R1042" s="38">
        <f t="shared" si="121"/>
        <v>0</v>
      </c>
      <c r="S1042" s="38">
        <f t="shared" si="122"/>
        <v>0</v>
      </c>
      <c r="T1042" s="38">
        <f t="shared" si="123"/>
        <v>0</v>
      </c>
      <c r="U1042" s="38">
        <f t="shared" si="124"/>
        <v>0</v>
      </c>
      <c r="V1042" s="55"/>
    </row>
    <row r="1043" spans="2:22" s="50" customFormat="1" ht="11.25" hidden="1">
      <c r="B1043" s="69" t="s">
        <v>273</v>
      </c>
      <c r="C1043" s="84"/>
      <c r="D1043" s="31"/>
      <c r="E1043" s="5"/>
      <c r="F1043" s="5"/>
      <c r="G1043" s="5"/>
      <c r="H1043" s="5"/>
      <c r="I1043" s="5"/>
      <c r="J1043" s="5"/>
      <c r="K1043" s="5"/>
      <c r="L1043" s="5"/>
      <c r="M1043" s="5"/>
      <c r="N1043" s="5"/>
      <c r="O1043" s="38">
        <f t="shared" si="119"/>
        <v>0</v>
      </c>
      <c r="P1043" s="38">
        <f t="shared" si="118"/>
        <v>0</v>
      </c>
      <c r="Q1043" s="38">
        <f t="shared" si="120"/>
        <v>0</v>
      </c>
      <c r="R1043" s="38">
        <f t="shared" si="121"/>
        <v>0</v>
      </c>
      <c r="S1043" s="38">
        <f t="shared" si="122"/>
        <v>0</v>
      </c>
      <c r="T1043" s="38">
        <f t="shared" si="123"/>
        <v>0</v>
      </c>
      <c r="U1043" s="38">
        <f t="shared" si="124"/>
        <v>0</v>
      </c>
      <c r="V1043" s="55"/>
    </row>
    <row r="1044" spans="2:22" s="50" customFormat="1" ht="11.25" hidden="1">
      <c r="B1044" s="69" t="s">
        <v>273</v>
      </c>
      <c r="C1044" s="84"/>
      <c r="D1044" s="31"/>
      <c r="E1044" s="5"/>
      <c r="F1044" s="5"/>
      <c r="G1044" s="5"/>
      <c r="H1044" s="5"/>
      <c r="I1044" s="5"/>
      <c r="J1044" s="5"/>
      <c r="K1044" s="5"/>
      <c r="L1044" s="5"/>
      <c r="M1044" s="5"/>
      <c r="N1044" s="5"/>
      <c r="O1044" s="38">
        <f t="shared" si="119"/>
        <v>0</v>
      </c>
      <c r="P1044" s="38">
        <f t="shared" si="118"/>
        <v>0</v>
      </c>
      <c r="Q1044" s="38">
        <f t="shared" si="120"/>
        <v>0</v>
      </c>
      <c r="R1044" s="38">
        <f t="shared" si="121"/>
        <v>0</v>
      </c>
      <c r="S1044" s="38">
        <f t="shared" si="122"/>
        <v>0</v>
      </c>
      <c r="T1044" s="38">
        <f t="shared" si="123"/>
        <v>0</v>
      </c>
      <c r="U1044" s="38">
        <f t="shared" si="124"/>
        <v>0</v>
      </c>
      <c r="V1044" s="55"/>
    </row>
    <row r="1045" spans="2:22" s="50" customFormat="1" ht="11.25" hidden="1">
      <c r="B1045" s="69" t="s">
        <v>273</v>
      </c>
      <c r="C1045" s="84"/>
      <c r="D1045" s="31"/>
      <c r="E1045" s="5"/>
      <c r="F1045" s="5"/>
      <c r="G1045" s="5"/>
      <c r="H1045" s="5"/>
      <c r="I1045" s="5"/>
      <c r="J1045" s="5"/>
      <c r="K1045" s="5"/>
      <c r="L1045" s="5"/>
      <c r="M1045" s="5"/>
      <c r="N1045" s="5"/>
      <c r="O1045" s="38">
        <f t="shared" si="119"/>
        <v>0</v>
      </c>
      <c r="P1045" s="38">
        <f t="shared" si="118"/>
        <v>0</v>
      </c>
      <c r="Q1045" s="38">
        <f t="shared" si="120"/>
        <v>0</v>
      </c>
      <c r="R1045" s="38">
        <f t="shared" si="121"/>
        <v>0</v>
      </c>
      <c r="S1045" s="38">
        <f t="shared" si="122"/>
        <v>0</v>
      </c>
      <c r="T1045" s="38">
        <f t="shared" si="123"/>
        <v>0</v>
      </c>
      <c r="U1045" s="38">
        <f t="shared" si="124"/>
        <v>0</v>
      </c>
      <c r="V1045" s="55"/>
    </row>
    <row r="1046" spans="2:22" s="50" customFormat="1" ht="11.25" hidden="1">
      <c r="B1046" s="69" t="s">
        <v>273</v>
      </c>
      <c r="C1046" s="84"/>
      <c r="D1046" s="31"/>
      <c r="E1046" s="5"/>
      <c r="F1046" s="5"/>
      <c r="G1046" s="5"/>
      <c r="H1046" s="5"/>
      <c r="I1046" s="5"/>
      <c r="J1046" s="5"/>
      <c r="K1046" s="5"/>
      <c r="L1046" s="5"/>
      <c r="M1046" s="5"/>
      <c r="N1046" s="5"/>
      <c r="O1046" s="38">
        <f t="shared" si="119"/>
        <v>0</v>
      </c>
      <c r="P1046" s="38">
        <f t="shared" si="118"/>
        <v>0</v>
      </c>
      <c r="Q1046" s="38">
        <f t="shared" si="120"/>
        <v>0</v>
      </c>
      <c r="R1046" s="38">
        <f t="shared" si="121"/>
        <v>0</v>
      </c>
      <c r="S1046" s="38">
        <f t="shared" si="122"/>
        <v>0</v>
      </c>
      <c r="T1046" s="38">
        <f t="shared" si="123"/>
        <v>0</v>
      </c>
      <c r="U1046" s="38">
        <f t="shared" si="124"/>
        <v>0</v>
      </c>
      <c r="V1046" s="55"/>
    </row>
    <row r="1047" spans="2:22" s="50" customFormat="1" ht="11.25" hidden="1">
      <c r="B1047" s="69" t="s">
        <v>273</v>
      </c>
      <c r="C1047" s="84"/>
      <c r="D1047" s="31"/>
      <c r="E1047" s="5"/>
      <c r="F1047" s="5"/>
      <c r="G1047" s="5"/>
      <c r="H1047" s="5"/>
      <c r="I1047" s="5"/>
      <c r="J1047" s="5"/>
      <c r="K1047" s="5"/>
      <c r="L1047" s="5"/>
      <c r="M1047" s="5"/>
      <c r="N1047" s="5"/>
      <c r="O1047" s="38">
        <f t="shared" si="119"/>
        <v>0</v>
      </c>
      <c r="P1047" s="38">
        <f t="shared" si="118"/>
        <v>0</v>
      </c>
      <c r="Q1047" s="38">
        <f t="shared" si="120"/>
        <v>0</v>
      </c>
      <c r="R1047" s="38">
        <f t="shared" si="121"/>
        <v>0</v>
      </c>
      <c r="S1047" s="38">
        <f t="shared" si="122"/>
        <v>0</v>
      </c>
      <c r="T1047" s="38">
        <f t="shared" si="123"/>
        <v>0</v>
      </c>
      <c r="U1047" s="38">
        <f t="shared" si="124"/>
        <v>0</v>
      </c>
      <c r="V1047" s="55"/>
    </row>
    <row r="1048" spans="2:22" s="50" customFormat="1" ht="11.25" hidden="1">
      <c r="B1048" s="69" t="s">
        <v>273</v>
      </c>
      <c r="C1048" s="84"/>
      <c r="D1048" s="31"/>
      <c r="E1048" s="5"/>
      <c r="F1048" s="5"/>
      <c r="G1048" s="5"/>
      <c r="H1048" s="5"/>
      <c r="I1048" s="5"/>
      <c r="J1048" s="5"/>
      <c r="K1048" s="5"/>
      <c r="L1048" s="5"/>
      <c r="M1048" s="5"/>
      <c r="N1048" s="5"/>
      <c r="O1048" s="38">
        <f t="shared" si="119"/>
        <v>0</v>
      </c>
      <c r="P1048" s="38">
        <f t="shared" si="118"/>
        <v>0</v>
      </c>
      <c r="Q1048" s="38">
        <f t="shared" si="120"/>
        <v>0</v>
      </c>
      <c r="R1048" s="38">
        <f t="shared" si="121"/>
        <v>0</v>
      </c>
      <c r="S1048" s="38">
        <f t="shared" si="122"/>
        <v>0</v>
      </c>
      <c r="T1048" s="38">
        <f t="shared" si="123"/>
        <v>0</v>
      </c>
      <c r="U1048" s="38">
        <f t="shared" si="124"/>
        <v>0</v>
      </c>
      <c r="V1048" s="55"/>
    </row>
    <row r="1049" spans="2:22" s="50" customFormat="1" ht="11.25" hidden="1">
      <c r="B1049" s="69" t="s">
        <v>273</v>
      </c>
      <c r="C1049" s="84"/>
      <c r="D1049" s="31"/>
      <c r="E1049" s="5"/>
      <c r="F1049" s="5"/>
      <c r="G1049" s="5"/>
      <c r="H1049" s="5"/>
      <c r="I1049" s="5"/>
      <c r="J1049" s="5"/>
      <c r="K1049" s="5"/>
      <c r="L1049" s="5"/>
      <c r="M1049" s="5"/>
      <c r="N1049" s="5"/>
      <c r="O1049" s="38">
        <f t="shared" si="119"/>
        <v>0</v>
      </c>
      <c r="P1049" s="38">
        <f t="shared" si="118"/>
        <v>0</v>
      </c>
      <c r="Q1049" s="38">
        <f t="shared" si="120"/>
        <v>0</v>
      </c>
      <c r="R1049" s="38">
        <f t="shared" si="121"/>
        <v>0</v>
      </c>
      <c r="S1049" s="38">
        <f t="shared" si="122"/>
        <v>0</v>
      </c>
      <c r="T1049" s="38">
        <f t="shared" si="123"/>
        <v>0</v>
      </c>
      <c r="U1049" s="38">
        <f t="shared" si="124"/>
        <v>0</v>
      </c>
      <c r="V1049" s="55"/>
    </row>
    <row r="1050" spans="2:22" s="50" customFormat="1" ht="11.25" hidden="1">
      <c r="B1050" s="69" t="s">
        <v>273</v>
      </c>
      <c r="C1050" s="84"/>
      <c r="D1050" s="31"/>
      <c r="E1050" s="5"/>
      <c r="F1050" s="5"/>
      <c r="G1050" s="5"/>
      <c r="H1050" s="5"/>
      <c r="I1050" s="5"/>
      <c r="J1050" s="5"/>
      <c r="K1050" s="5"/>
      <c r="L1050" s="5"/>
      <c r="M1050" s="5"/>
      <c r="N1050" s="5"/>
      <c r="O1050" s="38">
        <f t="shared" si="119"/>
        <v>0</v>
      </c>
      <c r="P1050" s="38">
        <f t="shared" si="118"/>
        <v>0</v>
      </c>
      <c r="Q1050" s="38">
        <f t="shared" si="120"/>
        <v>0</v>
      </c>
      <c r="R1050" s="38">
        <f t="shared" si="121"/>
        <v>0</v>
      </c>
      <c r="S1050" s="38">
        <f t="shared" si="122"/>
        <v>0</v>
      </c>
      <c r="T1050" s="38">
        <f t="shared" si="123"/>
        <v>0</v>
      </c>
      <c r="U1050" s="38">
        <f t="shared" si="124"/>
        <v>0</v>
      </c>
      <c r="V1050" s="55"/>
    </row>
    <row r="1051" spans="2:22" s="50" customFormat="1" ht="11.25" hidden="1">
      <c r="B1051" s="69" t="s">
        <v>273</v>
      </c>
      <c r="C1051" s="84"/>
      <c r="D1051" s="31"/>
      <c r="E1051" s="5"/>
      <c r="F1051" s="5"/>
      <c r="G1051" s="5"/>
      <c r="H1051" s="5"/>
      <c r="I1051" s="5"/>
      <c r="J1051" s="5"/>
      <c r="K1051" s="5"/>
      <c r="L1051" s="5"/>
      <c r="M1051" s="5"/>
      <c r="N1051" s="5"/>
      <c r="O1051" s="38">
        <f t="shared" si="119"/>
        <v>0</v>
      </c>
      <c r="P1051" s="38">
        <f t="shared" si="118"/>
        <v>0</v>
      </c>
      <c r="Q1051" s="38">
        <f t="shared" si="120"/>
        <v>0</v>
      </c>
      <c r="R1051" s="38">
        <f t="shared" si="121"/>
        <v>0</v>
      </c>
      <c r="S1051" s="38">
        <f t="shared" si="122"/>
        <v>0</v>
      </c>
      <c r="T1051" s="38">
        <f t="shared" si="123"/>
        <v>0</v>
      </c>
      <c r="U1051" s="38">
        <f t="shared" si="124"/>
        <v>0</v>
      </c>
      <c r="V1051" s="55"/>
    </row>
    <row r="1052" spans="2:22" s="50" customFormat="1" ht="11.25" hidden="1">
      <c r="B1052" s="69" t="s">
        <v>273</v>
      </c>
      <c r="C1052" s="84"/>
      <c r="D1052" s="31"/>
      <c r="E1052" s="5"/>
      <c r="F1052" s="5"/>
      <c r="G1052" s="5"/>
      <c r="H1052" s="5"/>
      <c r="I1052" s="5"/>
      <c r="J1052" s="5"/>
      <c r="K1052" s="5"/>
      <c r="L1052" s="5"/>
      <c r="M1052" s="5"/>
      <c r="N1052" s="5"/>
      <c r="O1052" s="38">
        <f t="shared" si="119"/>
        <v>0</v>
      </c>
      <c r="P1052" s="38">
        <f t="shared" si="118"/>
        <v>0</v>
      </c>
      <c r="Q1052" s="38">
        <f t="shared" si="120"/>
        <v>0</v>
      </c>
      <c r="R1052" s="38">
        <f t="shared" si="121"/>
        <v>0</v>
      </c>
      <c r="S1052" s="38">
        <f t="shared" si="122"/>
        <v>0</v>
      </c>
      <c r="T1052" s="38">
        <f t="shared" si="123"/>
        <v>0</v>
      </c>
      <c r="U1052" s="38">
        <f t="shared" si="124"/>
        <v>0</v>
      </c>
      <c r="V1052" s="55"/>
    </row>
    <row r="1053" spans="2:22" s="50" customFormat="1" ht="11.25" hidden="1">
      <c r="B1053" s="69" t="s">
        <v>273</v>
      </c>
      <c r="C1053" s="84"/>
      <c r="D1053" s="31"/>
      <c r="E1053" s="5"/>
      <c r="F1053" s="5"/>
      <c r="G1053" s="5"/>
      <c r="H1053" s="5"/>
      <c r="I1053" s="5"/>
      <c r="J1053" s="5"/>
      <c r="K1053" s="5"/>
      <c r="L1053" s="5"/>
      <c r="M1053" s="5"/>
      <c r="N1053" s="5"/>
      <c r="O1053" s="38">
        <f t="shared" si="119"/>
        <v>0</v>
      </c>
      <c r="P1053" s="38">
        <f t="shared" si="118"/>
        <v>0</v>
      </c>
      <c r="Q1053" s="38">
        <f t="shared" si="120"/>
        <v>0</v>
      </c>
      <c r="R1053" s="38">
        <f t="shared" si="121"/>
        <v>0</v>
      </c>
      <c r="S1053" s="38">
        <f t="shared" si="122"/>
        <v>0</v>
      </c>
      <c r="T1053" s="38">
        <f t="shared" si="123"/>
        <v>0</v>
      </c>
      <c r="U1053" s="38">
        <f t="shared" si="124"/>
        <v>0</v>
      </c>
      <c r="V1053" s="55"/>
    </row>
    <row r="1054" spans="2:22" s="50" customFormat="1" ht="11.25" hidden="1">
      <c r="B1054" s="69" t="s">
        <v>273</v>
      </c>
      <c r="C1054" s="84"/>
      <c r="D1054" s="31"/>
      <c r="E1054" s="5"/>
      <c r="F1054" s="5"/>
      <c r="G1054" s="5"/>
      <c r="H1054" s="5"/>
      <c r="I1054" s="5"/>
      <c r="J1054" s="5"/>
      <c r="K1054" s="5"/>
      <c r="L1054" s="5"/>
      <c r="M1054" s="5"/>
      <c r="N1054" s="5"/>
      <c r="O1054" s="38">
        <f t="shared" si="119"/>
        <v>0</v>
      </c>
      <c r="P1054" s="38">
        <f t="shared" si="118"/>
        <v>0</v>
      </c>
      <c r="Q1054" s="38">
        <f t="shared" si="120"/>
        <v>0</v>
      </c>
      <c r="R1054" s="38">
        <f t="shared" si="121"/>
        <v>0</v>
      </c>
      <c r="S1054" s="38">
        <f t="shared" si="122"/>
        <v>0</v>
      </c>
      <c r="T1054" s="38">
        <f t="shared" si="123"/>
        <v>0</v>
      </c>
      <c r="U1054" s="38">
        <f t="shared" si="124"/>
        <v>0</v>
      </c>
      <c r="V1054" s="55"/>
    </row>
    <row r="1055" spans="2:22" s="50" customFormat="1" ht="11.25" hidden="1">
      <c r="B1055" s="69" t="s">
        <v>273</v>
      </c>
      <c r="C1055" s="84"/>
      <c r="D1055" s="31"/>
      <c r="E1055" s="5"/>
      <c r="F1055" s="5"/>
      <c r="G1055" s="5"/>
      <c r="H1055" s="5"/>
      <c r="I1055" s="5"/>
      <c r="J1055" s="5"/>
      <c r="K1055" s="5"/>
      <c r="L1055" s="5"/>
      <c r="M1055" s="5"/>
      <c r="N1055" s="5"/>
      <c r="O1055" s="38">
        <f t="shared" si="119"/>
        <v>0</v>
      </c>
      <c r="P1055" s="38">
        <f t="shared" si="118"/>
        <v>0</v>
      </c>
      <c r="Q1055" s="38">
        <f t="shared" si="120"/>
        <v>0</v>
      </c>
      <c r="R1055" s="38">
        <f t="shared" si="121"/>
        <v>0</v>
      </c>
      <c r="S1055" s="38">
        <f t="shared" si="122"/>
        <v>0</v>
      </c>
      <c r="T1055" s="38">
        <f t="shared" si="123"/>
        <v>0</v>
      </c>
      <c r="U1055" s="38">
        <f t="shared" si="124"/>
        <v>0</v>
      </c>
      <c r="V1055" s="55"/>
    </row>
    <row r="1056" spans="2:22" s="50" customFormat="1" ht="11.25" hidden="1">
      <c r="B1056" s="69" t="s">
        <v>273</v>
      </c>
      <c r="C1056" s="84"/>
      <c r="D1056" s="31"/>
      <c r="E1056" s="5"/>
      <c r="F1056" s="5"/>
      <c r="G1056" s="5"/>
      <c r="H1056" s="5"/>
      <c r="I1056" s="5"/>
      <c r="J1056" s="5"/>
      <c r="K1056" s="5"/>
      <c r="L1056" s="5"/>
      <c r="M1056" s="5"/>
      <c r="N1056" s="5"/>
      <c r="O1056" s="38">
        <f t="shared" si="119"/>
        <v>0</v>
      </c>
      <c r="P1056" s="38">
        <f t="shared" si="118"/>
        <v>0</v>
      </c>
      <c r="Q1056" s="38">
        <f t="shared" si="120"/>
        <v>0</v>
      </c>
      <c r="R1056" s="38">
        <f t="shared" si="121"/>
        <v>0</v>
      </c>
      <c r="S1056" s="38">
        <f t="shared" si="122"/>
        <v>0</v>
      </c>
      <c r="T1056" s="38">
        <f t="shared" si="123"/>
        <v>0</v>
      </c>
      <c r="U1056" s="38">
        <f t="shared" si="124"/>
        <v>0</v>
      </c>
      <c r="V1056" s="55"/>
    </row>
    <row r="1057" spans="2:22" s="50" customFormat="1" ht="11.25" hidden="1">
      <c r="B1057" s="69" t="s">
        <v>273</v>
      </c>
      <c r="C1057" s="84"/>
      <c r="D1057" s="31"/>
      <c r="E1057" s="5"/>
      <c r="F1057" s="5"/>
      <c r="G1057" s="5"/>
      <c r="H1057" s="5"/>
      <c r="I1057" s="5"/>
      <c r="J1057" s="5"/>
      <c r="K1057" s="5"/>
      <c r="L1057" s="5"/>
      <c r="M1057" s="5"/>
      <c r="N1057" s="5"/>
      <c r="O1057" s="38">
        <f t="shared" si="119"/>
        <v>0</v>
      </c>
      <c r="P1057" s="38">
        <f t="shared" si="118"/>
        <v>0</v>
      </c>
      <c r="Q1057" s="38">
        <f t="shared" si="120"/>
        <v>0</v>
      </c>
      <c r="R1057" s="38">
        <f t="shared" si="121"/>
        <v>0</v>
      </c>
      <c r="S1057" s="38">
        <f t="shared" si="122"/>
        <v>0</v>
      </c>
      <c r="T1057" s="38">
        <f t="shared" si="123"/>
        <v>0</v>
      </c>
      <c r="U1057" s="38">
        <f t="shared" si="124"/>
        <v>0</v>
      </c>
      <c r="V1057" s="55"/>
    </row>
    <row r="1058" spans="2:22" s="50" customFormat="1" ht="11.25" hidden="1">
      <c r="B1058" s="69" t="s">
        <v>273</v>
      </c>
      <c r="C1058" s="84"/>
      <c r="D1058" s="31"/>
      <c r="E1058" s="5"/>
      <c r="F1058" s="5"/>
      <c r="G1058" s="5"/>
      <c r="H1058" s="5"/>
      <c r="I1058" s="5"/>
      <c r="J1058" s="5"/>
      <c r="K1058" s="5"/>
      <c r="L1058" s="5"/>
      <c r="M1058" s="5"/>
      <c r="N1058" s="5"/>
      <c r="O1058" s="38">
        <f t="shared" si="119"/>
        <v>0</v>
      </c>
      <c r="P1058" s="38">
        <f t="shared" si="118"/>
        <v>0</v>
      </c>
      <c r="Q1058" s="38">
        <f t="shared" si="120"/>
        <v>0</v>
      </c>
      <c r="R1058" s="38">
        <f t="shared" si="121"/>
        <v>0</v>
      </c>
      <c r="S1058" s="38">
        <f t="shared" si="122"/>
        <v>0</v>
      </c>
      <c r="T1058" s="38">
        <f t="shared" si="123"/>
        <v>0</v>
      </c>
      <c r="U1058" s="38">
        <f t="shared" si="124"/>
        <v>0</v>
      </c>
      <c r="V1058" s="55"/>
    </row>
    <row r="1059" spans="2:22" s="50" customFormat="1" ht="11.25" hidden="1">
      <c r="B1059" s="69" t="s">
        <v>273</v>
      </c>
      <c r="C1059" s="84"/>
      <c r="D1059" s="31"/>
      <c r="E1059" s="5"/>
      <c r="F1059" s="5"/>
      <c r="G1059" s="5"/>
      <c r="H1059" s="5"/>
      <c r="I1059" s="5"/>
      <c r="J1059" s="5"/>
      <c r="K1059" s="5"/>
      <c r="L1059" s="5"/>
      <c r="M1059" s="5"/>
      <c r="N1059" s="5"/>
      <c r="O1059" s="38">
        <f t="shared" si="119"/>
        <v>0</v>
      </c>
      <c r="P1059" s="38">
        <f t="shared" si="118"/>
        <v>0</v>
      </c>
      <c r="Q1059" s="38">
        <f t="shared" si="120"/>
        <v>0</v>
      </c>
      <c r="R1059" s="38">
        <f t="shared" si="121"/>
        <v>0</v>
      </c>
      <c r="S1059" s="38">
        <f t="shared" si="122"/>
        <v>0</v>
      </c>
      <c r="T1059" s="38">
        <f t="shared" si="123"/>
        <v>0</v>
      </c>
      <c r="U1059" s="38">
        <f t="shared" si="124"/>
        <v>0</v>
      </c>
      <c r="V1059" s="55"/>
    </row>
    <row r="1060" spans="2:22" s="50" customFormat="1" ht="11.25" hidden="1">
      <c r="B1060" s="69" t="s">
        <v>273</v>
      </c>
      <c r="C1060" s="84"/>
      <c r="D1060" s="31"/>
      <c r="E1060" s="5"/>
      <c r="F1060" s="5"/>
      <c r="G1060" s="5"/>
      <c r="H1060" s="5"/>
      <c r="I1060" s="5"/>
      <c r="J1060" s="5"/>
      <c r="K1060" s="5"/>
      <c r="L1060" s="5"/>
      <c r="M1060" s="5"/>
      <c r="N1060" s="5"/>
      <c r="O1060" s="38">
        <f t="shared" si="119"/>
        <v>0</v>
      </c>
      <c r="P1060" s="38">
        <f t="shared" si="118"/>
        <v>0</v>
      </c>
      <c r="Q1060" s="38">
        <f t="shared" si="120"/>
        <v>0</v>
      </c>
      <c r="R1060" s="38">
        <f t="shared" si="121"/>
        <v>0</v>
      </c>
      <c r="S1060" s="38">
        <f t="shared" si="122"/>
        <v>0</v>
      </c>
      <c r="T1060" s="38">
        <f t="shared" si="123"/>
        <v>0</v>
      </c>
      <c r="U1060" s="38">
        <f t="shared" si="124"/>
        <v>0</v>
      </c>
      <c r="V1060" s="55"/>
    </row>
    <row r="1061" spans="2:22" s="50" customFormat="1" ht="11.25" hidden="1">
      <c r="B1061" s="69" t="s">
        <v>273</v>
      </c>
      <c r="C1061" s="84"/>
      <c r="D1061" s="31"/>
      <c r="E1061" s="5"/>
      <c r="F1061" s="5"/>
      <c r="G1061" s="5"/>
      <c r="H1061" s="5"/>
      <c r="I1061" s="5"/>
      <c r="J1061" s="5"/>
      <c r="K1061" s="5"/>
      <c r="L1061" s="5"/>
      <c r="M1061" s="5"/>
      <c r="N1061" s="5"/>
      <c r="O1061" s="38">
        <f t="shared" si="119"/>
        <v>0</v>
      </c>
      <c r="P1061" s="38">
        <f t="shared" si="118"/>
        <v>0</v>
      </c>
      <c r="Q1061" s="38">
        <f t="shared" si="120"/>
        <v>0</v>
      </c>
      <c r="R1061" s="38">
        <f t="shared" si="121"/>
        <v>0</v>
      </c>
      <c r="S1061" s="38">
        <f t="shared" si="122"/>
        <v>0</v>
      </c>
      <c r="T1061" s="38">
        <f t="shared" si="123"/>
        <v>0</v>
      </c>
      <c r="U1061" s="38">
        <f t="shared" si="124"/>
        <v>0</v>
      </c>
      <c r="V1061" s="55"/>
    </row>
    <row r="1062" spans="2:22" s="50" customFormat="1" ht="11.25" hidden="1">
      <c r="B1062" s="69" t="s">
        <v>273</v>
      </c>
      <c r="C1062" s="84"/>
      <c r="D1062" s="31"/>
      <c r="E1062" s="5"/>
      <c r="F1062" s="5"/>
      <c r="G1062" s="5"/>
      <c r="H1062" s="5"/>
      <c r="I1062" s="5"/>
      <c r="J1062" s="5"/>
      <c r="K1062" s="5"/>
      <c r="L1062" s="5"/>
      <c r="M1062" s="5"/>
      <c r="N1062" s="5"/>
      <c r="O1062" s="38">
        <f t="shared" si="119"/>
        <v>0</v>
      </c>
      <c r="P1062" s="38">
        <f t="shared" si="118"/>
        <v>0</v>
      </c>
      <c r="Q1062" s="38">
        <f t="shared" si="120"/>
        <v>0</v>
      </c>
      <c r="R1062" s="38">
        <f t="shared" si="121"/>
        <v>0</v>
      </c>
      <c r="S1062" s="38">
        <f t="shared" si="122"/>
        <v>0</v>
      </c>
      <c r="T1062" s="38">
        <f t="shared" si="123"/>
        <v>0</v>
      </c>
      <c r="U1062" s="38">
        <f t="shared" si="124"/>
        <v>0</v>
      </c>
      <c r="V1062" s="55"/>
    </row>
    <row r="1063" spans="2:22" s="50" customFormat="1" ht="11.25" hidden="1">
      <c r="B1063" s="69" t="s">
        <v>273</v>
      </c>
      <c r="C1063" s="84"/>
      <c r="D1063" s="31"/>
      <c r="E1063" s="5"/>
      <c r="F1063" s="5"/>
      <c r="G1063" s="5"/>
      <c r="H1063" s="5"/>
      <c r="I1063" s="5"/>
      <c r="J1063" s="5"/>
      <c r="K1063" s="5"/>
      <c r="L1063" s="5"/>
      <c r="M1063" s="5"/>
      <c r="N1063" s="5"/>
      <c r="O1063" s="38">
        <f t="shared" si="119"/>
        <v>0</v>
      </c>
      <c r="P1063" s="38">
        <f t="shared" si="118"/>
        <v>0</v>
      </c>
      <c r="Q1063" s="38">
        <f t="shared" si="120"/>
        <v>0</v>
      </c>
      <c r="R1063" s="38">
        <f t="shared" si="121"/>
        <v>0</v>
      </c>
      <c r="S1063" s="38">
        <f t="shared" si="122"/>
        <v>0</v>
      </c>
      <c r="T1063" s="38">
        <f t="shared" si="123"/>
        <v>0</v>
      </c>
      <c r="U1063" s="38">
        <f t="shared" si="124"/>
        <v>0</v>
      </c>
      <c r="V1063" s="55"/>
    </row>
    <row r="1064" spans="2:22" s="50" customFormat="1" ht="11.25" hidden="1">
      <c r="B1064" s="69" t="s">
        <v>273</v>
      </c>
      <c r="C1064" s="84"/>
      <c r="D1064" s="31"/>
      <c r="E1064" s="5"/>
      <c r="F1064" s="5"/>
      <c r="G1064" s="5"/>
      <c r="H1064" s="5"/>
      <c r="I1064" s="5"/>
      <c r="J1064" s="5"/>
      <c r="K1064" s="5"/>
      <c r="L1064" s="5"/>
      <c r="M1064" s="5"/>
      <c r="N1064" s="5"/>
      <c r="O1064" s="38">
        <f t="shared" si="119"/>
        <v>0</v>
      </c>
      <c r="P1064" s="38">
        <f t="shared" si="118"/>
        <v>0</v>
      </c>
      <c r="Q1064" s="38">
        <f t="shared" si="120"/>
        <v>0</v>
      </c>
      <c r="R1064" s="38">
        <f t="shared" si="121"/>
        <v>0</v>
      </c>
      <c r="S1064" s="38">
        <f t="shared" si="122"/>
        <v>0</v>
      </c>
      <c r="T1064" s="38">
        <f t="shared" si="123"/>
        <v>0</v>
      </c>
      <c r="U1064" s="38">
        <f t="shared" si="124"/>
        <v>0</v>
      </c>
      <c r="V1064" s="55"/>
    </row>
    <row r="1065" spans="2:22" s="50" customFormat="1" ht="11.25" hidden="1">
      <c r="B1065" s="69" t="s">
        <v>273</v>
      </c>
      <c r="C1065" s="84"/>
      <c r="D1065" s="31"/>
      <c r="E1065" s="5"/>
      <c r="F1065" s="5"/>
      <c r="G1065" s="5"/>
      <c r="H1065" s="5"/>
      <c r="I1065" s="5"/>
      <c r="J1065" s="5"/>
      <c r="K1065" s="5"/>
      <c r="L1065" s="5"/>
      <c r="M1065" s="5"/>
      <c r="N1065" s="5"/>
      <c r="O1065" s="38">
        <f t="shared" si="119"/>
        <v>0</v>
      </c>
      <c r="P1065" s="38">
        <f t="shared" si="118"/>
        <v>0</v>
      </c>
      <c r="Q1065" s="38">
        <f t="shared" si="120"/>
        <v>0</v>
      </c>
      <c r="R1065" s="38">
        <f t="shared" si="121"/>
        <v>0</v>
      </c>
      <c r="S1065" s="38">
        <f t="shared" si="122"/>
        <v>0</v>
      </c>
      <c r="T1065" s="38">
        <f t="shared" si="123"/>
        <v>0</v>
      </c>
      <c r="U1065" s="38">
        <f t="shared" si="124"/>
        <v>0</v>
      </c>
      <c r="V1065" s="55"/>
    </row>
    <row r="1066" spans="2:22" s="50" customFormat="1" ht="11.25" hidden="1">
      <c r="B1066" s="69" t="s">
        <v>273</v>
      </c>
      <c r="C1066" s="84"/>
      <c r="D1066" s="31"/>
      <c r="E1066" s="5"/>
      <c r="F1066" s="5"/>
      <c r="G1066" s="5"/>
      <c r="H1066" s="5"/>
      <c r="I1066" s="5"/>
      <c r="J1066" s="5"/>
      <c r="K1066" s="5"/>
      <c r="L1066" s="5"/>
      <c r="M1066" s="5"/>
      <c r="N1066" s="5"/>
      <c r="O1066" s="38">
        <f t="shared" si="119"/>
        <v>0</v>
      </c>
      <c r="P1066" s="38">
        <f t="shared" si="118"/>
        <v>0</v>
      </c>
      <c r="Q1066" s="38">
        <f t="shared" si="120"/>
        <v>0</v>
      </c>
      <c r="R1066" s="38">
        <f t="shared" si="121"/>
        <v>0</v>
      </c>
      <c r="S1066" s="38">
        <f t="shared" si="122"/>
        <v>0</v>
      </c>
      <c r="T1066" s="38">
        <f t="shared" si="123"/>
        <v>0</v>
      </c>
      <c r="U1066" s="38">
        <f t="shared" si="124"/>
        <v>0</v>
      </c>
      <c r="V1066" s="55"/>
    </row>
    <row r="1067" spans="2:22" s="50" customFormat="1" ht="11.25" hidden="1">
      <c r="B1067" s="69" t="s">
        <v>273</v>
      </c>
      <c r="C1067" s="84"/>
      <c r="D1067" s="31"/>
      <c r="E1067" s="5"/>
      <c r="F1067" s="5"/>
      <c r="G1067" s="5"/>
      <c r="H1067" s="5"/>
      <c r="I1067" s="5"/>
      <c r="J1067" s="5"/>
      <c r="K1067" s="5"/>
      <c r="L1067" s="5"/>
      <c r="M1067" s="5"/>
      <c r="N1067" s="5"/>
      <c r="O1067" s="38">
        <f t="shared" si="119"/>
        <v>0</v>
      </c>
      <c r="P1067" s="38">
        <f t="shared" si="118"/>
        <v>0</v>
      </c>
      <c r="Q1067" s="38">
        <f t="shared" si="120"/>
        <v>0</v>
      </c>
      <c r="R1067" s="38">
        <f t="shared" si="121"/>
        <v>0</v>
      </c>
      <c r="S1067" s="38">
        <f t="shared" si="122"/>
        <v>0</v>
      </c>
      <c r="T1067" s="38">
        <f t="shared" si="123"/>
        <v>0</v>
      </c>
      <c r="U1067" s="38">
        <f t="shared" si="124"/>
        <v>0</v>
      </c>
      <c r="V1067" s="55"/>
    </row>
    <row r="1068" spans="2:22" s="50" customFormat="1" ht="11.25" hidden="1">
      <c r="B1068" s="69" t="s">
        <v>273</v>
      </c>
      <c r="C1068" s="84"/>
      <c r="D1068" s="31"/>
      <c r="E1068" s="5"/>
      <c r="F1068" s="5"/>
      <c r="G1068" s="5"/>
      <c r="H1068" s="5"/>
      <c r="I1068" s="5"/>
      <c r="J1068" s="5"/>
      <c r="K1068" s="5"/>
      <c r="L1068" s="5"/>
      <c r="M1068" s="5"/>
      <c r="N1068" s="5"/>
      <c r="O1068" s="38">
        <f t="shared" si="119"/>
        <v>0</v>
      </c>
      <c r="P1068" s="38">
        <f t="shared" si="118"/>
        <v>0</v>
      </c>
      <c r="Q1068" s="38">
        <f t="shared" si="120"/>
        <v>0</v>
      </c>
      <c r="R1068" s="38">
        <f t="shared" si="121"/>
        <v>0</v>
      </c>
      <c r="S1068" s="38">
        <f t="shared" si="122"/>
        <v>0</v>
      </c>
      <c r="T1068" s="38">
        <f t="shared" si="123"/>
        <v>0</v>
      </c>
      <c r="U1068" s="38">
        <f t="shared" si="124"/>
        <v>0</v>
      </c>
      <c r="V1068" s="55"/>
    </row>
    <row r="1069" spans="2:22" s="50" customFormat="1" ht="11.25" hidden="1">
      <c r="B1069" s="69" t="s">
        <v>273</v>
      </c>
      <c r="C1069" s="84"/>
      <c r="D1069" s="31"/>
      <c r="E1069" s="5"/>
      <c r="F1069" s="5"/>
      <c r="G1069" s="5"/>
      <c r="H1069" s="5"/>
      <c r="I1069" s="5"/>
      <c r="J1069" s="5"/>
      <c r="K1069" s="5"/>
      <c r="L1069" s="5"/>
      <c r="M1069" s="5"/>
      <c r="N1069" s="5"/>
      <c r="O1069" s="38">
        <f t="shared" si="119"/>
        <v>0</v>
      </c>
      <c r="P1069" s="38">
        <f t="shared" si="118"/>
        <v>0</v>
      </c>
      <c r="Q1069" s="38">
        <f t="shared" si="120"/>
        <v>0</v>
      </c>
      <c r="R1069" s="38">
        <f t="shared" si="121"/>
        <v>0</v>
      </c>
      <c r="S1069" s="38">
        <f t="shared" si="122"/>
        <v>0</v>
      </c>
      <c r="T1069" s="38">
        <f t="shared" si="123"/>
        <v>0</v>
      </c>
      <c r="U1069" s="38">
        <f t="shared" si="124"/>
        <v>0</v>
      </c>
      <c r="V1069" s="55"/>
    </row>
    <row r="1070" spans="2:22" s="50" customFormat="1" ht="11.25" hidden="1">
      <c r="B1070" s="69" t="s">
        <v>273</v>
      </c>
      <c r="C1070" s="84"/>
      <c r="D1070" s="31"/>
      <c r="E1070" s="5"/>
      <c r="F1070" s="5"/>
      <c r="G1070" s="5"/>
      <c r="H1070" s="5"/>
      <c r="I1070" s="5"/>
      <c r="J1070" s="5"/>
      <c r="K1070" s="5"/>
      <c r="L1070" s="5"/>
      <c r="M1070" s="5"/>
      <c r="N1070" s="5"/>
      <c r="O1070" s="38">
        <f t="shared" si="119"/>
        <v>0</v>
      </c>
      <c r="P1070" s="38">
        <f t="shared" si="118"/>
        <v>0</v>
      </c>
      <c r="Q1070" s="38">
        <f t="shared" si="120"/>
        <v>0</v>
      </c>
      <c r="R1070" s="38">
        <f t="shared" si="121"/>
        <v>0</v>
      </c>
      <c r="S1070" s="38">
        <f t="shared" si="122"/>
        <v>0</v>
      </c>
      <c r="T1070" s="38">
        <f t="shared" si="123"/>
        <v>0</v>
      </c>
      <c r="U1070" s="38">
        <f t="shared" si="124"/>
        <v>0</v>
      </c>
      <c r="V1070" s="55"/>
    </row>
    <row r="1071" spans="2:22" s="50" customFormat="1" ht="11.25" hidden="1">
      <c r="B1071" s="69" t="s">
        <v>273</v>
      </c>
      <c r="C1071" s="84"/>
      <c r="D1071" s="31"/>
      <c r="E1071" s="5"/>
      <c r="F1071" s="5"/>
      <c r="G1071" s="5"/>
      <c r="H1071" s="5"/>
      <c r="I1071" s="5"/>
      <c r="J1071" s="5"/>
      <c r="K1071" s="5"/>
      <c r="L1071" s="5"/>
      <c r="M1071" s="5"/>
      <c r="N1071" s="5"/>
      <c r="O1071" s="38">
        <f t="shared" si="119"/>
        <v>0</v>
      </c>
      <c r="P1071" s="38">
        <f t="shared" si="118"/>
        <v>0</v>
      </c>
      <c r="Q1071" s="38">
        <f t="shared" si="120"/>
        <v>0</v>
      </c>
      <c r="R1071" s="38">
        <f t="shared" si="121"/>
        <v>0</v>
      </c>
      <c r="S1071" s="38">
        <f t="shared" si="122"/>
        <v>0</v>
      </c>
      <c r="T1071" s="38">
        <f t="shared" si="123"/>
        <v>0</v>
      </c>
      <c r="U1071" s="38">
        <f t="shared" si="124"/>
        <v>0</v>
      </c>
      <c r="V1071" s="55"/>
    </row>
    <row r="1072" spans="2:22" s="50" customFormat="1" ht="11.25" hidden="1">
      <c r="B1072" s="69" t="s">
        <v>273</v>
      </c>
      <c r="C1072" s="84"/>
      <c r="D1072" s="31"/>
      <c r="E1072" s="5"/>
      <c r="F1072" s="5"/>
      <c r="G1072" s="5"/>
      <c r="H1072" s="5"/>
      <c r="I1072" s="5"/>
      <c r="J1072" s="5"/>
      <c r="K1072" s="5"/>
      <c r="L1072" s="5"/>
      <c r="M1072" s="5"/>
      <c r="N1072" s="5"/>
      <c r="O1072" s="38">
        <f t="shared" si="119"/>
        <v>0</v>
      </c>
      <c r="P1072" s="38">
        <f t="shared" si="118"/>
        <v>0</v>
      </c>
      <c r="Q1072" s="38">
        <f t="shared" si="120"/>
        <v>0</v>
      </c>
      <c r="R1072" s="38">
        <f t="shared" si="121"/>
        <v>0</v>
      </c>
      <c r="S1072" s="38">
        <f t="shared" si="122"/>
        <v>0</v>
      </c>
      <c r="T1072" s="38">
        <f t="shared" si="123"/>
        <v>0</v>
      </c>
      <c r="U1072" s="38">
        <f t="shared" si="124"/>
        <v>0</v>
      </c>
      <c r="V1072" s="55"/>
    </row>
    <row r="1073" spans="2:22" s="50" customFormat="1" ht="11.25" hidden="1">
      <c r="B1073" s="69" t="s">
        <v>273</v>
      </c>
      <c r="C1073" s="84"/>
      <c r="D1073" s="31"/>
      <c r="E1073" s="5"/>
      <c r="F1073" s="5"/>
      <c r="G1073" s="5"/>
      <c r="H1073" s="5"/>
      <c r="I1073" s="5"/>
      <c r="J1073" s="5"/>
      <c r="K1073" s="5"/>
      <c r="L1073" s="5"/>
      <c r="M1073" s="5"/>
      <c r="N1073" s="5"/>
      <c r="O1073" s="38">
        <f t="shared" si="119"/>
        <v>0</v>
      </c>
      <c r="P1073" s="38">
        <f t="shared" si="118"/>
        <v>0</v>
      </c>
      <c r="Q1073" s="38">
        <f t="shared" si="120"/>
        <v>0</v>
      </c>
      <c r="R1073" s="38">
        <f t="shared" si="121"/>
        <v>0</v>
      </c>
      <c r="S1073" s="38">
        <f t="shared" si="122"/>
        <v>0</v>
      </c>
      <c r="T1073" s="38">
        <f t="shared" si="123"/>
        <v>0</v>
      </c>
      <c r="U1073" s="38">
        <f t="shared" si="124"/>
        <v>0</v>
      </c>
      <c r="V1073" s="55"/>
    </row>
    <row r="1074" spans="2:22" s="50" customFormat="1" ht="11.25" hidden="1">
      <c r="B1074" s="69" t="s">
        <v>273</v>
      </c>
      <c r="C1074" s="84"/>
      <c r="D1074" s="31"/>
      <c r="E1074" s="5"/>
      <c r="F1074" s="5"/>
      <c r="G1074" s="5"/>
      <c r="H1074" s="5"/>
      <c r="I1074" s="5"/>
      <c r="J1074" s="5"/>
      <c r="K1074" s="5"/>
      <c r="L1074" s="5"/>
      <c r="M1074" s="5"/>
      <c r="N1074" s="5"/>
      <c r="O1074" s="38">
        <f t="shared" si="119"/>
        <v>0</v>
      </c>
      <c r="P1074" s="38">
        <f t="shared" si="118"/>
        <v>0</v>
      </c>
      <c r="Q1074" s="38">
        <f t="shared" si="120"/>
        <v>0</v>
      </c>
      <c r="R1074" s="38">
        <f t="shared" si="121"/>
        <v>0</v>
      </c>
      <c r="S1074" s="38">
        <f t="shared" si="122"/>
        <v>0</v>
      </c>
      <c r="T1074" s="38">
        <f t="shared" si="123"/>
        <v>0</v>
      </c>
      <c r="U1074" s="38">
        <f t="shared" si="124"/>
        <v>0</v>
      </c>
      <c r="V1074" s="55"/>
    </row>
    <row r="1075" spans="2:22" s="50" customFormat="1" ht="11.25" hidden="1">
      <c r="B1075" s="69" t="s">
        <v>273</v>
      </c>
      <c r="C1075" s="84"/>
      <c r="D1075" s="31"/>
      <c r="E1075" s="5"/>
      <c r="F1075" s="5"/>
      <c r="G1075" s="5"/>
      <c r="H1075" s="5"/>
      <c r="I1075" s="5"/>
      <c r="J1075" s="5"/>
      <c r="K1075" s="5"/>
      <c r="L1075" s="5"/>
      <c r="M1075" s="5"/>
      <c r="N1075" s="5"/>
      <c r="O1075" s="38">
        <f t="shared" si="119"/>
        <v>0</v>
      </c>
      <c r="P1075" s="38">
        <f t="shared" si="118"/>
        <v>0</v>
      </c>
      <c r="Q1075" s="38">
        <f t="shared" si="120"/>
        <v>0</v>
      </c>
      <c r="R1075" s="38">
        <f t="shared" si="121"/>
        <v>0</v>
      </c>
      <c r="S1075" s="38">
        <f t="shared" si="122"/>
        <v>0</v>
      </c>
      <c r="T1075" s="38">
        <f t="shared" si="123"/>
        <v>0</v>
      </c>
      <c r="U1075" s="38">
        <f t="shared" si="124"/>
        <v>0</v>
      </c>
      <c r="V1075" s="55"/>
    </row>
    <row r="1076" spans="2:22" s="50" customFormat="1" ht="11.25" hidden="1">
      <c r="B1076" s="69" t="s">
        <v>273</v>
      </c>
      <c r="C1076" s="84"/>
      <c r="D1076" s="31"/>
      <c r="E1076" s="5"/>
      <c r="F1076" s="5"/>
      <c r="G1076" s="5"/>
      <c r="H1076" s="5"/>
      <c r="I1076" s="5"/>
      <c r="J1076" s="5"/>
      <c r="K1076" s="5"/>
      <c r="L1076" s="5"/>
      <c r="M1076" s="5"/>
      <c r="N1076" s="5"/>
      <c r="O1076" s="38">
        <f t="shared" si="119"/>
        <v>0</v>
      </c>
      <c r="P1076" s="38">
        <f t="shared" si="118"/>
        <v>0</v>
      </c>
      <c r="Q1076" s="38">
        <f t="shared" si="120"/>
        <v>0</v>
      </c>
      <c r="R1076" s="38">
        <f t="shared" si="121"/>
        <v>0</v>
      </c>
      <c r="S1076" s="38">
        <f t="shared" si="122"/>
        <v>0</v>
      </c>
      <c r="T1076" s="38">
        <f t="shared" si="123"/>
        <v>0</v>
      </c>
      <c r="U1076" s="38">
        <f t="shared" si="124"/>
        <v>0</v>
      </c>
      <c r="V1076" s="55"/>
    </row>
    <row r="1077" spans="2:22" s="50" customFormat="1" ht="11.25" hidden="1">
      <c r="B1077" s="69" t="s">
        <v>273</v>
      </c>
      <c r="C1077" s="84"/>
      <c r="D1077" s="31"/>
      <c r="E1077" s="5"/>
      <c r="F1077" s="5"/>
      <c r="G1077" s="5"/>
      <c r="H1077" s="5"/>
      <c r="I1077" s="5"/>
      <c r="J1077" s="5"/>
      <c r="K1077" s="5"/>
      <c r="L1077" s="5"/>
      <c r="M1077" s="5"/>
      <c r="N1077" s="5"/>
      <c r="O1077" s="38">
        <f t="shared" si="119"/>
        <v>0</v>
      </c>
      <c r="P1077" s="38">
        <f t="shared" si="118"/>
        <v>0</v>
      </c>
      <c r="Q1077" s="38">
        <f t="shared" si="120"/>
        <v>0</v>
      </c>
      <c r="R1077" s="38">
        <f t="shared" si="121"/>
        <v>0</v>
      </c>
      <c r="S1077" s="38">
        <f t="shared" si="122"/>
        <v>0</v>
      </c>
      <c r="T1077" s="38">
        <f t="shared" si="123"/>
        <v>0</v>
      </c>
      <c r="U1077" s="38">
        <f t="shared" si="124"/>
        <v>0</v>
      </c>
      <c r="V1077" s="55"/>
    </row>
    <row r="1078" spans="2:22" s="50" customFormat="1" ht="11.25" hidden="1">
      <c r="B1078" s="69" t="s">
        <v>273</v>
      </c>
      <c r="C1078" s="84"/>
      <c r="D1078" s="31"/>
      <c r="E1078" s="5"/>
      <c r="F1078" s="5"/>
      <c r="G1078" s="5"/>
      <c r="H1078" s="5"/>
      <c r="I1078" s="5"/>
      <c r="J1078" s="5"/>
      <c r="K1078" s="5"/>
      <c r="L1078" s="5"/>
      <c r="M1078" s="5"/>
      <c r="N1078" s="5"/>
      <c r="O1078" s="38">
        <f t="shared" si="119"/>
        <v>0</v>
      </c>
      <c r="P1078" s="38">
        <f t="shared" si="118"/>
        <v>0</v>
      </c>
      <c r="Q1078" s="38">
        <f t="shared" si="120"/>
        <v>0</v>
      </c>
      <c r="R1078" s="38">
        <f t="shared" si="121"/>
        <v>0</v>
      </c>
      <c r="S1078" s="38">
        <f t="shared" si="122"/>
        <v>0</v>
      </c>
      <c r="T1078" s="38">
        <f t="shared" si="123"/>
        <v>0</v>
      </c>
      <c r="U1078" s="38">
        <f t="shared" si="124"/>
        <v>0</v>
      </c>
      <c r="V1078" s="55"/>
    </row>
    <row r="1079" spans="2:22" s="50" customFormat="1" ht="11.25" hidden="1">
      <c r="B1079" s="69" t="s">
        <v>273</v>
      </c>
      <c r="C1079" s="84"/>
      <c r="D1079" s="31"/>
      <c r="E1079" s="5"/>
      <c r="F1079" s="5"/>
      <c r="G1079" s="5"/>
      <c r="H1079" s="5"/>
      <c r="I1079" s="5"/>
      <c r="J1079" s="5"/>
      <c r="K1079" s="5"/>
      <c r="L1079" s="5"/>
      <c r="M1079" s="5"/>
      <c r="N1079" s="5"/>
      <c r="O1079" s="38">
        <f t="shared" si="119"/>
        <v>0</v>
      </c>
      <c r="P1079" s="38">
        <f t="shared" si="118"/>
        <v>0</v>
      </c>
      <c r="Q1079" s="38">
        <f t="shared" si="120"/>
        <v>0</v>
      </c>
      <c r="R1079" s="38">
        <f t="shared" si="121"/>
        <v>0</v>
      </c>
      <c r="S1079" s="38">
        <f t="shared" si="122"/>
        <v>0</v>
      </c>
      <c r="T1079" s="38">
        <f t="shared" si="123"/>
        <v>0</v>
      </c>
      <c r="U1079" s="38">
        <f t="shared" si="124"/>
        <v>0</v>
      </c>
      <c r="V1079" s="55"/>
    </row>
    <row r="1080" spans="2:22" s="50" customFormat="1" ht="11.25" hidden="1">
      <c r="B1080" s="69" t="s">
        <v>273</v>
      </c>
      <c r="C1080" s="84"/>
      <c r="D1080" s="31"/>
      <c r="E1080" s="5"/>
      <c r="F1080" s="5"/>
      <c r="G1080" s="5"/>
      <c r="H1080" s="5"/>
      <c r="I1080" s="5"/>
      <c r="J1080" s="5"/>
      <c r="K1080" s="5"/>
      <c r="L1080" s="5"/>
      <c r="M1080" s="5"/>
      <c r="N1080" s="5"/>
      <c r="O1080" s="38">
        <f t="shared" si="119"/>
        <v>0</v>
      </c>
      <c r="P1080" s="38">
        <f t="shared" si="118"/>
        <v>0</v>
      </c>
      <c r="Q1080" s="38">
        <f t="shared" si="120"/>
        <v>0</v>
      </c>
      <c r="R1080" s="38">
        <f t="shared" si="121"/>
        <v>0</v>
      </c>
      <c r="S1080" s="38">
        <f t="shared" si="122"/>
        <v>0</v>
      </c>
      <c r="T1080" s="38">
        <f t="shared" si="123"/>
        <v>0</v>
      </c>
      <c r="U1080" s="38">
        <f t="shared" si="124"/>
        <v>0</v>
      </c>
      <c r="V1080" s="55"/>
    </row>
    <row r="1081" spans="2:22" s="50" customFormat="1" ht="11.25" hidden="1">
      <c r="B1081" s="69" t="s">
        <v>273</v>
      </c>
      <c r="C1081" s="84"/>
      <c r="D1081" s="31"/>
      <c r="E1081" s="5"/>
      <c r="F1081" s="5"/>
      <c r="G1081" s="5"/>
      <c r="H1081" s="5"/>
      <c r="I1081" s="5"/>
      <c r="J1081" s="5"/>
      <c r="K1081" s="5"/>
      <c r="L1081" s="5"/>
      <c r="M1081" s="5"/>
      <c r="N1081" s="5"/>
      <c r="O1081" s="38">
        <f t="shared" si="119"/>
        <v>0</v>
      </c>
      <c r="P1081" s="38">
        <f t="shared" si="118"/>
        <v>0</v>
      </c>
      <c r="Q1081" s="38">
        <f t="shared" si="120"/>
        <v>0</v>
      </c>
      <c r="R1081" s="38">
        <f t="shared" si="121"/>
        <v>0</v>
      </c>
      <c r="S1081" s="38">
        <f t="shared" si="122"/>
        <v>0</v>
      </c>
      <c r="T1081" s="38">
        <f t="shared" si="123"/>
        <v>0</v>
      </c>
      <c r="U1081" s="38">
        <f t="shared" si="124"/>
        <v>0</v>
      </c>
      <c r="V1081" s="55"/>
    </row>
    <row r="1082" spans="2:22" s="50" customFormat="1" ht="11.25" hidden="1">
      <c r="B1082" s="69" t="s">
        <v>273</v>
      </c>
      <c r="C1082" s="84"/>
      <c r="D1082" s="31"/>
      <c r="E1082" s="5"/>
      <c r="F1082" s="5"/>
      <c r="G1082" s="5"/>
      <c r="H1082" s="5"/>
      <c r="I1082" s="5"/>
      <c r="J1082" s="5"/>
      <c r="K1082" s="5"/>
      <c r="L1082" s="5"/>
      <c r="M1082" s="5"/>
      <c r="N1082" s="5"/>
      <c r="O1082" s="38">
        <f t="shared" si="119"/>
        <v>0</v>
      </c>
      <c r="P1082" s="38">
        <f t="shared" si="118"/>
        <v>0</v>
      </c>
      <c r="Q1082" s="38">
        <f t="shared" si="120"/>
        <v>0</v>
      </c>
      <c r="R1082" s="38">
        <f t="shared" si="121"/>
        <v>0</v>
      </c>
      <c r="S1082" s="38">
        <f t="shared" si="122"/>
        <v>0</v>
      </c>
      <c r="T1082" s="38">
        <f t="shared" si="123"/>
        <v>0</v>
      </c>
      <c r="U1082" s="38">
        <f t="shared" si="124"/>
        <v>0</v>
      </c>
      <c r="V1082" s="55"/>
    </row>
    <row r="1083" spans="2:22" s="50" customFormat="1" ht="11.25" hidden="1">
      <c r="B1083" s="69" t="s">
        <v>273</v>
      </c>
      <c r="C1083" s="84"/>
      <c r="D1083" s="31"/>
      <c r="E1083" s="5"/>
      <c r="F1083" s="5"/>
      <c r="G1083" s="5"/>
      <c r="H1083" s="5"/>
      <c r="I1083" s="5"/>
      <c r="J1083" s="5"/>
      <c r="K1083" s="5"/>
      <c r="L1083" s="5"/>
      <c r="M1083" s="5"/>
      <c r="N1083" s="5"/>
      <c r="O1083" s="38">
        <f t="shared" si="119"/>
        <v>0</v>
      </c>
      <c r="P1083" s="38">
        <f t="shared" si="118"/>
        <v>0</v>
      </c>
      <c r="Q1083" s="38">
        <f t="shared" si="120"/>
        <v>0</v>
      </c>
      <c r="R1083" s="38">
        <f t="shared" si="121"/>
        <v>0</v>
      </c>
      <c r="S1083" s="38">
        <f t="shared" si="122"/>
        <v>0</v>
      </c>
      <c r="T1083" s="38">
        <f t="shared" si="123"/>
        <v>0</v>
      </c>
      <c r="U1083" s="38">
        <f t="shared" si="124"/>
        <v>0</v>
      </c>
      <c r="V1083" s="55"/>
    </row>
    <row r="1084" spans="2:22" s="50" customFormat="1" ht="11.25" hidden="1">
      <c r="B1084" s="69" t="s">
        <v>273</v>
      </c>
      <c r="C1084" s="84"/>
      <c r="D1084" s="31"/>
      <c r="E1084" s="5"/>
      <c r="F1084" s="5"/>
      <c r="G1084" s="5"/>
      <c r="H1084" s="5"/>
      <c r="I1084" s="5"/>
      <c r="J1084" s="5"/>
      <c r="K1084" s="5"/>
      <c r="L1084" s="5"/>
      <c r="M1084" s="5"/>
      <c r="N1084" s="5"/>
      <c r="O1084" s="38">
        <f t="shared" si="119"/>
        <v>0</v>
      </c>
      <c r="P1084" s="38">
        <f t="shared" si="118"/>
        <v>0</v>
      </c>
      <c r="Q1084" s="38">
        <f t="shared" si="120"/>
        <v>0</v>
      </c>
      <c r="R1084" s="38">
        <f t="shared" si="121"/>
        <v>0</v>
      </c>
      <c r="S1084" s="38">
        <f t="shared" si="122"/>
        <v>0</v>
      </c>
      <c r="T1084" s="38">
        <f t="shared" si="123"/>
        <v>0</v>
      </c>
      <c r="U1084" s="38">
        <f t="shared" si="124"/>
        <v>0</v>
      </c>
      <c r="V1084" s="55"/>
    </row>
    <row r="1085" spans="2:22" s="50" customFormat="1" ht="11.25" hidden="1">
      <c r="B1085" s="69" t="s">
        <v>273</v>
      </c>
      <c r="C1085" s="84"/>
      <c r="D1085" s="31"/>
      <c r="E1085" s="5"/>
      <c r="F1085" s="5"/>
      <c r="G1085" s="5"/>
      <c r="H1085" s="5"/>
      <c r="I1085" s="5"/>
      <c r="J1085" s="5"/>
      <c r="K1085" s="5"/>
      <c r="L1085" s="5"/>
      <c r="M1085" s="5"/>
      <c r="N1085" s="5"/>
      <c r="O1085" s="38">
        <f t="shared" si="119"/>
        <v>0</v>
      </c>
      <c r="P1085" s="38">
        <f t="shared" si="118"/>
        <v>0</v>
      </c>
      <c r="Q1085" s="38">
        <f t="shared" si="120"/>
        <v>0</v>
      </c>
      <c r="R1085" s="38">
        <f t="shared" si="121"/>
        <v>0</v>
      </c>
      <c r="S1085" s="38">
        <f t="shared" si="122"/>
        <v>0</v>
      </c>
      <c r="T1085" s="38">
        <f t="shared" si="123"/>
        <v>0</v>
      </c>
      <c r="U1085" s="38">
        <f t="shared" si="124"/>
        <v>0</v>
      </c>
      <c r="V1085" s="55"/>
    </row>
    <row r="1086" spans="2:22" s="50" customFormat="1" ht="11.25" hidden="1">
      <c r="B1086" s="69" t="s">
        <v>273</v>
      </c>
      <c r="C1086" s="84"/>
      <c r="D1086" s="31"/>
      <c r="E1086" s="5"/>
      <c r="F1086" s="5"/>
      <c r="G1086" s="5"/>
      <c r="H1086" s="5"/>
      <c r="I1086" s="5"/>
      <c r="J1086" s="5"/>
      <c r="K1086" s="5"/>
      <c r="L1086" s="5"/>
      <c r="M1086" s="5"/>
      <c r="N1086" s="5"/>
      <c r="O1086" s="38">
        <f t="shared" si="119"/>
        <v>0</v>
      </c>
      <c r="P1086" s="38">
        <f t="shared" si="118"/>
        <v>0</v>
      </c>
      <c r="Q1086" s="38">
        <f t="shared" si="120"/>
        <v>0</v>
      </c>
      <c r="R1086" s="38">
        <f t="shared" si="121"/>
        <v>0</v>
      </c>
      <c r="S1086" s="38">
        <f t="shared" si="122"/>
        <v>0</v>
      </c>
      <c r="T1086" s="38">
        <f t="shared" si="123"/>
        <v>0</v>
      </c>
      <c r="U1086" s="38">
        <f t="shared" si="124"/>
        <v>0</v>
      </c>
      <c r="V1086" s="55"/>
    </row>
    <row r="1087" spans="2:22" s="50" customFormat="1" ht="11.25" hidden="1">
      <c r="B1087" s="69" t="s">
        <v>273</v>
      </c>
      <c r="C1087" s="84"/>
      <c r="D1087" s="31"/>
      <c r="E1087" s="5"/>
      <c r="F1087" s="5"/>
      <c r="G1087" s="5"/>
      <c r="H1087" s="5"/>
      <c r="I1087" s="5"/>
      <c r="J1087" s="5"/>
      <c r="K1087" s="5"/>
      <c r="L1087" s="5"/>
      <c r="M1087" s="5"/>
      <c r="N1087" s="5"/>
      <c r="O1087" s="38">
        <f t="shared" si="119"/>
        <v>0</v>
      </c>
      <c r="P1087" s="38">
        <f t="shared" ref="P1087:P1112" si="125">IF(I1087=0,0,J1087/I1087*10)</f>
        <v>0</v>
      </c>
      <c r="Q1087" s="38">
        <f t="shared" si="120"/>
        <v>0</v>
      </c>
      <c r="R1087" s="38">
        <f t="shared" si="121"/>
        <v>0</v>
      </c>
      <c r="S1087" s="38">
        <f t="shared" si="122"/>
        <v>0</v>
      </c>
      <c r="T1087" s="38">
        <f t="shared" si="123"/>
        <v>0</v>
      </c>
      <c r="U1087" s="38">
        <f t="shared" si="124"/>
        <v>0</v>
      </c>
      <c r="V1087" s="55"/>
    </row>
    <row r="1088" spans="2:22" s="50" customFormat="1" ht="11.25" hidden="1">
      <c r="B1088" s="69" t="s">
        <v>273</v>
      </c>
      <c r="C1088" s="84"/>
      <c r="D1088" s="31"/>
      <c r="E1088" s="5"/>
      <c r="F1088" s="5"/>
      <c r="G1088" s="5"/>
      <c r="H1088" s="5"/>
      <c r="I1088" s="5"/>
      <c r="J1088" s="5"/>
      <c r="K1088" s="5"/>
      <c r="L1088" s="5"/>
      <c r="M1088" s="5"/>
      <c r="N1088" s="5"/>
      <c r="O1088" s="38">
        <f t="shared" si="119"/>
        <v>0</v>
      </c>
      <c r="P1088" s="38">
        <f t="shared" si="125"/>
        <v>0</v>
      </c>
      <c r="Q1088" s="38">
        <f t="shared" si="120"/>
        <v>0</v>
      </c>
      <c r="R1088" s="38">
        <f t="shared" si="121"/>
        <v>0</v>
      </c>
      <c r="S1088" s="38">
        <f t="shared" si="122"/>
        <v>0</v>
      </c>
      <c r="T1088" s="38">
        <f t="shared" si="123"/>
        <v>0</v>
      </c>
      <c r="U1088" s="38">
        <f t="shared" si="124"/>
        <v>0</v>
      </c>
      <c r="V1088" s="55"/>
    </row>
    <row r="1089" spans="2:22" s="50" customFormat="1" ht="11.25" hidden="1">
      <c r="B1089" s="69" t="s">
        <v>273</v>
      </c>
      <c r="C1089" s="84"/>
      <c r="D1089" s="31"/>
      <c r="E1089" s="5"/>
      <c r="F1089" s="5"/>
      <c r="G1089" s="5"/>
      <c r="H1089" s="5"/>
      <c r="I1089" s="5"/>
      <c r="J1089" s="5"/>
      <c r="K1089" s="5"/>
      <c r="L1089" s="5"/>
      <c r="M1089" s="5"/>
      <c r="N1089" s="5"/>
      <c r="O1089" s="38">
        <f t="shared" si="119"/>
        <v>0</v>
      </c>
      <c r="P1089" s="38">
        <f t="shared" si="125"/>
        <v>0</v>
      </c>
      <c r="Q1089" s="38">
        <f t="shared" si="120"/>
        <v>0</v>
      </c>
      <c r="R1089" s="38">
        <f t="shared" si="121"/>
        <v>0</v>
      </c>
      <c r="S1089" s="38">
        <f t="shared" si="122"/>
        <v>0</v>
      </c>
      <c r="T1089" s="38">
        <f t="shared" si="123"/>
        <v>0</v>
      </c>
      <c r="U1089" s="38">
        <f t="shared" si="124"/>
        <v>0</v>
      </c>
      <c r="V1089" s="55"/>
    </row>
    <row r="1090" spans="2:22" s="50" customFormat="1" ht="11.25" hidden="1">
      <c r="B1090" s="69" t="s">
        <v>273</v>
      </c>
      <c r="C1090" s="84"/>
      <c r="D1090" s="31"/>
      <c r="E1090" s="5"/>
      <c r="F1090" s="5"/>
      <c r="G1090" s="5"/>
      <c r="H1090" s="5"/>
      <c r="I1090" s="5"/>
      <c r="J1090" s="5"/>
      <c r="K1090" s="5"/>
      <c r="L1090" s="5"/>
      <c r="M1090" s="5"/>
      <c r="N1090" s="5"/>
      <c r="O1090" s="38">
        <f t="shared" si="119"/>
        <v>0</v>
      </c>
      <c r="P1090" s="38">
        <f t="shared" si="125"/>
        <v>0</v>
      </c>
      <c r="Q1090" s="38">
        <f t="shared" si="120"/>
        <v>0</v>
      </c>
      <c r="R1090" s="38">
        <f t="shared" si="121"/>
        <v>0</v>
      </c>
      <c r="S1090" s="38">
        <f t="shared" si="122"/>
        <v>0</v>
      </c>
      <c r="T1090" s="38">
        <f t="shared" si="123"/>
        <v>0</v>
      </c>
      <c r="U1090" s="38">
        <f t="shared" si="124"/>
        <v>0</v>
      </c>
      <c r="V1090" s="55"/>
    </row>
    <row r="1091" spans="2:22" s="50" customFormat="1" ht="11.25" hidden="1">
      <c r="B1091" s="69" t="s">
        <v>273</v>
      </c>
      <c r="C1091" s="84"/>
      <c r="D1091" s="31"/>
      <c r="E1091" s="5"/>
      <c r="F1091" s="5"/>
      <c r="G1091" s="5"/>
      <c r="H1091" s="5"/>
      <c r="I1091" s="5"/>
      <c r="J1091" s="5"/>
      <c r="K1091" s="5"/>
      <c r="L1091" s="5"/>
      <c r="M1091" s="5"/>
      <c r="N1091" s="5"/>
      <c r="O1091" s="38">
        <f t="shared" si="119"/>
        <v>0</v>
      </c>
      <c r="P1091" s="38">
        <f t="shared" si="125"/>
        <v>0</v>
      </c>
      <c r="Q1091" s="38">
        <f t="shared" si="120"/>
        <v>0</v>
      </c>
      <c r="R1091" s="38">
        <f t="shared" si="121"/>
        <v>0</v>
      </c>
      <c r="S1091" s="38">
        <f t="shared" si="122"/>
        <v>0</v>
      </c>
      <c r="T1091" s="38">
        <f t="shared" si="123"/>
        <v>0</v>
      </c>
      <c r="U1091" s="38">
        <f t="shared" si="124"/>
        <v>0</v>
      </c>
      <c r="V1091" s="55"/>
    </row>
    <row r="1092" spans="2:22" s="50" customFormat="1" ht="11.25" hidden="1">
      <c r="B1092" s="69" t="s">
        <v>273</v>
      </c>
      <c r="C1092" s="84"/>
      <c r="D1092" s="31"/>
      <c r="E1092" s="5"/>
      <c r="F1092" s="5"/>
      <c r="G1092" s="5"/>
      <c r="H1092" s="5"/>
      <c r="I1092" s="5"/>
      <c r="J1092" s="5"/>
      <c r="K1092" s="5"/>
      <c r="L1092" s="5"/>
      <c r="M1092" s="5"/>
      <c r="N1092" s="5"/>
      <c r="O1092" s="38">
        <f t="shared" si="119"/>
        <v>0</v>
      </c>
      <c r="P1092" s="38">
        <f t="shared" si="125"/>
        <v>0</v>
      </c>
      <c r="Q1092" s="38">
        <f t="shared" si="120"/>
        <v>0</v>
      </c>
      <c r="R1092" s="38">
        <f t="shared" si="121"/>
        <v>0</v>
      </c>
      <c r="S1092" s="38">
        <f t="shared" si="122"/>
        <v>0</v>
      </c>
      <c r="T1092" s="38">
        <f t="shared" si="123"/>
        <v>0</v>
      </c>
      <c r="U1092" s="38">
        <f t="shared" si="124"/>
        <v>0</v>
      </c>
      <c r="V1092" s="55"/>
    </row>
    <row r="1093" spans="2:22" s="50" customFormat="1" ht="11.25" hidden="1">
      <c r="B1093" s="69" t="s">
        <v>273</v>
      </c>
      <c r="C1093" s="84"/>
      <c r="D1093" s="31"/>
      <c r="E1093" s="5"/>
      <c r="F1093" s="5"/>
      <c r="G1093" s="5"/>
      <c r="H1093" s="5"/>
      <c r="I1093" s="5"/>
      <c r="J1093" s="5"/>
      <c r="K1093" s="5"/>
      <c r="L1093" s="5"/>
      <c r="M1093" s="5"/>
      <c r="N1093" s="5"/>
      <c r="O1093" s="38">
        <f t="shared" si="119"/>
        <v>0</v>
      </c>
      <c r="P1093" s="38">
        <f t="shared" si="125"/>
        <v>0</v>
      </c>
      <c r="Q1093" s="38">
        <f t="shared" si="120"/>
        <v>0</v>
      </c>
      <c r="R1093" s="38">
        <f t="shared" si="121"/>
        <v>0</v>
      </c>
      <c r="S1093" s="38">
        <f t="shared" si="122"/>
        <v>0</v>
      </c>
      <c r="T1093" s="38">
        <f t="shared" si="123"/>
        <v>0</v>
      </c>
      <c r="U1093" s="38">
        <f t="shared" si="124"/>
        <v>0</v>
      </c>
      <c r="V1093" s="55"/>
    </row>
    <row r="1094" spans="2:22" s="50" customFormat="1" ht="11.25" hidden="1">
      <c r="B1094" s="69" t="s">
        <v>273</v>
      </c>
      <c r="C1094" s="84"/>
      <c r="D1094" s="31"/>
      <c r="E1094" s="5"/>
      <c r="F1094" s="5"/>
      <c r="G1094" s="5"/>
      <c r="H1094" s="5"/>
      <c r="I1094" s="5"/>
      <c r="J1094" s="5"/>
      <c r="K1094" s="5"/>
      <c r="L1094" s="5"/>
      <c r="M1094" s="5"/>
      <c r="N1094" s="5"/>
      <c r="O1094" s="38">
        <f t="shared" si="119"/>
        <v>0</v>
      </c>
      <c r="P1094" s="38">
        <f t="shared" si="125"/>
        <v>0</v>
      </c>
      <c r="Q1094" s="38">
        <f t="shared" si="120"/>
        <v>0</v>
      </c>
      <c r="R1094" s="38">
        <f t="shared" si="121"/>
        <v>0</v>
      </c>
      <c r="S1094" s="38">
        <f t="shared" si="122"/>
        <v>0</v>
      </c>
      <c r="T1094" s="38">
        <f t="shared" si="123"/>
        <v>0</v>
      </c>
      <c r="U1094" s="38">
        <f t="shared" si="124"/>
        <v>0</v>
      </c>
      <c r="V1094" s="55"/>
    </row>
    <row r="1095" spans="2:22" s="50" customFormat="1" ht="11.25" hidden="1">
      <c r="B1095" s="69" t="s">
        <v>273</v>
      </c>
      <c r="C1095" s="84"/>
      <c r="D1095" s="31"/>
      <c r="E1095" s="5"/>
      <c r="F1095" s="5"/>
      <c r="G1095" s="5"/>
      <c r="H1095" s="5"/>
      <c r="I1095" s="5"/>
      <c r="J1095" s="5"/>
      <c r="K1095" s="5"/>
      <c r="L1095" s="5"/>
      <c r="M1095" s="5"/>
      <c r="N1095" s="5"/>
      <c r="O1095" s="38">
        <f t="shared" si="119"/>
        <v>0</v>
      </c>
      <c r="P1095" s="38">
        <f t="shared" si="125"/>
        <v>0</v>
      </c>
      <c r="Q1095" s="38">
        <f t="shared" si="120"/>
        <v>0</v>
      </c>
      <c r="R1095" s="38">
        <f t="shared" si="121"/>
        <v>0</v>
      </c>
      <c r="S1095" s="38">
        <f t="shared" si="122"/>
        <v>0</v>
      </c>
      <c r="T1095" s="38">
        <f t="shared" si="123"/>
        <v>0</v>
      </c>
      <c r="U1095" s="38">
        <f t="shared" si="124"/>
        <v>0</v>
      </c>
      <c r="V1095" s="55"/>
    </row>
    <row r="1096" spans="2:22" s="50" customFormat="1" ht="11.25" hidden="1">
      <c r="B1096" s="69" t="s">
        <v>273</v>
      </c>
      <c r="C1096" s="84"/>
      <c r="D1096" s="31"/>
      <c r="E1096" s="5"/>
      <c r="F1096" s="5"/>
      <c r="G1096" s="5"/>
      <c r="H1096" s="5"/>
      <c r="I1096" s="5"/>
      <c r="J1096" s="5"/>
      <c r="K1096" s="5"/>
      <c r="L1096" s="5"/>
      <c r="M1096" s="5"/>
      <c r="N1096" s="5"/>
      <c r="O1096" s="38">
        <f t="shared" si="119"/>
        <v>0</v>
      </c>
      <c r="P1096" s="38">
        <f t="shared" si="125"/>
        <v>0</v>
      </c>
      <c r="Q1096" s="38">
        <f t="shared" si="120"/>
        <v>0</v>
      </c>
      <c r="R1096" s="38">
        <f t="shared" si="121"/>
        <v>0</v>
      </c>
      <c r="S1096" s="38">
        <f t="shared" si="122"/>
        <v>0</v>
      </c>
      <c r="T1096" s="38">
        <f t="shared" si="123"/>
        <v>0</v>
      </c>
      <c r="U1096" s="38">
        <f t="shared" si="124"/>
        <v>0</v>
      </c>
      <c r="V1096" s="55"/>
    </row>
    <row r="1097" spans="2:22" s="50" customFormat="1" ht="11.25" hidden="1">
      <c r="B1097" s="69" t="s">
        <v>273</v>
      </c>
      <c r="C1097" s="84"/>
      <c r="D1097" s="31"/>
      <c r="E1097" s="5"/>
      <c r="F1097" s="5"/>
      <c r="G1097" s="5"/>
      <c r="H1097" s="5"/>
      <c r="I1097" s="5"/>
      <c r="J1097" s="5"/>
      <c r="K1097" s="5"/>
      <c r="L1097" s="5"/>
      <c r="M1097" s="5"/>
      <c r="N1097" s="5"/>
      <c r="O1097" s="38">
        <f t="shared" si="119"/>
        <v>0</v>
      </c>
      <c r="P1097" s="38">
        <f t="shared" si="125"/>
        <v>0</v>
      </c>
      <c r="Q1097" s="38">
        <f t="shared" si="120"/>
        <v>0</v>
      </c>
      <c r="R1097" s="38">
        <f t="shared" si="121"/>
        <v>0</v>
      </c>
      <c r="S1097" s="38">
        <f t="shared" si="122"/>
        <v>0</v>
      </c>
      <c r="T1097" s="38">
        <f t="shared" si="123"/>
        <v>0</v>
      </c>
      <c r="U1097" s="38">
        <f t="shared" si="124"/>
        <v>0</v>
      </c>
      <c r="V1097" s="55"/>
    </row>
    <row r="1098" spans="2:22" s="50" customFormat="1" ht="11.25" hidden="1">
      <c r="B1098" s="69" t="s">
        <v>273</v>
      </c>
      <c r="C1098" s="84"/>
      <c r="D1098" s="31"/>
      <c r="E1098" s="5"/>
      <c r="F1098" s="5"/>
      <c r="G1098" s="5"/>
      <c r="H1098" s="5"/>
      <c r="I1098" s="5"/>
      <c r="J1098" s="5"/>
      <c r="K1098" s="5"/>
      <c r="L1098" s="5"/>
      <c r="M1098" s="5"/>
      <c r="N1098" s="5"/>
      <c r="O1098" s="38">
        <f t="shared" ref="O1098:O1112" si="126">SUM(J1098:N1098)</f>
        <v>0</v>
      </c>
      <c r="P1098" s="38">
        <f t="shared" si="125"/>
        <v>0</v>
      </c>
      <c r="Q1098" s="38">
        <f t="shared" ref="Q1098:Q1112" si="127">IF(I1098=0,0,L1098/I1098*10)</f>
        <v>0</v>
      </c>
      <c r="R1098" s="38">
        <f t="shared" ref="R1098:R1112" si="128">IF(I1098=0,0,M1098/I1098*10)</f>
        <v>0</v>
      </c>
      <c r="S1098" s="38">
        <f t="shared" ref="S1098:S1112" si="129">IF(I1098=0,0,N1098/I1098*10)</f>
        <v>0</v>
      </c>
      <c r="T1098" s="38">
        <f t="shared" ref="T1098:T1112" si="130">IF(I1098=0,0,K1098/I1098*10)</f>
        <v>0</v>
      </c>
      <c r="U1098" s="38">
        <f t="shared" ref="U1098:U1112" si="131">IF(I1098=0,0,O1098/I1098*10)</f>
        <v>0</v>
      </c>
      <c r="V1098" s="55"/>
    </row>
    <row r="1099" spans="2:22" s="50" customFormat="1" ht="11.25" hidden="1">
      <c r="B1099" s="69" t="s">
        <v>273</v>
      </c>
      <c r="C1099" s="84"/>
      <c r="D1099" s="31"/>
      <c r="E1099" s="5"/>
      <c r="F1099" s="5"/>
      <c r="G1099" s="5"/>
      <c r="H1099" s="5"/>
      <c r="I1099" s="5"/>
      <c r="J1099" s="5"/>
      <c r="K1099" s="5"/>
      <c r="L1099" s="5"/>
      <c r="M1099" s="5"/>
      <c r="N1099" s="5"/>
      <c r="O1099" s="38">
        <f t="shared" si="126"/>
        <v>0</v>
      </c>
      <c r="P1099" s="38">
        <f t="shared" si="125"/>
        <v>0</v>
      </c>
      <c r="Q1099" s="38">
        <f t="shared" si="127"/>
        <v>0</v>
      </c>
      <c r="R1099" s="38">
        <f t="shared" si="128"/>
        <v>0</v>
      </c>
      <c r="S1099" s="38">
        <f t="shared" si="129"/>
        <v>0</v>
      </c>
      <c r="T1099" s="38">
        <f t="shared" si="130"/>
        <v>0</v>
      </c>
      <c r="U1099" s="38">
        <f t="shared" si="131"/>
        <v>0</v>
      </c>
      <c r="V1099" s="55"/>
    </row>
    <row r="1100" spans="2:22" s="50" customFormat="1" ht="11.25" hidden="1">
      <c r="B1100" s="69" t="s">
        <v>273</v>
      </c>
      <c r="C1100" s="84"/>
      <c r="D1100" s="31"/>
      <c r="E1100" s="5"/>
      <c r="F1100" s="5"/>
      <c r="G1100" s="5"/>
      <c r="H1100" s="5"/>
      <c r="I1100" s="5"/>
      <c r="J1100" s="5"/>
      <c r="K1100" s="5"/>
      <c r="L1100" s="5"/>
      <c r="M1100" s="5"/>
      <c r="N1100" s="5"/>
      <c r="O1100" s="38">
        <f t="shared" si="126"/>
        <v>0</v>
      </c>
      <c r="P1100" s="38">
        <f t="shared" si="125"/>
        <v>0</v>
      </c>
      <c r="Q1100" s="38">
        <f t="shared" si="127"/>
        <v>0</v>
      </c>
      <c r="R1100" s="38">
        <f t="shared" si="128"/>
        <v>0</v>
      </c>
      <c r="S1100" s="38">
        <f t="shared" si="129"/>
        <v>0</v>
      </c>
      <c r="T1100" s="38">
        <f t="shared" si="130"/>
        <v>0</v>
      </c>
      <c r="U1100" s="38">
        <f t="shared" si="131"/>
        <v>0</v>
      </c>
      <c r="V1100" s="55"/>
    </row>
    <row r="1101" spans="2:22" s="50" customFormat="1" ht="11.25" hidden="1">
      <c r="B1101" s="69" t="s">
        <v>273</v>
      </c>
      <c r="C1101" s="84"/>
      <c r="D1101" s="31"/>
      <c r="E1101" s="5"/>
      <c r="F1101" s="5"/>
      <c r="G1101" s="5"/>
      <c r="H1101" s="5"/>
      <c r="I1101" s="5"/>
      <c r="J1101" s="5"/>
      <c r="K1101" s="5"/>
      <c r="L1101" s="5"/>
      <c r="M1101" s="5"/>
      <c r="N1101" s="5"/>
      <c r="O1101" s="38">
        <f t="shared" si="126"/>
        <v>0</v>
      </c>
      <c r="P1101" s="38">
        <f t="shared" si="125"/>
        <v>0</v>
      </c>
      <c r="Q1101" s="38">
        <f t="shared" si="127"/>
        <v>0</v>
      </c>
      <c r="R1101" s="38">
        <f t="shared" si="128"/>
        <v>0</v>
      </c>
      <c r="S1101" s="38">
        <f t="shared" si="129"/>
        <v>0</v>
      </c>
      <c r="T1101" s="38">
        <f t="shared" si="130"/>
        <v>0</v>
      </c>
      <c r="U1101" s="38">
        <f t="shared" si="131"/>
        <v>0</v>
      </c>
      <c r="V1101" s="55"/>
    </row>
    <row r="1102" spans="2:22" s="50" customFormat="1" ht="11.25" hidden="1">
      <c r="B1102" s="69" t="s">
        <v>273</v>
      </c>
      <c r="C1102" s="84"/>
      <c r="D1102" s="31"/>
      <c r="E1102" s="5"/>
      <c r="F1102" s="5"/>
      <c r="G1102" s="5"/>
      <c r="H1102" s="5"/>
      <c r="I1102" s="5"/>
      <c r="J1102" s="5"/>
      <c r="K1102" s="5"/>
      <c r="L1102" s="5"/>
      <c r="M1102" s="5"/>
      <c r="N1102" s="5"/>
      <c r="O1102" s="38">
        <f t="shared" si="126"/>
        <v>0</v>
      </c>
      <c r="P1102" s="38">
        <f t="shared" si="125"/>
        <v>0</v>
      </c>
      <c r="Q1102" s="38">
        <f t="shared" si="127"/>
        <v>0</v>
      </c>
      <c r="R1102" s="38">
        <f t="shared" si="128"/>
        <v>0</v>
      </c>
      <c r="S1102" s="38">
        <f t="shared" si="129"/>
        <v>0</v>
      </c>
      <c r="T1102" s="38">
        <f t="shared" si="130"/>
        <v>0</v>
      </c>
      <c r="U1102" s="38">
        <f t="shared" si="131"/>
        <v>0</v>
      </c>
      <c r="V1102" s="55"/>
    </row>
    <row r="1103" spans="2:22" s="50" customFormat="1" ht="11.25" hidden="1">
      <c r="B1103" s="69" t="s">
        <v>273</v>
      </c>
      <c r="C1103" s="84"/>
      <c r="D1103" s="31"/>
      <c r="E1103" s="5"/>
      <c r="F1103" s="5"/>
      <c r="G1103" s="5"/>
      <c r="H1103" s="5"/>
      <c r="I1103" s="5"/>
      <c r="J1103" s="5"/>
      <c r="K1103" s="5"/>
      <c r="L1103" s="5"/>
      <c r="M1103" s="5"/>
      <c r="N1103" s="5"/>
      <c r="O1103" s="38">
        <f t="shared" si="126"/>
        <v>0</v>
      </c>
      <c r="P1103" s="38">
        <f t="shared" si="125"/>
        <v>0</v>
      </c>
      <c r="Q1103" s="38">
        <f t="shared" si="127"/>
        <v>0</v>
      </c>
      <c r="R1103" s="38">
        <f t="shared" si="128"/>
        <v>0</v>
      </c>
      <c r="S1103" s="38">
        <f t="shared" si="129"/>
        <v>0</v>
      </c>
      <c r="T1103" s="38">
        <f t="shared" si="130"/>
        <v>0</v>
      </c>
      <c r="U1103" s="38">
        <f t="shared" si="131"/>
        <v>0</v>
      </c>
      <c r="V1103" s="55"/>
    </row>
    <row r="1104" spans="2:22" s="50" customFormat="1" ht="11.25" hidden="1">
      <c r="B1104" s="69" t="s">
        <v>273</v>
      </c>
      <c r="C1104" s="84"/>
      <c r="D1104" s="31"/>
      <c r="E1104" s="5"/>
      <c r="F1104" s="5"/>
      <c r="G1104" s="5"/>
      <c r="H1104" s="5"/>
      <c r="I1104" s="5"/>
      <c r="J1104" s="5"/>
      <c r="K1104" s="5"/>
      <c r="L1104" s="5"/>
      <c r="M1104" s="5"/>
      <c r="N1104" s="5"/>
      <c r="O1104" s="38">
        <f t="shared" si="126"/>
        <v>0</v>
      </c>
      <c r="P1104" s="38">
        <f t="shared" si="125"/>
        <v>0</v>
      </c>
      <c r="Q1104" s="38">
        <f t="shared" si="127"/>
        <v>0</v>
      </c>
      <c r="R1104" s="38">
        <f t="shared" si="128"/>
        <v>0</v>
      </c>
      <c r="S1104" s="38">
        <f t="shared" si="129"/>
        <v>0</v>
      </c>
      <c r="T1104" s="38">
        <f t="shared" si="130"/>
        <v>0</v>
      </c>
      <c r="U1104" s="38">
        <f t="shared" si="131"/>
        <v>0</v>
      </c>
      <c r="V1104" s="55"/>
    </row>
    <row r="1105" spans="2:22" s="50" customFormat="1" ht="11.25" hidden="1">
      <c r="B1105" s="69" t="s">
        <v>273</v>
      </c>
      <c r="C1105" s="84"/>
      <c r="D1105" s="31"/>
      <c r="E1105" s="5"/>
      <c r="F1105" s="5"/>
      <c r="G1105" s="5"/>
      <c r="H1105" s="5"/>
      <c r="I1105" s="5"/>
      <c r="J1105" s="5"/>
      <c r="K1105" s="5"/>
      <c r="L1105" s="5"/>
      <c r="M1105" s="5"/>
      <c r="N1105" s="5"/>
      <c r="O1105" s="38">
        <f t="shared" si="126"/>
        <v>0</v>
      </c>
      <c r="P1105" s="38">
        <f t="shared" si="125"/>
        <v>0</v>
      </c>
      <c r="Q1105" s="38">
        <f t="shared" si="127"/>
        <v>0</v>
      </c>
      <c r="R1105" s="38">
        <f t="shared" si="128"/>
        <v>0</v>
      </c>
      <c r="S1105" s="38">
        <f t="shared" si="129"/>
        <v>0</v>
      </c>
      <c r="T1105" s="38">
        <f t="shared" si="130"/>
        <v>0</v>
      </c>
      <c r="U1105" s="38">
        <f t="shared" si="131"/>
        <v>0</v>
      </c>
      <c r="V1105" s="55"/>
    </row>
    <row r="1106" spans="2:22" s="50" customFormat="1" ht="11.25" hidden="1">
      <c r="B1106" s="69" t="s">
        <v>273</v>
      </c>
      <c r="C1106" s="84"/>
      <c r="D1106" s="31"/>
      <c r="E1106" s="5"/>
      <c r="F1106" s="5"/>
      <c r="G1106" s="5"/>
      <c r="H1106" s="5"/>
      <c r="I1106" s="5"/>
      <c r="J1106" s="5"/>
      <c r="K1106" s="5"/>
      <c r="L1106" s="5"/>
      <c r="M1106" s="5"/>
      <c r="N1106" s="5"/>
      <c r="O1106" s="38">
        <f t="shared" si="126"/>
        <v>0</v>
      </c>
      <c r="P1106" s="38">
        <f t="shared" si="125"/>
        <v>0</v>
      </c>
      <c r="Q1106" s="38">
        <f t="shared" si="127"/>
        <v>0</v>
      </c>
      <c r="R1106" s="38">
        <f t="shared" si="128"/>
        <v>0</v>
      </c>
      <c r="S1106" s="38">
        <f t="shared" si="129"/>
        <v>0</v>
      </c>
      <c r="T1106" s="38">
        <f t="shared" si="130"/>
        <v>0</v>
      </c>
      <c r="U1106" s="38">
        <f t="shared" si="131"/>
        <v>0</v>
      </c>
      <c r="V1106" s="55"/>
    </row>
    <row r="1107" spans="2:22" s="50" customFormat="1" ht="11.25" hidden="1">
      <c r="B1107" s="69" t="s">
        <v>273</v>
      </c>
      <c r="C1107" s="84"/>
      <c r="D1107" s="31"/>
      <c r="E1107" s="5"/>
      <c r="F1107" s="5"/>
      <c r="G1107" s="5"/>
      <c r="H1107" s="5"/>
      <c r="I1107" s="5"/>
      <c r="J1107" s="5"/>
      <c r="K1107" s="5"/>
      <c r="L1107" s="5"/>
      <c r="M1107" s="5"/>
      <c r="N1107" s="5"/>
      <c r="O1107" s="38">
        <f t="shared" si="126"/>
        <v>0</v>
      </c>
      <c r="P1107" s="38">
        <f t="shared" si="125"/>
        <v>0</v>
      </c>
      <c r="Q1107" s="38">
        <f t="shared" si="127"/>
        <v>0</v>
      </c>
      <c r="R1107" s="38">
        <f t="shared" si="128"/>
        <v>0</v>
      </c>
      <c r="S1107" s="38">
        <f t="shared" si="129"/>
        <v>0</v>
      </c>
      <c r="T1107" s="38">
        <f t="shared" si="130"/>
        <v>0</v>
      </c>
      <c r="U1107" s="38">
        <f t="shared" si="131"/>
        <v>0</v>
      </c>
      <c r="V1107" s="55"/>
    </row>
    <row r="1108" spans="2:22" s="50" customFormat="1" ht="11.25" hidden="1">
      <c r="B1108" s="69" t="s">
        <v>273</v>
      </c>
      <c r="C1108" s="84"/>
      <c r="D1108" s="31"/>
      <c r="E1108" s="5"/>
      <c r="F1108" s="5"/>
      <c r="G1108" s="5"/>
      <c r="H1108" s="5"/>
      <c r="I1108" s="5"/>
      <c r="J1108" s="5"/>
      <c r="K1108" s="5"/>
      <c r="L1108" s="5"/>
      <c r="M1108" s="5"/>
      <c r="N1108" s="5"/>
      <c r="O1108" s="38">
        <f t="shared" si="126"/>
        <v>0</v>
      </c>
      <c r="P1108" s="38">
        <f t="shared" si="125"/>
        <v>0</v>
      </c>
      <c r="Q1108" s="38">
        <f t="shared" si="127"/>
        <v>0</v>
      </c>
      <c r="R1108" s="38">
        <f t="shared" si="128"/>
        <v>0</v>
      </c>
      <c r="S1108" s="38">
        <f t="shared" si="129"/>
        <v>0</v>
      </c>
      <c r="T1108" s="38">
        <f t="shared" si="130"/>
        <v>0</v>
      </c>
      <c r="U1108" s="38">
        <f t="shared" si="131"/>
        <v>0</v>
      </c>
      <c r="V1108" s="55"/>
    </row>
    <row r="1109" spans="2:22" s="50" customFormat="1" ht="11.25" hidden="1">
      <c r="B1109" s="69" t="s">
        <v>273</v>
      </c>
      <c r="C1109" s="84"/>
      <c r="D1109" s="31"/>
      <c r="E1109" s="5"/>
      <c r="F1109" s="5"/>
      <c r="G1109" s="5"/>
      <c r="H1109" s="5"/>
      <c r="I1109" s="5"/>
      <c r="J1109" s="5"/>
      <c r="K1109" s="5"/>
      <c r="L1109" s="5"/>
      <c r="M1109" s="5"/>
      <c r="N1109" s="5"/>
      <c r="O1109" s="38">
        <f t="shared" si="126"/>
        <v>0</v>
      </c>
      <c r="P1109" s="38">
        <f t="shared" si="125"/>
        <v>0</v>
      </c>
      <c r="Q1109" s="38">
        <f t="shared" si="127"/>
        <v>0</v>
      </c>
      <c r="R1109" s="38">
        <f t="shared" si="128"/>
        <v>0</v>
      </c>
      <c r="S1109" s="38">
        <f t="shared" si="129"/>
        <v>0</v>
      </c>
      <c r="T1109" s="38">
        <f t="shared" si="130"/>
        <v>0</v>
      </c>
      <c r="U1109" s="38">
        <f t="shared" si="131"/>
        <v>0</v>
      </c>
      <c r="V1109" s="55"/>
    </row>
    <row r="1110" spans="2:22" s="50" customFormat="1" ht="11.25" hidden="1">
      <c r="B1110" s="69" t="s">
        <v>273</v>
      </c>
      <c r="C1110" s="84"/>
      <c r="D1110" s="31"/>
      <c r="E1110" s="5"/>
      <c r="F1110" s="5"/>
      <c r="G1110" s="5"/>
      <c r="H1110" s="5"/>
      <c r="I1110" s="5"/>
      <c r="J1110" s="5"/>
      <c r="K1110" s="5"/>
      <c r="L1110" s="5"/>
      <c r="M1110" s="5"/>
      <c r="N1110" s="5"/>
      <c r="O1110" s="38">
        <f t="shared" si="126"/>
        <v>0</v>
      </c>
      <c r="P1110" s="38">
        <f t="shared" si="125"/>
        <v>0</v>
      </c>
      <c r="Q1110" s="38">
        <f t="shared" si="127"/>
        <v>0</v>
      </c>
      <c r="R1110" s="38">
        <f t="shared" si="128"/>
        <v>0</v>
      </c>
      <c r="S1110" s="38">
        <f t="shared" si="129"/>
        <v>0</v>
      </c>
      <c r="T1110" s="38">
        <f t="shared" si="130"/>
        <v>0</v>
      </c>
      <c r="U1110" s="38">
        <f t="shared" si="131"/>
        <v>0</v>
      </c>
      <c r="V1110" s="55"/>
    </row>
    <row r="1111" spans="2:22" s="50" customFormat="1" ht="11.25">
      <c r="B1111" s="69" t="s">
        <v>273</v>
      </c>
      <c r="C1111" s="84"/>
      <c r="D1111" s="31"/>
      <c r="E1111" s="5"/>
      <c r="F1111" s="5"/>
      <c r="G1111" s="5"/>
      <c r="H1111" s="5"/>
      <c r="I1111" s="5"/>
      <c r="J1111" s="5"/>
      <c r="K1111" s="5"/>
      <c r="L1111" s="5"/>
      <c r="M1111" s="5"/>
      <c r="N1111" s="5"/>
      <c r="O1111" s="38">
        <f t="shared" si="126"/>
        <v>0</v>
      </c>
      <c r="P1111" s="38">
        <f t="shared" si="125"/>
        <v>0</v>
      </c>
      <c r="Q1111" s="38">
        <f t="shared" si="127"/>
        <v>0</v>
      </c>
      <c r="R1111" s="38">
        <f t="shared" si="128"/>
        <v>0</v>
      </c>
      <c r="S1111" s="38">
        <f t="shared" si="129"/>
        <v>0</v>
      </c>
      <c r="T1111" s="38">
        <f t="shared" si="130"/>
        <v>0</v>
      </c>
      <c r="U1111" s="38">
        <f t="shared" si="131"/>
        <v>0</v>
      </c>
      <c r="V1111" s="55"/>
    </row>
    <row r="1112" spans="2:22" s="50" customFormat="1" ht="11.25">
      <c r="B1112" s="72" t="s">
        <v>464</v>
      </c>
      <c r="C1112" s="87"/>
      <c r="D1112" s="72"/>
      <c r="E1112" s="38">
        <f>SUM(E962:E1111)</f>
        <v>0</v>
      </c>
      <c r="F1112" s="38"/>
      <c r="G1112" s="38">
        <f t="shared" ref="G1112:N1112" si="132">SUM(G962:G1111)</f>
        <v>0</v>
      </c>
      <c r="H1112" s="38">
        <f t="shared" si="132"/>
        <v>0</v>
      </c>
      <c r="I1112" s="38">
        <f t="shared" si="132"/>
        <v>0</v>
      </c>
      <c r="J1112" s="38">
        <f t="shared" si="132"/>
        <v>0</v>
      </c>
      <c r="K1112" s="38">
        <f t="shared" si="132"/>
        <v>0</v>
      </c>
      <c r="L1112" s="38">
        <f t="shared" si="132"/>
        <v>0</v>
      </c>
      <c r="M1112" s="38">
        <f>SUM(M962:M1111)</f>
        <v>0</v>
      </c>
      <c r="N1112" s="38">
        <f t="shared" si="132"/>
        <v>0</v>
      </c>
      <c r="O1112" s="38">
        <f t="shared" si="126"/>
        <v>0</v>
      </c>
      <c r="P1112" s="38">
        <f t="shared" si="125"/>
        <v>0</v>
      </c>
      <c r="Q1112" s="38">
        <f t="shared" si="127"/>
        <v>0</v>
      </c>
      <c r="R1112" s="38">
        <f t="shared" si="128"/>
        <v>0</v>
      </c>
      <c r="S1112" s="38">
        <f t="shared" si="129"/>
        <v>0</v>
      </c>
      <c r="T1112" s="38">
        <f t="shared" si="130"/>
        <v>0</v>
      </c>
      <c r="U1112" s="38">
        <f t="shared" si="131"/>
        <v>0</v>
      </c>
      <c r="V1112" s="55"/>
    </row>
    <row r="1113" spans="2:22">
      <c r="B1113" s="76"/>
      <c r="V1113" s="55"/>
    </row>
    <row r="1114" spans="2:22" ht="15.75">
      <c r="B1114" s="77" t="s">
        <v>465</v>
      </c>
      <c r="C1114" s="78"/>
      <c r="D1114" s="78"/>
      <c r="E1114" s="79">
        <f>SUM(E1112,E915,E764,E613,E462,E311,E160,E961)</f>
        <v>0</v>
      </c>
      <c r="F1114" s="80"/>
      <c r="G1114" s="79">
        <f t="shared" ref="G1114:N1114" si="133">SUM(G1112,G915,G764,G613,G462,G311,G160,G961)</f>
        <v>0</v>
      </c>
      <c r="H1114" s="79">
        <f t="shared" si="133"/>
        <v>0</v>
      </c>
      <c r="I1114" s="79">
        <f t="shared" si="133"/>
        <v>0</v>
      </c>
      <c r="J1114" s="79">
        <f t="shared" si="133"/>
        <v>0</v>
      </c>
      <c r="K1114" s="79">
        <f t="shared" si="133"/>
        <v>0</v>
      </c>
      <c r="L1114" s="79">
        <f t="shared" si="133"/>
        <v>0</v>
      </c>
      <c r="M1114" s="79">
        <f t="shared" si="133"/>
        <v>0</v>
      </c>
      <c r="N1114" s="79">
        <f t="shared" si="133"/>
        <v>0</v>
      </c>
      <c r="O1114" s="79">
        <f>SUM(O1112,O961,O915,O764,O613,O462,O311,O160)</f>
        <v>0</v>
      </c>
      <c r="P1114" s="38">
        <f>IF(I1114=0,0,J1114/I1114*10)</f>
        <v>0</v>
      </c>
      <c r="Q1114" s="38">
        <f>IF(I1114=0,0,L1114/I1114*10)</f>
        <v>0</v>
      </c>
      <c r="R1114" s="38">
        <f>IF(I1114=0,0,M1114/I1114*10)</f>
        <v>0</v>
      </c>
      <c r="S1114" s="38">
        <f>IF(I1114=0,0,N1114/I1114*10)</f>
        <v>0</v>
      </c>
      <c r="T1114" s="38">
        <f>IF(I1114=0,0,K1114/I1114*10)</f>
        <v>0</v>
      </c>
      <c r="U1114" s="38">
        <f>IF(I1114=0,0,O1114/I1114*10)</f>
        <v>0</v>
      </c>
      <c r="V1114" s="55"/>
    </row>
  </sheetData>
  <sheetProtection password="C89E" sheet="1"/>
  <mergeCells count="8">
    <mergeCell ref="P8:T8"/>
    <mergeCell ref="V8:V9"/>
    <mergeCell ref="B5:G5"/>
    <mergeCell ref="B8:B9"/>
    <mergeCell ref="C8:C9"/>
    <mergeCell ref="D8:D9"/>
    <mergeCell ref="H8:I8"/>
    <mergeCell ref="J8:O8"/>
  </mergeCells>
  <dataValidations count="1">
    <dataValidation type="decimal" allowBlank="1" showInputMessage="1" showErrorMessage="1" sqref="H10:H65536 J766:J65536 J1:J764 E6:G65536 I1:I1048576 E1:G4 H1:H8 N1:Q1048576 M10:M65536 M1:M8 R1:R8 R10:R65536 S1:U1048576 K1:L1048576">
      <formula1>-999999999999999000000</formula1>
      <formula2>9.99999999999999E+29</formula2>
    </dataValidation>
  </dataValidations>
  <hyperlinks>
    <hyperlink ref="A1" location="Index!A1" display="Index sheet"/>
  </hyperlinks>
  <printOptions horizontalCentered="1" verticalCentered="1"/>
  <pageMargins left="0.5" right="0.5" top="0.5" bottom="0.5" header="0.5" footer="0.5"/>
  <pageSetup paperSize="9" scale="70" orientation="landscape" blackAndWhite="1" horizontalDpi="1200" verticalDpi="1200" r:id="rId1"/>
  <headerFooter alignWithMargins="0"/>
  <rowBreaks count="1" manualBreakCount="1">
    <brk id="613" min="1" max="20" man="1"/>
  </rowBreaks>
</worksheet>
</file>

<file path=xl/worksheets/sheet12.xml><?xml version="1.0" encoding="utf-8"?>
<worksheet xmlns="http://schemas.openxmlformats.org/spreadsheetml/2006/main" xmlns:r="http://schemas.openxmlformats.org/officeDocument/2006/relationships">
  <sheetPr>
    <pageSetUpPr fitToPage="1"/>
  </sheetPr>
  <dimension ref="A1:AL58"/>
  <sheetViews>
    <sheetView view="pageBreakPreview" zoomScaleSheetLayoutView="100" workbookViewId="0">
      <pane xSplit="2" ySplit="9" topLeftCell="C58" activePane="bottomRight" state="frozen"/>
      <selection sqref="A1:XFD1048576"/>
      <selection pane="topRight" sqref="A1:XFD1048576"/>
      <selection pane="bottomLeft" sqref="A1:XFD1048576"/>
      <selection pane="bottomRight" activeCell="B20" sqref="B20"/>
    </sheetView>
  </sheetViews>
  <sheetFormatPr defaultRowHeight="10.5"/>
  <cols>
    <col min="1" max="1" width="2.7109375" style="92" customWidth="1"/>
    <col min="2" max="2" width="24" style="138" customWidth="1"/>
    <col min="3" max="3" width="36.42578125" style="138" customWidth="1"/>
    <col min="4" max="4" width="7.140625" style="138" bestFit="1" customWidth="1"/>
    <col min="5" max="5" width="9.140625" style="92" customWidth="1"/>
    <col min="6" max="7" width="8.5703125" style="92" bestFit="1" customWidth="1"/>
    <col min="8" max="8" width="12.28515625" style="92" bestFit="1" customWidth="1"/>
    <col min="9" max="9" width="8.85546875" style="92" customWidth="1"/>
    <col min="10" max="10" width="6.7109375" style="92" customWidth="1"/>
    <col min="11" max="11" width="8.7109375" style="92" bestFit="1" customWidth="1"/>
    <col min="12" max="12" width="9.42578125" style="92" customWidth="1"/>
    <col min="13" max="13" width="7.7109375" style="92" customWidth="1"/>
    <col min="14" max="14" width="6.85546875" style="92" bestFit="1" customWidth="1"/>
    <col min="15" max="15" width="7.85546875" style="92" customWidth="1"/>
    <col min="16" max="16" width="6.140625" style="92" bestFit="1" customWidth="1"/>
    <col min="17" max="17" width="10.140625" style="92" bestFit="1" customWidth="1"/>
    <col min="18" max="18" width="7.7109375" style="92" customWidth="1"/>
    <col min="19" max="19" width="6.85546875" style="92" bestFit="1" customWidth="1"/>
    <col min="20" max="20" width="8.7109375" style="92" bestFit="1" customWidth="1"/>
    <col min="21" max="21" width="5.5703125" style="92" bestFit="1" customWidth="1"/>
    <col min="22" max="22" width="9.28515625" style="92" customWidth="1"/>
    <col min="23" max="16384" width="9.140625" style="92"/>
  </cols>
  <sheetData>
    <row r="1" spans="1:38">
      <c r="A1" s="136" t="s">
        <v>396</v>
      </c>
      <c r="E1" s="104"/>
      <c r="F1" s="104"/>
      <c r="G1" s="104"/>
      <c r="H1" s="104"/>
      <c r="I1" s="104"/>
      <c r="J1" s="104"/>
      <c r="K1" s="104"/>
      <c r="L1" s="104"/>
      <c r="M1" s="104"/>
      <c r="N1" s="104"/>
      <c r="O1" s="104"/>
      <c r="P1" s="104"/>
      <c r="Q1" s="104"/>
      <c r="R1" s="104"/>
      <c r="S1" s="104"/>
      <c r="T1" s="104"/>
      <c r="U1" s="104"/>
      <c r="AL1" s="92">
        <v>1</v>
      </c>
    </row>
    <row r="2" spans="1:38" hidden="1">
      <c r="E2" s="104"/>
      <c r="F2" s="104"/>
      <c r="G2" s="104"/>
      <c r="H2" s="104"/>
      <c r="I2" s="104"/>
      <c r="J2" s="104"/>
      <c r="K2" s="104"/>
      <c r="L2" s="104"/>
      <c r="M2" s="104"/>
      <c r="N2" s="104"/>
      <c r="O2" s="104"/>
      <c r="P2" s="104"/>
      <c r="Q2" s="104"/>
      <c r="R2" s="104"/>
      <c r="S2" s="104"/>
      <c r="T2" s="104"/>
      <c r="U2" s="104"/>
      <c r="AL2" s="92">
        <v>2</v>
      </c>
    </row>
    <row r="3" spans="1:38">
      <c r="B3" s="93" t="s">
        <v>472</v>
      </c>
      <c r="C3" s="93" t="s">
        <v>478</v>
      </c>
      <c r="D3" s="93"/>
      <c r="E3" s="283"/>
      <c r="F3" s="283"/>
      <c r="G3" s="283"/>
      <c r="H3" s="283"/>
      <c r="I3" s="283"/>
      <c r="J3" s="283"/>
      <c r="K3" s="104"/>
      <c r="L3" s="104"/>
      <c r="M3" s="104"/>
      <c r="N3" s="104"/>
      <c r="O3" s="104"/>
      <c r="P3" s="104"/>
      <c r="Q3" s="104"/>
      <c r="R3" s="104"/>
      <c r="S3" s="104"/>
      <c r="T3" s="104"/>
      <c r="U3" s="104"/>
    </row>
    <row r="4" spans="1:38">
      <c r="B4" s="93"/>
      <c r="C4" s="93"/>
      <c r="D4" s="93"/>
      <c r="E4" s="283"/>
      <c r="F4" s="283"/>
      <c r="G4" s="283"/>
      <c r="H4" s="283"/>
      <c r="I4" s="283"/>
      <c r="J4" s="283"/>
      <c r="K4" s="104"/>
      <c r="L4" s="104"/>
      <c r="M4" s="104"/>
      <c r="N4" s="104"/>
      <c r="O4" s="104"/>
      <c r="P4" s="104"/>
      <c r="Q4" s="104"/>
      <c r="R4" s="104"/>
      <c r="S4" s="104"/>
      <c r="T4" s="104"/>
      <c r="U4" s="104"/>
    </row>
    <row r="5" spans="1:38" ht="26.25" customHeight="1">
      <c r="B5" s="1820" t="s">
        <v>555</v>
      </c>
      <c r="C5" s="1821"/>
      <c r="D5" s="1821"/>
      <c r="E5" s="1821"/>
      <c r="F5" s="1821"/>
      <c r="G5" s="1822"/>
      <c r="H5" s="1090" t="str">
        <f>Notes!C7</f>
        <v>FY 2025-26</v>
      </c>
      <c r="I5" s="918"/>
      <c r="J5" s="918"/>
      <c r="K5" s="104"/>
      <c r="L5" s="104"/>
      <c r="M5" s="104"/>
      <c r="N5" s="104"/>
      <c r="O5" s="104"/>
      <c r="P5" s="104"/>
      <c r="Q5" s="104"/>
      <c r="R5" s="104"/>
      <c r="S5" s="104"/>
      <c r="T5" s="104"/>
      <c r="U5" s="104"/>
    </row>
    <row r="6" spans="1:38">
      <c r="E6" s="918"/>
      <c r="F6" s="918"/>
      <c r="G6" s="918"/>
      <c r="H6" s="918"/>
      <c r="I6" s="918"/>
      <c r="J6" s="918"/>
      <c r="K6" s="104"/>
      <c r="L6" s="104"/>
      <c r="M6" s="104"/>
      <c r="N6" s="104"/>
      <c r="O6" s="104"/>
      <c r="P6" s="104"/>
      <c r="Q6" s="104"/>
      <c r="R6" s="104"/>
      <c r="S6" s="104"/>
      <c r="T6" s="104"/>
      <c r="U6" s="104"/>
    </row>
    <row r="7" spans="1:38" ht="11.25" thickBot="1">
      <c r="B7" s="93"/>
      <c r="E7" s="104"/>
      <c r="F7" s="104"/>
      <c r="G7" s="104"/>
      <c r="H7" s="104"/>
      <c r="I7" s="1089"/>
      <c r="J7" s="104"/>
      <c r="K7" s="104"/>
      <c r="L7" s="104"/>
      <c r="M7" s="1089"/>
      <c r="N7" s="104"/>
      <c r="O7" s="104"/>
      <c r="P7" s="104"/>
      <c r="Q7" s="104"/>
      <c r="R7" s="104"/>
      <c r="S7" s="104"/>
      <c r="T7" s="104"/>
      <c r="U7" s="104"/>
    </row>
    <row r="8" spans="1:38" s="588" customFormat="1" ht="21">
      <c r="B8" s="1823" t="s">
        <v>452</v>
      </c>
      <c r="C8" s="1825" t="s">
        <v>466</v>
      </c>
      <c r="D8" s="1825" t="s">
        <v>467</v>
      </c>
      <c r="E8" s="1075" t="s">
        <v>222</v>
      </c>
      <c r="F8" s="1075" t="s">
        <v>225</v>
      </c>
      <c r="G8" s="1075" t="s">
        <v>225</v>
      </c>
      <c r="H8" s="1762" t="s">
        <v>250</v>
      </c>
      <c r="I8" s="1762"/>
      <c r="J8" s="1762" t="s">
        <v>91</v>
      </c>
      <c r="K8" s="1762"/>
      <c r="L8" s="1762"/>
      <c r="M8" s="1762"/>
      <c r="N8" s="1762"/>
      <c r="O8" s="1762"/>
      <c r="P8" s="1762" t="s">
        <v>370</v>
      </c>
      <c r="Q8" s="1762"/>
      <c r="R8" s="1762"/>
      <c r="S8" s="1762"/>
      <c r="T8" s="1762"/>
      <c r="U8" s="168"/>
      <c r="V8" s="1760" t="s">
        <v>365</v>
      </c>
    </row>
    <row r="9" spans="1:38" s="588" customFormat="1" ht="24" customHeight="1">
      <c r="B9" s="1824"/>
      <c r="C9" s="1771"/>
      <c r="D9" s="1771"/>
      <c r="E9" s="170" t="s">
        <v>223</v>
      </c>
      <c r="F9" s="170" t="s">
        <v>224</v>
      </c>
      <c r="G9" s="170" t="s">
        <v>223</v>
      </c>
      <c r="H9" s="170" t="s">
        <v>521</v>
      </c>
      <c r="I9" s="170" t="s">
        <v>209</v>
      </c>
      <c r="J9" s="170" t="s">
        <v>94</v>
      </c>
      <c r="K9" s="170" t="s">
        <v>95</v>
      </c>
      <c r="L9" s="170" t="s">
        <v>96</v>
      </c>
      <c r="M9" s="170" t="s">
        <v>97</v>
      </c>
      <c r="N9" s="170" t="s">
        <v>392</v>
      </c>
      <c r="O9" s="170" t="s">
        <v>98</v>
      </c>
      <c r="P9" s="170" t="s">
        <v>94</v>
      </c>
      <c r="Q9" s="170" t="s">
        <v>262</v>
      </c>
      <c r="R9" s="170" t="s">
        <v>97</v>
      </c>
      <c r="S9" s="170" t="s">
        <v>392</v>
      </c>
      <c r="T9" s="170" t="s">
        <v>95</v>
      </c>
      <c r="U9" s="170" t="s">
        <v>98</v>
      </c>
      <c r="V9" s="1761"/>
    </row>
    <row r="10" spans="1:38" s="621" customFormat="1">
      <c r="B10" s="1091" t="s">
        <v>453</v>
      </c>
      <c r="C10" s="1092" t="s">
        <v>861</v>
      </c>
      <c r="D10" s="1093"/>
      <c r="E10" s="1094"/>
      <c r="F10" s="1095"/>
      <c r="G10" s="1095"/>
      <c r="H10" s="1096"/>
      <c r="I10" s="1096">
        <f>H10</f>
        <v>0</v>
      </c>
      <c r="J10" s="1097"/>
      <c r="K10" s="1097"/>
      <c r="L10" s="1098"/>
      <c r="M10" s="1098"/>
      <c r="N10" s="1098"/>
      <c r="O10" s="1099">
        <f t="shared" ref="O10:O20" si="0">SUM(J10:N10)</f>
        <v>0</v>
      </c>
      <c r="P10" s="1100">
        <f t="shared" ref="P10:P20" si="1">IF(I10=0,0,J10/I10*10)</f>
        <v>0</v>
      </c>
      <c r="Q10" s="1100">
        <f t="shared" ref="Q10:Q20" si="2">IF(I10=0,0,L10/I10*10)</f>
        <v>0</v>
      </c>
      <c r="R10" s="1100">
        <f t="shared" ref="R10:R20" si="3">IF(I10=0,0,M10/I10*10)</f>
        <v>0</v>
      </c>
      <c r="S10" s="1100">
        <f t="shared" ref="S10:S20" si="4">IF(I10=0,0,N10/I10*10)</f>
        <v>0</v>
      </c>
      <c r="T10" s="1100">
        <f t="shared" ref="T10:T20" si="5">IF(I10=0,0,K10/I10*10)</f>
        <v>0</v>
      </c>
      <c r="U10" s="1100">
        <f t="shared" ref="U10:U20" si="6">IF(I10=0,0,O10/I10*10)</f>
        <v>0</v>
      </c>
      <c r="V10" s="609"/>
    </row>
    <row r="11" spans="1:38" s="621" customFormat="1">
      <c r="B11" s="1091" t="s">
        <v>453</v>
      </c>
      <c r="C11" s="1092" t="s">
        <v>862</v>
      </c>
      <c r="D11" s="1093"/>
      <c r="E11" s="1094"/>
      <c r="F11" s="1095"/>
      <c r="G11" s="1095"/>
      <c r="H11" s="1096"/>
      <c r="I11" s="1096">
        <f>H11</f>
        <v>0</v>
      </c>
      <c r="J11" s="1097"/>
      <c r="K11" s="1097"/>
      <c r="L11" s="1098"/>
      <c r="M11" s="1098"/>
      <c r="N11" s="1098"/>
      <c r="O11" s="1099">
        <f t="shared" si="0"/>
        <v>0</v>
      </c>
      <c r="P11" s="1100">
        <f t="shared" si="1"/>
        <v>0</v>
      </c>
      <c r="Q11" s="1100">
        <f t="shared" si="2"/>
        <v>0</v>
      </c>
      <c r="R11" s="1100">
        <f t="shared" si="3"/>
        <v>0</v>
      </c>
      <c r="S11" s="1100">
        <f t="shared" si="4"/>
        <v>0</v>
      </c>
      <c r="T11" s="1100">
        <f t="shared" si="5"/>
        <v>0</v>
      </c>
      <c r="U11" s="1100">
        <f t="shared" si="6"/>
        <v>0</v>
      </c>
      <c r="V11" s="609"/>
    </row>
    <row r="12" spans="1:38" s="621" customFormat="1">
      <c r="B12" s="1091" t="s">
        <v>453</v>
      </c>
      <c r="C12" s="1125" t="s">
        <v>863</v>
      </c>
      <c r="D12" s="1093"/>
      <c r="E12" s="1094"/>
      <c r="F12" s="1095"/>
      <c r="G12" s="1095"/>
      <c r="H12" s="1096"/>
      <c r="I12" s="1096">
        <f>H12</f>
        <v>0</v>
      </c>
      <c r="J12" s="1097"/>
      <c r="K12" s="1097"/>
      <c r="L12" s="1101"/>
      <c r="M12" s="1101"/>
      <c r="N12" s="1101"/>
      <c r="O12" s="1100">
        <f t="shared" si="0"/>
        <v>0</v>
      </c>
      <c r="P12" s="1100">
        <f t="shared" si="1"/>
        <v>0</v>
      </c>
      <c r="Q12" s="1100">
        <f t="shared" si="2"/>
        <v>0</v>
      </c>
      <c r="R12" s="1100">
        <f t="shared" si="3"/>
        <v>0</v>
      </c>
      <c r="S12" s="1100">
        <f t="shared" si="4"/>
        <v>0</v>
      </c>
      <c r="T12" s="1100">
        <f t="shared" si="5"/>
        <v>0</v>
      </c>
      <c r="U12" s="1100">
        <f t="shared" si="6"/>
        <v>0</v>
      </c>
      <c r="V12" s="609"/>
    </row>
    <row r="13" spans="1:38" s="1102" customFormat="1">
      <c r="B13" s="1103" t="s">
        <v>455</v>
      </c>
      <c r="C13" s="1104"/>
      <c r="D13" s="1104"/>
      <c r="E13" s="1105">
        <f>SUM(E10:E12)</f>
        <v>0</v>
      </c>
      <c r="F13" s="1106"/>
      <c r="G13" s="1106">
        <f t="shared" ref="G13:N13" si="7">SUM(G10:G12)</f>
        <v>0</v>
      </c>
      <c r="H13" s="1107">
        <f t="shared" si="7"/>
        <v>0</v>
      </c>
      <c r="I13" s="1107">
        <f t="shared" si="7"/>
        <v>0</v>
      </c>
      <c r="J13" s="1107">
        <f t="shared" si="7"/>
        <v>0</v>
      </c>
      <c r="K13" s="1107">
        <f t="shared" si="7"/>
        <v>0</v>
      </c>
      <c r="L13" s="1106">
        <f t="shared" si="7"/>
        <v>0</v>
      </c>
      <c r="M13" s="1106">
        <f t="shared" si="7"/>
        <v>0</v>
      </c>
      <c r="N13" s="1106">
        <f t="shared" si="7"/>
        <v>0</v>
      </c>
      <c r="O13" s="1106">
        <f t="shared" si="0"/>
        <v>0</v>
      </c>
      <c r="P13" s="1106">
        <f t="shared" si="1"/>
        <v>0</v>
      </c>
      <c r="Q13" s="1106">
        <f t="shared" si="2"/>
        <v>0</v>
      </c>
      <c r="R13" s="1106">
        <f t="shared" si="3"/>
        <v>0</v>
      </c>
      <c r="S13" s="1106">
        <f t="shared" si="4"/>
        <v>0</v>
      </c>
      <c r="T13" s="1106">
        <f t="shared" si="5"/>
        <v>0</v>
      </c>
      <c r="U13" s="1106">
        <f t="shared" si="6"/>
        <v>0</v>
      </c>
      <c r="V13" s="1108"/>
    </row>
    <row r="14" spans="1:38" s="621" customFormat="1" ht="15.75" customHeight="1">
      <c r="B14" s="1091" t="s">
        <v>454</v>
      </c>
      <c r="C14" s="1092" t="s">
        <v>864</v>
      </c>
      <c r="D14" s="1093"/>
      <c r="E14" s="1094"/>
      <c r="F14" s="1095"/>
      <c r="G14" s="1095"/>
      <c r="H14" s="1096"/>
      <c r="I14" s="1096">
        <f>H14</f>
        <v>0</v>
      </c>
      <c r="J14" s="1097"/>
      <c r="K14" s="1097"/>
      <c r="L14" s="1098"/>
      <c r="M14" s="1098"/>
      <c r="N14" s="1098"/>
      <c r="O14" s="1100">
        <f t="shared" si="0"/>
        <v>0</v>
      </c>
      <c r="P14" s="1100">
        <f t="shared" si="1"/>
        <v>0</v>
      </c>
      <c r="Q14" s="1100">
        <f t="shared" si="2"/>
        <v>0</v>
      </c>
      <c r="R14" s="1100">
        <f t="shared" si="3"/>
        <v>0</v>
      </c>
      <c r="S14" s="1100">
        <f t="shared" si="4"/>
        <v>0</v>
      </c>
      <c r="T14" s="1100">
        <f t="shared" si="5"/>
        <v>0</v>
      </c>
      <c r="U14" s="1100">
        <f t="shared" si="6"/>
        <v>0</v>
      </c>
      <c r="V14" s="609"/>
    </row>
    <row r="15" spans="1:38" s="621" customFormat="1" ht="15.75" customHeight="1">
      <c r="B15" s="1091" t="s">
        <v>454</v>
      </c>
      <c r="C15" s="1092" t="s">
        <v>865</v>
      </c>
      <c r="D15" s="1093"/>
      <c r="E15" s="1094"/>
      <c r="F15" s="1095"/>
      <c r="G15" s="1095"/>
      <c r="H15" s="1096"/>
      <c r="I15" s="1096">
        <v>0</v>
      </c>
      <c r="J15" s="1097"/>
      <c r="K15" s="1097"/>
      <c r="L15" s="1098"/>
      <c r="M15" s="1098"/>
      <c r="N15" s="1098"/>
      <c r="O15" s="1100">
        <f t="shared" si="0"/>
        <v>0</v>
      </c>
      <c r="P15" s="1100">
        <f t="shared" si="1"/>
        <v>0</v>
      </c>
      <c r="Q15" s="1100">
        <f t="shared" si="2"/>
        <v>0</v>
      </c>
      <c r="R15" s="1100">
        <f t="shared" si="3"/>
        <v>0</v>
      </c>
      <c r="S15" s="1100">
        <f t="shared" si="4"/>
        <v>0</v>
      </c>
      <c r="T15" s="1100">
        <f t="shared" si="5"/>
        <v>0</v>
      </c>
      <c r="U15" s="1100">
        <f t="shared" si="6"/>
        <v>0</v>
      </c>
      <c r="V15" s="609"/>
    </row>
    <row r="16" spans="1:38" s="621" customFormat="1" ht="15.75" customHeight="1">
      <c r="B16" s="1091" t="s">
        <v>454</v>
      </c>
      <c r="C16" s="1092" t="s">
        <v>866</v>
      </c>
      <c r="D16" s="1093"/>
      <c r="E16" s="1094"/>
      <c r="F16" s="1095"/>
      <c r="G16" s="1095"/>
      <c r="H16" s="1096"/>
      <c r="I16" s="1096">
        <f>H16</f>
        <v>0</v>
      </c>
      <c r="J16" s="1097"/>
      <c r="K16" s="1097"/>
      <c r="L16" s="1098"/>
      <c r="M16" s="1098"/>
      <c r="N16" s="1098"/>
      <c r="O16" s="1100">
        <f t="shared" si="0"/>
        <v>0</v>
      </c>
      <c r="P16" s="1100">
        <f t="shared" si="1"/>
        <v>0</v>
      </c>
      <c r="Q16" s="1100">
        <f t="shared" si="2"/>
        <v>0</v>
      </c>
      <c r="R16" s="1100">
        <f t="shared" si="3"/>
        <v>0</v>
      </c>
      <c r="S16" s="1100">
        <f t="shared" si="4"/>
        <v>0</v>
      </c>
      <c r="T16" s="1100">
        <f t="shared" si="5"/>
        <v>0</v>
      </c>
      <c r="U16" s="1100">
        <f t="shared" si="6"/>
        <v>0</v>
      </c>
      <c r="V16" s="609"/>
    </row>
    <row r="17" spans="2:31" s="1102" customFormat="1">
      <c r="B17" s="1103" t="s">
        <v>457</v>
      </c>
      <c r="C17" s="1104"/>
      <c r="D17" s="1104"/>
      <c r="E17" s="1105">
        <f>SUM(E14:E16)</f>
        <v>0</v>
      </c>
      <c r="F17" s="1106"/>
      <c r="G17" s="1106">
        <f t="shared" ref="G17:N17" si="8">SUM(G14:G16)</f>
        <v>0</v>
      </c>
      <c r="H17" s="1107">
        <f t="shared" si="8"/>
        <v>0</v>
      </c>
      <c r="I17" s="1107">
        <f t="shared" si="8"/>
        <v>0</v>
      </c>
      <c r="J17" s="1107">
        <f t="shared" si="8"/>
        <v>0</v>
      </c>
      <c r="K17" s="1107">
        <f t="shared" si="8"/>
        <v>0</v>
      </c>
      <c r="L17" s="1106">
        <f t="shared" si="8"/>
        <v>0</v>
      </c>
      <c r="M17" s="1106">
        <f t="shared" si="8"/>
        <v>0</v>
      </c>
      <c r="N17" s="1106">
        <f t="shared" si="8"/>
        <v>0</v>
      </c>
      <c r="O17" s="1106">
        <f t="shared" si="0"/>
        <v>0</v>
      </c>
      <c r="P17" s="1106">
        <f t="shared" si="1"/>
        <v>0</v>
      </c>
      <c r="Q17" s="1106">
        <f t="shared" si="2"/>
        <v>0</v>
      </c>
      <c r="R17" s="1106">
        <f t="shared" si="3"/>
        <v>0</v>
      </c>
      <c r="S17" s="1106">
        <f t="shared" si="4"/>
        <v>0</v>
      </c>
      <c r="T17" s="1106">
        <f t="shared" si="5"/>
        <v>0</v>
      </c>
      <c r="U17" s="1106">
        <f t="shared" si="6"/>
        <v>0</v>
      </c>
      <c r="V17" s="1108"/>
    </row>
    <row r="18" spans="2:31" s="621" customFormat="1">
      <c r="B18" s="1091" t="s">
        <v>456</v>
      </c>
      <c r="C18" s="1109"/>
      <c r="D18" s="1109"/>
      <c r="E18" s="1094"/>
      <c r="F18" s="1095"/>
      <c r="G18" s="1095"/>
      <c r="H18" s="1097"/>
      <c r="I18" s="1097"/>
      <c r="J18" s="1097"/>
      <c r="K18" s="1097"/>
      <c r="L18" s="1101"/>
      <c r="M18" s="1101"/>
      <c r="N18" s="1101"/>
      <c r="O18" s="1100">
        <f t="shared" si="0"/>
        <v>0</v>
      </c>
      <c r="P18" s="1100">
        <f t="shared" si="1"/>
        <v>0</v>
      </c>
      <c r="Q18" s="1100">
        <f t="shared" si="2"/>
        <v>0</v>
      </c>
      <c r="R18" s="1100">
        <f t="shared" si="3"/>
        <v>0</v>
      </c>
      <c r="S18" s="1100">
        <f t="shared" si="4"/>
        <v>0</v>
      </c>
      <c r="T18" s="1100">
        <f t="shared" si="5"/>
        <v>0</v>
      </c>
      <c r="U18" s="1100">
        <f t="shared" si="6"/>
        <v>0</v>
      </c>
      <c r="V18" s="609"/>
    </row>
    <row r="19" spans="2:31" s="1102" customFormat="1" ht="21">
      <c r="B19" s="1103" t="s">
        <v>459</v>
      </c>
      <c r="C19" s="1104"/>
      <c r="D19" s="1104"/>
      <c r="E19" s="1105">
        <f>SUM(E18:E18)</f>
        <v>0</v>
      </c>
      <c r="F19" s="1106"/>
      <c r="G19" s="1106">
        <f t="shared" ref="G19:N19" si="9">SUM(G18:G18)</f>
        <v>0</v>
      </c>
      <c r="H19" s="1107">
        <f t="shared" si="9"/>
        <v>0</v>
      </c>
      <c r="I19" s="1107">
        <f t="shared" si="9"/>
        <v>0</v>
      </c>
      <c r="J19" s="1107">
        <f t="shared" si="9"/>
        <v>0</v>
      </c>
      <c r="K19" s="1107">
        <f t="shared" si="9"/>
        <v>0</v>
      </c>
      <c r="L19" s="1106">
        <f t="shared" si="9"/>
        <v>0</v>
      </c>
      <c r="M19" s="1106">
        <f t="shared" si="9"/>
        <v>0</v>
      </c>
      <c r="N19" s="1106">
        <f t="shared" si="9"/>
        <v>0</v>
      </c>
      <c r="O19" s="1106">
        <f t="shared" si="0"/>
        <v>0</v>
      </c>
      <c r="P19" s="1106">
        <f t="shared" si="1"/>
        <v>0</v>
      </c>
      <c r="Q19" s="1106">
        <f t="shared" si="2"/>
        <v>0</v>
      </c>
      <c r="R19" s="1106">
        <f t="shared" si="3"/>
        <v>0</v>
      </c>
      <c r="S19" s="1106">
        <f t="shared" si="4"/>
        <v>0</v>
      </c>
      <c r="T19" s="1106">
        <f t="shared" si="5"/>
        <v>0</v>
      </c>
      <c r="U19" s="1106">
        <f t="shared" si="6"/>
        <v>0</v>
      </c>
      <c r="V19" s="1108"/>
    </row>
    <row r="20" spans="2:31" s="621" customFormat="1" ht="24.75" customHeight="1">
      <c r="B20" s="1091" t="s">
        <v>458</v>
      </c>
      <c r="C20" s="1092" t="s">
        <v>867</v>
      </c>
      <c r="D20" s="1093"/>
      <c r="E20" s="1094"/>
      <c r="F20" s="1095"/>
      <c r="G20" s="1095"/>
      <c r="H20" s="1096"/>
      <c r="I20" s="1096">
        <f>H20</f>
        <v>0</v>
      </c>
      <c r="J20" s="1097"/>
      <c r="K20" s="1097"/>
      <c r="L20" s="1098"/>
      <c r="M20" s="1098"/>
      <c r="N20" s="1098"/>
      <c r="O20" s="1100">
        <f t="shared" si="0"/>
        <v>0</v>
      </c>
      <c r="P20" s="1100">
        <f t="shared" si="1"/>
        <v>0</v>
      </c>
      <c r="Q20" s="1100">
        <f t="shared" si="2"/>
        <v>0</v>
      </c>
      <c r="R20" s="1100">
        <f t="shared" si="3"/>
        <v>0</v>
      </c>
      <c r="S20" s="1100">
        <f t="shared" si="4"/>
        <v>0</v>
      </c>
      <c r="T20" s="1100">
        <f t="shared" si="5"/>
        <v>0</v>
      </c>
      <c r="U20" s="1100">
        <f t="shared" si="6"/>
        <v>0</v>
      </c>
      <c r="V20" s="609"/>
      <c r="AE20" s="1110"/>
    </row>
    <row r="21" spans="2:31" s="621" customFormat="1">
      <c r="B21" s="1091"/>
      <c r="C21" s="1092"/>
      <c r="D21" s="1093"/>
      <c r="E21" s="1094"/>
      <c r="F21" s="1095"/>
      <c r="G21" s="1095"/>
      <c r="H21" s="1096"/>
      <c r="I21" s="1096"/>
      <c r="J21" s="1097"/>
      <c r="K21" s="1097"/>
      <c r="L21" s="1098"/>
      <c r="M21" s="1098"/>
      <c r="N21" s="1098"/>
      <c r="O21" s="1100"/>
      <c r="P21" s="1100"/>
      <c r="Q21" s="1100"/>
      <c r="R21" s="1100"/>
      <c r="S21" s="1100"/>
      <c r="T21" s="1100"/>
      <c r="U21" s="1100"/>
      <c r="V21" s="609"/>
      <c r="AE21" s="1110"/>
    </row>
    <row r="22" spans="2:31" s="1102" customFormat="1">
      <c r="B22" s="1103" t="s">
        <v>480</v>
      </c>
      <c r="C22" s="1104"/>
      <c r="D22" s="1104"/>
      <c r="E22" s="1105">
        <f>SUM(E20:E21)</f>
        <v>0</v>
      </c>
      <c r="F22" s="1106"/>
      <c r="G22" s="1106">
        <f t="shared" ref="G22:N22" si="10">SUM(G20:G21)</f>
        <v>0</v>
      </c>
      <c r="H22" s="1107">
        <f t="shared" si="10"/>
        <v>0</v>
      </c>
      <c r="I22" s="1107">
        <f t="shared" si="10"/>
        <v>0</v>
      </c>
      <c r="J22" s="1107">
        <f t="shared" si="10"/>
        <v>0</v>
      </c>
      <c r="K22" s="1107">
        <f t="shared" si="10"/>
        <v>0</v>
      </c>
      <c r="L22" s="1106">
        <f t="shared" si="10"/>
        <v>0</v>
      </c>
      <c r="M22" s="1106">
        <f t="shared" si="10"/>
        <v>0</v>
      </c>
      <c r="N22" s="1106">
        <f t="shared" si="10"/>
        <v>0</v>
      </c>
      <c r="O22" s="1106">
        <f>SUM(J22:N22)</f>
        <v>0</v>
      </c>
      <c r="P22" s="1106">
        <f>IF(I22=0,0,J22/I22*10)</f>
        <v>0</v>
      </c>
      <c r="Q22" s="1106">
        <f>IF(I22=0,0,L22/I22*10)</f>
        <v>0</v>
      </c>
      <c r="R22" s="1106">
        <f>IF(I22=0,0,M22/I22*10)</f>
        <v>0</v>
      </c>
      <c r="S22" s="1106">
        <f>IF(I22=0,0,N22/I22*10)</f>
        <v>0</v>
      </c>
      <c r="T22" s="1106">
        <f>IF(I22=0,0,K22/I22*10)</f>
        <v>0</v>
      </c>
      <c r="U22" s="1106">
        <f>IF(I22=0,0,O22/I22*10)</f>
        <v>0</v>
      </c>
      <c r="V22" s="1108"/>
    </row>
    <row r="23" spans="2:31" s="621" customFormat="1" ht="22.5" customHeight="1">
      <c r="B23" s="1111"/>
      <c r="C23" s="1092"/>
      <c r="D23" s="1109"/>
      <c r="E23" s="1094"/>
      <c r="F23" s="1095"/>
      <c r="G23" s="1095"/>
      <c r="H23" s="1097"/>
      <c r="I23" s="1097"/>
      <c r="J23" s="1097"/>
      <c r="K23" s="1097"/>
      <c r="L23" s="1101"/>
      <c r="M23" s="1101"/>
      <c r="N23" s="1101"/>
      <c r="O23" s="1112"/>
      <c r="P23" s="1112"/>
      <c r="Q23" s="1112"/>
      <c r="R23" s="1112"/>
      <c r="S23" s="1112"/>
      <c r="T23" s="1112"/>
      <c r="U23" s="1112"/>
      <c r="V23" s="609"/>
      <c r="AE23" s="1110"/>
    </row>
    <row r="24" spans="2:31" s="1102" customFormat="1">
      <c r="B24" s="1103" t="s">
        <v>461</v>
      </c>
      <c r="C24" s="1113"/>
      <c r="D24" s="1114"/>
      <c r="E24" s="1115"/>
      <c r="F24" s="1116"/>
      <c r="G24" s="1116"/>
      <c r="H24" s="1117">
        <f>SUM(H23:H23)</f>
        <v>0</v>
      </c>
      <c r="I24" s="1117">
        <f>SUM(I23:I23)</f>
        <v>0</v>
      </c>
      <c r="J24" s="1117">
        <f>SUM(J23:J23)</f>
        <v>0</v>
      </c>
      <c r="K24" s="1107">
        <f>SUM(K23:K23)</f>
        <v>0</v>
      </c>
      <c r="L24" s="1118"/>
      <c r="M24" s="1118"/>
      <c r="N24" s="1118"/>
      <c r="O24" s="1100">
        <f t="shared" ref="O24:O32" si="11">SUM(J24:N24)</f>
        <v>0</v>
      </c>
      <c r="P24" s="1100">
        <f>IF(I24=0,0,J24/I24*10)</f>
        <v>0</v>
      </c>
      <c r="Q24" s="1100">
        <f t="shared" ref="Q24:Q32" si="12">IF(I24=0,0,L24/I24*10)</f>
        <v>0</v>
      </c>
      <c r="R24" s="1100">
        <f t="shared" ref="R24:R32" si="13">IF(I24=0,0,M24/I24*10)</f>
        <v>0</v>
      </c>
      <c r="S24" s="1100">
        <f t="shared" ref="S24:S32" si="14">IF(I24=0,0,N24/I24*10)</f>
        <v>0</v>
      </c>
      <c r="T24" s="1100">
        <f t="shared" ref="T24:T32" si="15">IF(I24=0,0,K24/I24*10)</f>
        <v>0</v>
      </c>
      <c r="U24" s="1100">
        <f t="shared" ref="U24:U32" si="16">IF(I24=0,0,O24/I24*10)</f>
        <v>0</v>
      </c>
      <c r="V24" s="1108"/>
    </row>
    <row r="25" spans="2:31" s="621" customFormat="1">
      <c r="B25" s="1119" t="s">
        <v>462</v>
      </c>
      <c r="C25" s="1092" t="s">
        <v>868</v>
      </c>
      <c r="D25" s="1093"/>
      <c r="E25" s="1094"/>
      <c r="F25" s="1095"/>
      <c r="G25" s="1095"/>
      <c r="H25" s="1096"/>
      <c r="I25" s="1096">
        <f>H25</f>
        <v>0</v>
      </c>
      <c r="J25" s="1097"/>
      <c r="K25" s="1097"/>
      <c r="L25" s="1098"/>
      <c r="M25" s="1098"/>
      <c r="N25" s="1098"/>
      <c r="O25" s="1100">
        <f t="shared" si="11"/>
        <v>0</v>
      </c>
      <c r="P25" s="1100">
        <f>IF(I25=0,0,J26/I25*10)</f>
        <v>0</v>
      </c>
      <c r="Q25" s="1100">
        <f t="shared" si="12"/>
        <v>0</v>
      </c>
      <c r="R25" s="1100">
        <f t="shared" si="13"/>
        <v>0</v>
      </c>
      <c r="S25" s="1100">
        <f t="shared" si="14"/>
        <v>0</v>
      </c>
      <c r="T25" s="1100">
        <f t="shared" si="15"/>
        <v>0</v>
      </c>
      <c r="U25" s="1100">
        <f t="shared" si="16"/>
        <v>0</v>
      </c>
      <c r="V25" s="609"/>
    </row>
    <row r="26" spans="2:31" s="621" customFormat="1">
      <c r="B26" s="1119" t="s">
        <v>462</v>
      </c>
      <c r="C26" s="1092" t="s">
        <v>869</v>
      </c>
      <c r="D26" s="1093"/>
      <c r="E26" s="1094"/>
      <c r="F26" s="1095"/>
      <c r="G26" s="1095"/>
      <c r="H26" s="1096"/>
      <c r="I26" s="1096">
        <f>H26</f>
        <v>0</v>
      </c>
      <c r="J26" s="1097"/>
      <c r="K26" s="1097"/>
      <c r="L26" s="1098"/>
      <c r="M26" s="1098"/>
      <c r="N26" s="1098"/>
      <c r="O26" s="1100">
        <f t="shared" si="11"/>
        <v>0</v>
      </c>
      <c r="P26" s="1100">
        <f t="shared" ref="P26:P32" si="17">IF(I26=0,0,J26/I26*10)</f>
        <v>0</v>
      </c>
      <c r="Q26" s="1100">
        <f t="shared" si="12"/>
        <v>0</v>
      </c>
      <c r="R26" s="1100">
        <f t="shared" si="13"/>
        <v>0</v>
      </c>
      <c r="S26" s="1100">
        <f t="shared" si="14"/>
        <v>0</v>
      </c>
      <c r="T26" s="1100">
        <f t="shared" si="15"/>
        <v>0</v>
      </c>
      <c r="U26" s="1100">
        <f t="shared" si="16"/>
        <v>0</v>
      </c>
      <c r="V26" s="609"/>
    </row>
    <row r="27" spans="2:31" s="621" customFormat="1">
      <c r="B27" s="1119" t="s">
        <v>462</v>
      </c>
      <c r="C27" s="1092" t="s">
        <v>870</v>
      </c>
      <c r="D27" s="1109"/>
      <c r="E27" s="1094"/>
      <c r="F27" s="1095"/>
      <c r="G27" s="1095"/>
      <c r="H27" s="1096"/>
      <c r="I27" s="1096">
        <f>H27</f>
        <v>0</v>
      </c>
      <c r="J27" s="1097"/>
      <c r="K27" s="1097"/>
      <c r="L27" s="1101"/>
      <c r="M27" s="1101"/>
      <c r="N27" s="1101"/>
      <c r="O27" s="1100">
        <f t="shared" si="11"/>
        <v>0</v>
      </c>
      <c r="P27" s="1100">
        <f t="shared" si="17"/>
        <v>0</v>
      </c>
      <c r="Q27" s="1100">
        <f t="shared" si="12"/>
        <v>0</v>
      </c>
      <c r="R27" s="1100">
        <f t="shared" si="13"/>
        <v>0</v>
      </c>
      <c r="S27" s="1100">
        <f t="shared" si="14"/>
        <v>0</v>
      </c>
      <c r="T27" s="1100">
        <f t="shared" si="15"/>
        <v>0</v>
      </c>
      <c r="U27" s="1100">
        <f t="shared" si="16"/>
        <v>0</v>
      </c>
      <c r="V27" s="609"/>
    </row>
    <row r="28" spans="2:31" s="621" customFormat="1">
      <c r="B28" s="1119" t="s">
        <v>462</v>
      </c>
      <c r="C28" s="1092" t="s">
        <v>871</v>
      </c>
      <c r="D28" s="1109"/>
      <c r="E28" s="1094"/>
      <c r="F28" s="1095"/>
      <c r="G28" s="1095"/>
      <c r="H28" s="1096"/>
      <c r="I28" s="1096">
        <f>H28</f>
        <v>0</v>
      </c>
      <c r="J28" s="1097"/>
      <c r="K28" s="1097"/>
      <c r="L28" s="1101"/>
      <c r="M28" s="1101"/>
      <c r="N28" s="1101"/>
      <c r="O28" s="1100">
        <f t="shared" si="11"/>
        <v>0</v>
      </c>
      <c r="P28" s="1100">
        <f t="shared" si="17"/>
        <v>0</v>
      </c>
      <c r="Q28" s="1100">
        <f t="shared" si="12"/>
        <v>0</v>
      </c>
      <c r="R28" s="1100">
        <f t="shared" si="13"/>
        <v>0</v>
      </c>
      <c r="S28" s="1100">
        <f t="shared" si="14"/>
        <v>0</v>
      </c>
      <c r="T28" s="1100">
        <f t="shared" si="15"/>
        <v>0</v>
      </c>
      <c r="U28" s="1100">
        <f t="shared" si="16"/>
        <v>0</v>
      </c>
      <c r="V28" s="609"/>
    </row>
    <row r="29" spans="2:31" s="1102" customFormat="1">
      <c r="B29" s="1103" t="s">
        <v>463</v>
      </c>
      <c r="C29" s="1104"/>
      <c r="D29" s="1104"/>
      <c r="E29" s="1105">
        <f>SUM(E25:E28)</f>
        <v>0</v>
      </c>
      <c r="F29" s="1106"/>
      <c r="G29" s="1106">
        <f>SUM(G25:G28)</f>
        <v>0</v>
      </c>
      <c r="H29" s="1107">
        <f>SUM(H25:H28)</f>
        <v>0</v>
      </c>
      <c r="I29" s="1107">
        <f>SUM(I25:I28)</f>
        <v>0</v>
      </c>
      <c r="J29" s="1107">
        <f>SUM(J26:J28)</f>
        <v>0</v>
      </c>
      <c r="K29" s="1107">
        <f>SUM(K25:K28)</f>
        <v>0</v>
      </c>
      <c r="L29" s="1106">
        <f>SUM(L25:L28)</f>
        <v>0</v>
      </c>
      <c r="M29" s="1106">
        <f>SUM(M25:M28)</f>
        <v>0</v>
      </c>
      <c r="N29" s="1106">
        <f>SUM(N25:N28)</f>
        <v>0</v>
      </c>
      <c r="O29" s="1106">
        <f t="shared" si="11"/>
        <v>0</v>
      </c>
      <c r="P29" s="1106">
        <f t="shared" si="17"/>
        <v>0</v>
      </c>
      <c r="Q29" s="1106">
        <f t="shared" si="12"/>
        <v>0</v>
      </c>
      <c r="R29" s="1106">
        <f t="shared" si="13"/>
        <v>0</v>
      </c>
      <c r="S29" s="1106">
        <f t="shared" si="14"/>
        <v>0</v>
      </c>
      <c r="T29" s="1106">
        <f t="shared" si="15"/>
        <v>0</v>
      </c>
      <c r="U29" s="1106">
        <f t="shared" si="16"/>
        <v>0</v>
      </c>
      <c r="V29" s="1108"/>
    </row>
    <row r="30" spans="2:31" s="621" customFormat="1">
      <c r="B30" s="1119" t="s">
        <v>482</v>
      </c>
      <c r="C30" s="1109"/>
      <c r="D30" s="1109"/>
      <c r="E30" s="1094"/>
      <c r="F30" s="1095"/>
      <c r="G30" s="1095"/>
      <c r="H30" s="1097"/>
      <c r="I30" s="1097"/>
      <c r="J30" s="1097"/>
      <c r="K30" s="1097"/>
      <c r="L30" s="1101"/>
      <c r="M30" s="1101"/>
      <c r="N30" s="1101"/>
      <c r="O30" s="1100">
        <f t="shared" si="11"/>
        <v>0</v>
      </c>
      <c r="P30" s="1100">
        <f t="shared" si="17"/>
        <v>0</v>
      </c>
      <c r="Q30" s="1100">
        <f t="shared" si="12"/>
        <v>0</v>
      </c>
      <c r="R30" s="1100">
        <f t="shared" si="13"/>
        <v>0</v>
      </c>
      <c r="S30" s="1100">
        <f t="shared" si="14"/>
        <v>0</v>
      </c>
      <c r="T30" s="1100">
        <f t="shared" si="15"/>
        <v>0</v>
      </c>
      <c r="U30" s="1100">
        <f t="shared" si="16"/>
        <v>0</v>
      </c>
      <c r="V30" s="609"/>
    </row>
    <row r="31" spans="2:31" s="1102" customFormat="1">
      <c r="B31" s="1103" t="s">
        <v>481</v>
      </c>
      <c r="C31" s="1114"/>
      <c r="D31" s="1114"/>
      <c r="E31" s="1106">
        <f>SUM(E30:E30)</f>
        <v>0</v>
      </c>
      <c r="F31" s="1116"/>
      <c r="G31" s="1106">
        <f t="shared" ref="G31:N31" si="18">SUM(G30:G30)</f>
        <v>0</v>
      </c>
      <c r="H31" s="1107">
        <f t="shared" si="18"/>
        <v>0</v>
      </c>
      <c r="I31" s="1107">
        <f t="shared" si="18"/>
        <v>0</v>
      </c>
      <c r="J31" s="1107">
        <f t="shared" si="18"/>
        <v>0</v>
      </c>
      <c r="K31" s="1107">
        <f t="shared" si="18"/>
        <v>0</v>
      </c>
      <c r="L31" s="1106">
        <f t="shared" si="18"/>
        <v>0</v>
      </c>
      <c r="M31" s="1106">
        <f t="shared" si="18"/>
        <v>0</v>
      </c>
      <c r="N31" s="1106">
        <f t="shared" si="18"/>
        <v>0</v>
      </c>
      <c r="O31" s="1106">
        <f t="shared" si="11"/>
        <v>0</v>
      </c>
      <c r="P31" s="1106">
        <f t="shared" si="17"/>
        <v>0</v>
      </c>
      <c r="Q31" s="1106">
        <f t="shared" si="12"/>
        <v>0</v>
      </c>
      <c r="R31" s="1106">
        <f t="shared" si="13"/>
        <v>0</v>
      </c>
      <c r="S31" s="1106">
        <f t="shared" si="14"/>
        <v>0</v>
      </c>
      <c r="T31" s="1106">
        <f t="shared" si="15"/>
        <v>0</v>
      </c>
      <c r="U31" s="1106">
        <f t="shared" si="16"/>
        <v>0</v>
      </c>
      <c r="V31" s="1108"/>
    </row>
    <row r="32" spans="2:31" s="621" customFormat="1">
      <c r="B32" s="1111" t="s">
        <v>656</v>
      </c>
      <c r="C32" s="1092" t="s">
        <v>872</v>
      </c>
      <c r="D32" s="1109"/>
      <c r="E32" s="1120"/>
      <c r="F32" s="1095"/>
      <c r="G32" s="1120"/>
      <c r="H32" s="1121"/>
      <c r="I32" s="1121">
        <f t="shared" ref="I32:I46" si="19">H32</f>
        <v>0</v>
      </c>
      <c r="J32" s="1121"/>
      <c r="K32" s="1121"/>
      <c r="L32" s="1120"/>
      <c r="M32" s="1120"/>
      <c r="N32" s="1120"/>
      <c r="O32" s="1100">
        <f t="shared" si="11"/>
        <v>0</v>
      </c>
      <c r="P32" s="1100">
        <f t="shared" si="17"/>
        <v>0</v>
      </c>
      <c r="Q32" s="1100">
        <f t="shared" si="12"/>
        <v>0</v>
      </c>
      <c r="R32" s="1100">
        <f t="shared" si="13"/>
        <v>0</v>
      </c>
      <c r="S32" s="1100">
        <f t="shared" si="14"/>
        <v>0</v>
      </c>
      <c r="T32" s="1100">
        <f t="shared" si="15"/>
        <v>0</v>
      </c>
      <c r="U32" s="1100">
        <f t="shared" si="16"/>
        <v>0</v>
      </c>
      <c r="V32" s="609"/>
    </row>
    <row r="33" spans="2:22" s="621" customFormat="1">
      <c r="B33" s="1111" t="s">
        <v>656</v>
      </c>
      <c r="C33" s="1092" t="s">
        <v>873</v>
      </c>
      <c r="D33" s="1109"/>
      <c r="E33" s="1120"/>
      <c r="F33" s="1095"/>
      <c r="G33" s="1120"/>
      <c r="H33" s="1121"/>
      <c r="I33" s="1121">
        <f t="shared" si="19"/>
        <v>0</v>
      </c>
      <c r="J33" s="1121"/>
      <c r="K33" s="1121"/>
      <c r="L33" s="1120"/>
      <c r="M33" s="1120"/>
      <c r="N33" s="1120"/>
      <c r="O33" s="1100"/>
      <c r="P33" s="1100"/>
      <c r="Q33" s="1100"/>
      <c r="R33" s="1100"/>
      <c r="S33" s="1100"/>
      <c r="T33" s="1100"/>
      <c r="U33" s="1100"/>
      <c r="V33" s="609"/>
    </row>
    <row r="34" spans="2:22" s="621" customFormat="1">
      <c r="B34" s="1111" t="s">
        <v>656</v>
      </c>
      <c r="C34" s="1092" t="s">
        <v>874</v>
      </c>
      <c r="D34" s="1109"/>
      <c r="E34" s="1120"/>
      <c r="F34" s="1095"/>
      <c r="G34" s="1120"/>
      <c r="H34" s="1121"/>
      <c r="I34" s="1121">
        <f t="shared" si="19"/>
        <v>0</v>
      </c>
      <c r="J34" s="1121"/>
      <c r="K34" s="1121"/>
      <c r="L34" s="1120"/>
      <c r="M34" s="1120"/>
      <c r="N34" s="1120"/>
      <c r="O34" s="1100"/>
      <c r="P34" s="1100"/>
      <c r="Q34" s="1100"/>
      <c r="R34" s="1100"/>
      <c r="S34" s="1100"/>
      <c r="T34" s="1100"/>
      <c r="U34" s="1100"/>
      <c r="V34" s="609"/>
    </row>
    <row r="35" spans="2:22" s="621" customFormat="1">
      <c r="B35" s="1111" t="s">
        <v>656</v>
      </c>
      <c r="C35" s="1122" t="s">
        <v>875</v>
      </c>
      <c r="D35" s="1109"/>
      <c r="E35" s="1120"/>
      <c r="F35" s="1095"/>
      <c r="G35" s="1120"/>
      <c r="H35" s="1121"/>
      <c r="I35" s="1121">
        <f t="shared" si="19"/>
        <v>0</v>
      </c>
      <c r="J35" s="1121"/>
      <c r="K35" s="1121"/>
      <c r="L35" s="1120"/>
      <c r="M35" s="1120"/>
      <c r="N35" s="1120"/>
      <c r="O35" s="1100">
        <f>SUM(J35:N35)</f>
        <v>0</v>
      </c>
      <c r="P35" s="1100">
        <f>IF(I35=0,0,J35/I35*10)</f>
        <v>0</v>
      </c>
      <c r="Q35" s="1100">
        <f>IF(I35=0,0,L35/I35*10)</f>
        <v>0</v>
      </c>
      <c r="R35" s="1100">
        <f>IF(I35=0,0,M35/I35*10)</f>
        <v>0</v>
      </c>
      <c r="S35" s="1100">
        <f>IF(I35=0,0,N35/I35*10)</f>
        <v>0</v>
      </c>
      <c r="T35" s="1100">
        <f>IF(I35=0,0,K35/I35*10)</f>
        <v>0</v>
      </c>
      <c r="U35" s="1100">
        <f>IF(I35=0,0,O35/I35*10)</f>
        <v>0</v>
      </c>
      <c r="V35" s="609"/>
    </row>
    <row r="36" spans="2:22" s="621" customFormat="1">
      <c r="B36" s="1111" t="s">
        <v>656</v>
      </c>
      <c r="C36" s="1123" t="s">
        <v>876</v>
      </c>
      <c r="D36" s="1132"/>
      <c r="E36" s="1133"/>
      <c r="F36" s="1134"/>
      <c r="G36" s="1133"/>
      <c r="H36" s="1121"/>
      <c r="I36" s="1121">
        <f t="shared" si="19"/>
        <v>0</v>
      </c>
      <c r="J36" s="1121"/>
      <c r="K36" s="1121"/>
      <c r="L36" s="1120"/>
      <c r="M36" s="1120"/>
      <c r="N36" s="1120"/>
      <c r="O36" s="1100"/>
      <c r="P36" s="1100"/>
      <c r="Q36" s="1100"/>
      <c r="R36" s="1100"/>
      <c r="S36" s="1100"/>
      <c r="T36" s="1100"/>
      <c r="U36" s="1100"/>
      <c r="V36" s="609"/>
    </row>
    <row r="37" spans="2:22" s="621" customFormat="1">
      <c r="B37" s="1111" t="s">
        <v>656</v>
      </c>
      <c r="C37" s="1124" t="s">
        <v>877</v>
      </c>
      <c r="D37" s="1109"/>
      <c r="E37" s="1120"/>
      <c r="F37" s="1095"/>
      <c r="G37" s="1120"/>
      <c r="H37" s="1121"/>
      <c r="I37" s="1121">
        <f t="shared" si="19"/>
        <v>0</v>
      </c>
      <c r="J37" s="1121"/>
      <c r="K37" s="1121"/>
      <c r="L37" s="1120"/>
      <c r="M37" s="1120"/>
      <c r="N37" s="1120"/>
      <c r="O37" s="1100"/>
      <c r="P37" s="1100"/>
      <c r="Q37" s="1100"/>
      <c r="R37" s="1100"/>
      <c r="S37" s="1100"/>
      <c r="T37" s="1100"/>
      <c r="U37" s="1100"/>
      <c r="V37" s="609"/>
    </row>
    <row r="38" spans="2:22" s="621" customFormat="1" ht="21">
      <c r="B38" s="1111" t="s">
        <v>656</v>
      </c>
      <c r="C38" s="1125" t="s">
        <v>878</v>
      </c>
      <c r="D38" s="1109"/>
      <c r="E38" s="1120"/>
      <c r="F38" s="1095"/>
      <c r="G38" s="1120"/>
      <c r="H38" s="1121"/>
      <c r="I38" s="1121">
        <f t="shared" si="19"/>
        <v>0</v>
      </c>
      <c r="J38" s="1121"/>
      <c r="K38" s="1121"/>
      <c r="L38" s="1120"/>
      <c r="M38" s="1120"/>
      <c r="N38" s="1120"/>
      <c r="O38" s="1100">
        <f t="shared" ref="O38:O46" si="20">SUM(J38:N38)</f>
        <v>0</v>
      </c>
      <c r="P38" s="1100">
        <f t="shared" ref="P38:P46" si="21">IF(I38=0,0,J38/I38*10)</f>
        <v>0</v>
      </c>
      <c r="Q38" s="1100">
        <f t="shared" ref="Q38:Q46" si="22">IF(I38=0,0,L38/I38*10)</f>
        <v>0</v>
      </c>
      <c r="R38" s="1100">
        <f t="shared" ref="R38:R46" si="23">IF(I38=0,0,M38/I38*10)</f>
        <v>0</v>
      </c>
      <c r="S38" s="1100">
        <f t="shared" ref="S38:S46" si="24">IF(I38=0,0,N38/I38*10)</f>
        <v>0</v>
      </c>
      <c r="T38" s="1100">
        <f t="shared" ref="T38:T46" si="25">IF(I38=0,0,K38/I38*10)</f>
        <v>0</v>
      </c>
      <c r="U38" s="1100">
        <f t="shared" ref="U38:U46" si="26">IF(I38=0,0,O38/I38*10)</f>
        <v>0</v>
      </c>
      <c r="V38" s="609"/>
    </row>
    <row r="39" spans="2:22" s="621" customFormat="1">
      <c r="B39" s="1111" t="s">
        <v>656</v>
      </c>
      <c r="C39" s="1126" t="s">
        <v>879</v>
      </c>
      <c r="D39" s="1109"/>
      <c r="E39" s="1120"/>
      <c r="F39" s="1095"/>
      <c r="G39" s="1120"/>
      <c r="H39" s="1121"/>
      <c r="I39" s="1121">
        <f t="shared" si="19"/>
        <v>0</v>
      </c>
      <c r="J39" s="1121"/>
      <c r="K39" s="1121"/>
      <c r="L39" s="1120"/>
      <c r="M39" s="1120"/>
      <c r="N39" s="1120"/>
      <c r="O39" s="1100">
        <f t="shared" si="20"/>
        <v>0</v>
      </c>
      <c r="P39" s="1100">
        <f t="shared" si="21"/>
        <v>0</v>
      </c>
      <c r="Q39" s="1100">
        <f t="shared" si="22"/>
        <v>0</v>
      </c>
      <c r="R39" s="1100">
        <f t="shared" si="23"/>
        <v>0</v>
      </c>
      <c r="S39" s="1100">
        <f t="shared" si="24"/>
        <v>0</v>
      </c>
      <c r="T39" s="1100">
        <f t="shared" si="25"/>
        <v>0</v>
      </c>
      <c r="U39" s="1100">
        <f t="shared" si="26"/>
        <v>0</v>
      </c>
      <c r="V39" s="609"/>
    </row>
    <row r="40" spans="2:22" s="621" customFormat="1" ht="21">
      <c r="B40" s="1111" t="s">
        <v>656</v>
      </c>
      <c r="C40" s="1127" t="s">
        <v>880</v>
      </c>
      <c r="D40" s="1109"/>
      <c r="E40" s="1120"/>
      <c r="F40" s="1095"/>
      <c r="G40" s="1120"/>
      <c r="H40" s="1121"/>
      <c r="I40" s="1121">
        <f t="shared" si="19"/>
        <v>0</v>
      </c>
      <c r="J40" s="1121"/>
      <c r="K40" s="1121"/>
      <c r="L40" s="1120"/>
      <c r="M40" s="1120"/>
      <c r="N40" s="1120"/>
      <c r="O40" s="1100">
        <f t="shared" si="20"/>
        <v>0</v>
      </c>
      <c r="P40" s="1100">
        <f t="shared" si="21"/>
        <v>0</v>
      </c>
      <c r="Q40" s="1100">
        <f t="shared" si="22"/>
        <v>0</v>
      </c>
      <c r="R40" s="1100">
        <f t="shared" si="23"/>
        <v>0</v>
      </c>
      <c r="S40" s="1100">
        <f t="shared" si="24"/>
        <v>0</v>
      </c>
      <c r="T40" s="1100">
        <f t="shared" si="25"/>
        <v>0</v>
      </c>
      <c r="U40" s="1100">
        <f t="shared" si="26"/>
        <v>0</v>
      </c>
      <c r="V40" s="609"/>
    </row>
    <row r="41" spans="2:22" s="621" customFormat="1">
      <c r="B41" s="1111" t="s">
        <v>656</v>
      </c>
      <c r="C41" s="1127" t="s">
        <v>881</v>
      </c>
      <c r="D41" s="1109"/>
      <c r="E41" s="1120"/>
      <c r="F41" s="1095"/>
      <c r="G41" s="1120"/>
      <c r="H41" s="1121"/>
      <c r="I41" s="1121">
        <f t="shared" si="19"/>
        <v>0</v>
      </c>
      <c r="J41" s="1121"/>
      <c r="K41" s="1121"/>
      <c r="L41" s="1120"/>
      <c r="M41" s="1120"/>
      <c r="N41" s="1120"/>
      <c r="O41" s="1100">
        <f t="shared" si="20"/>
        <v>0</v>
      </c>
      <c r="P41" s="1100">
        <f t="shared" si="21"/>
        <v>0</v>
      </c>
      <c r="Q41" s="1100">
        <f t="shared" si="22"/>
        <v>0</v>
      </c>
      <c r="R41" s="1100">
        <f t="shared" si="23"/>
        <v>0</v>
      </c>
      <c r="S41" s="1100">
        <f t="shared" si="24"/>
        <v>0</v>
      </c>
      <c r="T41" s="1100">
        <f t="shared" si="25"/>
        <v>0</v>
      </c>
      <c r="U41" s="1100">
        <f t="shared" si="26"/>
        <v>0</v>
      </c>
      <c r="V41" s="609"/>
    </row>
    <row r="42" spans="2:22" s="621" customFormat="1" ht="21">
      <c r="B42" s="1111" t="s">
        <v>656</v>
      </c>
      <c r="C42" s="1127" t="s">
        <v>882</v>
      </c>
      <c r="D42" s="1109"/>
      <c r="E42" s="1120"/>
      <c r="F42" s="1095"/>
      <c r="G42" s="1120"/>
      <c r="H42" s="1121"/>
      <c r="I42" s="1121">
        <f t="shared" si="19"/>
        <v>0</v>
      </c>
      <c r="J42" s="1121"/>
      <c r="K42" s="1121"/>
      <c r="L42" s="1120"/>
      <c r="M42" s="1120"/>
      <c r="N42" s="1120"/>
      <c r="O42" s="1100">
        <f t="shared" si="20"/>
        <v>0</v>
      </c>
      <c r="P42" s="1100">
        <f t="shared" si="21"/>
        <v>0</v>
      </c>
      <c r="Q42" s="1100">
        <f t="shared" si="22"/>
        <v>0</v>
      </c>
      <c r="R42" s="1100">
        <f t="shared" si="23"/>
        <v>0</v>
      </c>
      <c r="S42" s="1100">
        <f t="shared" si="24"/>
        <v>0</v>
      </c>
      <c r="T42" s="1100">
        <f t="shared" si="25"/>
        <v>0</v>
      </c>
      <c r="U42" s="1100">
        <f t="shared" si="26"/>
        <v>0</v>
      </c>
      <c r="V42" s="609"/>
    </row>
    <row r="43" spans="2:22" s="621" customFormat="1" ht="21">
      <c r="B43" s="1111" t="s">
        <v>656</v>
      </c>
      <c r="C43" s="1127" t="s">
        <v>883</v>
      </c>
      <c r="D43" s="1109"/>
      <c r="E43" s="1120"/>
      <c r="F43" s="1095"/>
      <c r="G43" s="1120"/>
      <c r="H43" s="1121"/>
      <c r="I43" s="1121">
        <f t="shared" si="19"/>
        <v>0</v>
      </c>
      <c r="J43" s="1121"/>
      <c r="K43" s="1121"/>
      <c r="L43" s="1120"/>
      <c r="M43" s="1120"/>
      <c r="N43" s="1120"/>
      <c r="O43" s="1100">
        <f t="shared" si="20"/>
        <v>0</v>
      </c>
      <c r="P43" s="1100">
        <f t="shared" si="21"/>
        <v>0</v>
      </c>
      <c r="Q43" s="1100">
        <f t="shared" si="22"/>
        <v>0</v>
      </c>
      <c r="R43" s="1100">
        <f t="shared" si="23"/>
        <v>0</v>
      </c>
      <c r="S43" s="1100">
        <f t="shared" si="24"/>
        <v>0</v>
      </c>
      <c r="T43" s="1100">
        <f t="shared" si="25"/>
        <v>0</v>
      </c>
      <c r="U43" s="1100">
        <f t="shared" si="26"/>
        <v>0</v>
      </c>
      <c r="V43" s="609"/>
    </row>
    <row r="44" spans="2:22" s="621" customFormat="1" ht="21">
      <c r="B44" s="1111" t="s">
        <v>656</v>
      </c>
      <c r="C44" s="1127" t="s">
        <v>884</v>
      </c>
      <c r="D44" s="1109"/>
      <c r="E44" s="1120"/>
      <c r="F44" s="1095"/>
      <c r="G44" s="1120"/>
      <c r="H44" s="1121"/>
      <c r="I44" s="1121">
        <f t="shared" si="19"/>
        <v>0</v>
      </c>
      <c r="J44" s="1121"/>
      <c r="K44" s="1121"/>
      <c r="L44" s="1120"/>
      <c r="M44" s="1120"/>
      <c r="N44" s="1120"/>
      <c r="O44" s="1100">
        <f t="shared" si="20"/>
        <v>0</v>
      </c>
      <c r="P44" s="1100">
        <f t="shared" si="21"/>
        <v>0</v>
      </c>
      <c r="Q44" s="1100">
        <f t="shared" si="22"/>
        <v>0</v>
      </c>
      <c r="R44" s="1100">
        <f t="shared" si="23"/>
        <v>0</v>
      </c>
      <c r="S44" s="1100">
        <f t="shared" si="24"/>
        <v>0</v>
      </c>
      <c r="T44" s="1100">
        <f t="shared" si="25"/>
        <v>0</v>
      </c>
      <c r="U44" s="1100">
        <f t="shared" si="26"/>
        <v>0</v>
      </c>
      <c r="V44" s="609"/>
    </row>
    <row r="45" spans="2:22" s="621" customFormat="1" ht="21">
      <c r="B45" s="1111" t="s">
        <v>656</v>
      </c>
      <c r="C45" s="1127" t="s">
        <v>885</v>
      </c>
      <c r="D45" s="1109"/>
      <c r="E45" s="1120"/>
      <c r="F45" s="1095"/>
      <c r="G45" s="1120"/>
      <c r="H45" s="1121"/>
      <c r="I45" s="1121">
        <f t="shared" si="19"/>
        <v>0</v>
      </c>
      <c r="J45" s="1121"/>
      <c r="K45" s="1121"/>
      <c r="L45" s="1120"/>
      <c r="M45" s="1120"/>
      <c r="N45" s="1120"/>
      <c r="O45" s="1100">
        <f t="shared" si="20"/>
        <v>0</v>
      </c>
      <c r="P45" s="1100">
        <f t="shared" si="21"/>
        <v>0</v>
      </c>
      <c r="Q45" s="1100">
        <f t="shared" si="22"/>
        <v>0</v>
      </c>
      <c r="R45" s="1100">
        <f t="shared" si="23"/>
        <v>0</v>
      </c>
      <c r="S45" s="1100">
        <f t="shared" si="24"/>
        <v>0</v>
      </c>
      <c r="T45" s="1100">
        <f t="shared" si="25"/>
        <v>0</v>
      </c>
      <c r="U45" s="1100">
        <f t="shared" si="26"/>
        <v>0</v>
      </c>
      <c r="V45" s="609"/>
    </row>
    <row r="46" spans="2:22" s="621" customFormat="1" ht="21">
      <c r="B46" s="1111" t="s">
        <v>656</v>
      </c>
      <c r="C46" s="1127" t="s">
        <v>886</v>
      </c>
      <c r="D46" s="1109"/>
      <c r="E46" s="1120"/>
      <c r="F46" s="1095"/>
      <c r="G46" s="1120"/>
      <c r="H46" s="1121"/>
      <c r="I46" s="1121">
        <f t="shared" si="19"/>
        <v>0</v>
      </c>
      <c r="J46" s="1121"/>
      <c r="K46" s="1121"/>
      <c r="L46" s="1120"/>
      <c r="M46" s="1120"/>
      <c r="N46" s="1120"/>
      <c r="O46" s="1100">
        <f t="shared" si="20"/>
        <v>0</v>
      </c>
      <c r="P46" s="1100">
        <f t="shared" si="21"/>
        <v>0</v>
      </c>
      <c r="Q46" s="1100">
        <f t="shared" si="22"/>
        <v>0</v>
      </c>
      <c r="R46" s="1100">
        <f t="shared" si="23"/>
        <v>0</v>
      </c>
      <c r="S46" s="1100">
        <f t="shared" si="24"/>
        <v>0</v>
      </c>
      <c r="T46" s="1100">
        <f t="shared" si="25"/>
        <v>0</v>
      </c>
      <c r="U46" s="1100">
        <f t="shared" si="26"/>
        <v>0</v>
      </c>
      <c r="V46" s="609"/>
    </row>
    <row r="47" spans="2:22" s="621" customFormat="1">
      <c r="B47" s="1111" t="s">
        <v>656</v>
      </c>
      <c r="C47" s="1126" t="s">
        <v>887</v>
      </c>
      <c r="D47" s="1109"/>
      <c r="E47" s="1120"/>
      <c r="F47" s="1095"/>
      <c r="G47" s="1120"/>
      <c r="H47" s="1121"/>
      <c r="I47" s="1121">
        <f>'[2]APDISCOM NCEs 31.03.2019'!$CX$343</f>
        <v>0</v>
      </c>
      <c r="J47" s="1121"/>
      <c r="K47" s="1128"/>
      <c r="L47" s="1120"/>
      <c r="M47" s="1120"/>
      <c r="N47" s="1120"/>
      <c r="O47" s="1100"/>
      <c r="P47" s="1100"/>
      <c r="Q47" s="1100"/>
      <c r="R47" s="1100"/>
      <c r="S47" s="1100"/>
      <c r="T47" s="1100"/>
      <c r="U47" s="1100"/>
      <c r="V47" s="609"/>
    </row>
    <row r="48" spans="2:22" s="1130" customFormat="1">
      <c r="B48" s="1103" t="s">
        <v>657</v>
      </c>
      <c r="C48" s="1104"/>
      <c r="D48" s="1104"/>
      <c r="E48" s="1104"/>
      <c r="F48" s="1104"/>
      <c r="G48" s="1104"/>
      <c r="H48" s="1104">
        <f>SUM(H32:H47)</f>
        <v>0</v>
      </c>
      <c r="I48" s="1104">
        <f>SUM(I32:I47)</f>
        <v>0</v>
      </c>
      <c r="J48" s="1104">
        <f>SUM(J32:J47)</f>
        <v>0</v>
      </c>
      <c r="K48" s="1107">
        <f>SUM(K32:K47)</f>
        <v>0</v>
      </c>
      <c r="L48" s="1104">
        <f>SUM(L32:L46)</f>
        <v>0</v>
      </c>
      <c r="M48" s="1104">
        <f>SUM(M32:M46)</f>
        <v>0</v>
      </c>
      <c r="N48" s="1104">
        <f>SUM(N32:N46)</f>
        <v>0</v>
      </c>
      <c r="O48" s="1104">
        <f t="shared" ref="O48:O57" si="27">SUM(J48:N48)</f>
        <v>0</v>
      </c>
      <c r="P48" s="1104">
        <f t="shared" ref="P48:P57" si="28">IF(I48=0,0,J48/I48*10)</f>
        <v>0</v>
      </c>
      <c r="Q48" s="1104">
        <f t="shared" ref="Q48:Q57" si="29">IF(I48=0,0,L48/I48*10)</f>
        <v>0</v>
      </c>
      <c r="R48" s="1104">
        <f t="shared" ref="R48:R57" si="30">IF(I48=0,0,M48/I48*10)</f>
        <v>0</v>
      </c>
      <c r="S48" s="1104">
        <f t="shared" ref="S48:S57" si="31">IF(I48=0,0,N48/I48*10)</f>
        <v>0</v>
      </c>
      <c r="T48" s="1104">
        <f t="shared" ref="T48:T57" si="32">IF(I48=0,0,K48/I48*10)</f>
        <v>0</v>
      </c>
      <c r="U48" s="1104">
        <f t="shared" ref="U48:U58" si="33">IF(I48=0,0,O48/I48*10)</f>
        <v>0</v>
      </c>
      <c r="V48" s="1129"/>
    </row>
    <row r="49" spans="2:22" s="621" customFormat="1">
      <c r="B49" s="1091" t="s">
        <v>273</v>
      </c>
      <c r="C49" s="1092" t="s">
        <v>651</v>
      </c>
      <c r="D49" s="1109"/>
      <c r="E49" s="1095"/>
      <c r="F49" s="1095"/>
      <c r="G49" s="1095"/>
      <c r="H49" s="1097"/>
      <c r="I49" s="1097">
        <f>H49</f>
        <v>0</v>
      </c>
      <c r="J49" s="1097"/>
      <c r="K49" s="1097"/>
      <c r="L49" s="1095"/>
      <c r="M49" s="1095"/>
      <c r="N49" s="1095"/>
      <c r="O49" s="1100">
        <f t="shared" si="27"/>
        <v>0</v>
      </c>
      <c r="P49" s="1100">
        <f t="shared" si="28"/>
        <v>0</v>
      </c>
      <c r="Q49" s="1100">
        <f t="shared" si="29"/>
        <v>0</v>
      </c>
      <c r="R49" s="1100">
        <f t="shared" si="30"/>
        <v>0</v>
      </c>
      <c r="S49" s="1100">
        <f t="shared" si="31"/>
        <v>0</v>
      </c>
      <c r="T49" s="1100">
        <f t="shared" si="32"/>
        <v>0</v>
      </c>
      <c r="U49" s="1100">
        <f t="shared" si="33"/>
        <v>0</v>
      </c>
      <c r="V49" s="609"/>
    </row>
    <row r="50" spans="2:22" s="621" customFormat="1">
      <c r="B50" s="1091" t="s">
        <v>273</v>
      </c>
      <c r="C50" s="1092" t="s">
        <v>652</v>
      </c>
      <c r="D50" s="1109"/>
      <c r="E50" s="1095"/>
      <c r="F50" s="1095"/>
      <c r="G50" s="1095"/>
      <c r="H50" s="1097"/>
      <c r="I50" s="1097">
        <f>H50</f>
        <v>0</v>
      </c>
      <c r="J50" s="1097"/>
      <c r="K50" s="1097"/>
      <c r="L50" s="1095"/>
      <c r="M50" s="1095"/>
      <c r="N50" s="1095"/>
      <c r="O50" s="1100">
        <f t="shared" si="27"/>
        <v>0</v>
      </c>
      <c r="P50" s="1100">
        <f t="shared" si="28"/>
        <v>0</v>
      </c>
      <c r="Q50" s="1100">
        <f t="shared" si="29"/>
        <v>0</v>
      </c>
      <c r="R50" s="1100">
        <f t="shared" si="30"/>
        <v>0</v>
      </c>
      <c r="S50" s="1100">
        <f t="shared" si="31"/>
        <v>0</v>
      </c>
      <c r="T50" s="1100">
        <f t="shared" si="32"/>
        <v>0</v>
      </c>
      <c r="U50" s="1100">
        <f t="shared" si="33"/>
        <v>0</v>
      </c>
      <c r="V50" s="609"/>
    </row>
    <row r="51" spans="2:22" s="621" customFormat="1">
      <c r="B51" s="1091" t="s">
        <v>273</v>
      </c>
      <c r="C51" s="1092" t="s">
        <v>654</v>
      </c>
      <c r="D51" s="1109"/>
      <c r="E51" s="1095"/>
      <c r="F51" s="1095"/>
      <c r="G51" s="1095"/>
      <c r="H51" s="1097"/>
      <c r="I51" s="1097">
        <f>H51</f>
        <v>0</v>
      </c>
      <c r="J51" s="1097"/>
      <c r="K51" s="1097"/>
      <c r="L51" s="1095"/>
      <c r="M51" s="1095"/>
      <c r="N51" s="1095"/>
      <c r="O51" s="1100">
        <f t="shared" si="27"/>
        <v>0</v>
      </c>
      <c r="P51" s="1100">
        <f t="shared" si="28"/>
        <v>0</v>
      </c>
      <c r="Q51" s="1100">
        <f t="shared" si="29"/>
        <v>0</v>
      </c>
      <c r="R51" s="1100">
        <f t="shared" si="30"/>
        <v>0</v>
      </c>
      <c r="S51" s="1100">
        <f t="shared" si="31"/>
        <v>0</v>
      </c>
      <c r="T51" s="1100">
        <f t="shared" si="32"/>
        <v>0</v>
      </c>
      <c r="U51" s="1100">
        <f t="shared" si="33"/>
        <v>0</v>
      </c>
      <c r="V51" s="609"/>
    </row>
    <row r="52" spans="2:22" s="621" customFormat="1">
      <c r="B52" s="1091" t="s">
        <v>273</v>
      </c>
      <c r="C52" s="1092" t="s">
        <v>655</v>
      </c>
      <c r="D52" s="1109"/>
      <c r="E52" s="1095"/>
      <c r="F52" s="1095"/>
      <c r="G52" s="1095"/>
      <c r="H52" s="1097"/>
      <c r="I52" s="1097">
        <f>H52</f>
        <v>0</v>
      </c>
      <c r="J52" s="1097"/>
      <c r="K52" s="1097"/>
      <c r="L52" s="1095"/>
      <c r="M52" s="1095"/>
      <c r="N52" s="1095"/>
      <c r="O52" s="1100">
        <f t="shared" si="27"/>
        <v>0</v>
      </c>
      <c r="P52" s="1100">
        <f t="shared" si="28"/>
        <v>0</v>
      </c>
      <c r="Q52" s="1100">
        <f t="shared" si="29"/>
        <v>0</v>
      </c>
      <c r="R52" s="1100">
        <f t="shared" si="30"/>
        <v>0</v>
      </c>
      <c r="S52" s="1100">
        <f t="shared" si="31"/>
        <v>0</v>
      </c>
      <c r="T52" s="1100">
        <f t="shared" si="32"/>
        <v>0</v>
      </c>
      <c r="U52" s="1100">
        <f t="shared" si="33"/>
        <v>0</v>
      </c>
      <c r="V52" s="609"/>
    </row>
    <row r="53" spans="2:22" s="621" customFormat="1">
      <c r="B53" s="1091" t="s">
        <v>273</v>
      </c>
      <c r="C53" s="1092" t="s">
        <v>595</v>
      </c>
      <c r="D53" s="1109"/>
      <c r="E53" s="1095"/>
      <c r="F53" s="1095"/>
      <c r="G53" s="1095"/>
      <c r="H53" s="1097"/>
      <c r="I53" s="1097">
        <f>H53</f>
        <v>0</v>
      </c>
      <c r="J53" s="1097"/>
      <c r="K53" s="1097"/>
      <c r="L53" s="1095"/>
      <c r="M53" s="1095"/>
      <c r="N53" s="1095"/>
      <c r="O53" s="1100">
        <f t="shared" si="27"/>
        <v>0</v>
      </c>
      <c r="P53" s="1100">
        <f t="shared" si="28"/>
        <v>0</v>
      </c>
      <c r="Q53" s="1100">
        <f t="shared" si="29"/>
        <v>0</v>
      </c>
      <c r="R53" s="1100">
        <f t="shared" si="30"/>
        <v>0</v>
      </c>
      <c r="S53" s="1100">
        <f t="shared" si="31"/>
        <v>0</v>
      </c>
      <c r="T53" s="1100">
        <f t="shared" si="32"/>
        <v>0</v>
      </c>
      <c r="U53" s="1100">
        <f t="shared" si="33"/>
        <v>0</v>
      </c>
      <c r="V53" s="609"/>
    </row>
    <row r="54" spans="2:22" s="621" customFormat="1">
      <c r="B54" s="1091" t="s">
        <v>273</v>
      </c>
      <c r="C54" s="1092" t="s">
        <v>841</v>
      </c>
      <c r="D54" s="1109"/>
      <c r="E54" s="1095"/>
      <c r="F54" s="1095"/>
      <c r="G54" s="1095"/>
      <c r="H54" s="1135"/>
      <c r="I54" s="1097">
        <f t="shared" ref="I54:I56" si="34">H54</f>
        <v>0</v>
      </c>
      <c r="J54" s="1097"/>
      <c r="K54" s="1097"/>
      <c r="L54" s="1095"/>
      <c r="M54" s="1095"/>
      <c r="N54" s="1095"/>
      <c r="O54" s="1100">
        <f t="shared" si="27"/>
        <v>0</v>
      </c>
      <c r="P54" s="1100">
        <f t="shared" si="28"/>
        <v>0</v>
      </c>
      <c r="Q54" s="1100">
        <f t="shared" si="29"/>
        <v>0</v>
      </c>
      <c r="R54" s="1100">
        <f t="shared" si="30"/>
        <v>0</v>
      </c>
      <c r="S54" s="1100">
        <f t="shared" si="31"/>
        <v>0</v>
      </c>
      <c r="T54" s="1100">
        <f t="shared" si="32"/>
        <v>0</v>
      </c>
      <c r="U54" s="1100">
        <f t="shared" si="33"/>
        <v>0</v>
      </c>
      <c r="V54" s="609"/>
    </row>
    <row r="55" spans="2:22" s="621" customFormat="1">
      <c r="B55" s="1091" t="s">
        <v>273</v>
      </c>
      <c r="C55" s="1092" t="s">
        <v>842</v>
      </c>
      <c r="D55" s="1109"/>
      <c r="E55" s="1095"/>
      <c r="F55" s="1095"/>
      <c r="G55" s="1095"/>
      <c r="H55" s="1135"/>
      <c r="I55" s="1097">
        <f t="shared" si="34"/>
        <v>0</v>
      </c>
      <c r="J55" s="1097"/>
      <c r="K55" s="1097"/>
      <c r="L55" s="1095"/>
      <c r="M55" s="1095"/>
      <c r="N55" s="1095"/>
      <c r="O55" s="1100">
        <f t="shared" si="27"/>
        <v>0</v>
      </c>
      <c r="P55" s="1100">
        <f t="shared" si="28"/>
        <v>0</v>
      </c>
      <c r="Q55" s="1100">
        <f t="shared" si="29"/>
        <v>0</v>
      </c>
      <c r="R55" s="1100">
        <f t="shared" si="30"/>
        <v>0</v>
      </c>
      <c r="S55" s="1100">
        <f t="shared" si="31"/>
        <v>0</v>
      </c>
      <c r="T55" s="1100">
        <f t="shared" si="32"/>
        <v>0</v>
      </c>
      <c r="U55" s="1100">
        <f t="shared" si="33"/>
        <v>0</v>
      </c>
      <c r="V55" s="609"/>
    </row>
    <row r="56" spans="2:22" s="621" customFormat="1">
      <c r="B56" s="1091" t="s">
        <v>273</v>
      </c>
      <c r="C56" s="1092" t="s">
        <v>843</v>
      </c>
      <c r="D56" s="1109"/>
      <c r="E56" s="1095"/>
      <c r="F56" s="1095"/>
      <c r="G56" s="1095"/>
      <c r="H56" s="1135"/>
      <c r="I56" s="1097">
        <f t="shared" si="34"/>
        <v>0</v>
      </c>
      <c r="J56" s="1097"/>
      <c r="K56" s="1097"/>
      <c r="L56" s="1095"/>
      <c r="M56" s="1095"/>
      <c r="N56" s="1095"/>
      <c r="O56" s="1100">
        <f t="shared" si="27"/>
        <v>0</v>
      </c>
      <c r="P56" s="1100">
        <f t="shared" si="28"/>
        <v>0</v>
      </c>
      <c r="Q56" s="1100">
        <f t="shared" si="29"/>
        <v>0</v>
      </c>
      <c r="R56" s="1100">
        <f t="shared" si="30"/>
        <v>0</v>
      </c>
      <c r="S56" s="1100">
        <f t="shared" si="31"/>
        <v>0</v>
      </c>
      <c r="T56" s="1100">
        <f t="shared" si="32"/>
        <v>0</v>
      </c>
      <c r="U56" s="1100">
        <f t="shared" si="33"/>
        <v>0</v>
      </c>
      <c r="V56" s="609"/>
    </row>
    <row r="57" spans="2:22" s="1102" customFormat="1">
      <c r="B57" s="1103" t="s">
        <v>464</v>
      </c>
      <c r="C57" s="1104"/>
      <c r="D57" s="1104"/>
      <c r="E57" s="1106">
        <f>SUM(E49:E53)</f>
        <v>0</v>
      </c>
      <c r="F57" s="1106"/>
      <c r="G57" s="1106">
        <f t="shared" ref="G57:N57" si="35">SUM(G49:G53)</f>
        <v>0</v>
      </c>
      <c r="H57" s="1107">
        <f>SUM(H49:H56)</f>
        <v>0</v>
      </c>
      <c r="I57" s="1107">
        <f>SUM(I49:I56)</f>
        <v>0</v>
      </c>
      <c r="J57" s="1107">
        <f t="shared" si="35"/>
        <v>0</v>
      </c>
      <c r="K57" s="1107">
        <f>SUM(K49:K56)</f>
        <v>0</v>
      </c>
      <c r="L57" s="1106">
        <f t="shared" si="35"/>
        <v>0</v>
      </c>
      <c r="M57" s="1106">
        <f t="shared" si="35"/>
        <v>0</v>
      </c>
      <c r="N57" s="1106">
        <f t="shared" si="35"/>
        <v>0</v>
      </c>
      <c r="O57" s="1106">
        <f t="shared" si="27"/>
        <v>0</v>
      </c>
      <c r="P57" s="1106">
        <f t="shared" si="28"/>
        <v>0</v>
      </c>
      <c r="Q57" s="1106">
        <f t="shared" si="29"/>
        <v>0</v>
      </c>
      <c r="R57" s="1106">
        <f t="shared" si="30"/>
        <v>0</v>
      </c>
      <c r="S57" s="1106">
        <f t="shared" si="31"/>
        <v>0</v>
      </c>
      <c r="T57" s="1106">
        <f t="shared" si="32"/>
        <v>0</v>
      </c>
      <c r="U57" s="1106">
        <f t="shared" si="33"/>
        <v>0</v>
      </c>
      <c r="V57" s="1108"/>
    </row>
    <row r="58" spans="2:22" s="1102" customFormat="1" ht="11.25" thickBot="1">
      <c r="B58" s="1136" t="s">
        <v>465</v>
      </c>
      <c r="C58" s="1137"/>
      <c r="D58" s="1137"/>
      <c r="E58" s="1131">
        <f>E13+E17+E19+E22+E24+E29+E31+E57</f>
        <v>0</v>
      </c>
      <c r="F58" s="1131">
        <f>F13+F17+F19+F22+F24+F29+F31+F57</f>
        <v>0</v>
      </c>
      <c r="G58" s="1131">
        <f>G13+G17+G19+G22+G24+G29+G31+G57</f>
        <v>0</v>
      </c>
      <c r="H58" s="1138">
        <f>H13+H17+H19+H22+H24+H29+H31+H57+H48</f>
        <v>0</v>
      </c>
      <c r="I58" s="1138">
        <f>I13+I17+I19+I22+I24+I29+I31+I57+I48</f>
        <v>0</v>
      </c>
      <c r="J58" s="1138">
        <f>J13+J17+J19+J22+J24+J29+J31+J57+J48</f>
        <v>0</v>
      </c>
      <c r="K58" s="1138">
        <f>K13+K17+K19+K22+K24+K29+K31+K57+K48</f>
        <v>0</v>
      </c>
      <c r="L58" s="1131">
        <f>L13+L17+L19+L22+L24+L29+L31+L57</f>
        <v>0</v>
      </c>
      <c r="M58" s="1131">
        <f>M13+M17+M19+M22+M24+M29+M31+M57</f>
        <v>0</v>
      </c>
      <c r="N58" s="1131">
        <f>N13+N17+N19+N22+N24+N29+N31+N57</f>
        <v>0</v>
      </c>
      <c r="O58" s="1131">
        <f>O13+O17+O19+O22+O24+O29+O31+O57+O48</f>
        <v>0</v>
      </c>
      <c r="P58" s="1131">
        <f>P13+P17+P19+P22+P24+P29+P31+P57</f>
        <v>0</v>
      </c>
      <c r="Q58" s="1131">
        <f>Q13+Q17+Q19+Q22+Q24+Q29+Q31+Q57</f>
        <v>0</v>
      </c>
      <c r="R58" s="1131">
        <f>R13+R17+R19+R22+R24+R29+R31+R57</f>
        <v>0</v>
      </c>
      <c r="S58" s="1131">
        <f>S13+S17+S19+S22+S24+S29+S31+S57</f>
        <v>0</v>
      </c>
      <c r="T58" s="1131">
        <f>T13+T17+T19+T22+T24+T29+T31+T57</f>
        <v>0</v>
      </c>
      <c r="U58" s="1131">
        <f t="shared" si="33"/>
        <v>0</v>
      </c>
      <c r="V58" s="1139"/>
    </row>
  </sheetData>
  <mergeCells count="8">
    <mergeCell ref="P8:T8"/>
    <mergeCell ref="V8:V9"/>
    <mergeCell ref="B5:G5"/>
    <mergeCell ref="B8:B9"/>
    <mergeCell ref="C8:C9"/>
    <mergeCell ref="D8:D9"/>
    <mergeCell ref="H8:I8"/>
    <mergeCell ref="J8:O8"/>
  </mergeCells>
  <conditionalFormatting sqref="C33:C34">
    <cfRule type="colorScale" priority="1">
      <colorScale>
        <cfvo type="min" val="0"/>
        <cfvo type="percentile" val="50"/>
        <cfvo type="max" val="0"/>
        <color rgb="FFF8696B"/>
        <color rgb="FFFFEB84"/>
        <color rgb="FF63BE7B"/>
      </colorScale>
    </cfRule>
  </conditionalFormatting>
  <dataValidations count="2">
    <dataValidation type="decimal" allowBlank="1" showInputMessage="1" showErrorMessage="1" sqref="E66:H64469 H6:H8 I66:U1048576 J26:J58 I1:U9 H57:H58 J10:J24 I10:I58 K10:U58 H10:H53 E59:U64 E1:H4 E6:G58">
      <formula1>-999999999999999000000</formula1>
      <formula2>9.99999999999999E+29</formula2>
    </dataValidation>
    <dataValidation type="decimal" allowBlank="1" showInputMessage="1" showErrorMessage="1" sqref="H54:H56">
      <formula1>0</formula1>
      <formula2>9.99999999999999E+29</formula2>
    </dataValidation>
  </dataValidations>
  <hyperlinks>
    <hyperlink ref="A1" location="Index!A1" display="Index sheet"/>
  </hyperlinks>
  <printOptions horizontalCentered="1" verticalCentered="1"/>
  <pageMargins left="0.51181102362204722" right="0.51181102362204722" top="0.51181102362204722" bottom="0.51181102362204722" header="0.23622047244094491" footer="0.23622047244094491"/>
  <pageSetup paperSize="9" scale="64" orientation="landscape" blackAndWhite="1" r:id="rId1"/>
  <headerFooter alignWithMargins="0"/>
  <colBreaks count="1" manualBreakCount="1">
    <brk id="22" max="1048575" man="1"/>
  </colBreaks>
</worksheet>
</file>

<file path=xl/worksheets/sheet13.xml><?xml version="1.0" encoding="utf-8"?>
<worksheet xmlns="http://schemas.openxmlformats.org/spreadsheetml/2006/main" xmlns:r="http://schemas.openxmlformats.org/officeDocument/2006/relationships">
  <sheetPr>
    <pageSetUpPr fitToPage="1"/>
  </sheetPr>
  <dimension ref="A1:AL57"/>
  <sheetViews>
    <sheetView view="pageBreakPreview" topLeftCell="B1" zoomScale="89" zoomScaleSheetLayoutView="89" workbookViewId="0">
      <pane xSplit="1" ySplit="9" topLeftCell="C10" activePane="bottomRight" state="frozen"/>
      <selection activeCell="B20" sqref="B20"/>
      <selection pane="topRight" activeCell="B20" sqref="B20"/>
      <selection pane="bottomLeft" activeCell="B20" sqref="B20"/>
      <selection pane="bottomRight" activeCell="B20" sqref="B20"/>
    </sheetView>
  </sheetViews>
  <sheetFormatPr defaultColWidth="14" defaultRowHeight="10.5"/>
  <cols>
    <col min="1" max="1" width="9" style="92" bestFit="1" customWidth="1"/>
    <col min="2" max="2" width="25.28515625" style="138" customWidth="1"/>
    <col min="3" max="3" width="37" style="1195" customWidth="1"/>
    <col min="4" max="4" width="10.85546875" style="138" customWidth="1"/>
    <col min="5" max="5" width="9.85546875" style="92" customWidth="1"/>
    <col min="6" max="6" width="10.5703125" style="92" customWidth="1"/>
    <col min="7" max="7" width="11" style="92" customWidth="1"/>
    <col min="8" max="8" width="11.7109375" style="92" customWidth="1"/>
    <col min="9" max="9" width="8.7109375" style="92" bestFit="1" customWidth="1"/>
    <col min="10" max="10" width="5.7109375" style="92" bestFit="1" customWidth="1"/>
    <col min="11" max="11" width="8" style="92" bestFit="1" customWidth="1"/>
    <col min="12" max="12" width="8.85546875" style="92" bestFit="1" customWidth="1"/>
    <col min="13" max="13" width="7.7109375" style="92" bestFit="1" customWidth="1"/>
    <col min="14" max="14" width="6.85546875" style="92" bestFit="1" customWidth="1"/>
    <col min="15" max="16" width="6.140625" style="92" bestFit="1" customWidth="1"/>
    <col min="17" max="17" width="10.42578125" style="92" bestFit="1" customWidth="1"/>
    <col min="18" max="18" width="8.28515625" style="92" bestFit="1" customWidth="1"/>
    <col min="19" max="19" width="8" style="92" customWidth="1"/>
    <col min="20" max="20" width="8.7109375" style="92" bestFit="1" customWidth="1"/>
    <col min="21" max="21" width="6.140625" style="92" bestFit="1" customWidth="1"/>
    <col min="22" max="22" width="9.42578125" style="92" bestFit="1" customWidth="1"/>
    <col min="23" max="16384" width="14" style="92"/>
  </cols>
  <sheetData>
    <row r="1" spans="1:38">
      <c r="A1" s="136" t="s">
        <v>396</v>
      </c>
      <c r="E1" s="104"/>
      <c r="F1" s="104"/>
      <c r="G1" s="104"/>
      <c r="H1" s="104"/>
      <c r="I1" s="104"/>
      <c r="J1" s="104"/>
      <c r="K1" s="104"/>
      <c r="L1" s="104"/>
      <c r="M1" s="104"/>
      <c r="N1" s="104"/>
      <c r="O1" s="104"/>
      <c r="P1" s="104"/>
      <c r="Q1" s="104"/>
      <c r="R1" s="104"/>
      <c r="S1" s="104"/>
      <c r="T1" s="104"/>
      <c r="U1" s="104"/>
      <c r="AL1" s="92">
        <v>1</v>
      </c>
    </row>
    <row r="2" spans="1:38">
      <c r="E2" s="104"/>
      <c r="F2" s="104"/>
      <c r="G2" s="104"/>
      <c r="H2" s="104"/>
      <c r="I2" s="104"/>
      <c r="J2" s="104"/>
      <c r="K2" s="104"/>
      <c r="L2" s="104"/>
      <c r="M2" s="104"/>
      <c r="N2" s="104"/>
      <c r="O2" s="104"/>
      <c r="P2" s="104"/>
      <c r="Q2" s="104"/>
      <c r="R2" s="104"/>
      <c r="S2" s="104"/>
      <c r="T2" s="104"/>
      <c r="U2" s="104"/>
      <c r="AL2" s="92">
        <v>2</v>
      </c>
    </row>
    <row r="3" spans="1:38">
      <c r="B3" s="93" t="s">
        <v>474</v>
      </c>
      <c r="C3" s="1088" t="s">
        <v>475</v>
      </c>
      <c r="D3" s="93"/>
      <c r="E3" s="283"/>
      <c r="F3" s="283"/>
      <c r="G3" s="283"/>
      <c r="H3" s="283"/>
      <c r="I3" s="283"/>
      <c r="J3" s="283"/>
      <c r="K3" s="104"/>
      <c r="L3" s="104"/>
      <c r="M3" s="104"/>
      <c r="N3" s="104"/>
      <c r="O3" s="104"/>
      <c r="P3" s="104"/>
      <c r="Q3" s="104"/>
      <c r="R3" s="104"/>
      <c r="S3" s="104"/>
      <c r="T3" s="104"/>
      <c r="U3" s="104"/>
    </row>
    <row r="4" spans="1:38">
      <c r="B4" s="93"/>
      <c r="C4" s="1088"/>
      <c r="D4" s="93"/>
      <c r="E4" s="283"/>
      <c r="F4" s="283"/>
      <c r="G4" s="283"/>
      <c r="H4" s="283"/>
      <c r="I4" s="283"/>
      <c r="J4" s="283"/>
      <c r="K4" s="104"/>
      <c r="L4" s="104"/>
      <c r="M4" s="104"/>
      <c r="N4" s="104"/>
      <c r="O4" s="104"/>
      <c r="P4" s="104"/>
      <c r="Q4" s="104"/>
      <c r="R4" s="104"/>
      <c r="S4" s="104"/>
      <c r="T4" s="104"/>
      <c r="U4" s="104"/>
    </row>
    <row r="5" spans="1:38" ht="21.75" customHeight="1">
      <c r="B5" s="1826" t="s">
        <v>554</v>
      </c>
      <c r="C5" s="1827"/>
      <c r="D5" s="1827"/>
      <c r="E5" s="1827"/>
      <c r="F5" s="1827"/>
      <c r="G5" s="1828"/>
      <c r="H5" s="1090" t="str">
        <f>Notes!C8</f>
        <v>FY 2026-27</v>
      </c>
      <c r="I5" s="918"/>
      <c r="J5" s="918"/>
      <c r="K5" s="104"/>
      <c r="L5" s="104"/>
      <c r="M5" s="104"/>
      <c r="N5" s="104"/>
      <c r="O5" s="104"/>
      <c r="P5" s="104"/>
      <c r="Q5" s="104"/>
      <c r="R5" s="104"/>
      <c r="S5" s="104"/>
      <c r="T5" s="104"/>
      <c r="U5" s="104"/>
    </row>
    <row r="6" spans="1:38">
      <c r="E6" s="918"/>
      <c r="F6" s="918"/>
      <c r="G6" s="918"/>
      <c r="H6" s="918"/>
      <c r="I6" s="918"/>
      <c r="J6" s="918"/>
      <c r="K6" s="104"/>
      <c r="L6" s="104"/>
      <c r="M6" s="104"/>
      <c r="N6" s="104"/>
      <c r="O6" s="104"/>
      <c r="P6" s="104"/>
      <c r="Q6" s="104"/>
      <c r="R6" s="104"/>
      <c r="S6" s="104"/>
      <c r="T6" s="104"/>
      <c r="U6" s="104"/>
    </row>
    <row r="7" spans="1:38" ht="11.25" thickBot="1">
      <c r="B7" s="93"/>
      <c r="E7" s="104"/>
      <c r="F7" s="104"/>
      <c r="G7" s="104"/>
      <c r="H7" s="104"/>
      <c r="I7" s="1089"/>
      <c r="J7" s="104"/>
      <c r="K7" s="104"/>
      <c r="L7" s="104"/>
      <c r="M7" s="1089"/>
      <c r="N7" s="104"/>
      <c r="O7" s="104"/>
      <c r="P7" s="104"/>
      <c r="Q7" s="104"/>
      <c r="R7" s="104"/>
      <c r="S7" s="104"/>
      <c r="T7" s="104"/>
      <c r="U7" s="104"/>
    </row>
    <row r="8" spans="1:38" s="1252" customFormat="1" ht="21">
      <c r="A8" s="1251"/>
      <c r="B8" s="1825" t="s">
        <v>452</v>
      </c>
      <c r="C8" s="1825" t="s">
        <v>466</v>
      </c>
      <c r="D8" s="1825" t="s">
        <v>467</v>
      </c>
      <c r="E8" s="1075" t="s">
        <v>222</v>
      </c>
      <c r="F8" s="1075" t="s">
        <v>225</v>
      </c>
      <c r="G8" s="1075" t="s">
        <v>225</v>
      </c>
      <c r="H8" s="1762" t="s">
        <v>250</v>
      </c>
      <c r="I8" s="1762"/>
      <c r="J8" s="1762" t="s">
        <v>91</v>
      </c>
      <c r="K8" s="1762"/>
      <c r="L8" s="1762"/>
      <c r="M8" s="1762"/>
      <c r="N8" s="1762"/>
      <c r="O8" s="1762"/>
      <c r="P8" s="1762" t="s">
        <v>370</v>
      </c>
      <c r="Q8" s="1762"/>
      <c r="R8" s="1762"/>
      <c r="S8" s="1762"/>
      <c r="T8" s="1762"/>
      <c r="U8" s="1075"/>
      <c r="V8" s="1829" t="s">
        <v>365</v>
      </c>
    </row>
    <row r="9" spans="1:38" s="1254" customFormat="1" ht="22.5" customHeight="1">
      <c r="A9" s="1253"/>
      <c r="B9" s="1771"/>
      <c r="C9" s="1771"/>
      <c r="D9" s="1771"/>
      <c r="E9" s="170" t="s">
        <v>223</v>
      </c>
      <c r="F9" s="170" t="s">
        <v>224</v>
      </c>
      <c r="G9" s="170" t="s">
        <v>223</v>
      </c>
      <c r="H9" s="170" t="s">
        <v>521</v>
      </c>
      <c r="I9" s="171" t="s">
        <v>209</v>
      </c>
      <c r="J9" s="171" t="s">
        <v>94</v>
      </c>
      <c r="K9" s="171" t="s">
        <v>95</v>
      </c>
      <c r="L9" s="171" t="s">
        <v>96</v>
      </c>
      <c r="M9" s="171" t="s">
        <v>576</v>
      </c>
      <c r="N9" s="171" t="s">
        <v>392</v>
      </c>
      <c r="O9" s="171" t="s">
        <v>98</v>
      </c>
      <c r="P9" s="171" t="s">
        <v>94</v>
      </c>
      <c r="Q9" s="171" t="s">
        <v>262</v>
      </c>
      <c r="R9" s="171" t="s">
        <v>576</v>
      </c>
      <c r="S9" s="171" t="s">
        <v>392</v>
      </c>
      <c r="T9" s="171" t="s">
        <v>95</v>
      </c>
      <c r="U9" s="171" t="s">
        <v>98</v>
      </c>
      <c r="V9" s="1830"/>
    </row>
    <row r="10" spans="1:38" s="621" customFormat="1" ht="15" customHeight="1">
      <c r="A10" s="638"/>
      <c r="B10" s="1196" t="s">
        <v>453</v>
      </c>
      <c r="C10" s="1197" t="s">
        <v>861</v>
      </c>
      <c r="D10" s="1198"/>
      <c r="E10" s="1199"/>
      <c r="F10" s="1200"/>
      <c r="G10" s="1200"/>
      <c r="H10" s="1201"/>
      <c r="I10" s="1202"/>
      <c r="J10" s="1203"/>
      <c r="K10" s="1203"/>
      <c r="L10" s="1204"/>
      <c r="M10" s="1204"/>
      <c r="N10" s="1204"/>
      <c r="O10" s="1099">
        <f>SUM(J10:N10)</f>
        <v>0</v>
      </c>
      <c r="P10" s="1099">
        <f>IF(I10=0,0,J10/I10*10)</f>
        <v>0</v>
      </c>
      <c r="Q10" s="1099">
        <f t="shared" ref="Q10:Q12" si="0">IF(I10=0,0,L10/I10*10)</f>
        <v>0</v>
      </c>
      <c r="R10" s="1099">
        <f t="shared" ref="R10:R12" si="1">IF(I10=0,0,M10/I10*10)</f>
        <v>0</v>
      </c>
      <c r="S10" s="1099">
        <f t="shared" ref="S10:S12" si="2">IF(I10=0,0,N10/I10*10)</f>
        <v>0</v>
      </c>
      <c r="T10" s="1099">
        <f t="shared" ref="T10:T12" si="3">IF(I10=0,0,K10/I10*10)</f>
        <v>0</v>
      </c>
      <c r="U10" s="1099">
        <f t="shared" ref="U10:U12" si="4">IF(I10=0,0,O10/I10*10)</f>
        <v>0</v>
      </c>
      <c r="V10" s="609"/>
    </row>
    <row r="11" spans="1:38" s="621" customFormat="1" ht="15" customHeight="1">
      <c r="A11" s="638"/>
      <c r="B11" s="1205" t="s">
        <v>453</v>
      </c>
      <c r="C11" s="1125" t="s">
        <v>863</v>
      </c>
      <c r="D11" s="1206"/>
      <c r="E11" s="1097"/>
      <c r="F11" s="1207"/>
      <c r="G11" s="1207"/>
      <c r="H11" s="1201"/>
      <c r="I11" s="1202"/>
      <c r="J11" s="1208"/>
      <c r="K11" s="1201"/>
      <c r="L11" s="1209"/>
      <c r="M11" s="1209"/>
      <c r="N11" s="1209"/>
      <c r="O11" s="1099">
        <f t="shared" ref="O11:O55" si="5">SUM(J11:N11)</f>
        <v>0</v>
      </c>
      <c r="P11" s="1099">
        <f t="shared" ref="P11:P12" si="6">IF(I11=0,0,J11/I11*10)</f>
        <v>0</v>
      </c>
      <c r="Q11" s="1099">
        <f t="shared" si="0"/>
        <v>0</v>
      </c>
      <c r="R11" s="1099">
        <f t="shared" si="1"/>
        <v>0</v>
      </c>
      <c r="S11" s="1099">
        <f t="shared" si="2"/>
        <v>0</v>
      </c>
      <c r="T11" s="1099">
        <f t="shared" si="3"/>
        <v>0</v>
      </c>
      <c r="U11" s="1099">
        <f t="shared" si="4"/>
        <v>0</v>
      </c>
      <c r="V11" s="609"/>
    </row>
    <row r="12" spans="1:38" s="621" customFormat="1" ht="15" customHeight="1">
      <c r="A12" s="638"/>
      <c r="B12" s="1205" t="s">
        <v>453</v>
      </c>
      <c r="C12" s="1197" t="s">
        <v>892</v>
      </c>
      <c r="D12" s="1206"/>
      <c r="E12" s="1097"/>
      <c r="F12" s="1207"/>
      <c r="G12" s="1207"/>
      <c r="H12" s="1201"/>
      <c r="I12" s="1202"/>
      <c r="J12" s="1208"/>
      <c r="K12" s="1201"/>
      <c r="L12" s="1209"/>
      <c r="M12" s="1209"/>
      <c r="N12" s="1209"/>
      <c r="O12" s="1099">
        <f t="shared" si="5"/>
        <v>0</v>
      </c>
      <c r="P12" s="1099">
        <f t="shared" si="6"/>
        <v>0</v>
      </c>
      <c r="Q12" s="1099">
        <f t="shared" si="0"/>
        <v>0</v>
      </c>
      <c r="R12" s="1099">
        <f t="shared" si="1"/>
        <v>0</v>
      </c>
      <c r="S12" s="1099">
        <f t="shared" si="2"/>
        <v>0</v>
      </c>
      <c r="T12" s="1099">
        <f t="shared" si="3"/>
        <v>0</v>
      </c>
      <c r="U12" s="1099">
        <f t="shared" si="4"/>
        <v>0</v>
      </c>
      <c r="V12" s="1108"/>
    </row>
    <row r="13" spans="1:38" s="1102" customFormat="1" ht="15" customHeight="1">
      <c r="A13" s="1210"/>
      <c r="B13" s="1205" t="s">
        <v>453</v>
      </c>
      <c r="C13" s="1197" t="s">
        <v>893</v>
      </c>
      <c r="D13" s="1206"/>
      <c r="E13" s="1097"/>
      <c r="F13" s="1207"/>
      <c r="G13" s="1207"/>
      <c r="H13" s="1201"/>
      <c r="I13" s="1202"/>
      <c r="J13" s="1208"/>
      <c r="K13" s="1201"/>
      <c r="L13" s="1209"/>
      <c r="M13" s="1209"/>
      <c r="N13" s="1209"/>
      <c r="O13" s="1099">
        <f t="shared" si="5"/>
        <v>0</v>
      </c>
      <c r="P13" s="1099">
        <f>IF(I13=0,0,J13/I13*10)</f>
        <v>0</v>
      </c>
      <c r="Q13" s="1099">
        <f>IF(I13=0,0,L13/I13*10)</f>
        <v>0</v>
      </c>
      <c r="R13" s="1099">
        <f>IF(I13=0,0,M13/I13*10)</f>
        <v>0</v>
      </c>
      <c r="S13" s="1099">
        <f>IF(I13=0,0,N13/I13*10)</f>
        <v>0</v>
      </c>
      <c r="T13" s="1099">
        <f>IF(I13=0,0,K13/I13*10)</f>
        <v>0</v>
      </c>
      <c r="U13" s="1099">
        <f>IF(I13=0,0,O13/I13*10)</f>
        <v>0</v>
      </c>
      <c r="V13" s="609"/>
    </row>
    <row r="14" spans="1:38" s="621" customFormat="1" ht="15" customHeight="1">
      <c r="A14" s="638"/>
      <c r="B14" s="1211" t="s">
        <v>455</v>
      </c>
      <c r="C14" s="1104"/>
      <c r="D14" s="1212"/>
      <c r="E14" s="1107">
        <f>SUM(E10:E13)</f>
        <v>0</v>
      </c>
      <c r="F14" s="1213">
        <v>0</v>
      </c>
      <c r="G14" s="1213">
        <v>0</v>
      </c>
      <c r="H14" s="1214">
        <f t="shared" ref="H14:O14" si="7">SUM(H10:H13)</f>
        <v>0</v>
      </c>
      <c r="I14" s="1214">
        <f t="shared" si="7"/>
        <v>0</v>
      </c>
      <c r="J14" s="1214">
        <f t="shared" si="7"/>
        <v>0</v>
      </c>
      <c r="K14" s="1214">
        <f t="shared" si="7"/>
        <v>0</v>
      </c>
      <c r="L14" s="1215">
        <f t="shared" si="7"/>
        <v>0</v>
      </c>
      <c r="M14" s="1215">
        <f t="shared" si="7"/>
        <v>0</v>
      </c>
      <c r="N14" s="1215">
        <f t="shared" si="7"/>
        <v>0</v>
      </c>
      <c r="O14" s="1215">
        <f t="shared" si="7"/>
        <v>0</v>
      </c>
      <c r="P14" s="1216">
        <f t="shared" ref="P14:P57" si="8">IF(I14=0,0,J14/I14*10)</f>
        <v>0</v>
      </c>
      <c r="Q14" s="1216">
        <f t="shared" ref="Q14:Q57" si="9">IF(I14=0,0,L14/I14*10)</f>
        <v>0</v>
      </c>
      <c r="R14" s="1216">
        <f t="shared" ref="R14:R57" si="10">IF(I14=0,0,M14/I14*10)</f>
        <v>0</v>
      </c>
      <c r="S14" s="1216">
        <f t="shared" ref="S14:S57" si="11">IF(I14=0,0,N14/I14*10)</f>
        <v>0</v>
      </c>
      <c r="T14" s="1216">
        <f t="shared" ref="T14:T57" si="12">IF(I14=0,0,K14/I14*10)</f>
        <v>0</v>
      </c>
      <c r="U14" s="1216">
        <f t="shared" ref="U14:U57" si="13">IF(I14=0,0,O14/I14*10)</f>
        <v>0</v>
      </c>
      <c r="V14" s="1217"/>
    </row>
    <row r="15" spans="1:38" s="621" customFormat="1" ht="15" customHeight="1">
      <c r="A15" s="638"/>
      <c r="B15" s="1205" t="s">
        <v>454</v>
      </c>
      <c r="C15" s="1218" t="s">
        <v>864</v>
      </c>
      <c r="D15" s="1206"/>
      <c r="E15" s="1097"/>
      <c r="F15" s="1207"/>
      <c r="G15" s="1207"/>
      <c r="H15" s="1202"/>
      <c r="I15" s="1202"/>
      <c r="J15" s="1208"/>
      <c r="K15" s="1208"/>
      <c r="L15" s="1209"/>
      <c r="M15" s="1209"/>
      <c r="N15" s="1209"/>
      <c r="O15" s="1099">
        <f t="shared" si="5"/>
        <v>0</v>
      </c>
      <c r="P15" s="1099">
        <f t="shared" si="8"/>
        <v>0</v>
      </c>
      <c r="Q15" s="1099">
        <f t="shared" si="9"/>
        <v>0</v>
      </c>
      <c r="R15" s="1099">
        <f t="shared" si="10"/>
        <v>0</v>
      </c>
      <c r="S15" s="1099">
        <f t="shared" si="11"/>
        <v>0</v>
      </c>
      <c r="T15" s="1099">
        <f t="shared" si="12"/>
        <v>0</v>
      </c>
      <c r="U15" s="1099">
        <f t="shared" si="13"/>
        <v>0</v>
      </c>
      <c r="V15" s="609"/>
    </row>
    <row r="16" spans="1:38" s="621" customFormat="1" ht="15" customHeight="1">
      <c r="A16" s="638"/>
      <c r="B16" s="1205" t="s">
        <v>454</v>
      </c>
      <c r="C16" s="1218" t="s">
        <v>865</v>
      </c>
      <c r="D16" s="1206"/>
      <c r="E16" s="1097"/>
      <c r="F16" s="1207"/>
      <c r="G16" s="1207"/>
      <c r="H16" s="1202"/>
      <c r="I16" s="1202"/>
      <c r="J16" s="1208"/>
      <c r="K16" s="1202"/>
      <c r="L16" s="1209"/>
      <c r="M16" s="1209"/>
      <c r="N16" s="1209"/>
      <c r="O16" s="1099">
        <f t="shared" si="5"/>
        <v>0</v>
      </c>
      <c r="P16" s="1099">
        <f t="shared" si="8"/>
        <v>0</v>
      </c>
      <c r="Q16" s="1099">
        <f t="shared" si="9"/>
        <v>0</v>
      </c>
      <c r="R16" s="1099">
        <f t="shared" si="10"/>
        <v>0</v>
      </c>
      <c r="S16" s="1099">
        <f t="shared" si="11"/>
        <v>0</v>
      </c>
      <c r="T16" s="1099">
        <f t="shared" si="12"/>
        <v>0</v>
      </c>
      <c r="U16" s="1099">
        <f t="shared" si="13"/>
        <v>0</v>
      </c>
      <c r="V16" s="1108"/>
    </row>
    <row r="17" spans="1:31" s="1102" customFormat="1" ht="15" customHeight="1">
      <c r="A17" s="1210"/>
      <c r="B17" s="1205" t="s">
        <v>454</v>
      </c>
      <c r="C17" s="1197" t="s">
        <v>866</v>
      </c>
      <c r="D17" s="1206"/>
      <c r="E17" s="1097"/>
      <c r="F17" s="1207"/>
      <c r="G17" s="1207"/>
      <c r="H17" s="1202"/>
      <c r="I17" s="1202"/>
      <c r="J17" s="1208"/>
      <c r="K17" s="1202"/>
      <c r="L17" s="1209"/>
      <c r="M17" s="1209"/>
      <c r="N17" s="1209"/>
      <c r="O17" s="1099">
        <f t="shared" si="5"/>
        <v>0</v>
      </c>
      <c r="P17" s="1099">
        <f t="shared" si="8"/>
        <v>0</v>
      </c>
      <c r="Q17" s="1099">
        <f t="shared" si="9"/>
        <v>0</v>
      </c>
      <c r="R17" s="1099">
        <f t="shared" si="10"/>
        <v>0</v>
      </c>
      <c r="S17" s="1099">
        <f t="shared" si="11"/>
        <v>0</v>
      </c>
      <c r="T17" s="1099">
        <f t="shared" si="12"/>
        <v>0</v>
      </c>
      <c r="U17" s="1099">
        <f t="shared" si="13"/>
        <v>0</v>
      </c>
      <c r="V17" s="1108"/>
    </row>
    <row r="18" spans="1:31" s="621" customFormat="1" ht="15" customHeight="1">
      <c r="A18" s="638"/>
      <c r="B18" s="1205" t="s">
        <v>454</v>
      </c>
      <c r="C18" s="1197" t="s">
        <v>894</v>
      </c>
      <c r="D18" s="1206"/>
      <c r="E18" s="1097"/>
      <c r="F18" s="1207"/>
      <c r="G18" s="1207"/>
      <c r="H18" s="1202"/>
      <c r="I18" s="1202"/>
      <c r="J18" s="1208"/>
      <c r="K18" s="1202"/>
      <c r="L18" s="1209"/>
      <c r="M18" s="1209"/>
      <c r="N18" s="1209"/>
      <c r="O18" s="1099">
        <f t="shared" si="5"/>
        <v>0</v>
      </c>
      <c r="P18" s="1099">
        <f t="shared" si="8"/>
        <v>0</v>
      </c>
      <c r="Q18" s="1099">
        <f t="shared" si="9"/>
        <v>0</v>
      </c>
      <c r="R18" s="1099">
        <f t="shared" si="10"/>
        <v>0</v>
      </c>
      <c r="S18" s="1099">
        <f t="shared" si="11"/>
        <v>0</v>
      </c>
      <c r="T18" s="1099">
        <f t="shared" si="12"/>
        <v>0</v>
      </c>
      <c r="U18" s="1099">
        <f t="shared" si="13"/>
        <v>0</v>
      </c>
      <c r="V18" s="1108"/>
    </row>
    <row r="19" spans="1:31" s="1102" customFormat="1" ht="15" customHeight="1">
      <c r="A19" s="1210"/>
      <c r="B19" s="1205" t="s">
        <v>454</v>
      </c>
      <c r="C19" s="1197" t="s">
        <v>955</v>
      </c>
      <c r="D19" s="1206"/>
      <c r="E19" s="1097"/>
      <c r="F19" s="1207"/>
      <c r="G19" s="1207"/>
      <c r="H19" s="1202"/>
      <c r="I19" s="1202"/>
      <c r="J19" s="1208"/>
      <c r="K19" s="1202"/>
      <c r="L19" s="1209"/>
      <c r="M19" s="1209"/>
      <c r="N19" s="1209"/>
      <c r="O19" s="1099">
        <f t="shared" si="5"/>
        <v>0</v>
      </c>
      <c r="P19" s="1099">
        <f t="shared" si="8"/>
        <v>0</v>
      </c>
      <c r="Q19" s="1099">
        <f t="shared" si="9"/>
        <v>0</v>
      </c>
      <c r="R19" s="1099">
        <f t="shared" si="10"/>
        <v>0</v>
      </c>
      <c r="S19" s="1099">
        <f t="shared" si="11"/>
        <v>0</v>
      </c>
      <c r="T19" s="1099">
        <f t="shared" si="12"/>
        <v>0</v>
      </c>
      <c r="U19" s="1099">
        <f t="shared" si="13"/>
        <v>0</v>
      </c>
      <c r="V19" s="1108"/>
    </row>
    <row r="20" spans="1:31" s="621" customFormat="1" ht="15" customHeight="1">
      <c r="A20" s="638"/>
      <c r="B20" s="1205" t="s">
        <v>454</v>
      </c>
      <c r="C20" s="1197" t="s">
        <v>956</v>
      </c>
      <c r="D20" s="1206"/>
      <c r="E20" s="1097"/>
      <c r="F20" s="1207"/>
      <c r="G20" s="1207"/>
      <c r="H20" s="1202"/>
      <c r="I20" s="1202"/>
      <c r="J20" s="1208"/>
      <c r="K20" s="1202"/>
      <c r="L20" s="1209"/>
      <c r="M20" s="1209"/>
      <c r="N20" s="1209"/>
      <c r="O20" s="1099">
        <f t="shared" si="5"/>
        <v>0</v>
      </c>
      <c r="P20" s="1099">
        <f t="shared" si="8"/>
        <v>0</v>
      </c>
      <c r="Q20" s="1099">
        <f t="shared" si="9"/>
        <v>0</v>
      </c>
      <c r="R20" s="1099">
        <f t="shared" si="10"/>
        <v>0</v>
      </c>
      <c r="S20" s="1099">
        <f t="shared" si="11"/>
        <v>0</v>
      </c>
      <c r="T20" s="1099">
        <f t="shared" si="12"/>
        <v>0</v>
      </c>
      <c r="U20" s="1099">
        <f t="shared" si="13"/>
        <v>0</v>
      </c>
      <c r="V20" s="1108"/>
      <c r="AE20" s="1110"/>
    </row>
    <row r="21" spans="1:31" s="621" customFormat="1" ht="15" customHeight="1">
      <c r="A21" s="638"/>
      <c r="B21" s="1205" t="s">
        <v>454</v>
      </c>
      <c r="C21" s="1197" t="s">
        <v>957</v>
      </c>
      <c r="D21" s="1206"/>
      <c r="E21" s="1097"/>
      <c r="F21" s="1207"/>
      <c r="G21" s="1207"/>
      <c r="H21" s="1202"/>
      <c r="I21" s="1202"/>
      <c r="J21" s="1208"/>
      <c r="K21" s="1202"/>
      <c r="L21" s="1209"/>
      <c r="M21" s="1209"/>
      <c r="N21" s="1209"/>
      <c r="O21" s="1099">
        <f t="shared" si="5"/>
        <v>0</v>
      </c>
      <c r="P21" s="1099">
        <f t="shared" si="8"/>
        <v>0</v>
      </c>
      <c r="Q21" s="1099">
        <f t="shared" si="9"/>
        <v>0</v>
      </c>
      <c r="R21" s="1099">
        <f t="shared" si="10"/>
        <v>0</v>
      </c>
      <c r="S21" s="1099">
        <f t="shared" si="11"/>
        <v>0</v>
      </c>
      <c r="T21" s="1099">
        <f t="shared" si="12"/>
        <v>0</v>
      </c>
      <c r="U21" s="1099">
        <f t="shared" si="13"/>
        <v>0</v>
      </c>
      <c r="V21" s="1108"/>
      <c r="AE21" s="1110"/>
    </row>
    <row r="22" spans="1:31" s="1102" customFormat="1" ht="15" customHeight="1">
      <c r="A22" s="1210"/>
      <c r="B22" s="1211" t="s">
        <v>457</v>
      </c>
      <c r="C22" s="1104"/>
      <c r="D22" s="1212"/>
      <c r="E22" s="1107">
        <f>SUM(E15:E21)</f>
        <v>0</v>
      </c>
      <c r="F22" s="1213">
        <f t="shared" ref="F22:G22" si="14">SUM(F15:F21)</f>
        <v>0</v>
      </c>
      <c r="G22" s="1213">
        <f t="shared" si="14"/>
        <v>0</v>
      </c>
      <c r="H22" s="1214">
        <f>SUM(H15:H21)</f>
        <v>0</v>
      </c>
      <c r="I22" s="1214">
        <f>SUM(I15:I21)</f>
        <v>0</v>
      </c>
      <c r="J22" s="1214">
        <f t="shared" ref="J22:O22" si="15">SUM(J15:J21)</f>
        <v>0</v>
      </c>
      <c r="K22" s="1214">
        <f t="shared" si="15"/>
        <v>0</v>
      </c>
      <c r="L22" s="1215">
        <f t="shared" si="15"/>
        <v>0</v>
      </c>
      <c r="M22" s="1215">
        <f t="shared" si="15"/>
        <v>0</v>
      </c>
      <c r="N22" s="1215">
        <f t="shared" si="15"/>
        <v>0</v>
      </c>
      <c r="O22" s="1215">
        <f t="shared" si="15"/>
        <v>0</v>
      </c>
      <c r="P22" s="1216">
        <f t="shared" si="8"/>
        <v>0</v>
      </c>
      <c r="Q22" s="1216">
        <f t="shared" si="9"/>
        <v>0</v>
      </c>
      <c r="R22" s="1216">
        <f t="shared" si="10"/>
        <v>0</v>
      </c>
      <c r="S22" s="1216">
        <f t="shared" si="11"/>
        <v>0</v>
      </c>
      <c r="T22" s="1216">
        <f t="shared" si="12"/>
        <v>0</v>
      </c>
      <c r="U22" s="1216">
        <f>IF(I22=0,0,O22/I22*10)</f>
        <v>0</v>
      </c>
      <c r="V22" s="1217"/>
    </row>
    <row r="23" spans="1:31" s="621" customFormat="1" ht="21">
      <c r="A23" s="638"/>
      <c r="B23" s="1205" t="s">
        <v>456</v>
      </c>
      <c r="C23" s="1219" t="s">
        <v>888</v>
      </c>
      <c r="D23" s="1220"/>
      <c r="E23" s="1097"/>
      <c r="F23" s="1207"/>
      <c r="G23" s="1207"/>
      <c r="H23" s="1208"/>
      <c r="I23" s="1202"/>
      <c r="J23" s="1208"/>
      <c r="K23" s="1208"/>
      <c r="L23" s="1209"/>
      <c r="M23" s="1209"/>
      <c r="N23" s="1209"/>
      <c r="O23" s="1099">
        <f t="shared" si="5"/>
        <v>0</v>
      </c>
      <c r="P23" s="1099">
        <f t="shared" si="8"/>
        <v>0</v>
      </c>
      <c r="Q23" s="1099">
        <f t="shared" si="9"/>
        <v>0</v>
      </c>
      <c r="R23" s="1099">
        <f t="shared" si="10"/>
        <v>0</v>
      </c>
      <c r="S23" s="1099">
        <f t="shared" si="11"/>
        <v>0</v>
      </c>
      <c r="T23" s="1099">
        <f t="shared" si="12"/>
        <v>0</v>
      </c>
      <c r="U23" s="1099">
        <f t="shared" si="13"/>
        <v>0</v>
      </c>
      <c r="V23" s="609"/>
      <c r="AE23" s="1110"/>
    </row>
    <row r="24" spans="1:31" s="1102" customFormat="1" ht="21">
      <c r="A24" s="1210"/>
      <c r="B24" s="1211" t="s">
        <v>459</v>
      </c>
      <c r="C24" s="1104"/>
      <c r="D24" s="1212"/>
      <c r="E24" s="1107">
        <f>E23</f>
        <v>0</v>
      </c>
      <c r="F24" s="1213">
        <v>0</v>
      </c>
      <c r="G24" s="1213">
        <v>0</v>
      </c>
      <c r="H24" s="1214">
        <f>H23</f>
        <v>0</v>
      </c>
      <c r="I24" s="1214">
        <f>I23</f>
        <v>0</v>
      </c>
      <c r="J24" s="1214">
        <f>J23</f>
        <v>0</v>
      </c>
      <c r="K24" s="1214">
        <f>K23</f>
        <v>0</v>
      </c>
      <c r="L24" s="1215">
        <f>L23</f>
        <v>0</v>
      </c>
      <c r="M24" s="1215">
        <f t="shared" ref="M24:O24" si="16">M23</f>
        <v>0</v>
      </c>
      <c r="N24" s="1215">
        <f t="shared" si="16"/>
        <v>0</v>
      </c>
      <c r="O24" s="1215">
        <f t="shared" si="16"/>
        <v>0</v>
      </c>
      <c r="P24" s="1216">
        <f t="shared" si="8"/>
        <v>0</v>
      </c>
      <c r="Q24" s="1216">
        <f t="shared" si="9"/>
        <v>0</v>
      </c>
      <c r="R24" s="1216">
        <f t="shared" si="10"/>
        <v>0</v>
      </c>
      <c r="S24" s="1216">
        <f t="shared" si="11"/>
        <v>0</v>
      </c>
      <c r="T24" s="1216">
        <f t="shared" si="12"/>
        <v>0</v>
      </c>
      <c r="U24" s="1216">
        <f t="shared" si="13"/>
        <v>0</v>
      </c>
      <c r="V24" s="1108"/>
    </row>
    <row r="25" spans="1:31" s="621" customFormat="1" ht="21">
      <c r="A25" s="638"/>
      <c r="B25" s="1205" t="s">
        <v>458</v>
      </c>
      <c r="C25" s="1092" t="s">
        <v>867</v>
      </c>
      <c r="D25" s="1206"/>
      <c r="E25" s="1097"/>
      <c r="F25" s="1207"/>
      <c r="G25" s="1207"/>
      <c r="H25" s="1202"/>
      <c r="I25" s="1202"/>
      <c r="J25" s="1208"/>
      <c r="K25" s="1208"/>
      <c r="L25" s="1209"/>
      <c r="M25" s="1209"/>
      <c r="N25" s="1209"/>
      <c r="O25" s="1099">
        <f t="shared" si="5"/>
        <v>0</v>
      </c>
      <c r="P25" s="1099">
        <f t="shared" si="8"/>
        <v>0</v>
      </c>
      <c r="Q25" s="1099">
        <f t="shared" si="9"/>
        <v>0</v>
      </c>
      <c r="R25" s="1099">
        <f t="shared" si="10"/>
        <v>0</v>
      </c>
      <c r="S25" s="1099">
        <f t="shared" si="11"/>
        <v>0</v>
      </c>
      <c r="T25" s="1099">
        <f t="shared" si="12"/>
        <v>0</v>
      </c>
      <c r="U25" s="1099">
        <f t="shared" si="13"/>
        <v>0</v>
      </c>
      <c r="V25" s="609"/>
    </row>
    <row r="26" spans="1:31" s="621" customFormat="1" ht="21">
      <c r="A26" s="638"/>
      <c r="B26" s="1205" t="s">
        <v>458</v>
      </c>
      <c r="C26" s="1092" t="s">
        <v>895</v>
      </c>
      <c r="D26" s="1206"/>
      <c r="E26" s="1097"/>
      <c r="F26" s="1207"/>
      <c r="G26" s="1207"/>
      <c r="H26" s="1202"/>
      <c r="I26" s="1202"/>
      <c r="J26" s="1202"/>
      <c r="K26" s="1202"/>
      <c r="L26" s="1209"/>
      <c r="M26" s="1209"/>
      <c r="N26" s="1209"/>
      <c r="O26" s="1099">
        <f t="shared" si="5"/>
        <v>0</v>
      </c>
      <c r="P26" s="1099">
        <f t="shared" si="8"/>
        <v>0</v>
      </c>
      <c r="Q26" s="1099">
        <f t="shared" si="9"/>
        <v>0</v>
      </c>
      <c r="R26" s="1099">
        <f t="shared" si="10"/>
        <v>0</v>
      </c>
      <c r="S26" s="1099">
        <f t="shared" si="11"/>
        <v>0</v>
      </c>
      <c r="T26" s="1099">
        <f t="shared" si="12"/>
        <v>0</v>
      </c>
      <c r="U26" s="1099">
        <f t="shared" si="13"/>
        <v>0</v>
      </c>
      <c r="V26" s="1108"/>
    </row>
    <row r="27" spans="1:31" s="621" customFormat="1" ht="21">
      <c r="A27" s="638"/>
      <c r="B27" s="1205" t="s">
        <v>458</v>
      </c>
      <c r="C27" s="1092" t="s">
        <v>896</v>
      </c>
      <c r="D27" s="1206"/>
      <c r="E27" s="1097"/>
      <c r="F27" s="1207"/>
      <c r="G27" s="1207"/>
      <c r="H27" s="1202"/>
      <c r="I27" s="1202"/>
      <c r="J27" s="1202"/>
      <c r="K27" s="1202"/>
      <c r="L27" s="1209"/>
      <c r="M27" s="1209"/>
      <c r="N27" s="1209"/>
      <c r="O27" s="1099">
        <f t="shared" si="5"/>
        <v>0</v>
      </c>
      <c r="P27" s="1099">
        <f t="shared" si="8"/>
        <v>0</v>
      </c>
      <c r="Q27" s="1099">
        <f t="shared" si="9"/>
        <v>0</v>
      </c>
      <c r="R27" s="1099">
        <f t="shared" si="10"/>
        <v>0</v>
      </c>
      <c r="S27" s="1099">
        <f t="shared" si="11"/>
        <v>0</v>
      </c>
      <c r="T27" s="1099">
        <f t="shared" si="12"/>
        <v>0</v>
      </c>
      <c r="U27" s="1099">
        <f t="shared" si="13"/>
        <v>0</v>
      </c>
      <c r="V27" s="609"/>
    </row>
    <row r="28" spans="1:31" s="1102" customFormat="1" ht="15" customHeight="1">
      <c r="A28" s="1210"/>
      <c r="B28" s="1221" t="s">
        <v>480</v>
      </c>
      <c r="C28" s="1104"/>
      <c r="D28" s="1212"/>
      <c r="E28" s="1107">
        <f>SUM(E25:E27)</f>
        <v>0</v>
      </c>
      <c r="F28" s="1213">
        <f t="shared" ref="F28:O28" si="17">SUM(F25:F27)</f>
        <v>0</v>
      </c>
      <c r="G28" s="1213">
        <f t="shared" si="17"/>
        <v>0</v>
      </c>
      <c r="H28" s="1214">
        <f t="shared" si="17"/>
        <v>0</v>
      </c>
      <c r="I28" s="1214">
        <f t="shared" si="17"/>
        <v>0</v>
      </c>
      <c r="J28" s="1214">
        <f t="shared" si="17"/>
        <v>0</v>
      </c>
      <c r="K28" s="1214">
        <f t="shared" si="17"/>
        <v>0</v>
      </c>
      <c r="L28" s="1215">
        <f t="shared" si="17"/>
        <v>0</v>
      </c>
      <c r="M28" s="1215">
        <f t="shared" si="17"/>
        <v>0</v>
      </c>
      <c r="N28" s="1215">
        <f t="shared" si="17"/>
        <v>0</v>
      </c>
      <c r="O28" s="1215">
        <f t="shared" si="17"/>
        <v>0</v>
      </c>
      <c r="P28" s="1216">
        <f t="shared" si="8"/>
        <v>0</v>
      </c>
      <c r="Q28" s="1216">
        <f t="shared" si="9"/>
        <v>0</v>
      </c>
      <c r="R28" s="1216">
        <f t="shared" si="10"/>
        <v>0</v>
      </c>
      <c r="S28" s="1216">
        <f t="shared" si="11"/>
        <v>0</v>
      </c>
      <c r="T28" s="1216">
        <f t="shared" si="12"/>
        <v>0</v>
      </c>
      <c r="U28" s="1216">
        <f t="shared" si="13"/>
        <v>0</v>
      </c>
      <c r="V28" s="1217"/>
    </row>
    <row r="29" spans="1:31" s="621" customFormat="1" ht="15" customHeight="1">
      <c r="A29" s="638"/>
      <c r="B29" s="1205" t="s">
        <v>961</v>
      </c>
      <c r="C29" s="1222" t="s">
        <v>953</v>
      </c>
      <c r="D29" s="1223"/>
      <c r="E29" s="1121"/>
      <c r="F29" s="1224"/>
      <c r="G29" s="1224"/>
      <c r="H29" s="1225"/>
      <c r="I29" s="1202"/>
      <c r="J29" s="1202"/>
      <c r="K29" s="1202"/>
      <c r="L29" s="1226"/>
      <c r="M29" s="1226"/>
      <c r="N29" s="1226"/>
      <c r="O29" s="1099">
        <f t="shared" si="5"/>
        <v>0</v>
      </c>
      <c r="P29" s="1099">
        <f t="shared" si="8"/>
        <v>0</v>
      </c>
      <c r="Q29" s="1099">
        <f t="shared" si="9"/>
        <v>0</v>
      </c>
      <c r="R29" s="1099">
        <f t="shared" si="10"/>
        <v>0</v>
      </c>
      <c r="S29" s="1099">
        <f t="shared" si="11"/>
        <v>0</v>
      </c>
      <c r="T29" s="1099">
        <f t="shared" si="12"/>
        <v>0</v>
      </c>
      <c r="U29" s="1099">
        <f t="shared" si="13"/>
        <v>0</v>
      </c>
      <c r="V29" s="609"/>
    </row>
    <row r="30" spans="1:31" s="1102" customFormat="1" ht="15" customHeight="1">
      <c r="A30" s="1210"/>
      <c r="B30" s="1205" t="s">
        <v>961</v>
      </c>
      <c r="C30" s="1222" t="s">
        <v>954</v>
      </c>
      <c r="D30" s="1223"/>
      <c r="E30" s="1121"/>
      <c r="F30" s="1224"/>
      <c r="G30" s="1224"/>
      <c r="H30" s="1225"/>
      <c r="I30" s="1202"/>
      <c r="J30" s="1202"/>
      <c r="K30" s="1202"/>
      <c r="L30" s="1226"/>
      <c r="M30" s="1226"/>
      <c r="N30" s="1226"/>
      <c r="O30" s="1099">
        <f t="shared" si="5"/>
        <v>0</v>
      </c>
      <c r="P30" s="1099">
        <f t="shared" si="8"/>
        <v>0</v>
      </c>
      <c r="Q30" s="1099">
        <f t="shared" si="9"/>
        <v>0</v>
      </c>
      <c r="R30" s="1099">
        <f t="shared" si="10"/>
        <v>0</v>
      </c>
      <c r="S30" s="1099">
        <f t="shared" si="11"/>
        <v>0</v>
      </c>
      <c r="T30" s="1099">
        <f t="shared" si="12"/>
        <v>0</v>
      </c>
      <c r="U30" s="1099">
        <f t="shared" si="13"/>
        <v>0</v>
      </c>
      <c r="V30" s="609"/>
    </row>
    <row r="31" spans="1:31" s="621" customFormat="1" ht="15" customHeight="1">
      <c r="A31" s="638"/>
      <c r="B31" s="1205" t="s">
        <v>961</v>
      </c>
      <c r="C31" s="1222" t="s">
        <v>958</v>
      </c>
      <c r="D31" s="1223"/>
      <c r="E31" s="1121"/>
      <c r="F31" s="1224"/>
      <c r="G31" s="1224"/>
      <c r="H31" s="1225"/>
      <c r="I31" s="1202"/>
      <c r="J31" s="1202"/>
      <c r="K31" s="1202"/>
      <c r="L31" s="1226"/>
      <c r="M31" s="1226"/>
      <c r="N31" s="1226"/>
      <c r="O31" s="1099">
        <f t="shared" si="5"/>
        <v>0</v>
      </c>
      <c r="P31" s="1099">
        <f t="shared" si="8"/>
        <v>0</v>
      </c>
      <c r="Q31" s="1099">
        <f t="shared" si="9"/>
        <v>0</v>
      </c>
      <c r="R31" s="1099">
        <f t="shared" si="10"/>
        <v>0</v>
      </c>
      <c r="S31" s="1099">
        <f t="shared" si="11"/>
        <v>0</v>
      </c>
      <c r="T31" s="1099">
        <f t="shared" si="12"/>
        <v>0</v>
      </c>
      <c r="U31" s="1099">
        <f t="shared" si="13"/>
        <v>0</v>
      </c>
      <c r="V31" s="609"/>
    </row>
    <row r="32" spans="1:31" s="621" customFormat="1" ht="15" customHeight="1">
      <c r="A32" s="638"/>
      <c r="B32" s="1205" t="s">
        <v>961</v>
      </c>
      <c r="C32" s="1222" t="s">
        <v>959</v>
      </c>
      <c r="D32" s="1223"/>
      <c r="E32" s="1121"/>
      <c r="F32" s="1224"/>
      <c r="G32" s="1224"/>
      <c r="H32" s="1225"/>
      <c r="I32" s="1202"/>
      <c r="J32" s="1202"/>
      <c r="K32" s="1202"/>
      <c r="L32" s="1226"/>
      <c r="M32" s="1226"/>
      <c r="N32" s="1226"/>
      <c r="O32" s="1099">
        <f t="shared" si="5"/>
        <v>0</v>
      </c>
      <c r="P32" s="1099">
        <f t="shared" si="8"/>
        <v>0</v>
      </c>
      <c r="Q32" s="1099">
        <f t="shared" si="9"/>
        <v>0</v>
      </c>
      <c r="R32" s="1099">
        <f t="shared" si="10"/>
        <v>0</v>
      </c>
      <c r="S32" s="1099">
        <f t="shared" si="11"/>
        <v>0</v>
      </c>
      <c r="T32" s="1099">
        <f t="shared" si="12"/>
        <v>0</v>
      </c>
      <c r="U32" s="1099">
        <f t="shared" si="13"/>
        <v>0</v>
      </c>
      <c r="V32" s="609"/>
    </row>
    <row r="33" spans="1:22" s="621" customFormat="1" ht="15" customHeight="1">
      <c r="A33" s="638"/>
      <c r="B33" s="1227" t="s">
        <v>461</v>
      </c>
      <c r="C33" s="1228"/>
      <c r="D33" s="1229"/>
      <c r="E33" s="1117">
        <f>SUM(E29:E32)</f>
        <v>0</v>
      </c>
      <c r="F33" s="1230">
        <f t="shared" ref="F33:O33" si="18">SUM(F29:F32)</f>
        <v>0</v>
      </c>
      <c r="G33" s="1230">
        <f t="shared" si="18"/>
        <v>0</v>
      </c>
      <c r="H33" s="1231">
        <f t="shared" si="18"/>
        <v>0</v>
      </c>
      <c r="I33" s="1231">
        <f t="shared" si="18"/>
        <v>0</v>
      </c>
      <c r="J33" s="1231">
        <f t="shared" si="18"/>
        <v>0</v>
      </c>
      <c r="K33" s="1231">
        <f t="shared" si="18"/>
        <v>0</v>
      </c>
      <c r="L33" s="1232">
        <f t="shared" si="18"/>
        <v>0</v>
      </c>
      <c r="M33" s="1232">
        <f t="shared" si="18"/>
        <v>0</v>
      </c>
      <c r="N33" s="1232">
        <f t="shared" si="18"/>
        <v>0</v>
      </c>
      <c r="O33" s="1232">
        <f t="shared" si="18"/>
        <v>0</v>
      </c>
      <c r="P33" s="1216">
        <f t="shared" si="8"/>
        <v>0</v>
      </c>
      <c r="Q33" s="1216">
        <f t="shared" si="9"/>
        <v>0</v>
      </c>
      <c r="R33" s="1216">
        <f t="shared" si="10"/>
        <v>0</v>
      </c>
      <c r="S33" s="1216">
        <f t="shared" si="11"/>
        <v>0</v>
      </c>
      <c r="T33" s="1216">
        <f t="shared" si="12"/>
        <v>0</v>
      </c>
      <c r="U33" s="1216">
        <f t="shared" si="13"/>
        <v>0</v>
      </c>
      <c r="V33" s="1108"/>
    </row>
    <row r="34" spans="1:22" s="621" customFormat="1" ht="15" customHeight="1">
      <c r="A34" s="638"/>
      <c r="B34" s="1233" t="s">
        <v>462</v>
      </c>
      <c r="C34" s="1197" t="s">
        <v>868</v>
      </c>
      <c r="D34" s="1206"/>
      <c r="E34" s="1097"/>
      <c r="F34" s="1207"/>
      <c r="G34" s="1207"/>
      <c r="H34" s="1202"/>
      <c r="I34" s="1202"/>
      <c r="J34" s="1208"/>
      <c r="K34" s="1208"/>
      <c r="L34" s="1209"/>
      <c r="M34" s="1209"/>
      <c r="N34" s="1209"/>
      <c r="O34" s="1099">
        <f t="shared" si="5"/>
        <v>0</v>
      </c>
      <c r="P34" s="1099">
        <f t="shared" si="8"/>
        <v>0</v>
      </c>
      <c r="Q34" s="1099">
        <f t="shared" si="9"/>
        <v>0</v>
      </c>
      <c r="R34" s="1099">
        <f t="shared" si="10"/>
        <v>0</v>
      </c>
      <c r="S34" s="1099">
        <f t="shared" si="11"/>
        <v>0</v>
      </c>
      <c r="T34" s="1099">
        <f t="shared" si="12"/>
        <v>0</v>
      </c>
      <c r="U34" s="1099">
        <f t="shared" si="13"/>
        <v>0</v>
      </c>
      <c r="V34" s="609"/>
    </row>
    <row r="35" spans="1:22" s="621" customFormat="1" ht="15" customHeight="1">
      <c r="A35" s="638"/>
      <c r="B35" s="1233" t="s">
        <v>462</v>
      </c>
      <c r="C35" s="1197" t="s">
        <v>870</v>
      </c>
      <c r="D35" s="1223"/>
      <c r="E35" s="1097"/>
      <c r="F35" s="1207"/>
      <c r="G35" s="1207"/>
      <c r="H35" s="1202"/>
      <c r="I35" s="1202"/>
      <c r="J35" s="1208"/>
      <c r="K35" s="1208"/>
      <c r="L35" s="1209"/>
      <c r="M35" s="1209"/>
      <c r="N35" s="1209"/>
      <c r="O35" s="1099">
        <f t="shared" si="5"/>
        <v>0</v>
      </c>
      <c r="P35" s="1099">
        <f t="shared" si="8"/>
        <v>0</v>
      </c>
      <c r="Q35" s="1099">
        <f t="shared" si="9"/>
        <v>0</v>
      </c>
      <c r="R35" s="1099">
        <f t="shared" si="10"/>
        <v>0</v>
      </c>
      <c r="S35" s="1099">
        <f t="shared" si="11"/>
        <v>0</v>
      </c>
      <c r="T35" s="1099">
        <f t="shared" si="12"/>
        <v>0</v>
      </c>
      <c r="U35" s="1099">
        <f t="shared" si="13"/>
        <v>0</v>
      </c>
      <c r="V35" s="1108"/>
    </row>
    <row r="36" spans="1:22" s="621" customFormat="1" ht="15" customHeight="1">
      <c r="A36" s="638"/>
      <c r="B36" s="1233" t="s">
        <v>462</v>
      </c>
      <c r="C36" s="1197" t="s">
        <v>871</v>
      </c>
      <c r="D36" s="1234"/>
      <c r="E36" s="1097"/>
      <c r="F36" s="1207"/>
      <c r="G36" s="1207"/>
      <c r="H36" s="1202"/>
      <c r="I36" s="1202"/>
      <c r="J36" s="1208"/>
      <c r="K36" s="1208"/>
      <c r="L36" s="1209"/>
      <c r="M36" s="1209"/>
      <c r="N36" s="1209"/>
      <c r="O36" s="1099">
        <f t="shared" si="5"/>
        <v>0</v>
      </c>
      <c r="P36" s="1099">
        <f t="shared" si="8"/>
        <v>0</v>
      </c>
      <c r="Q36" s="1099">
        <f t="shared" si="9"/>
        <v>0</v>
      </c>
      <c r="R36" s="1099">
        <f t="shared" si="10"/>
        <v>0</v>
      </c>
      <c r="S36" s="1099">
        <f t="shared" si="11"/>
        <v>0</v>
      </c>
      <c r="T36" s="1099">
        <f t="shared" si="12"/>
        <v>0</v>
      </c>
      <c r="U36" s="1099">
        <f t="shared" si="13"/>
        <v>0</v>
      </c>
      <c r="V36" s="609"/>
    </row>
    <row r="37" spans="1:22" s="621" customFormat="1" ht="15" customHeight="1">
      <c r="A37" s="638"/>
      <c r="B37" s="1221" t="s">
        <v>463</v>
      </c>
      <c r="C37" s="1104"/>
      <c r="D37" s="1212"/>
      <c r="E37" s="1107">
        <f t="shared" ref="E37:O37" si="19">SUM(E34:E36)</f>
        <v>0</v>
      </c>
      <c r="F37" s="1213">
        <f t="shared" si="19"/>
        <v>0</v>
      </c>
      <c r="G37" s="1213">
        <f t="shared" si="19"/>
        <v>0</v>
      </c>
      <c r="H37" s="1214">
        <f t="shared" si="19"/>
        <v>0</v>
      </c>
      <c r="I37" s="1214">
        <f t="shared" si="19"/>
        <v>0</v>
      </c>
      <c r="J37" s="1214">
        <f t="shared" si="19"/>
        <v>0</v>
      </c>
      <c r="K37" s="1214">
        <f t="shared" si="19"/>
        <v>0</v>
      </c>
      <c r="L37" s="1215">
        <f t="shared" si="19"/>
        <v>0</v>
      </c>
      <c r="M37" s="1215">
        <f t="shared" si="19"/>
        <v>0</v>
      </c>
      <c r="N37" s="1215">
        <f t="shared" si="19"/>
        <v>0</v>
      </c>
      <c r="O37" s="1215">
        <f t="shared" si="19"/>
        <v>0</v>
      </c>
      <c r="P37" s="1216">
        <f t="shared" si="8"/>
        <v>0</v>
      </c>
      <c r="Q37" s="1216">
        <f t="shared" si="9"/>
        <v>0</v>
      </c>
      <c r="R37" s="1216">
        <f t="shared" si="10"/>
        <v>0</v>
      </c>
      <c r="S37" s="1216">
        <f t="shared" si="11"/>
        <v>0</v>
      </c>
      <c r="T37" s="1216">
        <f t="shared" si="12"/>
        <v>0</v>
      </c>
      <c r="U37" s="1216">
        <f t="shared" si="13"/>
        <v>0</v>
      </c>
      <c r="V37" s="1217"/>
    </row>
    <row r="38" spans="1:22" s="621" customFormat="1" ht="15" customHeight="1">
      <c r="A38" s="638"/>
      <c r="B38" s="1233" t="s">
        <v>482</v>
      </c>
      <c r="C38" s="1235"/>
      <c r="D38" s="1223"/>
      <c r="E38" s="1097"/>
      <c r="F38" s="1207"/>
      <c r="G38" s="1207"/>
      <c r="H38" s="1202"/>
      <c r="I38" s="1202"/>
      <c r="J38" s="1202"/>
      <c r="K38" s="1202"/>
      <c r="L38" s="1209"/>
      <c r="M38" s="1209"/>
      <c r="N38" s="1209"/>
      <c r="O38" s="1236">
        <f t="shared" si="5"/>
        <v>0</v>
      </c>
      <c r="P38" s="1099">
        <f t="shared" si="8"/>
        <v>0</v>
      </c>
      <c r="Q38" s="1099">
        <f t="shared" si="9"/>
        <v>0</v>
      </c>
      <c r="R38" s="1099">
        <f t="shared" si="10"/>
        <v>0</v>
      </c>
      <c r="S38" s="1099">
        <f t="shared" si="11"/>
        <v>0</v>
      </c>
      <c r="T38" s="1099">
        <f t="shared" si="12"/>
        <v>0</v>
      </c>
      <c r="U38" s="1099">
        <f t="shared" si="13"/>
        <v>0</v>
      </c>
      <c r="V38" s="609"/>
    </row>
    <row r="39" spans="1:22" s="621" customFormat="1" ht="15" customHeight="1">
      <c r="A39" s="638"/>
      <c r="B39" s="1221" t="s">
        <v>481</v>
      </c>
      <c r="C39" s="1237"/>
      <c r="D39" s="1229"/>
      <c r="E39" s="1107">
        <f>E38</f>
        <v>0</v>
      </c>
      <c r="F39" s="1213"/>
      <c r="G39" s="1213"/>
      <c r="H39" s="1238">
        <f t="shared" ref="H39:O39" si="20">H38</f>
        <v>0</v>
      </c>
      <c r="I39" s="1238">
        <f t="shared" si="20"/>
        <v>0</v>
      </c>
      <c r="J39" s="1238">
        <f t="shared" si="20"/>
        <v>0</v>
      </c>
      <c r="K39" s="1238">
        <f t="shared" si="20"/>
        <v>0</v>
      </c>
      <c r="L39" s="1215">
        <f t="shared" si="20"/>
        <v>0</v>
      </c>
      <c r="M39" s="1215">
        <f t="shared" si="20"/>
        <v>0</v>
      </c>
      <c r="N39" s="1215">
        <f t="shared" si="20"/>
        <v>0</v>
      </c>
      <c r="O39" s="1215">
        <f t="shared" si="20"/>
        <v>0</v>
      </c>
      <c r="P39" s="1216">
        <f t="shared" si="8"/>
        <v>0</v>
      </c>
      <c r="Q39" s="1216">
        <f t="shared" si="9"/>
        <v>0</v>
      </c>
      <c r="R39" s="1216">
        <f t="shared" si="10"/>
        <v>0</v>
      </c>
      <c r="S39" s="1216">
        <f t="shared" si="11"/>
        <v>0</v>
      </c>
      <c r="T39" s="1216">
        <f t="shared" si="12"/>
        <v>0</v>
      </c>
      <c r="U39" s="1216">
        <f t="shared" si="13"/>
        <v>0</v>
      </c>
      <c r="V39" s="1217"/>
    </row>
    <row r="40" spans="1:22" s="621" customFormat="1" ht="15" customHeight="1">
      <c r="A40" s="638"/>
      <c r="B40" s="1239" t="s">
        <v>656</v>
      </c>
      <c r="C40" s="1240" t="s">
        <v>872</v>
      </c>
      <c r="D40" s="1223"/>
      <c r="E40" s="1121"/>
      <c r="F40" s="1207"/>
      <c r="G40" s="1224"/>
      <c r="H40" s="1225"/>
      <c r="I40" s="1202"/>
      <c r="J40" s="1225"/>
      <c r="K40" s="1225"/>
      <c r="L40" s="1226"/>
      <c r="M40" s="1226"/>
      <c r="N40" s="1226"/>
      <c r="O40" s="1099">
        <f t="shared" si="5"/>
        <v>0</v>
      </c>
      <c r="P40" s="1099">
        <f t="shared" si="8"/>
        <v>0</v>
      </c>
      <c r="Q40" s="1099">
        <f t="shared" si="9"/>
        <v>0</v>
      </c>
      <c r="R40" s="1099">
        <f t="shared" si="10"/>
        <v>0</v>
      </c>
      <c r="S40" s="1099">
        <f t="shared" si="11"/>
        <v>0</v>
      </c>
      <c r="T40" s="1099">
        <f t="shared" si="12"/>
        <v>0</v>
      </c>
      <c r="U40" s="1099">
        <f t="shared" si="13"/>
        <v>0</v>
      </c>
      <c r="V40" s="609"/>
    </row>
    <row r="41" spans="1:22" s="1130" customFormat="1" ht="15" customHeight="1">
      <c r="A41" s="1241"/>
      <c r="B41" s="1239" t="s">
        <v>656</v>
      </c>
      <c r="C41" s="1242" t="s">
        <v>875</v>
      </c>
      <c r="D41" s="1223"/>
      <c r="E41" s="1121"/>
      <c r="F41" s="1207"/>
      <c r="G41" s="1224"/>
      <c r="H41" s="1225"/>
      <c r="I41" s="1202"/>
      <c r="J41" s="1225"/>
      <c r="K41" s="1225"/>
      <c r="L41" s="1226"/>
      <c r="M41" s="1226"/>
      <c r="N41" s="1226"/>
      <c r="O41" s="1099">
        <f t="shared" si="5"/>
        <v>0</v>
      </c>
      <c r="P41" s="1099">
        <f t="shared" si="8"/>
        <v>0</v>
      </c>
      <c r="Q41" s="1099">
        <f t="shared" si="9"/>
        <v>0</v>
      </c>
      <c r="R41" s="1099">
        <f t="shared" si="10"/>
        <v>0</v>
      </c>
      <c r="S41" s="1099">
        <f t="shared" si="11"/>
        <v>0</v>
      </c>
      <c r="T41" s="1099">
        <f t="shared" si="12"/>
        <v>0</v>
      </c>
      <c r="U41" s="1099">
        <f t="shared" si="13"/>
        <v>0</v>
      </c>
      <c r="V41" s="609"/>
    </row>
    <row r="42" spans="1:22" s="621" customFormat="1" ht="15" customHeight="1">
      <c r="A42" s="638"/>
      <c r="B42" s="1239" t="s">
        <v>656</v>
      </c>
      <c r="C42" s="1127" t="s">
        <v>880</v>
      </c>
      <c r="D42" s="1223"/>
      <c r="E42" s="1121"/>
      <c r="F42" s="1207"/>
      <c r="G42" s="1224"/>
      <c r="H42" s="1225"/>
      <c r="I42" s="1202"/>
      <c r="J42" s="1225"/>
      <c r="K42" s="1225"/>
      <c r="L42" s="1226"/>
      <c r="M42" s="1226"/>
      <c r="N42" s="1226"/>
      <c r="O42" s="1099">
        <f t="shared" si="5"/>
        <v>0</v>
      </c>
      <c r="P42" s="1099">
        <f t="shared" si="8"/>
        <v>0</v>
      </c>
      <c r="Q42" s="1099">
        <f t="shared" si="9"/>
        <v>0</v>
      </c>
      <c r="R42" s="1099">
        <f t="shared" si="10"/>
        <v>0</v>
      </c>
      <c r="S42" s="1099">
        <f t="shared" si="11"/>
        <v>0</v>
      </c>
      <c r="T42" s="1099">
        <f t="shared" si="12"/>
        <v>0</v>
      </c>
      <c r="U42" s="1099">
        <f t="shared" si="13"/>
        <v>0</v>
      </c>
      <c r="V42" s="609"/>
    </row>
    <row r="43" spans="1:22" s="621" customFormat="1" ht="15" customHeight="1">
      <c r="A43" s="638"/>
      <c r="B43" s="1239" t="s">
        <v>656</v>
      </c>
      <c r="C43" s="1127" t="s">
        <v>881</v>
      </c>
      <c r="D43" s="1223"/>
      <c r="E43" s="1121"/>
      <c r="F43" s="1207"/>
      <c r="G43" s="1224"/>
      <c r="H43" s="1225"/>
      <c r="I43" s="1202"/>
      <c r="J43" s="1225"/>
      <c r="K43" s="1225"/>
      <c r="L43" s="1226"/>
      <c r="M43" s="1226"/>
      <c r="N43" s="1226"/>
      <c r="O43" s="1099">
        <f t="shared" si="5"/>
        <v>0</v>
      </c>
      <c r="P43" s="1099">
        <f t="shared" si="8"/>
        <v>0</v>
      </c>
      <c r="Q43" s="1099">
        <f t="shared" si="9"/>
        <v>0</v>
      </c>
      <c r="R43" s="1099">
        <f t="shared" si="10"/>
        <v>0</v>
      </c>
      <c r="S43" s="1099">
        <f t="shared" si="11"/>
        <v>0</v>
      </c>
      <c r="T43" s="1099">
        <f t="shared" si="12"/>
        <v>0</v>
      </c>
      <c r="U43" s="1099">
        <f t="shared" si="13"/>
        <v>0</v>
      </c>
      <c r="V43" s="609"/>
    </row>
    <row r="44" spans="1:22" s="621" customFormat="1" ht="15" customHeight="1">
      <c r="A44" s="638"/>
      <c r="B44" s="1239" t="s">
        <v>656</v>
      </c>
      <c r="C44" s="1127" t="s">
        <v>878</v>
      </c>
      <c r="D44" s="1223"/>
      <c r="E44" s="1121"/>
      <c r="F44" s="1207"/>
      <c r="G44" s="1224"/>
      <c r="H44" s="1225"/>
      <c r="I44" s="1202"/>
      <c r="J44" s="1225"/>
      <c r="K44" s="1225"/>
      <c r="L44" s="1226"/>
      <c r="M44" s="1226"/>
      <c r="N44" s="1226"/>
      <c r="O44" s="1099">
        <f t="shared" si="5"/>
        <v>0</v>
      </c>
      <c r="P44" s="1099">
        <f t="shared" si="8"/>
        <v>0</v>
      </c>
      <c r="Q44" s="1099">
        <f t="shared" si="9"/>
        <v>0</v>
      </c>
      <c r="R44" s="1099">
        <f t="shared" si="10"/>
        <v>0</v>
      </c>
      <c r="S44" s="1099">
        <f t="shared" si="11"/>
        <v>0</v>
      </c>
      <c r="T44" s="1099">
        <f t="shared" si="12"/>
        <v>0</v>
      </c>
      <c r="U44" s="1099">
        <f t="shared" si="13"/>
        <v>0</v>
      </c>
      <c r="V44" s="609"/>
    </row>
    <row r="45" spans="1:22" s="621" customFormat="1" ht="15" customHeight="1">
      <c r="A45" s="638"/>
      <c r="B45" s="1239" t="s">
        <v>656</v>
      </c>
      <c r="C45" s="1127" t="s">
        <v>879</v>
      </c>
      <c r="D45" s="1223"/>
      <c r="E45" s="1121"/>
      <c r="F45" s="1207"/>
      <c r="G45" s="1224"/>
      <c r="H45" s="1225"/>
      <c r="I45" s="1202"/>
      <c r="J45" s="1225"/>
      <c r="K45" s="1225"/>
      <c r="L45" s="1226"/>
      <c r="M45" s="1226"/>
      <c r="N45" s="1226"/>
      <c r="O45" s="1099">
        <f t="shared" si="5"/>
        <v>0</v>
      </c>
      <c r="P45" s="1099">
        <f t="shared" si="8"/>
        <v>0</v>
      </c>
      <c r="Q45" s="1099">
        <f t="shared" si="9"/>
        <v>0</v>
      </c>
      <c r="R45" s="1099">
        <f t="shared" si="10"/>
        <v>0</v>
      </c>
      <c r="S45" s="1099">
        <f t="shared" si="11"/>
        <v>0</v>
      </c>
      <c r="T45" s="1099">
        <f t="shared" si="12"/>
        <v>0</v>
      </c>
      <c r="U45" s="1099">
        <f t="shared" si="13"/>
        <v>0</v>
      </c>
      <c r="V45" s="609"/>
    </row>
    <row r="46" spans="1:22" s="621" customFormat="1" ht="15" customHeight="1">
      <c r="A46" s="638"/>
      <c r="B46" s="1239" t="s">
        <v>656</v>
      </c>
      <c r="C46" s="1127" t="s">
        <v>962</v>
      </c>
      <c r="D46" s="1223"/>
      <c r="E46" s="1121"/>
      <c r="F46" s="1207"/>
      <c r="G46" s="1224"/>
      <c r="H46" s="1225"/>
      <c r="I46" s="1202"/>
      <c r="J46" s="1225"/>
      <c r="K46" s="1225"/>
      <c r="L46" s="1226"/>
      <c r="M46" s="1226"/>
      <c r="N46" s="1226"/>
      <c r="O46" s="1099">
        <f t="shared" si="5"/>
        <v>0</v>
      </c>
      <c r="P46" s="1099">
        <f t="shared" si="8"/>
        <v>0</v>
      </c>
      <c r="Q46" s="1099">
        <f t="shared" si="9"/>
        <v>0</v>
      </c>
      <c r="R46" s="1099">
        <f t="shared" si="10"/>
        <v>0</v>
      </c>
      <c r="S46" s="1099">
        <f t="shared" si="11"/>
        <v>0</v>
      </c>
      <c r="T46" s="1099">
        <f t="shared" si="12"/>
        <v>0</v>
      </c>
      <c r="U46" s="1099">
        <f t="shared" si="13"/>
        <v>0</v>
      </c>
      <c r="V46" s="609"/>
    </row>
    <row r="47" spans="1:22" s="621" customFormat="1" ht="15" customHeight="1">
      <c r="A47" s="638"/>
      <c r="B47" s="1221" t="s">
        <v>657</v>
      </c>
      <c r="C47" s="1104"/>
      <c r="D47" s="1212"/>
      <c r="E47" s="1243">
        <f t="shared" ref="E47" si="21">SUM(E40:E46)</f>
        <v>0</v>
      </c>
      <c r="F47" s="1213">
        <f>SUM(F40:F46)</f>
        <v>0</v>
      </c>
      <c r="G47" s="1213">
        <f t="shared" ref="G47:O47" si="22">SUM(G40:G46)</f>
        <v>0</v>
      </c>
      <c r="H47" s="1214">
        <f t="shared" si="22"/>
        <v>0</v>
      </c>
      <c r="I47" s="1214">
        <f t="shared" si="22"/>
        <v>0</v>
      </c>
      <c r="J47" s="1214">
        <f t="shared" si="22"/>
        <v>0</v>
      </c>
      <c r="K47" s="1214">
        <f t="shared" si="22"/>
        <v>0</v>
      </c>
      <c r="L47" s="1215">
        <f t="shared" si="22"/>
        <v>0</v>
      </c>
      <c r="M47" s="1215">
        <f t="shared" si="22"/>
        <v>0</v>
      </c>
      <c r="N47" s="1215">
        <f t="shared" si="22"/>
        <v>0</v>
      </c>
      <c r="O47" s="1215">
        <f t="shared" si="22"/>
        <v>0</v>
      </c>
      <c r="P47" s="1216">
        <f t="shared" si="8"/>
        <v>0</v>
      </c>
      <c r="Q47" s="1216">
        <f t="shared" si="9"/>
        <v>0</v>
      </c>
      <c r="R47" s="1216">
        <f t="shared" si="10"/>
        <v>0</v>
      </c>
      <c r="S47" s="1216">
        <f t="shared" si="11"/>
        <v>0</v>
      </c>
      <c r="T47" s="1216">
        <f t="shared" si="12"/>
        <v>0</v>
      </c>
      <c r="U47" s="1216">
        <f t="shared" si="13"/>
        <v>0</v>
      </c>
      <c r="V47" s="1217"/>
    </row>
    <row r="48" spans="1:22" s="621" customFormat="1" ht="15" customHeight="1">
      <c r="A48" s="638"/>
      <c r="B48" s="1205" t="s">
        <v>273</v>
      </c>
      <c r="C48" s="1197" t="s">
        <v>651</v>
      </c>
      <c r="D48" s="1223"/>
      <c r="E48" s="1097"/>
      <c r="F48" s="1207"/>
      <c r="G48" s="1207"/>
      <c r="H48" s="1208"/>
      <c r="I48" s="1202"/>
      <c r="J48" s="1208"/>
      <c r="K48" s="1202"/>
      <c r="L48" s="1209"/>
      <c r="M48" s="1209"/>
      <c r="N48" s="1209"/>
      <c r="O48" s="1099">
        <f t="shared" si="5"/>
        <v>0</v>
      </c>
      <c r="P48" s="1099">
        <f t="shared" si="8"/>
        <v>0</v>
      </c>
      <c r="Q48" s="1099">
        <f t="shared" si="9"/>
        <v>0</v>
      </c>
      <c r="R48" s="1099">
        <f t="shared" si="10"/>
        <v>0</v>
      </c>
      <c r="S48" s="1099">
        <f t="shared" si="11"/>
        <v>0</v>
      </c>
      <c r="T48" s="1099">
        <f t="shared" si="12"/>
        <v>0</v>
      </c>
      <c r="U48" s="1099">
        <f t="shared" si="13"/>
        <v>0</v>
      </c>
      <c r="V48" s="1129"/>
    </row>
    <row r="49" spans="1:22" s="621" customFormat="1" ht="15" customHeight="1">
      <c r="A49" s="638"/>
      <c r="B49" s="1205" t="s">
        <v>273</v>
      </c>
      <c r="C49" s="1197" t="s">
        <v>652</v>
      </c>
      <c r="D49" s="1223"/>
      <c r="E49" s="1097"/>
      <c r="F49" s="1207"/>
      <c r="G49" s="1207"/>
      <c r="H49" s="1208"/>
      <c r="I49" s="1202"/>
      <c r="J49" s="1208"/>
      <c r="K49" s="1202"/>
      <c r="L49" s="1209"/>
      <c r="M49" s="1209"/>
      <c r="N49" s="1209"/>
      <c r="O49" s="1099">
        <f t="shared" si="5"/>
        <v>0</v>
      </c>
      <c r="P49" s="1099">
        <f t="shared" si="8"/>
        <v>0</v>
      </c>
      <c r="Q49" s="1099">
        <f t="shared" si="9"/>
        <v>0</v>
      </c>
      <c r="R49" s="1099">
        <f t="shared" si="10"/>
        <v>0</v>
      </c>
      <c r="S49" s="1099">
        <f t="shared" si="11"/>
        <v>0</v>
      </c>
      <c r="T49" s="1099">
        <f t="shared" si="12"/>
        <v>0</v>
      </c>
      <c r="U49" s="1099">
        <f t="shared" si="13"/>
        <v>0</v>
      </c>
      <c r="V49" s="609"/>
    </row>
    <row r="50" spans="1:22" s="1102" customFormat="1" ht="15" customHeight="1" thickBot="1">
      <c r="A50" s="1244"/>
      <c r="B50" s="1205" t="s">
        <v>273</v>
      </c>
      <c r="C50" s="1197" t="s">
        <v>654</v>
      </c>
      <c r="D50" s="1223"/>
      <c r="E50" s="1097"/>
      <c r="F50" s="1207"/>
      <c r="G50" s="1207"/>
      <c r="H50" s="1208"/>
      <c r="I50" s="1202"/>
      <c r="J50" s="1208"/>
      <c r="K50" s="1208"/>
      <c r="L50" s="1209"/>
      <c r="M50" s="1209"/>
      <c r="N50" s="1209"/>
      <c r="O50" s="1099">
        <f t="shared" si="5"/>
        <v>0</v>
      </c>
      <c r="P50" s="1099">
        <f t="shared" si="8"/>
        <v>0</v>
      </c>
      <c r="Q50" s="1099">
        <f t="shared" si="9"/>
        <v>0</v>
      </c>
      <c r="R50" s="1099">
        <f t="shared" si="10"/>
        <v>0</v>
      </c>
      <c r="S50" s="1099">
        <f t="shared" si="11"/>
        <v>0</v>
      </c>
      <c r="T50" s="1099">
        <f t="shared" si="12"/>
        <v>0</v>
      </c>
      <c r="U50" s="1099">
        <f t="shared" si="13"/>
        <v>0</v>
      </c>
      <c r="V50" s="609"/>
    </row>
    <row r="51" spans="1:22" ht="15" customHeight="1">
      <c r="B51" s="1205" t="s">
        <v>273</v>
      </c>
      <c r="C51" s="1197" t="s">
        <v>655</v>
      </c>
      <c r="D51" s="1223"/>
      <c r="E51" s="1097"/>
      <c r="F51" s="1207"/>
      <c r="G51" s="1207"/>
      <c r="H51" s="1208"/>
      <c r="I51" s="1202"/>
      <c r="J51" s="1208"/>
      <c r="K51" s="1202"/>
      <c r="L51" s="1209"/>
      <c r="M51" s="1209"/>
      <c r="N51" s="1209"/>
      <c r="O51" s="1099">
        <f t="shared" si="5"/>
        <v>0</v>
      </c>
      <c r="P51" s="1099">
        <f t="shared" si="8"/>
        <v>0</v>
      </c>
      <c r="Q51" s="1099">
        <f t="shared" si="9"/>
        <v>0</v>
      </c>
      <c r="R51" s="1099">
        <f t="shared" si="10"/>
        <v>0</v>
      </c>
      <c r="S51" s="1099">
        <f t="shared" si="11"/>
        <v>0</v>
      </c>
      <c r="T51" s="1099">
        <f t="shared" si="12"/>
        <v>0</v>
      </c>
      <c r="U51" s="1099">
        <f t="shared" si="13"/>
        <v>0</v>
      </c>
      <c r="V51" s="609"/>
    </row>
    <row r="52" spans="1:22" ht="15" customHeight="1">
      <c r="B52" s="1205" t="s">
        <v>273</v>
      </c>
      <c r="C52" s="1197" t="s">
        <v>595</v>
      </c>
      <c r="D52" s="1223"/>
      <c r="E52" s="1097"/>
      <c r="F52" s="1207"/>
      <c r="G52" s="1207"/>
      <c r="H52" s="1208"/>
      <c r="I52" s="1202"/>
      <c r="J52" s="1208"/>
      <c r="K52" s="1202"/>
      <c r="L52" s="1209"/>
      <c r="M52" s="1209"/>
      <c r="N52" s="1209"/>
      <c r="O52" s="1099">
        <f t="shared" si="5"/>
        <v>0</v>
      </c>
      <c r="P52" s="1099">
        <f t="shared" si="8"/>
        <v>0</v>
      </c>
      <c r="Q52" s="1099">
        <f t="shared" si="9"/>
        <v>0</v>
      </c>
      <c r="R52" s="1099">
        <f t="shared" si="10"/>
        <v>0</v>
      </c>
      <c r="S52" s="1099">
        <f t="shared" si="11"/>
        <v>0</v>
      </c>
      <c r="T52" s="1099">
        <f t="shared" si="12"/>
        <v>0</v>
      </c>
      <c r="U52" s="1099">
        <f t="shared" si="13"/>
        <v>0</v>
      </c>
      <c r="V52" s="609"/>
    </row>
    <row r="53" spans="1:22" ht="15" customHeight="1">
      <c r="B53" s="1205" t="s">
        <v>273</v>
      </c>
      <c r="C53" s="1197" t="s">
        <v>841</v>
      </c>
      <c r="D53" s="1223"/>
      <c r="E53" s="1097"/>
      <c r="F53" s="1207"/>
      <c r="G53" s="1207"/>
      <c r="H53" s="1208"/>
      <c r="I53" s="1202"/>
      <c r="J53" s="1208"/>
      <c r="K53" s="1202"/>
      <c r="L53" s="1209"/>
      <c r="M53" s="1209"/>
      <c r="N53" s="1209"/>
      <c r="O53" s="1099">
        <f t="shared" si="5"/>
        <v>0</v>
      </c>
      <c r="P53" s="1099">
        <f t="shared" si="8"/>
        <v>0</v>
      </c>
      <c r="Q53" s="1099">
        <f t="shared" si="9"/>
        <v>0</v>
      </c>
      <c r="R53" s="1099">
        <f t="shared" si="10"/>
        <v>0</v>
      </c>
      <c r="S53" s="1099">
        <f t="shared" si="11"/>
        <v>0</v>
      </c>
      <c r="T53" s="1099">
        <f t="shared" si="12"/>
        <v>0</v>
      </c>
      <c r="U53" s="1099">
        <f t="shared" si="13"/>
        <v>0</v>
      </c>
      <c r="V53" s="609"/>
    </row>
    <row r="54" spans="1:22" ht="15" customHeight="1">
      <c r="B54" s="1205" t="s">
        <v>273</v>
      </c>
      <c r="C54" s="1197" t="s">
        <v>842</v>
      </c>
      <c r="D54" s="1223"/>
      <c r="E54" s="1097"/>
      <c r="F54" s="1207"/>
      <c r="G54" s="1207"/>
      <c r="H54" s="1208"/>
      <c r="I54" s="1202"/>
      <c r="J54" s="1208"/>
      <c r="K54" s="1202"/>
      <c r="L54" s="1209"/>
      <c r="M54" s="1209"/>
      <c r="N54" s="1209"/>
      <c r="O54" s="1099">
        <f t="shared" si="5"/>
        <v>0</v>
      </c>
      <c r="P54" s="1099">
        <f t="shared" si="8"/>
        <v>0</v>
      </c>
      <c r="Q54" s="1099">
        <f t="shared" si="9"/>
        <v>0</v>
      </c>
      <c r="R54" s="1099">
        <f t="shared" si="10"/>
        <v>0</v>
      </c>
      <c r="S54" s="1099">
        <f t="shared" si="11"/>
        <v>0</v>
      </c>
      <c r="T54" s="1099">
        <f t="shared" si="12"/>
        <v>0</v>
      </c>
      <c r="U54" s="1099">
        <f t="shared" si="13"/>
        <v>0</v>
      </c>
      <c r="V54" s="609"/>
    </row>
    <row r="55" spans="1:22" ht="15" customHeight="1">
      <c r="B55" s="1205" t="s">
        <v>273</v>
      </c>
      <c r="C55" s="1197" t="s">
        <v>843</v>
      </c>
      <c r="D55" s="1223"/>
      <c r="E55" s="1097"/>
      <c r="F55" s="1207"/>
      <c r="G55" s="1207"/>
      <c r="H55" s="1208"/>
      <c r="I55" s="1202"/>
      <c r="J55" s="1208"/>
      <c r="K55" s="1202"/>
      <c r="L55" s="1209"/>
      <c r="M55" s="1209"/>
      <c r="N55" s="1209"/>
      <c r="O55" s="1099">
        <f t="shared" si="5"/>
        <v>0</v>
      </c>
      <c r="P55" s="1099">
        <f t="shared" si="8"/>
        <v>0</v>
      </c>
      <c r="Q55" s="1099">
        <f t="shared" si="9"/>
        <v>0</v>
      </c>
      <c r="R55" s="1099">
        <f t="shared" si="10"/>
        <v>0</v>
      </c>
      <c r="S55" s="1099">
        <f t="shared" si="11"/>
        <v>0</v>
      </c>
      <c r="T55" s="1099">
        <f t="shared" si="12"/>
        <v>0</v>
      </c>
      <c r="U55" s="1099">
        <f t="shared" si="13"/>
        <v>0</v>
      </c>
      <c r="V55" s="609"/>
    </row>
    <row r="56" spans="1:22" ht="15" customHeight="1">
      <c r="B56" s="1221" t="s">
        <v>464</v>
      </c>
      <c r="C56" s="1104"/>
      <c r="D56" s="1212"/>
      <c r="E56" s="1107">
        <f>SUM(E48:E55)</f>
        <v>0</v>
      </c>
      <c r="F56" s="1213">
        <f t="shared" ref="F56:O56" si="23">SUM(F48:F55)</f>
        <v>0</v>
      </c>
      <c r="G56" s="1213">
        <f t="shared" si="23"/>
        <v>0</v>
      </c>
      <c r="H56" s="1214">
        <f t="shared" si="23"/>
        <v>0</v>
      </c>
      <c r="I56" s="1214">
        <f t="shared" si="23"/>
        <v>0</v>
      </c>
      <c r="J56" s="1214">
        <f t="shared" si="23"/>
        <v>0</v>
      </c>
      <c r="K56" s="1214">
        <f t="shared" si="23"/>
        <v>0</v>
      </c>
      <c r="L56" s="1215">
        <f t="shared" si="23"/>
        <v>0</v>
      </c>
      <c r="M56" s="1215">
        <f t="shared" si="23"/>
        <v>0</v>
      </c>
      <c r="N56" s="1215">
        <f t="shared" si="23"/>
        <v>0</v>
      </c>
      <c r="O56" s="1215">
        <f t="shared" si="23"/>
        <v>0</v>
      </c>
      <c r="P56" s="1216">
        <f t="shared" si="8"/>
        <v>0</v>
      </c>
      <c r="Q56" s="1216">
        <f t="shared" si="9"/>
        <v>0</v>
      </c>
      <c r="R56" s="1216">
        <f t="shared" si="10"/>
        <v>0</v>
      </c>
      <c r="S56" s="1216">
        <f t="shared" si="11"/>
        <v>0</v>
      </c>
      <c r="T56" s="1216">
        <f t="shared" si="12"/>
        <v>0</v>
      </c>
      <c r="U56" s="1216">
        <f t="shared" si="13"/>
        <v>0</v>
      </c>
      <c r="V56" s="1217"/>
    </row>
    <row r="57" spans="1:22" ht="15" customHeight="1" thickBot="1">
      <c r="B57" s="1245" t="s">
        <v>465</v>
      </c>
      <c r="C57" s="1246"/>
      <c r="D57" s="1247"/>
      <c r="E57" s="1138">
        <f t="shared" ref="E57:O57" si="24">E14+E22+E24+E28+E33+E37+E39+E47+E56</f>
        <v>0</v>
      </c>
      <c r="F57" s="1248">
        <f t="shared" si="24"/>
        <v>0</v>
      </c>
      <c r="G57" s="1248">
        <f t="shared" si="24"/>
        <v>0</v>
      </c>
      <c r="H57" s="1249">
        <f t="shared" si="24"/>
        <v>0</v>
      </c>
      <c r="I57" s="1249">
        <f t="shared" si="24"/>
        <v>0</v>
      </c>
      <c r="J57" s="1249">
        <f t="shared" si="24"/>
        <v>0</v>
      </c>
      <c r="K57" s="1249">
        <f t="shared" si="24"/>
        <v>0</v>
      </c>
      <c r="L57" s="1250">
        <f t="shared" si="24"/>
        <v>0</v>
      </c>
      <c r="M57" s="1250">
        <f t="shared" si="24"/>
        <v>0</v>
      </c>
      <c r="N57" s="1250">
        <f t="shared" si="24"/>
        <v>0</v>
      </c>
      <c r="O57" s="1250">
        <f t="shared" si="24"/>
        <v>0</v>
      </c>
      <c r="P57" s="1216">
        <f t="shared" si="8"/>
        <v>0</v>
      </c>
      <c r="Q57" s="1216">
        <f t="shared" si="9"/>
        <v>0</v>
      </c>
      <c r="R57" s="1216">
        <f t="shared" si="10"/>
        <v>0</v>
      </c>
      <c r="S57" s="1216">
        <f t="shared" si="11"/>
        <v>0</v>
      </c>
      <c r="T57" s="1216">
        <f t="shared" si="12"/>
        <v>0</v>
      </c>
      <c r="U57" s="1216">
        <f t="shared" si="13"/>
        <v>0</v>
      </c>
      <c r="V57" s="1139"/>
    </row>
  </sheetData>
  <mergeCells count="8">
    <mergeCell ref="B5:G5"/>
    <mergeCell ref="J8:O8"/>
    <mergeCell ref="P8:T8"/>
    <mergeCell ref="V8:V9"/>
    <mergeCell ref="B8:B9"/>
    <mergeCell ref="C8:C9"/>
    <mergeCell ref="D8:D9"/>
    <mergeCell ref="H8:I8"/>
  </mergeCells>
  <phoneticPr fontId="11" type="noConversion"/>
  <conditionalFormatting sqref="C32:C33">
    <cfRule type="colorScale" priority="3">
      <colorScale>
        <cfvo type="min" val="0"/>
        <cfvo type="percentile" val="50"/>
        <cfvo type="max" val="0"/>
        <color rgb="FFF8696B"/>
        <color rgb="FFFFEB84"/>
        <color rgb="FF63BE7B"/>
      </colorScale>
    </cfRule>
  </conditionalFormatting>
  <conditionalFormatting sqref="C29:C32">
    <cfRule type="colorScale" priority="2">
      <colorScale>
        <cfvo type="min" val="0"/>
        <cfvo type="percentile" val="50"/>
        <cfvo type="max" val="0"/>
        <color rgb="FFF8696B"/>
        <color rgb="FFFFEB84"/>
        <color rgb="FF63BE7B"/>
      </colorScale>
    </cfRule>
  </conditionalFormatting>
  <conditionalFormatting sqref="C37">
    <cfRule type="colorScale" priority="1">
      <colorScale>
        <cfvo type="min" val="0"/>
        <cfvo type="percentile" val="50"/>
        <cfvo type="max" val="0"/>
        <color rgb="FFF8696B"/>
        <color rgb="FFFFEB84"/>
        <color rgb="FF63BE7B"/>
      </colorScale>
    </cfRule>
  </conditionalFormatting>
  <dataValidations disablePrompts="1" count="1">
    <dataValidation type="decimal" allowBlank="1" showInputMessage="1" showErrorMessage="1" sqref="J58:J64474 N58:O1048576 M58:M64474 I58:I1048576 K58:L1048576 E58:H64474 I1:L9 S1:U1048576 M1:M8 E6:G33 N1:Q7 H6:H8 E1:H4 R1:R8 P58:R64474 J37:O39 K14:O27 L34:O36 J28:O33 E40:O57 N8:O13 I10:J27 H10:H33 K10:M13 R10:R57 P8:Q57 E34:H39 I28:I39">
      <formula1>-999999999999999000000</formula1>
      <formula2>9.99999999999999E+29</formula2>
    </dataValidation>
  </dataValidations>
  <hyperlinks>
    <hyperlink ref="A1" location="Index!A1" display="Index sheet"/>
  </hyperlinks>
  <printOptions horizontalCentered="1" verticalCentered="1"/>
  <pageMargins left="0.51181102362204722" right="0.51181102362204722" top="0.51181102362204722" bottom="0.51181102362204722" header="0.19685039370078741" footer="0.19685039370078741"/>
  <pageSetup paperSize="9" scale="61" orientation="landscape" blackAndWhite="1" r:id="rId1"/>
  <headerFooter alignWithMargins="0"/>
</worksheet>
</file>

<file path=xl/worksheets/sheet14.xml><?xml version="1.0" encoding="utf-8"?>
<worksheet xmlns="http://schemas.openxmlformats.org/spreadsheetml/2006/main" xmlns:r="http://schemas.openxmlformats.org/officeDocument/2006/relationships">
  <sheetPr codeName="Sheet10">
    <pageSetUpPr fitToPage="1"/>
  </sheetPr>
  <dimension ref="A1:AL48"/>
  <sheetViews>
    <sheetView view="pageBreakPreview" topLeftCell="B28" zoomScale="75" zoomScaleSheetLayoutView="75" workbookViewId="0">
      <selection activeCell="B20" sqref="B20"/>
    </sheetView>
  </sheetViews>
  <sheetFormatPr defaultRowHeight="12.75"/>
  <cols>
    <col min="1" max="1" width="0" style="384" hidden="1" customWidth="1"/>
    <col min="2" max="2" width="31.42578125" style="815" customWidth="1"/>
    <col min="3" max="3" width="34.28515625" style="815" customWidth="1"/>
    <col min="4" max="4" width="10.140625" style="815" customWidth="1"/>
    <col min="5" max="5" width="11.140625" style="384" customWidth="1"/>
    <col min="6" max="6" width="8.85546875" style="384" customWidth="1"/>
    <col min="7" max="7" width="12.7109375" style="384" customWidth="1"/>
    <col min="8" max="8" width="13.85546875" style="384" customWidth="1"/>
    <col min="9" max="9" width="9.7109375" style="384" bestFit="1" customWidth="1"/>
    <col min="10" max="10" width="7.7109375" style="384" bestFit="1" customWidth="1"/>
    <col min="11" max="11" width="9" style="384" bestFit="1" customWidth="1"/>
    <col min="12" max="12" width="10.42578125" style="384" bestFit="1" customWidth="1"/>
    <col min="13" max="13" width="12.7109375" style="384" bestFit="1" customWidth="1"/>
    <col min="14" max="14" width="8.140625" style="384" bestFit="1" customWidth="1"/>
    <col min="15" max="15" width="6.85546875" style="384" bestFit="1" customWidth="1"/>
    <col min="16" max="16" width="6.28515625" style="384" bestFit="1" customWidth="1"/>
    <col min="17" max="17" width="10.5703125" style="384" bestFit="1" customWidth="1"/>
    <col min="18" max="18" width="11.5703125" style="384" bestFit="1" customWidth="1"/>
    <col min="19" max="19" width="7.42578125" style="384" bestFit="1" customWidth="1"/>
    <col min="20" max="20" width="8.85546875" style="384" bestFit="1" customWidth="1"/>
    <col min="21" max="21" width="6" style="384" bestFit="1" customWidth="1"/>
    <col min="22" max="22" width="8.85546875" style="384" bestFit="1" customWidth="1"/>
    <col min="23" max="16384" width="9.140625" style="384"/>
  </cols>
  <sheetData>
    <row r="1" spans="1:38" ht="25.5">
      <c r="A1" s="852" t="s">
        <v>396</v>
      </c>
      <c r="E1" s="400"/>
      <c r="F1" s="400"/>
      <c r="G1" s="400"/>
      <c r="H1" s="400"/>
      <c r="I1" s="400"/>
      <c r="J1" s="400"/>
      <c r="K1" s="400"/>
      <c r="L1" s="400"/>
      <c r="M1" s="400"/>
      <c r="N1" s="400"/>
      <c r="O1" s="400"/>
      <c r="P1" s="400"/>
      <c r="Q1" s="400"/>
      <c r="R1" s="400"/>
      <c r="S1" s="400"/>
      <c r="T1" s="400"/>
      <c r="U1" s="400"/>
      <c r="AL1" s="384">
        <v>1</v>
      </c>
    </row>
    <row r="2" spans="1:38" hidden="1">
      <c r="E2" s="400"/>
      <c r="F2" s="400"/>
      <c r="G2" s="400"/>
      <c r="H2" s="400"/>
      <c r="I2" s="400"/>
      <c r="J2" s="400"/>
      <c r="K2" s="400"/>
      <c r="L2" s="400"/>
      <c r="M2" s="400"/>
      <c r="N2" s="400"/>
      <c r="O2" s="400"/>
      <c r="P2" s="400"/>
      <c r="Q2" s="400"/>
      <c r="R2" s="400"/>
      <c r="S2" s="400"/>
      <c r="T2" s="400"/>
      <c r="U2" s="400"/>
      <c r="AL2" s="384">
        <v>2</v>
      </c>
    </row>
    <row r="3" spans="1:38">
      <c r="B3" s="387" t="s">
        <v>52</v>
      </c>
      <c r="C3" s="387" t="s">
        <v>581</v>
      </c>
      <c r="D3" s="387"/>
      <c r="E3" s="853"/>
      <c r="F3" s="853"/>
      <c r="G3" s="853"/>
      <c r="H3" s="853"/>
      <c r="I3" s="853"/>
      <c r="J3" s="853"/>
      <c r="K3" s="400"/>
      <c r="L3" s="400"/>
      <c r="M3" s="400"/>
      <c r="N3" s="400"/>
      <c r="O3" s="400"/>
      <c r="P3" s="400"/>
      <c r="Q3" s="400"/>
      <c r="R3" s="400"/>
      <c r="S3" s="400"/>
      <c r="T3" s="400"/>
      <c r="U3" s="400"/>
    </row>
    <row r="4" spans="1:38">
      <c r="B4" s="387"/>
      <c r="C4" s="387"/>
      <c r="D4" s="387"/>
      <c r="E4" s="853"/>
      <c r="F4" s="853"/>
      <c r="G4" s="853"/>
      <c r="H4" s="853"/>
      <c r="I4" s="853"/>
      <c r="J4" s="853"/>
      <c r="K4" s="400"/>
      <c r="L4" s="400"/>
      <c r="M4" s="400"/>
      <c r="N4" s="400"/>
      <c r="O4" s="400"/>
      <c r="P4" s="400"/>
      <c r="Q4" s="400"/>
      <c r="R4" s="400"/>
      <c r="S4" s="400"/>
      <c r="T4" s="400"/>
      <c r="U4" s="400"/>
    </row>
    <row r="5" spans="1:38" ht="21.75" customHeight="1" thickBot="1">
      <c r="B5" s="1831" t="s">
        <v>556</v>
      </c>
      <c r="C5" s="1832"/>
      <c r="D5" s="1832"/>
      <c r="E5" s="1832"/>
      <c r="F5" s="1832"/>
      <c r="G5" s="1833"/>
      <c r="H5" s="814" t="str">
        <f>Notes!C9</f>
        <v>FY 2027-28</v>
      </c>
      <c r="I5" s="814"/>
      <c r="J5" s="814"/>
      <c r="K5" s="400"/>
      <c r="L5" s="400"/>
      <c r="M5" s="400"/>
      <c r="N5" s="400"/>
      <c r="O5" s="400"/>
      <c r="P5" s="400"/>
      <c r="Q5" s="400"/>
      <c r="R5" s="400"/>
      <c r="S5" s="400"/>
      <c r="T5" s="400"/>
      <c r="U5" s="400"/>
    </row>
    <row r="6" spans="1:38">
      <c r="E6" s="814"/>
      <c r="F6" s="814"/>
      <c r="G6" s="814"/>
      <c r="H6" s="814"/>
      <c r="I6" s="814"/>
      <c r="J6" s="814"/>
      <c r="K6" s="400"/>
      <c r="L6" s="400"/>
      <c r="M6" s="400"/>
      <c r="N6" s="400"/>
      <c r="O6" s="400"/>
      <c r="P6" s="400"/>
      <c r="Q6" s="400"/>
      <c r="R6" s="400"/>
      <c r="S6" s="400"/>
      <c r="T6" s="400"/>
      <c r="U6" s="400"/>
    </row>
    <row r="7" spans="1:38" ht="13.5" thickBot="1">
      <c r="B7" s="387"/>
      <c r="E7" s="400"/>
      <c r="F7" s="400"/>
      <c r="G7" s="400"/>
      <c r="H7" s="400"/>
      <c r="I7" s="816"/>
      <c r="J7" s="400"/>
      <c r="K7" s="400"/>
      <c r="L7" s="400"/>
      <c r="M7" s="816"/>
      <c r="N7" s="400"/>
      <c r="O7" s="400"/>
      <c r="P7" s="400"/>
      <c r="Q7" s="400"/>
      <c r="R7" s="400"/>
      <c r="S7" s="400"/>
      <c r="T7" s="400"/>
      <c r="U7" s="400"/>
    </row>
    <row r="8" spans="1:38" ht="39.75" customHeight="1">
      <c r="A8" s="854"/>
      <c r="B8" s="1837" t="s">
        <v>452</v>
      </c>
      <c r="C8" s="1839" t="s">
        <v>466</v>
      </c>
      <c r="D8" s="1839" t="s">
        <v>467</v>
      </c>
      <c r="E8" s="470" t="s">
        <v>222</v>
      </c>
      <c r="F8" s="470" t="s">
        <v>225</v>
      </c>
      <c r="G8" s="470" t="s">
        <v>225</v>
      </c>
      <c r="H8" s="1834" t="s">
        <v>250</v>
      </c>
      <c r="I8" s="1834"/>
      <c r="J8" s="1834" t="s">
        <v>91</v>
      </c>
      <c r="K8" s="1834"/>
      <c r="L8" s="1834"/>
      <c r="M8" s="1834"/>
      <c r="N8" s="1834"/>
      <c r="O8" s="1834"/>
      <c r="P8" s="1834" t="s">
        <v>370</v>
      </c>
      <c r="Q8" s="1834"/>
      <c r="R8" s="1834"/>
      <c r="S8" s="1834"/>
      <c r="T8" s="1834"/>
      <c r="U8" s="782"/>
      <c r="V8" s="1835" t="s">
        <v>365</v>
      </c>
    </row>
    <row r="9" spans="1:38" ht="33.75" customHeight="1">
      <c r="A9" s="854"/>
      <c r="B9" s="1838"/>
      <c r="C9" s="1710"/>
      <c r="D9" s="1710"/>
      <c r="E9" s="711" t="s">
        <v>223</v>
      </c>
      <c r="F9" s="711" t="s">
        <v>224</v>
      </c>
      <c r="G9" s="711" t="s">
        <v>223</v>
      </c>
      <c r="H9" s="711" t="s">
        <v>521</v>
      </c>
      <c r="I9" s="711" t="s">
        <v>209</v>
      </c>
      <c r="J9" s="711" t="s">
        <v>94</v>
      </c>
      <c r="K9" s="711" t="s">
        <v>95</v>
      </c>
      <c r="L9" s="711" t="s">
        <v>96</v>
      </c>
      <c r="M9" s="711" t="s">
        <v>97</v>
      </c>
      <c r="N9" s="711" t="s">
        <v>392</v>
      </c>
      <c r="O9" s="711" t="s">
        <v>98</v>
      </c>
      <c r="P9" s="711" t="s">
        <v>94</v>
      </c>
      <c r="Q9" s="711" t="s">
        <v>262</v>
      </c>
      <c r="R9" s="711" t="s">
        <v>97</v>
      </c>
      <c r="S9" s="711" t="s">
        <v>392</v>
      </c>
      <c r="T9" s="711" t="s">
        <v>95</v>
      </c>
      <c r="U9" s="711" t="s">
        <v>98</v>
      </c>
      <c r="V9" s="1836"/>
    </row>
    <row r="10" spans="1:38" s="860" customFormat="1" ht="21.75" customHeight="1">
      <c r="A10" s="855"/>
      <c r="B10" s="856" t="s">
        <v>453</v>
      </c>
      <c r="C10" s="857" t="s">
        <v>861</v>
      </c>
      <c r="D10" s="822"/>
      <c r="E10" s="823"/>
      <c r="F10" s="823"/>
      <c r="G10" s="823"/>
      <c r="H10" s="858"/>
      <c r="I10" s="823"/>
      <c r="J10" s="823"/>
      <c r="K10" s="858"/>
      <c r="L10" s="823"/>
      <c r="M10" s="823"/>
      <c r="N10" s="823"/>
      <c r="O10" s="824">
        <f t="shared" ref="O10:O46" si="0">SUM(J10:N10)</f>
        <v>0</v>
      </c>
      <c r="P10" s="825">
        <f t="shared" ref="P10:P46" si="1">IF(I10=0,0,J10/I10*10)</f>
        <v>0</v>
      </c>
      <c r="Q10" s="825">
        <f t="shared" ref="Q10:Q46" si="2">IF(I10=0,0,L10/I10*10)</f>
        <v>0</v>
      </c>
      <c r="R10" s="825">
        <f t="shared" ref="R10:R46" si="3">IF(I10=0,0,M10/I10*10)</f>
        <v>0</v>
      </c>
      <c r="S10" s="825">
        <f t="shared" ref="S10:S46" si="4">IF(I10=0,0,N10/I10*10)</f>
        <v>0</v>
      </c>
      <c r="T10" s="825">
        <f t="shared" ref="T10:T46" si="5">IF(I10=0,0,K10/I10*10)</f>
        <v>0</v>
      </c>
      <c r="U10" s="825">
        <f t="shared" ref="U10:U46" si="6">IF(I10=0,0,O10/I10*10)</f>
        <v>0</v>
      </c>
      <c r="V10" s="859"/>
    </row>
    <row r="11" spans="1:38" s="860" customFormat="1" ht="21.75" customHeight="1">
      <c r="A11" s="855"/>
      <c r="B11" s="856" t="s">
        <v>453</v>
      </c>
      <c r="C11" s="857" t="s">
        <v>863</v>
      </c>
      <c r="D11" s="822"/>
      <c r="E11" s="823"/>
      <c r="F11" s="823"/>
      <c r="G11" s="823"/>
      <c r="H11" s="858"/>
      <c r="I11" s="823"/>
      <c r="J11" s="823"/>
      <c r="K11" s="858"/>
      <c r="L11" s="823"/>
      <c r="M11" s="823"/>
      <c r="N11" s="823"/>
      <c r="O11" s="824">
        <f t="shared" si="0"/>
        <v>0</v>
      </c>
      <c r="P11" s="825">
        <f t="shared" si="1"/>
        <v>0</v>
      </c>
      <c r="Q11" s="825">
        <f t="shared" si="2"/>
        <v>0</v>
      </c>
      <c r="R11" s="825">
        <f t="shared" si="3"/>
        <v>0</v>
      </c>
      <c r="S11" s="825">
        <f t="shared" si="4"/>
        <v>0</v>
      </c>
      <c r="T11" s="825">
        <f t="shared" si="5"/>
        <v>0</v>
      </c>
      <c r="U11" s="825">
        <f t="shared" si="6"/>
        <v>0</v>
      </c>
      <c r="V11" s="859"/>
    </row>
    <row r="12" spans="1:38" s="864" customFormat="1" ht="21.75" customHeight="1">
      <c r="A12" s="861"/>
      <c r="B12" s="862" t="s">
        <v>455</v>
      </c>
      <c r="C12" s="828"/>
      <c r="D12" s="829"/>
      <c r="E12" s="829">
        <f t="shared" ref="E12:N12" si="7">SUM(E10:E11)</f>
        <v>0</v>
      </c>
      <c r="F12" s="829">
        <f t="shared" si="7"/>
        <v>0</v>
      </c>
      <c r="G12" s="829">
        <f t="shared" si="7"/>
        <v>0</v>
      </c>
      <c r="H12" s="830">
        <f t="shared" si="7"/>
        <v>0</v>
      </c>
      <c r="I12" s="830">
        <f t="shared" si="7"/>
        <v>0</v>
      </c>
      <c r="J12" s="830">
        <f t="shared" si="7"/>
        <v>0</v>
      </c>
      <c r="K12" s="830">
        <f t="shared" si="7"/>
        <v>0</v>
      </c>
      <c r="L12" s="830">
        <f t="shared" si="7"/>
        <v>0</v>
      </c>
      <c r="M12" s="830">
        <f t="shared" si="7"/>
        <v>0</v>
      </c>
      <c r="N12" s="830">
        <f t="shared" si="7"/>
        <v>0</v>
      </c>
      <c r="O12" s="847">
        <f t="shared" si="0"/>
        <v>0</v>
      </c>
      <c r="P12" s="848">
        <f t="shared" si="1"/>
        <v>0</v>
      </c>
      <c r="Q12" s="848">
        <f t="shared" si="2"/>
        <v>0</v>
      </c>
      <c r="R12" s="848">
        <f t="shared" si="3"/>
        <v>0</v>
      </c>
      <c r="S12" s="848">
        <f t="shared" si="4"/>
        <v>0</v>
      </c>
      <c r="T12" s="848">
        <f t="shared" si="5"/>
        <v>0</v>
      </c>
      <c r="U12" s="848">
        <f t="shared" si="6"/>
        <v>0</v>
      </c>
      <c r="V12" s="863"/>
    </row>
    <row r="13" spans="1:38" s="860" customFormat="1" ht="21.75" customHeight="1">
      <c r="A13" s="855"/>
      <c r="B13" s="856" t="s">
        <v>454</v>
      </c>
      <c r="C13" s="865" t="s">
        <v>864</v>
      </c>
      <c r="D13" s="822"/>
      <c r="E13" s="823"/>
      <c r="F13" s="823"/>
      <c r="G13" s="823"/>
      <c r="H13" s="823"/>
      <c r="I13" s="823"/>
      <c r="J13" s="823"/>
      <c r="K13" s="823"/>
      <c r="L13" s="823"/>
      <c r="M13" s="823"/>
      <c r="N13" s="823"/>
      <c r="O13" s="824">
        <f t="shared" si="0"/>
        <v>0</v>
      </c>
      <c r="P13" s="825">
        <f>IF(I13=0,0,J13/I13*10)</f>
        <v>0</v>
      </c>
      <c r="Q13" s="825">
        <f t="shared" si="2"/>
        <v>0</v>
      </c>
      <c r="R13" s="825">
        <f t="shared" si="3"/>
        <v>0</v>
      </c>
      <c r="S13" s="825">
        <f t="shared" si="4"/>
        <v>0</v>
      </c>
      <c r="T13" s="825">
        <f t="shared" si="5"/>
        <v>0</v>
      </c>
      <c r="U13" s="825">
        <f t="shared" si="6"/>
        <v>0</v>
      </c>
      <c r="V13" s="859"/>
    </row>
    <row r="14" spans="1:38" s="860" customFormat="1" ht="21.75" customHeight="1">
      <c r="A14" s="855"/>
      <c r="B14" s="856" t="s">
        <v>454</v>
      </c>
      <c r="C14" s="865" t="s">
        <v>865</v>
      </c>
      <c r="D14" s="822"/>
      <c r="E14" s="823"/>
      <c r="F14" s="823"/>
      <c r="G14" s="823"/>
      <c r="H14" s="823"/>
      <c r="I14" s="823"/>
      <c r="J14" s="823"/>
      <c r="K14" s="823"/>
      <c r="L14" s="823"/>
      <c r="M14" s="823"/>
      <c r="N14" s="823"/>
      <c r="O14" s="824">
        <f t="shared" si="0"/>
        <v>0</v>
      </c>
      <c r="P14" s="825">
        <f t="shared" si="1"/>
        <v>0</v>
      </c>
      <c r="Q14" s="825">
        <f t="shared" si="2"/>
        <v>0</v>
      </c>
      <c r="R14" s="825">
        <f t="shared" si="3"/>
        <v>0</v>
      </c>
      <c r="S14" s="825">
        <f t="shared" si="4"/>
        <v>0</v>
      </c>
      <c r="T14" s="825">
        <f t="shared" si="5"/>
        <v>0</v>
      </c>
      <c r="U14" s="825">
        <f t="shared" si="6"/>
        <v>0</v>
      </c>
      <c r="V14" s="859"/>
    </row>
    <row r="15" spans="1:38" s="864" customFormat="1" ht="21.75" customHeight="1">
      <c r="A15" s="861"/>
      <c r="B15" s="856" t="s">
        <v>454</v>
      </c>
      <c r="C15" s="866" t="s">
        <v>894</v>
      </c>
      <c r="D15" s="822"/>
      <c r="E15" s="823"/>
      <c r="F15" s="823"/>
      <c r="G15" s="823"/>
      <c r="H15" s="823"/>
      <c r="I15" s="823"/>
      <c r="J15" s="823"/>
      <c r="K15" s="823"/>
      <c r="L15" s="823"/>
      <c r="M15" s="823"/>
      <c r="N15" s="823"/>
      <c r="O15" s="824">
        <f t="shared" si="0"/>
        <v>0</v>
      </c>
      <c r="P15" s="825">
        <f t="shared" si="1"/>
        <v>0</v>
      </c>
      <c r="Q15" s="825">
        <f t="shared" si="2"/>
        <v>0</v>
      </c>
      <c r="R15" s="825">
        <f t="shared" si="3"/>
        <v>0</v>
      </c>
      <c r="S15" s="825">
        <f t="shared" si="4"/>
        <v>0</v>
      </c>
      <c r="T15" s="825">
        <f t="shared" si="5"/>
        <v>0</v>
      </c>
      <c r="U15" s="825">
        <f t="shared" si="6"/>
        <v>0</v>
      </c>
      <c r="V15" s="863"/>
    </row>
    <row r="16" spans="1:38" s="860" customFormat="1" ht="21.75" customHeight="1">
      <c r="A16" s="855"/>
      <c r="B16" s="862" t="s">
        <v>457</v>
      </c>
      <c r="C16" s="828"/>
      <c r="D16" s="829"/>
      <c r="E16" s="829">
        <f>SUM(E13:E15)</f>
        <v>0</v>
      </c>
      <c r="F16" s="829">
        <f t="shared" ref="F16:N16" si="8">SUM(F13:F15)</f>
        <v>0</v>
      </c>
      <c r="G16" s="829">
        <f t="shared" si="8"/>
        <v>0</v>
      </c>
      <c r="H16" s="830">
        <f t="shared" si="8"/>
        <v>0</v>
      </c>
      <c r="I16" s="830">
        <f t="shared" si="8"/>
        <v>0</v>
      </c>
      <c r="J16" s="830">
        <f t="shared" si="8"/>
        <v>0</v>
      </c>
      <c r="K16" s="830">
        <f t="shared" si="8"/>
        <v>0</v>
      </c>
      <c r="L16" s="830">
        <f t="shared" si="8"/>
        <v>0</v>
      </c>
      <c r="M16" s="830">
        <f t="shared" si="8"/>
        <v>0</v>
      </c>
      <c r="N16" s="830">
        <f t="shared" si="8"/>
        <v>0</v>
      </c>
      <c r="O16" s="824">
        <f t="shared" si="0"/>
        <v>0</v>
      </c>
      <c r="P16" s="825">
        <f t="shared" si="1"/>
        <v>0</v>
      </c>
      <c r="Q16" s="825">
        <f t="shared" si="2"/>
        <v>0</v>
      </c>
      <c r="R16" s="825">
        <f t="shared" si="3"/>
        <v>0</v>
      </c>
      <c r="S16" s="825">
        <f t="shared" si="4"/>
        <v>0</v>
      </c>
      <c r="T16" s="825">
        <f t="shared" si="5"/>
        <v>0</v>
      </c>
      <c r="U16" s="825">
        <f t="shared" si="6"/>
        <v>0</v>
      </c>
      <c r="V16" s="859"/>
    </row>
    <row r="17" spans="1:31" s="860" customFormat="1" ht="25.5">
      <c r="A17" s="855"/>
      <c r="B17" s="856" t="s">
        <v>456</v>
      </c>
      <c r="C17" s="832" t="s">
        <v>888</v>
      </c>
      <c r="D17" s="833"/>
      <c r="E17" s="823"/>
      <c r="F17" s="823"/>
      <c r="G17" s="823"/>
      <c r="H17" s="823"/>
      <c r="I17" s="823"/>
      <c r="J17" s="823"/>
      <c r="K17" s="823"/>
      <c r="L17" s="823"/>
      <c r="M17" s="823"/>
      <c r="N17" s="823"/>
      <c r="O17" s="824">
        <f t="shared" si="0"/>
        <v>0</v>
      </c>
      <c r="P17" s="825">
        <f t="shared" si="1"/>
        <v>0</v>
      </c>
      <c r="Q17" s="825">
        <f t="shared" si="2"/>
        <v>0</v>
      </c>
      <c r="R17" s="825">
        <f t="shared" si="3"/>
        <v>0</v>
      </c>
      <c r="S17" s="825">
        <f t="shared" si="4"/>
        <v>0</v>
      </c>
      <c r="T17" s="825">
        <f t="shared" si="5"/>
        <v>0</v>
      </c>
      <c r="U17" s="825">
        <f t="shared" si="6"/>
        <v>0</v>
      </c>
      <c r="V17" s="859"/>
    </row>
    <row r="18" spans="1:31" s="864" customFormat="1">
      <c r="A18" s="861"/>
      <c r="B18" s="862" t="s">
        <v>459</v>
      </c>
      <c r="C18" s="828"/>
      <c r="D18" s="829"/>
      <c r="E18" s="829">
        <f>E17</f>
        <v>0</v>
      </c>
      <c r="F18" s="829">
        <f t="shared" ref="F18:N18" si="9">F17</f>
        <v>0</v>
      </c>
      <c r="G18" s="829">
        <f t="shared" si="9"/>
        <v>0</v>
      </c>
      <c r="H18" s="830">
        <f t="shared" si="9"/>
        <v>0</v>
      </c>
      <c r="I18" s="830">
        <f t="shared" si="9"/>
        <v>0</v>
      </c>
      <c r="J18" s="830">
        <f t="shared" si="9"/>
        <v>0</v>
      </c>
      <c r="K18" s="830">
        <f t="shared" si="9"/>
        <v>0</v>
      </c>
      <c r="L18" s="830">
        <f t="shared" si="9"/>
        <v>0</v>
      </c>
      <c r="M18" s="830">
        <f t="shared" si="9"/>
        <v>0</v>
      </c>
      <c r="N18" s="830">
        <f t="shared" si="9"/>
        <v>0</v>
      </c>
      <c r="O18" s="824">
        <f t="shared" si="0"/>
        <v>0</v>
      </c>
      <c r="P18" s="825">
        <f t="shared" si="1"/>
        <v>0</v>
      </c>
      <c r="Q18" s="825">
        <f t="shared" si="2"/>
        <v>0</v>
      </c>
      <c r="R18" s="825">
        <f t="shared" si="3"/>
        <v>0</v>
      </c>
      <c r="S18" s="825">
        <f t="shared" si="4"/>
        <v>0</v>
      </c>
      <c r="T18" s="825">
        <f t="shared" si="5"/>
        <v>0</v>
      </c>
      <c r="U18" s="825">
        <f t="shared" si="6"/>
        <v>0</v>
      </c>
      <c r="V18" s="863"/>
    </row>
    <row r="19" spans="1:31" s="860" customFormat="1" ht="25.5">
      <c r="A19" s="855"/>
      <c r="B19" s="856" t="s">
        <v>458</v>
      </c>
      <c r="C19" s="821" t="s">
        <v>867</v>
      </c>
      <c r="D19" s="822"/>
      <c r="E19" s="823"/>
      <c r="F19" s="823"/>
      <c r="G19" s="823"/>
      <c r="H19" s="823"/>
      <c r="I19" s="823"/>
      <c r="J19" s="823"/>
      <c r="K19" s="823"/>
      <c r="L19" s="823"/>
      <c r="M19" s="823"/>
      <c r="N19" s="823"/>
      <c r="O19" s="824">
        <f t="shared" si="0"/>
        <v>0</v>
      </c>
      <c r="P19" s="825">
        <f t="shared" si="1"/>
        <v>0</v>
      </c>
      <c r="Q19" s="825">
        <f t="shared" si="2"/>
        <v>0</v>
      </c>
      <c r="R19" s="825">
        <f t="shared" si="3"/>
        <v>0</v>
      </c>
      <c r="S19" s="825">
        <f t="shared" si="4"/>
        <v>0</v>
      </c>
      <c r="T19" s="825">
        <f t="shared" si="5"/>
        <v>0</v>
      </c>
      <c r="U19" s="825">
        <f t="shared" si="6"/>
        <v>0</v>
      </c>
      <c r="V19" s="859"/>
      <c r="AE19" s="867"/>
    </row>
    <row r="20" spans="1:31" s="860" customFormat="1" ht="25.5">
      <c r="A20" s="855"/>
      <c r="B20" s="856" t="s">
        <v>458</v>
      </c>
      <c r="C20" s="821" t="s">
        <v>895</v>
      </c>
      <c r="D20" s="822"/>
      <c r="E20" s="823"/>
      <c r="F20" s="823"/>
      <c r="G20" s="823"/>
      <c r="H20" s="823"/>
      <c r="I20" s="823"/>
      <c r="J20" s="823"/>
      <c r="K20" s="823"/>
      <c r="L20" s="823"/>
      <c r="M20" s="823"/>
      <c r="N20" s="823"/>
      <c r="O20" s="824">
        <f t="shared" si="0"/>
        <v>0</v>
      </c>
      <c r="P20" s="825">
        <f t="shared" si="1"/>
        <v>0</v>
      </c>
      <c r="Q20" s="825">
        <f t="shared" si="2"/>
        <v>0</v>
      </c>
      <c r="R20" s="825">
        <f t="shared" si="3"/>
        <v>0</v>
      </c>
      <c r="S20" s="825">
        <f t="shared" si="4"/>
        <v>0</v>
      </c>
      <c r="T20" s="825">
        <f t="shared" si="5"/>
        <v>0</v>
      </c>
      <c r="U20" s="825">
        <f t="shared" si="6"/>
        <v>0</v>
      </c>
      <c r="V20" s="859"/>
      <c r="AE20" s="867"/>
    </row>
    <row r="21" spans="1:31" s="864" customFormat="1" ht="25.5">
      <c r="A21" s="861"/>
      <c r="B21" s="856" t="s">
        <v>458</v>
      </c>
      <c r="C21" s="821" t="s">
        <v>896</v>
      </c>
      <c r="D21" s="822"/>
      <c r="E21" s="823"/>
      <c r="F21" s="823"/>
      <c r="G21" s="823"/>
      <c r="H21" s="823"/>
      <c r="I21" s="823"/>
      <c r="J21" s="823"/>
      <c r="K21" s="823"/>
      <c r="L21" s="823"/>
      <c r="M21" s="823"/>
      <c r="N21" s="823"/>
      <c r="O21" s="824">
        <f t="shared" si="0"/>
        <v>0</v>
      </c>
      <c r="P21" s="825">
        <f t="shared" si="1"/>
        <v>0</v>
      </c>
      <c r="Q21" s="825">
        <f t="shared" si="2"/>
        <v>0</v>
      </c>
      <c r="R21" s="825">
        <f t="shared" si="3"/>
        <v>0</v>
      </c>
      <c r="S21" s="825">
        <f t="shared" si="4"/>
        <v>0</v>
      </c>
      <c r="T21" s="825">
        <f t="shared" si="5"/>
        <v>0</v>
      </c>
      <c r="U21" s="825">
        <f t="shared" si="6"/>
        <v>0</v>
      </c>
      <c r="V21" s="863"/>
    </row>
    <row r="22" spans="1:31" s="860" customFormat="1" ht="21.75" customHeight="1">
      <c r="A22" s="855"/>
      <c r="B22" s="868" t="s">
        <v>480</v>
      </c>
      <c r="C22" s="828"/>
      <c r="D22" s="829"/>
      <c r="E22" s="829">
        <f>SUM(E19:E21)</f>
        <v>0</v>
      </c>
      <c r="F22" s="829">
        <f t="shared" ref="F22:N22" si="10">SUM(F19:F21)</f>
        <v>0</v>
      </c>
      <c r="G22" s="829">
        <f t="shared" si="10"/>
        <v>0</v>
      </c>
      <c r="H22" s="830">
        <f t="shared" si="10"/>
        <v>0</v>
      </c>
      <c r="I22" s="830">
        <f t="shared" si="10"/>
        <v>0</v>
      </c>
      <c r="J22" s="830">
        <f t="shared" si="10"/>
        <v>0</v>
      </c>
      <c r="K22" s="830">
        <f t="shared" si="10"/>
        <v>0</v>
      </c>
      <c r="L22" s="830">
        <f t="shared" si="10"/>
        <v>0</v>
      </c>
      <c r="M22" s="830">
        <f t="shared" si="10"/>
        <v>0</v>
      </c>
      <c r="N22" s="830">
        <f t="shared" si="10"/>
        <v>0</v>
      </c>
      <c r="O22" s="824">
        <f t="shared" si="0"/>
        <v>0</v>
      </c>
      <c r="P22" s="825">
        <f t="shared" si="1"/>
        <v>0</v>
      </c>
      <c r="Q22" s="825">
        <f t="shared" si="2"/>
        <v>0</v>
      </c>
      <c r="R22" s="825">
        <f t="shared" si="3"/>
        <v>0</v>
      </c>
      <c r="S22" s="825">
        <f t="shared" si="4"/>
        <v>0</v>
      </c>
      <c r="T22" s="825">
        <f t="shared" si="5"/>
        <v>0</v>
      </c>
      <c r="U22" s="825">
        <f t="shared" si="6"/>
        <v>0</v>
      </c>
      <c r="V22" s="859"/>
      <c r="AE22" s="867"/>
    </row>
    <row r="23" spans="1:31" s="864" customFormat="1">
      <c r="A23" s="861"/>
      <c r="B23" s="869"/>
      <c r="C23" s="870"/>
      <c r="D23" s="871"/>
      <c r="E23" s="823"/>
      <c r="F23" s="823"/>
      <c r="G23" s="823"/>
      <c r="H23" s="823"/>
      <c r="I23" s="823"/>
      <c r="J23" s="823"/>
      <c r="K23" s="823"/>
      <c r="L23" s="823"/>
      <c r="M23" s="823"/>
      <c r="N23" s="823"/>
      <c r="O23" s="824">
        <f t="shared" si="0"/>
        <v>0</v>
      </c>
      <c r="P23" s="825">
        <f t="shared" si="1"/>
        <v>0</v>
      </c>
      <c r="Q23" s="825">
        <f t="shared" si="2"/>
        <v>0</v>
      </c>
      <c r="R23" s="825">
        <f t="shared" si="3"/>
        <v>0</v>
      </c>
      <c r="S23" s="825">
        <f t="shared" si="4"/>
        <v>0</v>
      </c>
      <c r="T23" s="825">
        <f t="shared" si="5"/>
        <v>0</v>
      </c>
      <c r="U23" s="825">
        <f t="shared" si="6"/>
        <v>0</v>
      </c>
      <c r="V23" s="863"/>
    </row>
    <row r="24" spans="1:31" s="860" customFormat="1" ht="21.75" customHeight="1">
      <c r="A24" s="855"/>
      <c r="B24" s="872" t="s">
        <v>461</v>
      </c>
      <c r="C24" s="873"/>
      <c r="D24" s="874"/>
      <c r="E24" s="829"/>
      <c r="F24" s="829"/>
      <c r="G24" s="829"/>
      <c r="H24" s="830">
        <v>0</v>
      </c>
      <c r="I24" s="830">
        <v>0</v>
      </c>
      <c r="J24" s="830">
        <v>0</v>
      </c>
      <c r="K24" s="830">
        <v>0</v>
      </c>
      <c r="L24" s="836"/>
      <c r="M24" s="836"/>
      <c r="N24" s="836"/>
      <c r="O24" s="824">
        <f t="shared" si="0"/>
        <v>0</v>
      </c>
      <c r="P24" s="825">
        <f t="shared" si="1"/>
        <v>0</v>
      </c>
      <c r="Q24" s="825">
        <f t="shared" si="2"/>
        <v>0</v>
      </c>
      <c r="R24" s="825">
        <f t="shared" si="3"/>
        <v>0</v>
      </c>
      <c r="S24" s="825">
        <f t="shared" si="4"/>
        <v>0</v>
      </c>
      <c r="T24" s="825">
        <f t="shared" si="5"/>
        <v>0</v>
      </c>
      <c r="U24" s="825">
        <f t="shared" si="6"/>
        <v>0</v>
      </c>
      <c r="V24" s="859"/>
    </row>
    <row r="25" spans="1:31" s="860" customFormat="1" ht="21.75" customHeight="1">
      <c r="A25" s="855"/>
      <c r="B25" s="875" t="s">
        <v>462</v>
      </c>
      <c r="C25" s="857" t="s">
        <v>868</v>
      </c>
      <c r="D25" s="822"/>
      <c r="E25" s="823"/>
      <c r="F25" s="823"/>
      <c r="G25" s="823"/>
      <c r="H25" s="823"/>
      <c r="I25" s="823"/>
      <c r="J25" s="823"/>
      <c r="K25" s="823"/>
      <c r="L25" s="823"/>
      <c r="M25" s="823"/>
      <c r="N25" s="823"/>
      <c r="O25" s="824">
        <f t="shared" si="0"/>
        <v>0</v>
      </c>
      <c r="P25" s="825">
        <f t="shared" si="1"/>
        <v>0</v>
      </c>
      <c r="Q25" s="825">
        <f t="shared" si="2"/>
        <v>0</v>
      </c>
      <c r="R25" s="825">
        <f t="shared" si="3"/>
        <v>0</v>
      </c>
      <c r="S25" s="825">
        <f t="shared" si="4"/>
        <v>0</v>
      </c>
      <c r="T25" s="825">
        <f t="shared" si="5"/>
        <v>0</v>
      </c>
      <c r="U25" s="825">
        <f t="shared" si="6"/>
        <v>0</v>
      </c>
      <c r="V25" s="859"/>
    </row>
    <row r="26" spans="1:31" s="860" customFormat="1" ht="21.75" customHeight="1">
      <c r="A26" s="855"/>
      <c r="B26" s="875" t="s">
        <v>462</v>
      </c>
      <c r="C26" s="857" t="s">
        <v>870</v>
      </c>
      <c r="D26" s="871"/>
      <c r="E26" s="823"/>
      <c r="F26" s="823"/>
      <c r="G26" s="823"/>
      <c r="H26" s="823"/>
      <c r="I26" s="823"/>
      <c r="J26" s="823"/>
      <c r="K26" s="823"/>
      <c r="L26" s="823"/>
      <c r="M26" s="823"/>
      <c r="N26" s="823"/>
      <c r="O26" s="824">
        <f t="shared" si="0"/>
        <v>0</v>
      </c>
      <c r="P26" s="825">
        <f t="shared" si="1"/>
        <v>0</v>
      </c>
      <c r="Q26" s="825">
        <f t="shared" si="2"/>
        <v>0</v>
      </c>
      <c r="R26" s="825">
        <f t="shared" si="3"/>
        <v>0</v>
      </c>
      <c r="S26" s="825">
        <f t="shared" si="4"/>
        <v>0</v>
      </c>
      <c r="T26" s="825">
        <f t="shared" si="5"/>
        <v>0</v>
      </c>
      <c r="U26" s="825">
        <f t="shared" si="6"/>
        <v>0</v>
      </c>
      <c r="V26" s="859"/>
    </row>
    <row r="27" spans="1:31" s="864" customFormat="1" ht="21.75" customHeight="1">
      <c r="A27" s="861"/>
      <c r="B27" s="875" t="s">
        <v>462</v>
      </c>
      <c r="C27" s="857" t="s">
        <v>871</v>
      </c>
      <c r="D27" s="871"/>
      <c r="E27" s="838"/>
      <c r="F27" s="823"/>
      <c r="G27" s="823"/>
      <c r="H27" s="823"/>
      <c r="I27" s="823"/>
      <c r="J27" s="823"/>
      <c r="K27" s="823"/>
      <c r="L27" s="823"/>
      <c r="M27" s="823"/>
      <c r="N27" s="823"/>
      <c r="O27" s="824">
        <f t="shared" si="0"/>
        <v>0</v>
      </c>
      <c r="P27" s="825">
        <f t="shared" si="1"/>
        <v>0</v>
      </c>
      <c r="Q27" s="825">
        <f t="shared" si="2"/>
        <v>0</v>
      </c>
      <c r="R27" s="825">
        <f t="shared" si="3"/>
        <v>0</v>
      </c>
      <c r="S27" s="825">
        <f t="shared" si="4"/>
        <v>0</v>
      </c>
      <c r="T27" s="825">
        <f t="shared" si="5"/>
        <v>0</v>
      </c>
      <c r="U27" s="825">
        <f t="shared" si="6"/>
        <v>0</v>
      </c>
      <c r="V27" s="863"/>
    </row>
    <row r="28" spans="1:31" s="860" customFormat="1" ht="21.75" customHeight="1">
      <c r="A28" s="855"/>
      <c r="B28" s="856" t="s">
        <v>462</v>
      </c>
      <c r="C28" s="857" t="s">
        <v>897</v>
      </c>
      <c r="D28" s="822"/>
      <c r="E28" s="823"/>
      <c r="F28" s="823"/>
      <c r="G28" s="823"/>
      <c r="H28" s="858"/>
      <c r="I28" s="823"/>
      <c r="J28" s="823"/>
      <c r="K28" s="858"/>
      <c r="L28" s="823"/>
      <c r="M28" s="823"/>
      <c r="N28" s="823"/>
      <c r="O28" s="824">
        <f t="shared" si="0"/>
        <v>0</v>
      </c>
      <c r="P28" s="825">
        <f t="shared" si="1"/>
        <v>0</v>
      </c>
      <c r="Q28" s="825">
        <f t="shared" si="2"/>
        <v>0</v>
      </c>
      <c r="R28" s="825">
        <f t="shared" si="3"/>
        <v>0</v>
      </c>
      <c r="S28" s="825">
        <f t="shared" si="4"/>
        <v>0</v>
      </c>
      <c r="T28" s="825">
        <f t="shared" si="5"/>
        <v>0</v>
      </c>
      <c r="U28" s="825">
        <f t="shared" si="6"/>
        <v>0</v>
      </c>
      <c r="V28" s="859"/>
    </row>
    <row r="29" spans="1:31" s="864" customFormat="1" ht="21.75" customHeight="1">
      <c r="A29" s="861"/>
      <c r="B29" s="868" t="s">
        <v>463</v>
      </c>
      <c r="C29" s="828"/>
      <c r="D29" s="829"/>
      <c r="E29" s="829">
        <f t="shared" ref="E29:N29" si="11">SUM(E25:E28)</f>
        <v>0</v>
      </c>
      <c r="F29" s="829">
        <f t="shared" si="11"/>
        <v>0</v>
      </c>
      <c r="G29" s="829">
        <f t="shared" si="11"/>
        <v>0</v>
      </c>
      <c r="H29" s="830">
        <f t="shared" si="11"/>
        <v>0</v>
      </c>
      <c r="I29" s="830">
        <f t="shared" si="11"/>
        <v>0</v>
      </c>
      <c r="J29" s="830">
        <f t="shared" si="11"/>
        <v>0</v>
      </c>
      <c r="K29" s="830">
        <f t="shared" si="11"/>
        <v>0</v>
      </c>
      <c r="L29" s="830">
        <f t="shared" si="11"/>
        <v>0</v>
      </c>
      <c r="M29" s="830">
        <f t="shared" si="11"/>
        <v>0</v>
      </c>
      <c r="N29" s="830">
        <f t="shared" si="11"/>
        <v>0</v>
      </c>
      <c r="O29" s="824">
        <f t="shared" si="0"/>
        <v>0</v>
      </c>
      <c r="P29" s="825">
        <f t="shared" si="1"/>
        <v>0</v>
      </c>
      <c r="Q29" s="825">
        <f t="shared" si="2"/>
        <v>0</v>
      </c>
      <c r="R29" s="825">
        <f t="shared" si="3"/>
        <v>0</v>
      </c>
      <c r="S29" s="825">
        <f t="shared" si="4"/>
        <v>0</v>
      </c>
      <c r="T29" s="825">
        <f t="shared" si="5"/>
        <v>0</v>
      </c>
      <c r="U29" s="825">
        <f t="shared" si="6"/>
        <v>0</v>
      </c>
      <c r="V29" s="863"/>
    </row>
    <row r="30" spans="1:31" s="860" customFormat="1" ht="21.75" customHeight="1">
      <c r="A30" s="855"/>
      <c r="B30" s="875" t="s">
        <v>482</v>
      </c>
      <c r="C30" s="876"/>
      <c r="D30" s="871"/>
      <c r="E30" s="823"/>
      <c r="F30" s="823"/>
      <c r="G30" s="823"/>
      <c r="H30" s="823"/>
      <c r="I30" s="823"/>
      <c r="J30" s="823"/>
      <c r="K30" s="823"/>
      <c r="L30" s="823"/>
      <c r="M30" s="823"/>
      <c r="N30" s="823"/>
      <c r="O30" s="824">
        <f t="shared" si="0"/>
        <v>0</v>
      </c>
      <c r="P30" s="825">
        <f t="shared" si="1"/>
        <v>0</v>
      </c>
      <c r="Q30" s="825">
        <f t="shared" si="2"/>
        <v>0</v>
      </c>
      <c r="R30" s="825">
        <f t="shared" si="3"/>
        <v>0</v>
      </c>
      <c r="S30" s="825">
        <f t="shared" si="4"/>
        <v>0</v>
      </c>
      <c r="T30" s="825">
        <f t="shared" si="5"/>
        <v>0</v>
      </c>
      <c r="U30" s="825">
        <f t="shared" si="6"/>
        <v>0</v>
      </c>
      <c r="V30" s="859"/>
    </row>
    <row r="31" spans="1:31" s="860" customFormat="1" ht="21.75" customHeight="1">
      <c r="A31" s="855"/>
      <c r="B31" s="868" t="s">
        <v>481</v>
      </c>
      <c r="C31" s="877"/>
      <c r="D31" s="874"/>
      <c r="E31" s="829">
        <v>0</v>
      </c>
      <c r="F31" s="829"/>
      <c r="G31" s="829">
        <v>0</v>
      </c>
      <c r="H31" s="830">
        <v>0</v>
      </c>
      <c r="I31" s="830">
        <v>0</v>
      </c>
      <c r="J31" s="830">
        <v>0</v>
      </c>
      <c r="K31" s="830">
        <v>0</v>
      </c>
      <c r="L31" s="841">
        <v>0</v>
      </c>
      <c r="M31" s="841">
        <v>0</v>
      </c>
      <c r="N31" s="841">
        <v>0</v>
      </c>
      <c r="O31" s="824">
        <f t="shared" si="0"/>
        <v>0</v>
      </c>
      <c r="P31" s="825">
        <f t="shared" si="1"/>
        <v>0</v>
      </c>
      <c r="Q31" s="825">
        <f t="shared" si="2"/>
        <v>0</v>
      </c>
      <c r="R31" s="825">
        <f t="shared" si="3"/>
        <v>0</v>
      </c>
      <c r="S31" s="825">
        <f t="shared" si="4"/>
        <v>0</v>
      </c>
      <c r="T31" s="825">
        <f t="shared" si="5"/>
        <v>0</v>
      </c>
      <c r="U31" s="825">
        <f t="shared" si="6"/>
        <v>0</v>
      </c>
      <c r="V31" s="859"/>
    </row>
    <row r="32" spans="1:31" s="860" customFormat="1" ht="21.75" customHeight="1">
      <c r="A32" s="855"/>
      <c r="B32" s="869" t="s">
        <v>656</v>
      </c>
      <c r="C32" s="857" t="s">
        <v>872</v>
      </c>
      <c r="D32" s="871"/>
      <c r="E32" s="842"/>
      <c r="F32" s="823"/>
      <c r="G32" s="842"/>
      <c r="H32" s="842"/>
      <c r="I32" s="842"/>
      <c r="J32" s="842"/>
      <c r="K32" s="842"/>
      <c r="L32" s="842"/>
      <c r="M32" s="842"/>
      <c r="N32" s="842"/>
      <c r="O32" s="824">
        <f t="shared" si="0"/>
        <v>0</v>
      </c>
      <c r="P32" s="825">
        <f t="shared" si="1"/>
        <v>0</v>
      </c>
      <c r="Q32" s="825">
        <f t="shared" si="2"/>
        <v>0</v>
      </c>
      <c r="R32" s="825">
        <f t="shared" si="3"/>
        <v>0</v>
      </c>
      <c r="S32" s="825">
        <f t="shared" si="4"/>
        <v>0</v>
      </c>
      <c r="T32" s="825">
        <f t="shared" si="5"/>
        <v>0</v>
      </c>
      <c r="U32" s="825">
        <f t="shared" si="6"/>
        <v>0</v>
      </c>
      <c r="V32" s="859"/>
    </row>
    <row r="33" spans="1:22" s="860" customFormat="1">
      <c r="A33" s="855"/>
      <c r="B33" s="869" t="s">
        <v>656</v>
      </c>
      <c r="C33" s="878" t="s">
        <v>875</v>
      </c>
      <c r="D33" s="871"/>
      <c r="E33" s="842"/>
      <c r="F33" s="823"/>
      <c r="G33" s="842"/>
      <c r="H33" s="842"/>
      <c r="I33" s="842"/>
      <c r="J33" s="842"/>
      <c r="K33" s="842"/>
      <c r="L33" s="842"/>
      <c r="M33" s="842"/>
      <c r="N33" s="842"/>
      <c r="O33" s="824">
        <f t="shared" si="0"/>
        <v>0</v>
      </c>
      <c r="P33" s="825">
        <f t="shared" si="1"/>
        <v>0</v>
      </c>
      <c r="Q33" s="825">
        <f t="shared" si="2"/>
        <v>0</v>
      </c>
      <c r="R33" s="825">
        <f t="shared" si="3"/>
        <v>0</v>
      </c>
      <c r="S33" s="825">
        <f t="shared" si="4"/>
        <v>0</v>
      </c>
      <c r="T33" s="825">
        <f t="shared" si="5"/>
        <v>0</v>
      </c>
      <c r="U33" s="825">
        <f t="shared" si="6"/>
        <v>0</v>
      </c>
      <c r="V33" s="859"/>
    </row>
    <row r="34" spans="1:22" s="860" customFormat="1" ht="38.25">
      <c r="A34" s="855"/>
      <c r="B34" s="869" t="s">
        <v>656</v>
      </c>
      <c r="C34" s="844" t="s">
        <v>880</v>
      </c>
      <c r="D34" s="871"/>
      <c r="E34" s="842"/>
      <c r="F34" s="823"/>
      <c r="G34" s="842"/>
      <c r="H34" s="842"/>
      <c r="I34" s="842"/>
      <c r="J34" s="842"/>
      <c r="K34" s="842"/>
      <c r="L34" s="842"/>
      <c r="M34" s="842"/>
      <c r="N34" s="842"/>
      <c r="O34" s="824">
        <f t="shared" si="0"/>
        <v>0</v>
      </c>
      <c r="P34" s="825">
        <f t="shared" si="1"/>
        <v>0</v>
      </c>
      <c r="Q34" s="825">
        <f t="shared" si="2"/>
        <v>0</v>
      </c>
      <c r="R34" s="825">
        <f t="shared" si="3"/>
        <v>0</v>
      </c>
      <c r="S34" s="825">
        <f t="shared" si="4"/>
        <v>0</v>
      </c>
      <c r="T34" s="825">
        <f t="shared" si="5"/>
        <v>0</v>
      </c>
      <c r="U34" s="825">
        <f t="shared" si="6"/>
        <v>0</v>
      </c>
      <c r="V34" s="859"/>
    </row>
    <row r="35" spans="1:22" s="860" customFormat="1" ht="21.75" customHeight="1">
      <c r="A35" s="855"/>
      <c r="B35" s="869" t="s">
        <v>656</v>
      </c>
      <c r="C35" s="844" t="s">
        <v>881</v>
      </c>
      <c r="D35" s="871"/>
      <c r="E35" s="845"/>
      <c r="F35" s="823"/>
      <c r="G35" s="842"/>
      <c r="H35" s="842"/>
      <c r="I35" s="842"/>
      <c r="J35" s="842"/>
      <c r="K35" s="842"/>
      <c r="L35" s="842"/>
      <c r="M35" s="842"/>
      <c r="N35" s="842"/>
      <c r="O35" s="824">
        <f t="shared" si="0"/>
        <v>0</v>
      </c>
      <c r="P35" s="825">
        <f t="shared" si="1"/>
        <v>0</v>
      </c>
      <c r="Q35" s="825">
        <f t="shared" si="2"/>
        <v>0</v>
      </c>
      <c r="R35" s="825">
        <f t="shared" si="3"/>
        <v>0</v>
      </c>
      <c r="S35" s="825">
        <f t="shared" si="4"/>
        <v>0</v>
      </c>
      <c r="T35" s="825">
        <f t="shared" si="5"/>
        <v>0</v>
      </c>
      <c r="U35" s="825">
        <f t="shared" si="6"/>
        <v>0</v>
      </c>
      <c r="V35" s="859"/>
    </row>
    <row r="36" spans="1:22" s="860" customFormat="1" ht="21.75" customHeight="1">
      <c r="A36" s="855"/>
      <c r="B36" s="868" t="s">
        <v>657</v>
      </c>
      <c r="C36" s="828"/>
      <c r="D36" s="829"/>
      <c r="E36" s="879">
        <f>SUM(E32:E35)</f>
        <v>0</v>
      </c>
      <c r="F36" s="829">
        <f t="shared" ref="F36:N36" si="12">SUM(F32:F35)</f>
        <v>0</v>
      </c>
      <c r="G36" s="829">
        <f t="shared" si="12"/>
        <v>0</v>
      </c>
      <c r="H36" s="830">
        <f t="shared" si="12"/>
        <v>0</v>
      </c>
      <c r="I36" s="830">
        <f t="shared" si="12"/>
        <v>0</v>
      </c>
      <c r="J36" s="830">
        <f t="shared" si="12"/>
        <v>0</v>
      </c>
      <c r="K36" s="830">
        <f t="shared" si="12"/>
        <v>0</v>
      </c>
      <c r="L36" s="830">
        <f t="shared" si="12"/>
        <v>0</v>
      </c>
      <c r="M36" s="830">
        <f t="shared" si="12"/>
        <v>0</v>
      </c>
      <c r="N36" s="830">
        <f t="shared" si="12"/>
        <v>0</v>
      </c>
      <c r="O36" s="824">
        <f t="shared" si="0"/>
        <v>0</v>
      </c>
      <c r="P36" s="825">
        <f t="shared" si="1"/>
        <v>0</v>
      </c>
      <c r="Q36" s="825">
        <f t="shared" si="2"/>
        <v>0</v>
      </c>
      <c r="R36" s="825">
        <f t="shared" si="3"/>
        <v>0</v>
      </c>
      <c r="S36" s="825">
        <f t="shared" si="4"/>
        <v>0</v>
      </c>
      <c r="T36" s="825">
        <f t="shared" si="5"/>
        <v>0</v>
      </c>
      <c r="U36" s="825">
        <f t="shared" si="6"/>
        <v>0</v>
      </c>
      <c r="V36" s="859"/>
    </row>
    <row r="37" spans="1:22" s="860" customFormat="1" ht="25.5">
      <c r="A37" s="855"/>
      <c r="B37" s="856" t="s">
        <v>273</v>
      </c>
      <c r="C37" s="857" t="s">
        <v>651</v>
      </c>
      <c r="D37" s="871"/>
      <c r="E37" s="823"/>
      <c r="F37" s="823"/>
      <c r="G37" s="823"/>
      <c r="H37" s="823"/>
      <c r="I37" s="823"/>
      <c r="J37" s="823"/>
      <c r="K37" s="823"/>
      <c r="L37" s="823"/>
      <c r="M37" s="823"/>
      <c r="N37" s="823"/>
      <c r="O37" s="824">
        <f t="shared" si="0"/>
        <v>0</v>
      </c>
      <c r="P37" s="825">
        <f t="shared" si="1"/>
        <v>0</v>
      </c>
      <c r="Q37" s="825">
        <f t="shared" si="2"/>
        <v>0</v>
      </c>
      <c r="R37" s="825">
        <f t="shared" si="3"/>
        <v>0</v>
      </c>
      <c r="S37" s="825">
        <f t="shared" si="4"/>
        <v>0</v>
      </c>
      <c r="T37" s="825">
        <f t="shared" si="5"/>
        <v>0</v>
      </c>
      <c r="U37" s="825">
        <f t="shared" si="6"/>
        <v>0</v>
      </c>
      <c r="V37" s="859"/>
    </row>
    <row r="38" spans="1:22" s="860" customFormat="1" ht="25.5">
      <c r="A38" s="855"/>
      <c r="B38" s="856" t="s">
        <v>273</v>
      </c>
      <c r="C38" s="857" t="s">
        <v>652</v>
      </c>
      <c r="D38" s="871"/>
      <c r="E38" s="823"/>
      <c r="F38" s="823"/>
      <c r="G38" s="823"/>
      <c r="H38" s="823"/>
      <c r="I38" s="842"/>
      <c r="J38" s="823"/>
      <c r="K38" s="823"/>
      <c r="L38" s="823"/>
      <c r="M38" s="823"/>
      <c r="N38" s="823"/>
      <c r="O38" s="824">
        <f t="shared" si="0"/>
        <v>0</v>
      </c>
      <c r="P38" s="825">
        <f t="shared" si="1"/>
        <v>0</v>
      </c>
      <c r="Q38" s="825">
        <f t="shared" si="2"/>
        <v>0</v>
      </c>
      <c r="R38" s="825">
        <f t="shared" si="3"/>
        <v>0</v>
      </c>
      <c r="S38" s="825">
        <f t="shared" si="4"/>
        <v>0</v>
      </c>
      <c r="T38" s="825">
        <f t="shared" si="5"/>
        <v>0</v>
      </c>
      <c r="U38" s="825">
        <f t="shared" si="6"/>
        <v>0</v>
      </c>
      <c r="V38" s="859"/>
    </row>
    <row r="39" spans="1:22" s="860" customFormat="1" ht="25.5">
      <c r="A39" s="855"/>
      <c r="B39" s="856" t="s">
        <v>273</v>
      </c>
      <c r="C39" s="857" t="s">
        <v>654</v>
      </c>
      <c r="D39" s="871"/>
      <c r="E39" s="823"/>
      <c r="F39" s="823"/>
      <c r="G39" s="823"/>
      <c r="H39" s="823"/>
      <c r="I39" s="823"/>
      <c r="J39" s="823"/>
      <c r="K39" s="823"/>
      <c r="L39" s="823"/>
      <c r="M39" s="823"/>
      <c r="N39" s="823"/>
      <c r="O39" s="824">
        <f t="shared" si="0"/>
        <v>0</v>
      </c>
      <c r="P39" s="825">
        <f t="shared" si="1"/>
        <v>0</v>
      </c>
      <c r="Q39" s="825">
        <f t="shared" si="2"/>
        <v>0</v>
      </c>
      <c r="R39" s="825">
        <f t="shared" si="3"/>
        <v>0</v>
      </c>
      <c r="S39" s="825">
        <f t="shared" si="4"/>
        <v>0</v>
      </c>
      <c r="T39" s="825">
        <f t="shared" si="5"/>
        <v>0</v>
      </c>
      <c r="U39" s="825">
        <f t="shared" si="6"/>
        <v>0</v>
      </c>
      <c r="V39" s="859"/>
    </row>
    <row r="40" spans="1:22" s="881" customFormat="1" ht="25.5">
      <c r="A40" s="855"/>
      <c r="B40" s="856" t="s">
        <v>273</v>
      </c>
      <c r="C40" s="857" t="s">
        <v>655</v>
      </c>
      <c r="D40" s="871"/>
      <c r="E40" s="823"/>
      <c r="F40" s="823"/>
      <c r="G40" s="823"/>
      <c r="H40" s="823"/>
      <c r="I40" s="823"/>
      <c r="J40" s="823"/>
      <c r="K40" s="823"/>
      <c r="L40" s="823"/>
      <c r="M40" s="823"/>
      <c r="N40" s="823"/>
      <c r="O40" s="824">
        <f t="shared" si="0"/>
        <v>0</v>
      </c>
      <c r="P40" s="825">
        <f t="shared" si="1"/>
        <v>0</v>
      </c>
      <c r="Q40" s="825">
        <f t="shared" si="2"/>
        <v>0</v>
      </c>
      <c r="R40" s="825">
        <f t="shared" si="3"/>
        <v>0</v>
      </c>
      <c r="S40" s="825">
        <f t="shared" si="4"/>
        <v>0</v>
      </c>
      <c r="T40" s="825">
        <f t="shared" si="5"/>
        <v>0</v>
      </c>
      <c r="U40" s="825">
        <f t="shared" si="6"/>
        <v>0</v>
      </c>
      <c r="V40" s="880"/>
    </row>
    <row r="41" spans="1:22" s="860" customFormat="1">
      <c r="A41" s="855"/>
      <c r="B41" s="856" t="s">
        <v>273</v>
      </c>
      <c r="C41" s="857" t="s">
        <v>595</v>
      </c>
      <c r="D41" s="871"/>
      <c r="E41" s="823"/>
      <c r="F41" s="823"/>
      <c r="G41" s="823"/>
      <c r="H41" s="823"/>
      <c r="I41" s="823"/>
      <c r="J41" s="823"/>
      <c r="K41" s="823"/>
      <c r="L41" s="823"/>
      <c r="M41" s="823"/>
      <c r="N41" s="823"/>
      <c r="O41" s="824">
        <f t="shared" si="0"/>
        <v>0</v>
      </c>
      <c r="P41" s="825">
        <f t="shared" si="1"/>
        <v>0</v>
      </c>
      <c r="Q41" s="825">
        <f t="shared" si="2"/>
        <v>0</v>
      </c>
      <c r="R41" s="825">
        <f t="shared" si="3"/>
        <v>0</v>
      </c>
      <c r="S41" s="825">
        <f t="shared" si="4"/>
        <v>0</v>
      </c>
      <c r="T41" s="825">
        <f t="shared" si="5"/>
        <v>0</v>
      </c>
      <c r="U41" s="825">
        <f t="shared" si="6"/>
        <v>0</v>
      </c>
      <c r="V41" s="859"/>
    </row>
    <row r="42" spans="1:22" s="860" customFormat="1" ht="25.5">
      <c r="A42" s="855"/>
      <c r="B42" s="856" t="s">
        <v>273</v>
      </c>
      <c r="C42" s="857" t="s">
        <v>841</v>
      </c>
      <c r="D42" s="871"/>
      <c r="E42" s="823"/>
      <c r="F42" s="823"/>
      <c r="G42" s="823"/>
      <c r="H42" s="823"/>
      <c r="I42" s="823"/>
      <c r="J42" s="823"/>
      <c r="K42" s="823"/>
      <c r="L42" s="823"/>
      <c r="M42" s="823"/>
      <c r="N42" s="823"/>
      <c r="O42" s="824">
        <f t="shared" si="0"/>
        <v>0</v>
      </c>
      <c r="P42" s="825">
        <f t="shared" si="1"/>
        <v>0</v>
      </c>
      <c r="Q42" s="825">
        <f t="shared" si="2"/>
        <v>0</v>
      </c>
      <c r="R42" s="825">
        <f t="shared" si="3"/>
        <v>0</v>
      </c>
      <c r="S42" s="825">
        <f t="shared" si="4"/>
        <v>0</v>
      </c>
      <c r="T42" s="825">
        <f t="shared" si="5"/>
        <v>0</v>
      </c>
      <c r="U42" s="825">
        <f t="shared" si="6"/>
        <v>0</v>
      </c>
      <c r="V42" s="859"/>
    </row>
    <row r="43" spans="1:22" s="860" customFormat="1" ht="15.75" customHeight="1">
      <c r="A43" s="855"/>
      <c r="B43" s="856" t="s">
        <v>273</v>
      </c>
      <c r="C43" s="857" t="s">
        <v>842</v>
      </c>
      <c r="D43" s="871"/>
      <c r="E43" s="823"/>
      <c r="F43" s="823"/>
      <c r="G43" s="823"/>
      <c r="H43" s="823"/>
      <c r="I43" s="823"/>
      <c r="J43" s="823"/>
      <c r="K43" s="823"/>
      <c r="L43" s="823"/>
      <c r="M43" s="823"/>
      <c r="N43" s="823"/>
      <c r="O43" s="824">
        <f t="shared" si="0"/>
        <v>0</v>
      </c>
      <c r="P43" s="825">
        <f t="shared" si="1"/>
        <v>0</v>
      </c>
      <c r="Q43" s="825">
        <f t="shared" si="2"/>
        <v>0</v>
      </c>
      <c r="R43" s="825">
        <f t="shared" si="3"/>
        <v>0</v>
      </c>
      <c r="S43" s="825">
        <f t="shared" si="4"/>
        <v>0</v>
      </c>
      <c r="T43" s="825">
        <f t="shared" si="5"/>
        <v>0</v>
      </c>
      <c r="U43" s="825">
        <f t="shared" si="6"/>
        <v>0</v>
      </c>
      <c r="V43" s="859"/>
    </row>
    <row r="44" spans="1:22" s="860" customFormat="1" ht="15.75" customHeight="1">
      <c r="A44" s="855"/>
      <c r="B44" s="856" t="s">
        <v>273</v>
      </c>
      <c r="C44" s="857" t="s">
        <v>843</v>
      </c>
      <c r="D44" s="871"/>
      <c r="E44" s="823"/>
      <c r="F44" s="823"/>
      <c r="G44" s="823"/>
      <c r="H44" s="823"/>
      <c r="I44" s="823"/>
      <c r="J44" s="823"/>
      <c r="K44" s="823"/>
      <c r="L44" s="823"/>
      <c r="M44" s="823"/>
      <c r="N44" s="823"/>
      <c r="O44" s="824">
        <f t="shared" si="0"/>
        <v>0</v>
      </c>
      <c r="P44" s="825">
        <f t="shared" si="1"/>
        <v>0</v>
      </c>
      <c r="Q44" s="825">
        <f t="shared" si="2"/>
        <v>0</v>
      </c>
      <c r="R44" s="825">
        <f t="shared" si="3"/>
        <v>0</v>
      </c>
      <c r="S44" s="825">
        <f t="shared" si="4"/>
        <v>0</v>
      </c>
      <c r="T44" s="825">
        <f t="shared" si="5"/>
        <v>0</v>
      </c>
      <c r="U44" s="825">
        <f t="shared" si="6"/>
        <v>0</v>
      </c>
      <c r="V44" s="859"/>
    </row>
    <row r="45" spans="1:22" s="860" customFormat="1" ht="15.75" customHeight="1">
      <c r="A45" s="855"/>
      <c r="B45" s="868" t="s">
        <v>464</v>
      </c>
      <c r="C45" s="828"/>
      <c r="D45" s="829"/>
      <c r="E45" s="829">
        <f>SUM(E37:E44)</f>
        <v>0</v>
      </c>
      <c r="F45" s="829">
        <f t="shared" ref="F45:N45" si="13">SUM(F37:F44)</f>
        <v>0</v>
      </c>
      <c r="G45" s="829">
        <f t="shared" si="13"/>
        <v>0</v>
      </c>
      <c r="H45" s="830">
        <f t="shared" si="13"/>
        <v>0</v>
      </c>
      <c r="I45" s="830">
        <f t="shared" si="13"/>
        <v>0</v>
      </c>
      <c r="J45" s="830">
        <f t="shared" si="13"/>
        <v>0</v>
      </c>
      <c r="K45" s="830">
        <f t="shared" si="13"/>
        <v>0</v>
      </c>
      <c r="L45" s="830">
        <f t="shared" si="13"/>
        <v>0</v>
      </c>
      <c r="M45" s="830">
        <f t="shared" si="13"/>
        <v>0</v>
      </c>
      <c r="N45" s="830">
        <f t="shared" si="13"/>
        <v>0</v>
      </c>
      <c r="O45" s="824">
        <f t="shared" si="0"/>
        <v>0</v>
      </c>
      <c r="P45" s="825">
        <f t="shared" si="1"/>
        <v>0</v>
      </c>
      <c r="Q45" s="825">
        <f t="shared" si="2"/>
        <v>0</v>
      </c>
      <c r="R45" s="825">
        <f t="shared" si="3"/>
        <v>0</v>
      </c>
      <c r="S45" s="825">
        <f t="shared" si="4"/>
        <v>0</v>
      </c>
      <c r="T45" s="825">
        <f t="shared" si="5"/>
        <v>0</v>
      </c>
      <c r="U45" s="825">
        <f t="shared" si="6"/>
        <v>0</v>
      </c>
      <c r="V45" s="859"/>
    </row>
    <row r="46" spans="1:22" s="860" customFormat="1" ht="15.75" customHeight="1" thickBot="1">
      <c r="A46" s="855"/>
      <c r="B46" s="882" t="s">
        <v>465</v>
      </c>
      <c r="C46" s="883"/>
      <c r="D46" s="884"/>
      <c r="E46" s="829">
        <f t="shared" ref="E46:N46" si="14">E45+E36+E31+E29+E22+E18+E16+E12</f>
        <v>0</v>
      </c>
      <c r="F46" s="829">
        <f t="shared" si="14"/>
        <v>0</v>
      </c>
      <c r="G46" s="829">
        <f t="shared" si="14"/>
        <v>0</v>
      </c>
      <c r="H46" s="830">
        <f t="shared" si="14"/>
        <v>0</v>
      </c>
      <c r="I46" s="830">
        <f t="shared" si="14"/>
        <v>0</v>
      </c>
      <c r="J46" s="830">
        <f t="shared" si="14"/>
        <v>0</v>
      </c>
      <c r="K46" s="830">
        <f t="shared" si="14"/>
        <v>0</v>
      </c>
      <c r="L46" s="885">
        <f t="shared" si="14"/>
        <v>0</v>
      </c>
      <c r="M46" s="885">
        <f t="shared" si="14"/>
        <v>0</v>
      </c>
      <c r="N46" s="885">
        <f t="shared" si="14"/>
        <v>0</v>
      </c>
      <c r="O46" s="886">
        <f t="shared" si="0"/>
        <v>0</v>
      </c>
      <c r="P46" s="887">
        <f t="shared" si="1"/>
        <v>0</v>
      </c>
      <c r="Q46" s="887">
        <f t="shared" si="2"/>
        <v>0</v>
      </c>
      <c r="R46" s="887">
        <f t="shared" si="3"/>
        <v>0</v>
      </c>
      <c r="S46" s="887">
        <f t="shared" si="4"/>
        <v>0</v>
      </c>
      <c r="T46" s="887">
        <f t="shared" si="5"/>
        <v>0</v>
      </c>
      <c r="U46" s="887">
        <f t="shared" si="6"/>
        <v>0</v>
      </c>
      <c r="V46" s="859"/>
    </row>
    <row r="48" spans="1:22">
      <c r="H48" s="400"/>
      <c r="I48" s="400"/>
    </row>
  </sheetData>
  <mergeCells count="8">
    <mergeCell ref="B5:G5"/>
    <mergeCell ref="J8:O8"/>
    <mergeCell ref="P8:T8"/>
    <mergeCell ref="V8:V9"/>
    <mergeCell ref="B8:B9"/>
    <mergeCell ref="C8:C9"/>
    <mergeCell ref="D8:D9"/>
    <mergeCell ref="H8:I8"/>
  </mergeCells>
  <phoneticPr fontId="11" type="noConversion"/>
  <conditionalFormatting sqref="C31:C32">
    <cfRule type="colorScale" priority="3">
      <colorScale>
        <cfvo type="min" val="0"/>
        <cfvo type="percentile" val="50"/>
        <cfvo type="max" val="0"/>
        <color rgb="FFF8696B"/>
        <color rgb="FFFFEB84"/>
        <color rgb="FF63BE7B"/>
      </colorScale>
    </cfRule>
  </conditionalFormatting>
  <conditionalFormatting sqref="C32:C33">
    <cfRule type="colorScale" priority="2">
      <colorScale>
        <cfvo type="min" val="0"/>
        <cfvo type="percentile" val="50"/>
        <cfvo type="max" val="0"/>
        <color rgb="FFF8696B"/>
        <color rgb="FFFFEB84"/>
        <color rgb="FF63BE7B"/>
      </colorScale>
    </cfRule>
  </conditionalFormatting>
  <conditionalFormatting sqref="C29">
    <cfRule type="colorScale" priority="1">
      <colorScale>
        <cfvo type="min" val="0"/>
        <cfvo type="percentile" val="50"/>
        <cfvo type="max" val="0"/>
        <color rgb="FFF8696B"/>
        <color rgb="FFFFEB84"/>
        <color rgb="FF63BE7B"/>
      </colorScale>
    </cfRule>
  </conditionalFormatting>
  <dataValidations count="1">
    <dataValidation type="decimal" allowBlank="1" showInputMessage="1" showErrorMessage="1" sqref="E47:U49 E54:H64469 E51:U52 I54:U1048576 E8:E46 F8:G11 H10:J11 F12:J18 F19:I46 J19:J24 E6:G7 J26:J46 E1:H4 H6:H8 K10:U46 I1:U9">
      <formula1>-999999999999999000000</formula1>
      <formula2>9.99999999999999E+29</formula2>
    </dataValidation>
  </dataValidations>
  <hyperlinks>
    <hyperlink ref="A1" location="Index!A1" display="Index sheet"/>
  </hyperlinks>
  <printOptions horizontalCentered="1"/>
  <pageMargins left="0.5" right="0.5" top="0.5" bottom="0.5" header="0.25" footer="0.25"/>
  <pageSetup paperSize="9" scale="55" pageOrder="overThenDown" orientation="landscape" blackAndWhite="1" r:id="rId1"/>
  <headerFooter alignWithMargins="0"/>
  <colBreaks count="1" manualBreakCount="1">
    <brk id="21" max="1048575" man="1"/>
  </colBreaks>
</worksheet>
</file>

<file path=xl/worksheets/sheet15.xml><?xml version="1.0" encoding="utf-8"?>
<worksheet xmlns="http://schemas.openxmlformats.org/spreadsheetml/2006/main" xmlns:r="http://schemas.openxmlformats.org/officeDocument/2006/relationships">
  <sheetPr codeName="Sheet11"/>
  <dimension ref="A1:AL3352"/>
  <sheetViews>
    <sheetView view="pageBreakPreview" zoomScale="75" zoomScaleNormal="106" zoomScaleSheetLayoutView="75" workbookViewId="0">
      <selection activeCell="B20" sqref="B20"/>
    </sheetView>
  </sheetViews>
  <sheetFormatPr defaultRowHeight="12.75"/>
  <cols>
    <col min="1" max="1" width="5.140625" style="455" customWidth="1"/>
    <col min="2" max="2" width="25.140625" style="811" customWidth="1"/>
    <col min="3" max="3" width="24.5703125" style="811" customWidth="1"/>
    <col min="4" max="4" width="7.7109375" style="811" bestFit="1" customWidth="1"/>
    <col min="5" max="5" width="8.5703125" style="455" bestFit="1" customWidth="1"/>
    <col min="6" max="7" width="8.7109375" style="455" bestFit="1" customWidth="1"/>
    <col min="8" max="8" width="15.28515625" style="455" customWidth="1"/>
    <col min="9" max="9" width="10.85546875" style="455" customWidth="1"/>
    <col min="10" max="10" width="7.7109375" style="455" bestFit="1" customWidth="1"/>
    <col min="11" max="11" width="10" style="455" customWidth="1"/>
    <col min="12" max="12" width="11.42578125" style="455" bestFit="1" customWidth="1"/>
    <col min="13" max="13" width="11.140625" style="455" bestFit="1" customWidth="1"/>
    <col min="14" max="14" width="9" style="455" customWidth="1"/>
    <col min="15" max="15" width="8.28515625" style="455" customWidth="1"/>
    <col min="16" max="16" width="8.85546875" style="455" customWidth="1"/>
    <col min="17" max="17" width="12.5703125" style="455" bestFit="1" customWidth="1"/>
    <col min="18" max="18" width="11.140625" style="455" bestFit="1" customWidth="1"/>
    <col min="19" max="19" width="8.7109375" style="455" bestFit="1" customWidth="1"/>
    <col min="20" max="20" width="10.42578125" style="455" bestFit="1" customWidth="1"/>
    <col min="21" max="21" width="7" style="455" bestFit="1" customWidth="1"/>
    <col min="22" max="22" width="11" style="455" customWidth="1"/>
    <col min="23" max="16384" width="9.140625" style="455"/>
  </cols>
  <sheetData>
    <row r="1" spans="1:38">
      <c r="A1" s="810" t="s">
        <v>396</v>
      </c>
      <c r="E1" s="425"/>
      <c r="F1" s="425"/>
      <c r="G1" s="425"/>
      <c r="H1" s="425"/>
      <c r="I1" s="425"/>
      <c r="J1" s="425"/>
      <c r="K1" s="425"/>
      <c r="L1" s="425"/>
      <c r="M1" s="425"/>
      <c r="N1" s="425"/>
      <c r="O1" s="425"/>
      <c r="P1" s="425"/>
      <c r="Q1" s="425"/>
      <c r="R1" s="425"/>
      <c r="S1" s="425"/>
      <c r="T1" s="425"/>
      <c r="U1" s="425"/>
      <c r="AL1" s="455">
        <v>1</v>
      </c>
    </row>
    <row r="2" spans="1:38">
      <c r="E2" s="425"/>
      <c r="F2" s="425"/>
      <c r="G2" s="425"/>
      <c r="H2" s="425"/>
      <c r="I2" s="425"/>
      <c r="J2" s="425"/>
      <c r="K2" s="425"/>
      <c r="L2" s="425"/>
      <c r="M2" s="425"/>
      <c r="N2" s="425"/>
      <c r="O2" s="425"/>
      <c r="P2" s="425"/>
      <c r="Q2" s="425"/>
      <c r="R2" s="425"/>
      <c r="S2" s="425"/>
      <c r="T2" s="425"/>
      <c r="U2" s="425"/>
      <c r="AL2" s="455">
        <v>2</v>
      </c>
    </row>
    <row r="3" spans="1:38">
      <c r="B3" s="812" t="s">
        <v>53</v>
      </c>
      <c r="C3" s="812" t="s">
        <v>580</v>
      </c>
      <c r="D3" s="812"/>
      <c r="E3" s="813"/>
      <c r="F3" s="813"/>
      <c r="G3" s="813"/>
      <c r="H3" s="813"/>
      <c r="I3" s="813"/>
      <c r="J3" s="813"/>
      <c r="K3" s="425"/>
      <c r="L3" s="425"/>
      <c r="M3" s="425"/>
      <c r="N3" s="425"/>
      <c r="O3" s="425"/>
      <c r="P3" s="425"/>
      <c r="Q3" s="425"/>
      <c r="R3" s="425"/>
      <c r="S3" s="425"/>
      <c r="T3" s="425"/>
      <c r="U3" s="425"/>
    </row>
    <row r="4" spans="1:38">
      <c r="B4" s="812"/>
      <c r="C4" s="812"/>
      <c r="D4" s="812"/>
      <c r="E4" s="813"/>
      <c r="F4" s="813"/>
      <c r="G4" s="813"/>
      <c r="H4" s="813"/>
      <c r="I4" s="813"/>
      <c r="J4" s="813"/>
      <c r="K4" s="425"/>
      <c r="L4" s="425"/>
      <c r="M4" s="425"/>
      <c r="N4" s="425"/>
      <c r="O4" s="425"/>
      <c r="P4" s="425"/>
      <c r="Q4" s="425"/>
      <c r="R4" s="425"/>
      <c r="S4" s="425"/>
      <c r="T4" s="425"/>
      <c r="U4" s="425"/>
    </row>
    <row r="5" spans="1:38" ht="30.75" customHeight="1" thickBot="1">
      <c r="B5" s="1831" t="s">
        <v>556</v>
      </c>
      <c r="C5" s="1832"/>
      <c r="D5" s="1832"/>
      <c r="E5" s="1832"/>
      <c r="F5" s="1832"/>
      <c r="G5" s="1833"/>
      <c r="H5" s="814" t="str">
        <f>Notes!C10</f>
        <v>FY 2028-29</v>
      </c>
      <c r="I5" s="814"/>
      <c r="J5" s="814"/>
      <c r="K5" s="400"/>
      <c r="L5" s="400"/>
      <c r="M5" s="400"/>
      <c r="N5" s="400"/>
      <c r="O5" s="400"/>
      <c r="P5" s="400"/>
      <c r="Q5" s="400"/>
      <c r="R5" s="400"/>
      <c r="S5" s="400"/>
      <c r="T5" s="400"/>
      <c r="U5" s="400"/>
      <c r="V5" s="384"/>
    </row>
    <row r="6" spans="1:38">
      <c r="B6" s="815"/>
      <c r="C6" s="815"/>
      <c r="D6" s="815"/>
      <c r="E6" s="814"/>
      <c r="F6" s="814"/>
      <c r="G6" s="814"/>
      <c r="H6" s="814"/>
      <c r="I6" s="814"/>
      <c r="J6" s="814"/>
      <c r="K6" s="400"/>
      <c r="L6" s="400"/>
      <c r="M6" s="400"/>
      <c r="N6" s="400"/>
      <c r="O6" s="400"/>
      <c r="P6" s="400"/>
      <c r="Q6" s="400"/>
      <c r="R6" s="400"/>
      <c r="S6" s="400"/>
      <c r="T6" s="400"/>
      <c r="U6" s="400"/>
      <c r="V6" s="384"/>
    </row>
    <row r="7" spans="1:38" ht="12" customHeight="1">
      <c r="B7" s="387"/>
      <c r="C7" s="815"/>
      <c r="D7" s="815"/>
      <c r="E7" s="400"/>
      <c r="F7" s="400"/>
      <c r="G7" s="400"/>
      <c r="H7" s="400"/>
      <c r="I7" s="816"/>
      <c r="J7" s="400"/>
      <c r="K7" s="400"/>
      <c r="L7" s="400"/>
      <c r="M7" s="816"/>
      <c r="N7" s="400"/>
      <c r="O7" s="400"/>
      <c r="P7" s="400"/>
      <c r="Q7" s="400"/>
      <c r="R7" s="400"/>
      <c r="S7" s="400"/>
      <c r="T7" s="400"/>
      <c r="U7" s="400"/>
      <c r="V7" s="384"/>
    </row>
    <row r="8" spans="1:38" s="817" customFormat="1" ht="45.75" customHeight="1">
      <c r="B8" s="1710" t="s">
        <v>452</v>
      </c>
      <c r="C8" s="1710" t="s">
        <v>466</v>
      </c>
      <c r="D8" s="1710" t="s">
        <v>467</v>
      </c>
      <c r="E8" s="711" t="s">
        <v>222</v>
      </c>
      <c r="F8" s="711" t="s">
        <v>225</v>
      </c>
      <c r="G8" s="711" t="s">
        <v>225</v>
      </c>
      <c r="H8" s="1840" t="s">
        <v>250</v>
      </c>
      <c r="I8" s="1840"/>
      <c r="J8" s="1840" t="s">
        <v>91</v>
      </c>
      <c r="K8" s="1840"/>
      <c r="L8" s="1840"/>
      <c r="M8" s="1840"/>
      <c r="N8" s="1840"/>
      <c r="O8" s="1840"/>
      <c r="P8" s="1840" t="s">
        <v>370</v>
      </c>
      <c r="Q8" s="1840"/>
      <c r="R8" s="1840"/>
      <c r="S8" s="1840"/>
      <c r="T8" s="1840"/>
      <c r="U8" s="818"/>
      <c r="V8" s="1710" t="s">
        <v>365</v>
      </c>
    </row>
    <row r="9" spans="1:38" ht="29.25" customHeight="1">
      <c r="B9" s="1710"/>
      <c r="C9" s="1710"/>
      <c r="D9" s="1710"/>
      <c r="E9" s="711" t="s">
        <v>223</v>
      </c>
      <c r="F9" s="711" t="s">
        <v>224</v>
      </c>
      <c r="G9" s="711" t="s">
        <v>223</v>
      </c>
      <c r="H9" s="711" t="s">
        <v>521</v>
      </c>
      <c r="I9" s="711" t="s">
        <v>209</v>
      </c>
      <c r="J9" s="711" t="s">
        <v>94</v>
      </c>
      <c r="K9" s="711" t="s">
        <v>95</v>
      </c>
      <c r="L9" s="711" t="s">
        <v>96</v>
      </c>
      <c r="M9" s="711" t="s">
        <v>97</v>
      </c>
      <c r="N9" s="711" t="s">
        <v>392</v>
      </c>
      <c r="O9" s="711" t="s">
        <v>98</v>
      </c>
      <c r="P9" s="711" t="s">
        <v>94</v>
      </c>
      <c r="Q9" s="711" t="s">
        <v>262</v>
      </c>
      <c r="R9" s="711" t="s">
        <v>97</v>
      </c>
      <c r="S9" s="711" t="s">
        <v>392</v>
      </c>
      <c r="T9" s="711" t="s">
        <v>95</v>
      </c>
      <c r="U9" s="711" t="s">
        <v>98</v>
      </c>
      <c r="V9" s="1710"/>
    </row>
    <row r="10" spans="1:38" s="819" customFormat="1">
      <c r="B10" s="820" t="s">
        <v>453</v>
      </c>
      <c r="C10" s="821" t="s">
        <v>863</v>
      </c>
      <c r="D10" s="822"/>
      <c r="E10" s="823"/>
      <c r="F10" s="823"/>
      <c r="G10" s="823"/>
      <c r="H10" s="823"/>
      <c r="I10" s="823"/>
      <c r="J10" s="823"/>
      <c r="K10" s="823"/>
      <c r="L10" s="823"/>
      <c r="M10" s="823"/>
      <c r="N10" s="823"/>
      <c r="O10" s="824">
        <f t="shared" ref="O10:O45" si="0">SUM(J10:N10)</f>
        <v>0</v>
      </c>
      <c r="P10" s="825">
        <f t="shared" ref="P10:P45" si="1">IF(I10=0,0,J10/I10*10)</f>
        <v>0</v>
      </c>
      <c r="Q10" s="825">
        <f t="shared" ref="Q10:Q45" si="2">IF(I10=0,0,L10/I10*10)</f>
        <v>0</v>
      </c>
      <c r="R10" s="825">
        <f t="shared" ref="R10:R45" si="3">IF(I10=0,0,M10/I10*10)</f>
        <v>0</v>
      </c>
      <c r="S10" s="825">
        <f t="shared" ref="S10:S45" si="4">IF(I10=0,0,N10/I10*10)</f>
        <v>0</v>
      </c>
      <c r="T10" s="825">
        <f t="shared" ref="T10:T45" si="5">IF(I10=0,0,K10/I10*10)</f>
        <v>0</v>
      </c>
      <c r="U10" s="825">
        <f t="shared" ref="U10:U45" si="6">IF(I10=0,0,O10/I10*10)</f>
        <v>0</v>
      </c>
      <c r="V10" s="826"/>
    </row>
    <row r="11" spans="1:38" s="819" customFormat="1">
      <c r="B11" s="827" t="s">
        <v>455</v>
      </c>
      <c r="C11" s="828"/>
      <c r="D11" s="829"/>
      <c r="E11" s="829">
        <f t="shared" ref="E11:N11" si="7">SUM(E10:E10)</f>
        <v>0</v>
      </c>
      <c r="F11" s="829">
        <f t="shared" si="7"/>
        <v>0</v>
      </c>
      <c r="G11" s="829">
        <f t="shared" si="7"/>
        <v>0</v>
      </c>
      <c r="H11" s="830">
        <f t="shared" si="7"/>
        <v>0</v>
      </c>
      <c r="I11" s="830">
        <f t="shared" si="7"/>
        <v>0</v>
      </c>
      <c r="J11" s="830">
        <f t="shared" si="7"/>
        <v>0</v>
      </c>
      <c r="K11" s="830">
        <f t="shared" si="7"/>
        <v>0</v>
      </c>
      <c r="L11" s="830">
        <f t="shared" si="7"/>
        <v>0</v>
      </c>
      <c r="M11" s="830">
        <f t="shared" si="7"/>
        <v>0</v>
      </c>
      <c r="N11" s="830">
        <f t="shared" si="7"/>
        <v>0</v>
      </c>
      <c r="O11" s="824">
        <f t="shared" si="0"/>
        <v>0</v>
      </c>
      <c r="P11" s="825">
        <f t="shared" si="1"/>
        <v>0</v>
      </c>
      <c r="Q11" s="825">
        <f t="shared" si="2"/>
        <v>0</v>
      </c>
      <c r="R11" s="825">
        <f t="shared" si="3"/>
        <v>0</v>
      </c>
      <c r="S11" s="825">
        <f t="shared" si="4"/>
        <v>0</v>
      </c>
      <c r="T11" s="825">
        <f t="shared" si="5"/>
        <v>0</v>
      </c>
      <c r="U11" s="825">
        <f t="shared" si="6"/>
        <v>0</v>
      </c>
      <c r="V11" s="826"/>
    </row>
    <row r="12" spans="1:38" s="819" customFormat="1" ht="25.5">
      <c r="B12" s="820" t="s">
        <v>454</v>
      </c>
      <c r="C12" s="821" t="s">
        <v>864</v>
      </c>
      <c r="D12" s="822"/>
      <c r="E12" s="823"/>
      <c r="F12" s="823"/>
      <c r="G12" s="823"/>
      <c r="H12" s="823"/>
      <c r="I12" s="823"/>
      <c r="J12" s="823"/>
      <c r="K12" s="823"/>
      <c r="L12" s="823"/>
      <c r="M12" s="823"/>
      <c r="N12" s="823"/>
      <c r="O12" s="824">
        <f t="shared" si="0"/>
        <v>0</v>
      </c>
      <c r="P12" s="825">
        <f t="shared" si="1"/>
        <v>0</v>
      </c>
      <c r="Q12" s="825">
        <f t="shared" si="2"/>
        <v>0</v>
      </c>
      <c r="R12" s="825">
        <f t="shared" si="3"/>
        <v>0</v>
      </c>
      <c r="S12" s="825">
        <f t="shared" si="4"/>
        <v>0</v>
      </c>
      <c r="T12" s="825">
        <f t="shared" si="5"/>
        <v>0</v>
      </c>
      <c r="U12" s="825">
        <f t="shared" si="6"/>
        <v>0</v>
      </c>
      <c r="V12" s="826"/>
    </row>
    <row r="13" spans="1:38" s="819" customFormat="1" ht="25.5">
      <c r="B13" s="820" t="s">
        <v>454</v>
      </c>
      <c r="C13" s="821" t="s">
        <v>865</v>
      </c>
      <c r="D13" s="822"/>
      <c r="E13" s="823"/>
      <c r="F13" s="823"/>
      <c r="G13" s="823"/>
      <c r="H13" s="823"/>
      <c r="I13" s="823"/>
      <c r="J13" s="823"/>
      <c r="K13" s="823"/>
      <c r="L13" s="823"/>
      <c r="M13" s="823"/>
      <c r="N13" s="823"/>
      <c r="O13" s="824">
        <f t="shared" si="0"/>
        <v>0</v>
      </c>
      <c r="P13" s="825">
        <f t="shared" si="1"/>
        <v>0</v>
      </c>
      <c r="Q13" s="825">
        <f t="shared" si="2"/>
        <v>0</v>
      </c>
      <c r="R13" s="825">
        <f t="shared" si="3"/>
        <v>0</v>
      </c>
      <c r="S13" s="825">
        <f t="shared" si="4"/>
        <v>0</v>
      </c>
      <c r="T13" s="825">
        <f t="shared" si="5"/>
        <v>0</v>
      </c>
      <c r="U13" s="825">
        <f t="shared" si="6"/>
        <v>0</v>
      </c>
      <c r="V13" s="826"/>
    </row>
    <row r="14" spans="1:38" s="819" customFormat="1">
      <c r="B14" s="827" t="s">
        <v>457</v>
      </c>
      <c r="C14" s="828"/>
      <c r="D14" s="829"/>
      <c r="E14" s="829">
        <f t="shared" ref="E14:N14" si="8">SUM(E12:E13)</f>
        <v>0</v>
      </c>
      <c r="F14" s="829">
        <f t="shared" si="8"/>
        <v>0</v>
      </c>
      <c r="G14" s="829">
        <f t="shared" si="8"/>
        <v>0</v>
      </c>
      <c r="H14" s="830">
        <f t="shared" si="8"/>
        <v>0</v>
      </c>
      <c r="I14" s="830">
        <f t="shared" si="8"/>
        <v>0</v>
      </c>
      <c r="J14" s="830">
        <f t="shared" si="8"/>
        <v>0</v>
      </c>
      <c r="K14" s="830">
        <f t="shared" si="8"/>
        <v>0</v>
      </c>
      <c r="L14" s="830">
        <f t="shared" si="8"/>
        <v>0</v>
      </c>
      <c r="M14" s="830">
        <f t="shared" si="8"/>
        <v>0</v>
      </c>
      <c r="N14" s="830">
        <f t="shared" si="8"/>
        <v>0</v>
      </c>
      <c r="O14" s="824">
        <f>SUM(J14:N14)</f>
        <v>0</v>
      </c>
      <c r="P14" s="825">
        <f t="shared" si="1"/>
        <v>0</v>
      </c>
      <c r="Q14" s="825">
        <f t="shared" si="2"/>
        <v>0</v>
      </c>
      <c r="R14" s="825">
        <f t="shared" si="3"/>
        <v>0</v>
      </c>
      <c r="S14" s="825">
        <f t="shared" si="4"/>
        <v>0</v>
      </c>
      <c r="T14" s="825">
        <f t="shared" si="5"/>
        <v>0</v>
      </c>
      <c r="U14" s="825">
        <f t="shared" si="6"/>
        <v>0</v>
      </c>
      <c r="V14" s="831"/>
    </row>
    <row r="15" spans="1:38" s="819" customFormat="1" ht="38.25">
      <c r="B15" s="820" t="s">
        <v>456</v>
      </c>
      <c r="C15" s="832" t="s">
        <v>888</v>
      </c>
      <c r="D15" s="833"/>
      <c r="E15" s="823"/>
      <c r="F15" s="823"/>
      <c r="G15" s="823"/>
      <c r="H15" s="823"/>
      <c r="I15" s="823"/>
      <c r="J15" s="823"/>
      <c r="K15" s="823"/>
      <c r="L15" s="823"/>
      <c r="M15" s="823"/>
      <c r="N15" s="823"/>
      <c r="O15" s="824">
        <f t="shared" si="0"/>
        <v>0</v>
      </c>
      <c r="P15" s="825">
        <f t="shared" si="1"/>
        <v>0</v>
      </c>
      <c r="Q15" s="825">
        <f t="shared" si="2"/>
        <v>0</v>
      </c>
      <c r="R15" s="825">
        <f t="shared" si="3"/>
        <v>0</v>
      </c>
      <c r="S15" s="825">
        <f t="shared" si="4"/>
        <v>0</v>
      </c>
      <c r="T15" s="825">
        <f t="shared" si="5"/>
        <v>0</v>
      </c>
      <c r="U15" s="825">
        <f t="shared" si="6"/>
        <v>0</v>
      </c>
      <c r="V15" s="826"/>
    </row>
    <row r="16" spans="1:38" s="819" customFormat="1" ht="25.5">
      <c r="B16" s="827" t="s">
        <v>459</v>
      </c>
      <c r="C16" s="828"/>
      <c r="D16" s="829"/>
      <c r="E16" s="829">
        <f>E15</f>
        <v>0</v>
      </c>
      <c r="F16" s="829">
        <f t="shared" ref="F16:N16" si="9">F15</f>
        <v>0</v>
      </c>
      <c r="G16" s="829">
        <f t="shared" si="9"/>
        <v>0</v>
      </c>
      <c r="H16" s="830">
        <f t="shared" si="9"/>
        <v>0</v>
      </c>
      <c r="I16" s="830">
        <f t="shared" si="9"/>
        <v>0</v>
      </c>
      <c r="J16" s="830">
        <f t="shared" si="9"/>
        <v>0</v>
      </c>
      <c r="K16" s="830">
        <f t="shared" si="9"/>
        <v>0</v>
      </c>
      <c r="L16" s="830">
        <f t="shared" si="9"/>
        <v>0</v>
      </c>
      <c r="M16" s="830">
        <f t="shared" si="9"/>
        <v>0</v>
      </c>
      <c r="N16" s="830">
        <f t="shared" si="9"/>
        <v>0</v>
      </c>
      <c r="O16" s="824">
        <f t="shared" si="0"/>
        <v>0</v>
      </c>
      <c r="P16" s="825">
        <f t="shared" si="1"/>
        <v>0</v>
      </c>
      <c r="Q16" s="825">
        <f t="shared" si="2"/>
        <v>0</v>
      </c>
      <c r="R16" s="825">
        <f t="shared" si="3"/>
        <v>0</v>
      </c>
      <c r="S16" s="825">
        <f t="shared" si="4"/>
        <v>0</v>
      </c>
      <c r="T16" s="825">
        <f t="shared" si="5"/>
        <v>0</v>
      </c>
      <c r="U16" s="825">
        <f t="shared" si="6"/>
        <v>0</v>
      </c>
      <c r="V16" s="831"/>
    </row>
    <row r="17" spans="2:22" s="819" customFormat="1" ht="25.5">
      <c r="B17" s="820" t="s">
        <v>458</v>
      </c>
      <c r="C17" s="821" t="s">
        <v>867</v>
      </c>
      <c r="D17" s="822"/>
      <c r="E17" s="823"/>
      <c r="F17" s="823"/>
      <c r="G17" s="823"/>
      <c r="H17" s="823"/>
      <c r="I17" s="823"/>
      <c r="J17" s="823"/>
      <c r="K17" s="823"/>
      <c r="L17" s="823"/>
      <c r="M17" s="823"/>
      <c r="N17" s="823"/>
      <c r="O17" s="824">
        <f t="shared" si="0"/>
        <v>0</v>
      </c>
      <c r="P17" s="825">
        <f t="shared" si="1"/>
        <v>0</v>
      </c>
      <c r="Q17" s="825">
        <f t="shared" si="2"/>
        <v>0</v>
      </c>
      <c r="R17" s="825">
        <f t="shared" si="3"/>
        <v>0</v>
      </c>
      <c r="S17" s="825">
        <f t="shared" si="4"/>
        <v>0</v>
      </c>
      <c r="T17" s="825">
        <f t="shared" si="5"/>
        <v>0</v>
      </c>
      <c r="U17" s="825">
        <f t="shared" si="6"/>
        <v>0</v>
      </c>
      <c r="V17" s="826"/>
    </row>
    <row r="18" spans="2:22" s="819" customFormat="1" ht="25.5">
      <c r="B18" s="820" t="s">
        <v>458</v>
      </c>
      <c r="C18" s="821" t="s">
        <v>895</v>
      </c>
      <c r="D18" s="822"/>
      <c r="E18" s="823"/>
      <c r="F18" s="823"/>
      <c r="G18" s="823"/>
      <c r="H18" s="823"/>
      <c r="I18" s="823"/>
      <c r="J18" s="823"/>
      <c r="K18" s="823"/>
      <c r="L18" s="823"/>
      <c r="M18" s="823"/>
      <c r="N18" s="823"/>
      <c r="O18" s="824">
        <f t="shared" si="0"/>
        <v>0</v>
      </c>
      <c r="P18" s="825">
        <f t="shared" si="1"/>
        <v>0</v>
      </c>
      <c r="Q18" s="825">
        <f t="shared" si="2"/>
        <v>0</v>
      </c>
      <c r="R18" s="825">
        <f t="shared" si="3"/>
        <v>0</v>
      </c>
      <c r="S18" s="825">
        <f t="shared" si="4"/>
        <v>0</v>
      </c>
      <c r="T18" s="825">
        <f t="shared" si="5"/>
        <v>0</v>
      </c>
      <c r="U18" s="825">
        <f t="shared" si="6"/>
        <v>0</v>
      </c>
      <c r="V18" s="831"/>
    </row>
    <row r="19" spans="2:22" s="819" customFormat="1" ht="25.5">
      <c r="B19" s="820" t="s">
        <v>458</v>
      </c>
      <c r="C19" s="821" t="s">
        <v>896</v>
      </c>
      <c r="D19" s="822"/>
      <c r="E19" s="823"/>
      <c r="F19" s="823"/>
      <c r="G19" s="823"/>
      <c r="H19" s="823"/>
      <c r="I19" s="823"/>
      <c r="J19" s="823"/>
      <c r="K19" s="823"/>
      <c r="L19" s="823"/>
      <c r="M19" s="823"/>
      <c r="N19" s="823"/>
      <c r="O19" s="824">
        <f t="shared" si="0"/>
        <v>0</v>
      </c>
      <c r="P19" s="825">
        <f t="shared" si="1"/>
        <v>0</v>
      </c>
      <c r="Q19" s="825">
        <f t="shared" si="2"/>
        <v>0</v>
      </c>
      <c r="R19" s="825">
        <f t="shared" si="3"/>
        <v>0</v>
      </c>
      <c r="S19" s="825">
        <f t="shared" si="4"/>
        <v>0</v>
      </c>
      <c r="T19" s="825">
        <f t="shared" si="5"/>
        <v>0</v>
      </c>
      <c r="U19" s="825">
        <f t="shared" si="6"/>
        <v>0</v>
      </c>
      <c r="V19" s="826"/>
    </row>
    <row r="20" spans="2:22" s="819" customFormat="1">
      <c r="B20" s="827" t="s">
        <v>480</v>
      </c>
      <c r="C20" s="828"/>
      <c r="D20" s="829"/>
      <c r="E20" s="829">
        <f>SUM(E17:E19)</f>
        <v>0</v>
      </c>
      <c r="F20" s="829">
        <f t="shared" ref="F20:N20" si="10">SUM(F17:F19)</f>
        <v>0</v>
      </c>
      <c r="G20" s="829">
        <f t="shared" si="10"/>
        <v>0</v>
      </c>
      <c r="H20" s="830">
        <f t="shared" si="10"/>
        <v>0</v>
      </c>
      <c r="I20" s="830">
        <f t="shared" si="10"/>
        <v>0</v>
      </c>
      <c r="J20" s="830">
        <f t="shared" si="10"/>
        <v>0</v>
      </c>
      <c r="K20" s="830">
        <f t="shared" si="10"/>
        <v>0</v>
      </c>
      <c r="L20" s="830">
        <f t="shared" si="10"/>
        <v>0</v>
      </c>
      <c r="M20" s="830">
        <f t="shared" si="10"/>
        <v>0</v>
      </c>
      <c r="N20" s="830">
        <f t="shared" si="10"/>
        <v>0</v>
      </c>
      <c r="O20" s="824">
        <f t="shared" si="0"/>
        <v>0</v>
      </c>
      <c r="P20" s="825">
        <f t="shared" si="1"/>
        <v>0</v>
      </c>
      <c r="Q20" s="825">
        <f t="shared" si="2"/>
        <v>0</v>
      </c>
      <c r="R20" s="825">
        <f t="shared" si="3"/>
        <v>0</v>
      </c>
      <c r="S20" s="825">
        <f t="shared" si="4"/>
        <v>0</v>
      </c>
      <c r="T20" s="825">
        <f t="shared" si="5"/>
        <v>0</v>
      </c>
      <c r="U20" s="825">
        <f t="shared" si="6"/>
        <v>0</v>
      </c>
      <c r="V20" s="826"/>
    </row>
    <row r="21" spans="2:22" s="819" customFormat="1">
      <c r="B21" s="834"/>
      <c r="C21" s="821"/>
      <c r="D21" s="833"/>
      <c r="E21" s="823"/>
      <c r="F21" s="823"/>
      <c r="G21" s="823"/>
      <c r="H21" s="823"/>
      <c r="I21" s="823"/>
      <c r="J21" s="823"/>
      <c r="K21" s="823"/>
      <c r="L21" s="823"/>
      <c r="M21" s="823"/>
      <c r="N21" s="823"/>
      <c r="O21" s="824">
        <f t="shared" si="0"/>
        <v>0</v>
      </c>
      <c r="P21" s="825">
        <f t="shared" si="1"/>
        <v>0</v>
      </c>
      <c r="Q21" s="825">
        <f t="shared" si="2"/>
        <v>0</v>
      </c>
      <c r="R21" s="825">
        <f t="shared" si="3"/>
        <v>0</v>
      </c>
      <c r="S21" s="825">
        <f t="shared" si="4"/>
        <v>0</v>
      </c>
      <c r="T21" s="825">
        <f t="shared" si="5"/>
        <v>0</v>
      </c>
      <c r="U21" s="825">
        <f t="shared" si="6"/>
        <v>0</v>
      </c>
      <c r="V21" s="826"/>
    </row>
    <row r="22" spans="2:22" s="819" customFormat="1">
      <c r="B22" s="827" t="s">
        <v>461</v>
      </c>
      <c r="C22" s="835"/>
      <c r="D22" s="829"/>
      <c r="E22" s="829">
        <v>0</v>
      </c>
      <c r="F22" s="829">
        <v>0</v>
      </c>
      <c r="G22" s="829">
        <v>0</v>
      </c>
      <c r="H22" s="830">
        <v>0</v>
      </c>
      <c r="I22" s="830">
        <v>0</v>
      </c>
      <c r="J22" s="830">
        <v>0</v>
      </c>
      <c r="K22" s="830">
        <v>0</v>
      </c>
      <c r="L22" s="836">
        <v>0</v>
      </c>
      <c r="M22" s="836">
        <v>0</v>
      </c>
      <c r="N22" s="836">
        <v>0</v>
      </c>
      <c r="O22" s="824">
        <f t="shared" si="0"/>
        <v>0</v>
      </c>
      <c r="P22" s="825">
        <f t="shared" si="1"/>
        <v>0</v>
      </c>
      <c r="Q22" s="825">
        <f t="shared" si="2"/>
        <v>0</v>
      </c>
      <c r="R22" s="825">
        <f t="shared" si="3"/>
        <v>0</v>
      </c>
      <c r="S22" s="825">
        <f t="shared" si="4"/>
        <v>0</v>
      </c>
      <c r="T22" s="825">
        <f t="shared" si="5"/>
        <v>0</v>
      </c>
      <c r="U22" s="825">
        <f t="shared" si="6"/>
        <v>0</v>
      </c>
      <c r="V22" s="831"/>
    </row>
    <row r="23" spans="2:22" s="819" customFormat="1">
      <c r="B23" s="837" t="s">
        <v>462</v>
      </c>
      <c r="C23" s="821" t="s">
        <v>868</v>
      </c>
      <c r="D23" s="822"/>
      <c r="E23" s="823"/>
      <c r="F23" s="823"/>
      <c r="G23" s="823"/>
      <c r="H23" s="823"/>
      <c r="I23" s="823"/>
      <c r="J23" s="823"/>
      <c r="K23" s="823"/>
      <c r="L23" s="823"/>
      <c r="M23" s="823"/>
      <c r="N23" s="823"/>
      <c r="O23" s="824">
        <f t="shared" si="0"/>
        <v>0</v>
      </c>
      <c r="P23" s="825">
        <f t="shared" si="1"/>
        <v>0</v>
      </c>
      <c r="Q23" s="825">
        <f t="shared" si="2"/>
        <v>0</v>
      </c>
      <c r="R23" s="825">
        <f t="shared" si="3"/>
        <v>0</v>
      </c>
      <c r="S23" s="825">
        <f t="shared" si="4"/>
        <v>0</v>
      </c>
      <c r="T23" s="825">
        <f t="shared" si="5"/>
        <v>0</v>
      </c>
      <c r="U23" s="825">
        <f t="shared" si="6"/>
        <v>0</v>
      </c>
      <c r="V23" s="826"/>
    </row>
    <row r="24" spans="2:22" s="819" customFormat="1">
      <c r="B24" s="837" t="s">
        <v>462</v>
      </c>
      <c r="C24" s="821" t="s">
        <v>870</v>
      </c>
      <c r="D24" s="833"/>
      <c r="E24" s="823"/>
      <c r="F24" s="823"/>
      <c r="G24" s="823"/>
      <c r="H24" s="823"/>
      <c r="I24" s="823"/>
      <c r="J24" s="823"/>
      <c r="K24" s="823"/>
      <c r="L24" s="823"/>
      <c r="M24" s="823"/>
      <c r="N24" s="823"/>
      <c r="O24" s="824">
        <f t="shared" si="0"/>
        <v>0</v>
      </c>
      <c r="P24" s="825">
        <f t="shared" si="1"/>
        <v>0</v>
      </c>
      <c r="Q24" s="825">
        <f t="shared" si="2"/>
        <v>0</v>
      </c>
      <c r="R24" s="825">
        <f t="shared" si="3"/>
        <v>0</v>
      </c>
      <c r="S24" s="825">
        <f t="shared" si="4"/>
        <v>0</v>
      </c>
      <c r="T24" s="825">
        <f t="shared" si="5"/>
        <v>0</v>
      </c>
      <c r="U24" s="825">
        <f t="shared" si="6"/>
        <v>0</v>
      </c>
      <c r="V24" s="831"/>
    </row>
    <row r="25" spans="2:22" s="819" customFormat="1">
      <c r="B25" s="837" t="s">
        <v>462</v>
      </c>
      <c r="C25" s="821" t="s">
        <v>871</v>
      </c>
      <c r="D25" s="833"/>
      <c r="E25" s="838"/>
      <c r="F25" s="823"/>
      <c r="G25" s="823"/>
      <c r="H25" s="823"/>
      <c r="I25" s="823"/>
      <c r="J25" s="823"/>
      <c r="K25" s="823"/>
      <c r="L25" s="823"/>
      <c r="M25" s="823"/>
      <c r="N25" s="823"/>
      <c r="O25" s="824">
        <f t="shared" si="0"/>
        <v>0</v>
      </c>
      <c r="P25" s="825">
        <f t="shared" si="1"/>
        <v>0</v>
      </c>
      <c r="Q25" s="825">
        <f t="shared" si="2"/>
        <v>0</v>
      </c>
      <c r="R25" s="825">
        <f t="shared" si="3"/>
        <v>0</v>
      </c>
      <c r="S25" s="825">
        <f t="shared" si="4"/>
        <v>0</v>
      </c>
      <c r="T25" s="825">
        <f t="shared" si="5"/>
        <v>0</v>
      </c>
      <c r="U25" s="825">
        <f t="shared" si="6"/>
        <v>0</v>
      </c>
      <c r="V25" s="826"/>
    </row>
    <row r="26" spans="2:22" s="819" customFormat="1">
      <c r="B26" s="820" t="s">
        <v>462</v>
      </c>
      <c r="C26" s="821" t="s">
        <v>897</v>
      </c>
      <c r="D26" s="822"/>
      <c r="E26" s="823"/>
      <c r="F26" s="823"/>
      <c r="G26" s="823"/>
      <c r="H26" s="823"/>
      <c r="I26" s="823"/>
      <c r="J26" s="823"/>
      <c r="K26" s="823"/>
      <c r="L26" s="823"/>
      <c r="M26" s="823"/>
      <c r="N26" s="823"/>
      <c r="O26" s="824">
        <f t="shared" si="0"/>
        <v>0</v>
      </c>
      <c r="P26" s="825">
        <f t="shared" si="1"/>
        <v>0</v>
      </c>
      <c r="Q26" s="825">
        <f t="shared" si="2"/>
        <v>0</v>
      </c>
      <c r="R26" s="825">
        <f t="shared" si="3"/>
        <v>0</v>
      </c>
      <c r="S26" s="825">
        <f t="shared" si="4"/>
        <v>0</v>
      </c>
      <c r="T26" s="825">
        <f t="shared" si="5"/>
        <v>0</v>
      </c>
      <c r="U26" s="825">
        <f t="shared" si="6"/>
        <v>0</v>
      </c>
      <c r="V26" s="826"/>
    </row>
    <row r="27" spans="2:22" s="819" customFormat="1">
      <c r="B27" s="820" t="s">
        <v>462</v>
      </c>
      <c r="C27" s="821" t="s">
        <v>898</v>
      </c>
      <c r="D27" s="822"/>
      <c r="E27" s="823"/>
      <c r="F27" s="823"/>
      <c r="G27" s="823"/>
      <c r="H27" s="823"/>
      <c r="I27" s="823"/>
      <c r="J27" s="823"/>
      <c r="K27" s="823"/>
      <c r="L27" s="823"/>
      <c r="M27" s="823"/>
      <c r="N27" s="823"/>
      <c r="O27" s="824">
        <f t="shared" si="0"/>
        <v>0</v>
      </c>
      <c r="P27" s="825">
        <f t="shared" si="1"/>
        <v>0</v>
      </c>
      <c r="Q27" s="825">
        <f t="shared" si="2"/>
        <v>0</v>
      </c>
      <c r="R27" s="825">
        <f t="shared" si="3"/>
        <v>0</v>
      </c>
      <c r="S27" s="825">
        <f t="shared" si="4"/>
        <v>0</v>
      </c>
      <c r="T27" s="825">
        <f t="shared" si="5"/>
        <v>0</v>
      </c>
      <c r="U27" s="825">
        <f t="shared" si="6"/>
        <v>0</v>
      </c>
      <c r="V27" s="826"/>
    </row>
    <row r="28" spans="2:22" s="819" customFormat="1">
      <c r="B28" s="827" t="s">
        <v>463</v>
      </c>
      <c r="C28" s="828"/>
      <c r="D28" s="829"/>
      <c r="E28" s="829">
        <f>SUM(E23:E27)</f>
        <v>0</v>
      </c>
      <c r="F28" s="829">
        <f t="shared" ref="F28:N28" si="11">SUM(F23:F27)</f>
        <v>0</v>
      </c>
      <c r="G28" s="829">
        <f t="shared" si="11"/>
        <v>0</v>
      </c>
      <c r="H28" s="830">
        <f t="shared" si="11"/>
        <v>0</v>
      </c>
      <c r="I28" s="830">
        <f>SUM(I23:I27)</f>
        <v>0</v>
      </c>
      <c r="J28" s="830">
        <f t="shared" si="11"/>
        <v>0</v>
      </c>
      <c r="K28" s="830">
        <f t="shared" si="11"/>
        <v>0</v>
      </c>
      <c r="L28" s="830">
        <f t="shared" si="11"/>
        <v>0</v>
      </c>
      <c r="M28" s="830">
        <f t="shared" si="11"/>
        <v>0</v>
      </c>
      <c r="N28" s="830">
        <f t="shared" si="11"/>
        <v>0</v>
      </c>
      <c r="O28" s="824">
        <f t="shared" si="0"/>
        <v>0</v>
      </c>
      <c r="P28" s="825">
        <f t="shared" si="1"/>
        <v>0</v>
      </c>
      <c r="Q28" s="825">
        <f t="shared" si="2"/>
        <v>0</v>
      </c>
      <c r="R28" s="825">
        <f t="shared" si="3"/>
        <v>0</v>
      </c>
      <c r="S28" s="825">
        <f t="shared" si="4"/>
        <v>0</v>
      </c>
      <c r="T28" s="825">
        <f t="shared" si="5"/>
        <v>0</v>
      </c>
      <c r="U28" s="825">
        <f t="shared" si="6"/>
        <v>0</v>
      </c>
      <c r="V28" s="826"/>
    </row>
    <row r="29" spans="2:22" s="819" customFormat="1">
      <c r="B29" s="837" t="s">
        <v>482</v>
      </c>
      <c r="C29" s="839"/>
      <c r="D29" s="833"/>
      <c r="E29" s="823"/>
      <c r="F29" s="823"/>
      <c r="G29" s="823"/>
      <c r="H29" s="823"/>
      <c r="I29" s="823"/>
      <c r="J29" s="823"/>
      <c r="K29" s="823"/>
      <c r="L29" s="823"/>
      <c r="M29" s="823"/>
      <c r="N29" s="823"/>
      <c r="O29" s="824">
        <f t="shared" si="0"/>
        <v>0</v>
      </c>
      <c r="P29" s="825">
        <f t="shared" si="1"/>
        <v>0</v>
      </c>
      <c r="Q29" s="825">
        <f t="shared" si="2"/>
        <v>0</v>
      </c>
      <c r="R29" s="825">
        <f t="shared" si="3"/>
        <v>0</v>
      </c>
      <c r="S29" s="825">
        <f t="shared" si="4"/>
        <v>0</v>
      </c>
      <c r="T29" s="825">
        <f t="shared" si="5"/>
        <v>0</v>
      </c>
      <c r="U29" s="825">
        <f t="shared" si="6"/>
        <v>0</v>
      </c>
      <c r="V29" s="826"/>
    </row>
    <row r="30" spans="2:22" s="819" customFormat="1">
      <c r="B30" s="827" t="s">
        <v>481</v>
      </c>
      <c r="C30" s="840"/>
      <c r="D30" s="829"/>
      <c r="E30" s="829">
        <v>0</v>
      </c>
      <c r="F30" s="829">
        <v>0</v>
      </c>
      <c r="G30" s="829">
        <v>0</v>
      </c>
      <c r="H30" s="830">
        <v>0</v>
      </c>
      <c r="I30" s="830">
        <v>0</v>
      </c>
      <c r="J30" s="830">
        <v>0</v>
      </c>
      <c r="K30" s="830">
        <v>0</v>
      </c>
      <c r="L30" s="841">
        <v>0</v>
      </c>
      <c r="M30" s="841">
        <v>0</v>
      </c>
      <c r="N30" s="841">
        <v>0</v>
      </c>
      <c r="O30" s="824">
        <f t="shared" si="0"/>
        <v>0</v>
      </c>
      <c r="P30" s="825">
        <f t="shared" si="1"/>
        <v>0</v>
      </c>
      <c r="Q30" s="825">
        <f t="shared" si="2"/>
        <v>0</v>
      </c>
      <c r="R30" s="825">
        <f t="shared" si="3"/>
        <v>0</v>
      </c>
      <c r="S30" s="825">
        <f t="shared" si="4"/>
        <v>0</v>
      </c>
      <c r="T30" s="825">
        <f t="shared" si="5"/>
        <v>0</v>
      </c>
      <c r="U30" s="825">
        <f t="shared" si="6"/>
        <v>0</v>
      </c>
      <c r="V30" s="826"/>
    </row>
    <row r="31" spans="2:22" s="819" customFormat="1">
      <c r="B31" s="834" t="s">
        <v>656</v>
      </c>
      <c r="C31" s="821" t="s">
        <v>872</v>
      </c>
      <c r="D31" s="833"/>
      <c r="E31" s="842"/>
      <c r="F31" s="823"/>
      <c r="G31" s="842"/>
      <c r="H31" s="842"/>
      <c r="I31" s="842"/>
      <c r="J31" s="842"/>
      <c r="K31" s="842"/>
      <c r="L31" s="842"/>
      <c r="M31" s="842"/>
      <c r="N31" s="842"/>
      <c r="O31" s="824">
        <f t="shared" si="0"/>
        <v>0</v>
      </c>
      <c r="P31" s="825">
        <f t="shared" si="1"/>
        <v>0</v>
      </c>
      <c r="Q31" s="825">
        <f t="shared" si="2"/>
        <v>0</v>
      </c>
      <c r="R31" s="825">
        <f t="shared" si="3"/>
        <v>0</v>
      </c>
      <c r="S31" s="825">
        <f t="shared" si="4"/>
        <v>0</v>
      </c>
      <c r="T31" s="825">
        <f t="shared" si="5"/>
        <v>0</v>
      </c>
      <c r="U31" s="825">
        <f t="shared" si="6"/>
        <v>0</v>
      </c>
      <c r="V31" s="826"/>
    </row>
    <row r="32" spans="2:22" s="819" customFormat="1" ht="25.5">
      <c r="B32" s="834" t="s">
        <v>656</v>
      </c>
      <c r="C32" s="843" t="s">
        <v>875</v>
      </c>
      <c r="D32" s="833"/>
      <c r="E32" s="842"/>
      <c r="F32" s="823"/>
      <c r="G32" s="842"/>
      <c r="H32" s="842"/>
      <c r="I32" s="842"/>
      <c r="J32" s="842"/>
      <c r="K32" s="842"/>
      <c r="L32" s="842"/>
      <c r="M32" s="842"/>
      <c r="N32" s="842"/>
      <c r="O32" s="824">
        <f t="shared" si="0"/>
        <v>0</v>
      </c>
      <c r="P32" s="825">
        <f t="shared" si="1"/>
        <v>0</v>
      </c>
      <c r="Q32" s="825">
        <f t="shared" si="2"/>
        <v>0</v>
      </c>
      <c r="R32" s="825">
        <f t="shared" si="3"/>
        <v>0</v>
      </c>
      <c r="S32" s="825">
        <f t="shared" si="4"/>
        <v>0</v>
      </c>
      <c r="T32" s="825">
        <f t="shared" si="5"/>
        <v>0</v>
      </c>
      <c r="U32" s="825">
        <f t="shared" si="6"/>
        <v>0</v>
      </c>
      <c r="V32" s="826"/>
    </row>
    <row r="33" spans="2:22" s="819" customFormat="1" ht="51">
      <c r="B33" s="834" t="s">
        <v>656</v>
      </c>
      <c r="C33" s="844" t="s">
        <v>880</v>
      </c>
      <c r="D33" s="833"/>
      <c r="E33" s="842"/>
      <c r="F33" s="823"/>
      <c r="G33" s="842"/>
      <c r="H33" s="842"/>
      <c r="I33" s="842"/>
      <c r="J33" s="842"/>
      <c r="K33" s="842"/>
      <c r="L33" s="842"/>
      <c r="M33" s="842"/>
      <c r="N33" s="842"/>
      <c r="O33" s="824">
        <f t="shared" si="0"/>
        <v>0</v>
      </c>
      <c r="P33" s="825">
        <f t="shared" si="1"/>
        <v>0</v>
      </c>
      <c r="Q33" s="825">
        <f t="shared" si="2"/>
        <v>0</v>
      </c>
      <c r="R33" s="825">
        <f t="shared" si="3"/>
        <v>0</v>
      </c>
      <c r="S33" s="825">
        <f t="shared" si="4"/>
        <v>0</v>
      </c>
      <c r="T33" s="825">
        <f t="shared" si="5"/>
        <v>0</v>
      </c>
      <c r="U33" s="825">
        <f t="shared" si="6"/>
        <v>0</v>
      </c>
      <c r="V33" s="826"/>
    </row>
    <row r="34" spans="2:22" s="819" customFormat="1">
      <c r="B34" s="834" t="s">
        <v>656</v>
      </c>
      <c r="C34" s="844" t="s">
        <v>881</v>
      </c>
      <c r="D34" s="833"/>
      <c r="E34" s="845"/>
      <c r="F34" s="823"/>
      <c r="G34" s="842"/>
      <c r="H34" s="842"/>
      <c r="I34" s="842"/>
      <c r="J34" s="842"/>
      <c r="K34" s="842"/>
      <c r="L34" s="842"/>
      <c r="M34" s="842"/>
      <c r="N34" s="842"/>
      <c r="O34" s="824">
        <f t="shared" si="0"/>
        <v>0</v>
      </c>
      <c r="P34" s="825">
        <f t="shared" si="1"/>
        <v>0</v>
      </c>
      <c r="Q34" s="825">
        <f t="shared" si="2"/>
        <v>0</v>
      </c>
      <c r="R34" s="825">
        <f t="shared" si="3"/>
        <v>0</v>
      </c>
      <c r="S34" s="825">
        <f t="shared" si="4"/>
        <v>0</v>
      </c>
      <c r="T34" s="825">
        <f t="shared" si="5"/>
        <v>0</v>
      </c>
      <c r="U34" s="825">
        <f t="shared" si="6"/>
        <v>0</v>
      </c>
      <c r="V34" s="826"/>
    </row>
    <row r="35" spans="2:22" s="819" customFormat="1">
      <c r="B35" s="827" t="s">
        <v>657</v>
      </c>
      <c r="C35" s="828"/>
      <c r="D35" s="829"/>
      <c r="E35" s="829">
        <f>SUM(E31:E34)</f>
        <v>0</v>
      </c>
      <c r="F35" s="829">
        <f t="shared" ref="F35:N35" si="12">SUM(F31:F34)</f>
        <v>0</v>
      </c>
      <c r="G35" s="829">
        <f t="shared" si="12"/>
        <v>0</v>
      </c>
      <c r="H35" s="830">
        <f t="shared" si="12"/>
        <v>0</v>
      </c>
      <c r="I35" s="830">
        <f t="shared" si="12"/>
        <v>0</v>
      </c>
      <c r="J35" s="830">
        <f t="shared" si="12"/>
        <v>0</v>
      </c>
      <c r="K35" s="830">
        <f t="shared" si="12"/>
        <v>0</v>
      </c>
      <c r="L35" s="829">
        <f t="shared" si="12"/>
        <v>0</v>
      </c>
      <c r="M35" s="830">
        <f t="shared" si="12"/>
        <v>0</v>
      </c>
      <c r="N35" s="830">
        <f t="shared" si="12"/>
        <v>0</v>
      </c>
      <c r="O35" s="824">
        <f t="shared" si="0"/>
        <v>0</v>
      </c>
      <c r="P35" s="825">
        <f t="shared" si="1"/>
        <v>0</v>
      </c>
      <c r="Q35" s="825">
        <f t="shared" si="2"/>
        <v>0</v>
      </c>
      <c r="R35" s="825">
        <f t="shared" si="3"/>
        <v>0</v>
      </c>
      <c r="S35" s="825">
        <f t="shared" si="4"/>
        <v>0</v>
      </c>
      <c r="T35" s="825">
        <f t="shared" si="5"/>
        <v>0</v>
      </c>
      <c r="U35" s="825">
        <f t="shared" si="6"/>
        <v>0</v>
      </c>
      <c r="V35" s="846"/>
    </row>
    <row r="36" spans="2:22" s="819" customFormat="1" ht="25.5">
      <c r="B36" s="820" t="s">
        <v>273</v>
      </c>
      <c r="C36" s="821" t="s">
        <v>651</v>
      </c>
      <c r="D36" s="833"/>
      <c r="E36" s="823"/>
      <c r="F36" s="823"/>
      <c r="G36" s="823"/>
      <c r="H36" s="823"/>
      <c r="I36" s="842"/>
      <c r="J36" s="823"/>
      <c r="K36" s="823"/>
      <c r="L36" s="823"/>
      <c r="M36" s="823"/>
      <c r="N36" s="823"/>
      <c r="O36" s="824">
        <f t="shared" si="0"/>
        <v>0</v>
      </c>
      <c r="P36" s="825">
        <f t="shared" si="1"/>
        <v>0</v>
      </c>
      <c r="Q36" s="825">
        <f t="shared" si="2"/>
        <v>0</v>
      </c>
      <c r="R36" s="825">
        <f t="shared" si="3"/>
        <v>0</v>
      </c>
      <c r="S36" s="825">
        <f t="shared" si="4"/>
        <v>0</v>
      </c>
      <c r="T36" s="825">
        <f t="shared" si="5"/>
        <v>0</v>
      </c>
      <c r="U36" s="825">
        <f t="shared" si="6"/>
        <v>0</v>
      </c>
      <c r="V36" s="826"/>
    </row>
    <row r="37" spans="2:22" s="819" customFormat="1" ht="25.5">
      <c r="B37" s="820" t="s">
        <v>273</v>
      </c>
      <c r="C37" s="821" t="s">
        <v>652</v>
      </c>
      <c r="D37" s="833"/>
      <c r="E37" s="823"/>
      <c r="F37" s="823"/>
      <c r="G37" s="823"/>
      <c r="H37" s="823"/>
      <c r="I37" s="842"/>
      <c r="J37" s="823"/>
      <c r="K37" s="823"/>
      <c r="L37" s="823"/>
      <c r="M37" s="823"/>
      <c r="N37" s="823"/>
      <c r="O37" s="824">
        <f t="shared" si="0"/>
        <v>0</v>
      </c>
      <c r="P37" s="825">
        <f t="shared" si="1"/>
        <v>0</v>
      </c>
      <c r="Q37" s="825">
        <f t="shared" si="2"/>
        <v>0</v>
      </c>
      <c r="R37" s="825">
        <f t="shared" si="3"/>
        <v>0</v>
      </c>
      <c r="S37" s="825">
        <f t="shared" si="4"/>
        <v>0</v>
      </c>
      <c r="T37" s="825">
        <f t="shared" si="5"/>
        <v>0</v>
      </c>
      <c r="U37" s="825">
        <f t="shared" si="6"/>
        <v>0</v>
      </c>
      <c r="V37" s="826"/>
    </row>
    <row r="38" spans="2:22" s="819" customFormat="1" ht="25.5">
      <c r="B38" s="820" t="s">
        <v>273</v>
      </c>
      <c r="C38" s="821" t="s">
        <v>654</v>
      </c>
      <c r="D38" s="833"/>
      <c r="E38" s="823"/>
      <c r="F38" s="823"/>
      <c r="G38" s="823"/>
      <c r="H38" s="823"/>
      <c r="I38" s="842"/>
      <c r="J38" s="823"/>
      <c r="K38" s="823"/>
      <c r="L38" s="823"/>
      <c r="M38" s="823"/>
      <c r="N38" s="823"/>
      <c r="O38" s="824">
        <f t="shared" si="0"/>
        <v>0</v>
      </c>
      <c r="P38" s="825">
        <f t="shared" si="1"/>
        <v>0</v>
      </c>
      <c r="Q38" s="825">
        <f t="shared" si="2"/>
        <v>0</v>
      </c>
      <c r="R38" s="825">
        <f t="shared" si="3"/>
        <v>0</v>
      </c>
      <c r="S38" s="825">
        <f t="shared" si="4"/>
        <v>0</v>
      </c>
      <c r="T38" s="825">
        <f t="shared" si="5"/>
        <v>0</v>
      </c>
      <c r="U38" s="825">
        <f t="shared" si="6"/>
        <v>0</v>
      </c>
      <c r="V38" s="826"/>
    </row>
    <row r="39" spans="2:22" s="819" customFormat="1" ht="25.5">
      <c r="B39" s="820" t="s">
        <v>273</v>
      </c>
      <c r="C39" s="821" t="s">
        <v>655</v>
      </c>
      <c r="D39" s="833"/>
      <c r="E39" s="823"/>
      <c r="F39" s="823"/>
      <c r="G39" s="823"/>
      <c r="H39" s="823"/>
      <c r="I39" s="842"/>
      <c r="J39" s="823"/>
      <c r="K39" s="823"/>
      <c r="L39" s="823"/>
      <c r="M39" s="823"/>
      <c r="N39" s="823"/>
      <c r="O39" s="824">
        <f t="shared" si="0"/>
        <v>0</v>
      </c>
      <c r="P39" s="825">
        <f t="shared" si="1"/>
        <v>0</v>
      </c>
      <c r="Q39" s="825">
        <f t="shared" si="2"/>
        <v>0</v>
      </c>
      <c r="R39" s="825">
        <f t="shared" si="3"/>
        <v>0</v>
      </c>
      <c r="S39" s="825">
        <f t="shared" si="4"/>
        <v>0</v>
      </c>
      <c r="T39" s="825">
        <f t="shared" si="5"/>
        <v>0</v>
      </c>
      <c r="U39" s="825">
        <f t="shared" si="6"/>
        <v>0</v>
      </c>
      <c r="V39" s="826"/>
    </row>
    <row r="40" spans="2:22" s="819" customFormat="1" ht="25.5">
      <c r="B40" s="820" t="s">
        <v>273</v>
      </c>
      <c r="C40" s="821" t="s">
        <v>595</v>
      </c>
      <c r="D40" s="833"/>
      <c r="E40" s="823"/>
      <c r="F40" s="823"/>
      <c r="G40" s="823"/>
      <c r="H40" s="823"/>
      <c r="I40" s="842"/>
      <c r="J40" s="823"/>
      <c r="K40" s="823"/>
      <c r="L40" s="823"/>
      <c r="M40" s="823"/>
      <c r="N40" s="823"/>
      <c r="O40" s="824">
        <f t="shared" si="0"/>
        <v>0</v>
      </c>
      <c r="P40" s="825">
        <f t="shared" si="1"/>
        <v>0</v>
      </c>
      <c r="Q40" s="825">
        <f t="shared" si="2"/>
        <v>0</v>
      </c>
      <c r="R40" s="825">
        <f t="shared" si="3"/>
        <v>0</v>
      </c>
      <c r="S40" s="825">
        <f t="shared" si="4"/>
        <v>0</v>
      </c>
      <c r="T40" s="825">
        <f t="shared" si="5"/>
        <v>0</v>
      </c>
      <c r="U40" s="825">
        <f t="shared" si="6"/>
        <v>0</v>
      </c>
      <c r="V40" s="826"/>
    </row>
    <row r="41" spans="2:22" s="819" customFormat="1" ht="25.5">
      <c r="B41" s="820" t="s">
        <v>273</v>
      </c>
      <c r="C41" s="821" t="s">
        <v>841</v>
      </c>
      <c r="D41" s="833"/>
      <c r="E41" s="823"/>
      <c r="F41" s="823"/>
      <c r="G41" s="823"/>
      <c r="H41" s="823"/>
      <c r="I41" s="842"/>
      <c r="J41" s="823"/>
      <c r="K41" s="823"/>
      <c r="L41" s="823"/>
      <c r="M41" s="823"/>
      <c r="N41" s="823"/>
      <c r="O41" s="824">
        <f t="shared" si="0"/>
        <v>0</v>
      </c>
      <c r="P41" s="825">
        <f t="shared" si="1"/>
        <v>0</v>
      </c>
      <c r="Q41" s="825">
        <f t="shared" si="2"/>
        <v>0</v>
      </c>
      <c r="R41" s="825">
        <f t="shared" si="3"/>
        <v>0</v>
      </c>
      <c r="S41" s="825">
        <f t="shared" si="4"/>
        <v>0</v>
      </c>
      <c r="T41" s="825">
        <f t="shared" si="5"/>
        <v>0</v>
      </c>
      <c r="U41" s="825">
        <f t="shared" si="6"/>
        <v>0</v>
      </c>
      <c r="V41" s="826"/>
    </row>
    <row r="42" spans="2:22" s="819" customFormat="1" ht="25.5">
      <c r="B42" s="820" t="s">
        <v>273</v>
      </c>
      <c r="C42" s="821" t="s">
        <v>842</v>
      </c>
      <c r="D42" s="833"/>
      <c r="E42" s="823"/>
      <c r="F42" s="823"/>
      <c r="G42" s="823"/>
      <c r="H42" s="823"/>
      <c r="I42" s="842"/>
      <c r="J42" s="823"/>
      <c r="K42" s="823"/>
      <c r="L42" s="823"/>
      <c r="M42" s="823"/>
      <c r="N42" s="823"/>
      <c r="O42" s="824">
        <f t="shared" si="0"/>
        <v>0</v>
      </c>
      <c r="P42" s="825">
        <f t="shared" si="1"/>
        <v>0</v>
      </c>
      <c r="Q42" s="825">
        <f t="shared" si="2"/>
        <v>0</v>
      </c>
      <c r="R42" s="825">
        <f t="shared" si="3"/>
        <v>0</v>
      </c>
      <c r="S42" s="825">
        <f t="shared" si="4"/>
        <v>0</v>
      </c>
      <c r="T42" s="825">
        <f t="shared" si="5"/>
        <v>0</v>
      </c>
      <c r="U42" s="825">
        <f t="shared" si="6"/>
        <v>0</v>
      </c>
      <c r="V42" s="826"/>
    </row>
    <row r="43" spans="2:22" s="819" customFormat="1" ht="25.5">
      <c r="B43" s="820" t="s">
        <v>273</v>
      </c>
      <c r="C43" s="821" t="s">
        <v>843</v>
      </c>
      <c r="D43" s="833"/>
      <c r="E43" s="823"/>
      <c r="F43" s="823"/>
      <c r="G43" s="823"/>
      <c r="H43" s="823"/>
      <c r="I43" s="842"/>
      <c r="J43" s="823"/>
      <c r="K43" s="823"/>
      <c r="L43" s="823"/>
      <c r="M43" s="823"/>
      <c r="N43" s="823"/>
      <c r="O43" s="824">
        <f t="shared" si="0"/>
        <v>0</v>
      </c>
      <c r="P43" s="825">
        <f t="shared" si="1"/>
        <v>0</v>
      </c>
      <c r="Q43" s="825">
        <f t="shared" si="2"/>
        <v>0</v>
      </c>
      <c r="R43" s="825">
        <f t="shared" si="3"/>
        <v>0</v>
      </c>
      <c r="S43" s="825">
        <f t="shared" si="4"/>
        <v>0</v>
      </c>
      <c r="T43" s="825">
        <f t="shared" si="5"/>
        <v>0</v>
      </c>
      <c r="U43" s="825">
        <f t="shared" si="6"/>
        <v>0</v>
      </c>
      <c r="V43" s="826"/>
    </row>
    <row r="44" spans="2:22" s="819" customFormat="1">
      <c r="B44" s="827" t="s">
        <v>464</v>
      </c>
      <c r="C44" s="828"/>
      <c r="D44" s="829"/>
      <c r="E44" s="829">
        <f>SUM(E36:E43)</f>
        <v>0</v>
      </c>
      <c r="F44" s="829">
        <f t="shared" ref="F44:N44" si="13">SUM(F36:F43)</f>
        <v>0</v>
      </c>
      <c r="G44" s="829">
        <f t="shared" si="13"/>
        <v>0</v>
      </c>
      <c r="H44" s="830">
        <f t="shared" si="13"/>
        <v>0</v>
      </c>
      <c r="I44" s="830">
        <f t="shared" si="13"/>
        <v>0</v>
      </c>
      <c r="J44" s="830">
        <f t="shared" si="13"/>
        <v>0</v>
      </c>
      <c r="K44" s="830">
        <f t="shared" si="13"/>
        <v>0</v>
      </c>
      <c r="L44" s="830">
        <f t="shared" si="13"/>
        <v>0</v>
      </c>
      <c r="M44" s="830">
        <f t="shared" si="13"/>
        <v>0</v>
      </c>
      <c r="N44" s="830">
        <f t="shared" si="13"/>
        <v>0</v>
      </c>
      <c r="O44" s="847">
        <f t="shared" si="0"/>
        <v>0</v>
      </c>
      <c r="P44" s="848">
        <f t="shared" si="1"/>
        <v>0</v>
      </c>
      <c r="Q44" s="848">
        <f t="shared" si="2"/>
        <v>0</v>
      </c>
      <c r="R44" s="848">
        <f t="shared" si="3"/>
        <v>0</v>
      </c>
      <c r="S44" s="848">
        <f t="shared" si="4"/>
        <v>0</v>
      </c>
      <c r="T44" s="848">
        <f t="shared" si="5"/>
        <v>0</v>
      </c>
      <c r="U44" s="848">
        <f t="shared" si="6"/>
        <v>0</v>
      </c>
      <c r="V44" s="831"/>
    </row>
    <row r="45" spans="2:22" s="819" customFormat="1">
      <c r="B45" s="827" t="s">
        <v>465</v>
      </c>
      <c r="C45" s="849"/>
      <c r="D45" s="850"/>
      <c r="E45" s="829">
        <f>E44+E35+E30+E28+E22+E20+E16+E14+E11</f>
        <v>0</v>
      </c>
      <c r="F45" s="829">
        <f t="shared" ref="F45:N45" si="14">F44+F35+F30+F28+F22+F20+F16+F14+F11</f>
        <v>0</v>
      </c>
      <c r="G45" s="829">
        <f t="shared" si="14"/>
        <v>0</v>
      </c>
      <c r="H45" s="830">
        <f t="shared" si="14"/>
        <v>0</v>
      </c>
      <c r="I45" s="830">
        <f t="shared" si="14"/>
        <v>0</v>
      </c>
      <c r="J45" s="830">
        <f t="shared" si="14"/>
        <v>0</v>
      </c>
      <c r="K45" s="830">
        <f t="shared" si="14"/>
        <v>0</v>
      </c>
      <c r="L45" s="830">
        <f t="shared" si="14"/>
        <v>0</v>
      </c>
      <c r="M45" s="830">
        <f t="shared" si="14"/>
        <v>0</v>
      </c>
      <c r="N45" s="830">
        <f t="shared" si="14"/>
        <v>0</v>
      </c>
      <c r="O45" s="847">
        <f t="shared" si="0"/>
        <v>0</v>
      </c>
      <c r="P45" s="848">
        <f t="shared" si="1"/>
        <v>0</v>
      </c>
      <c r="Q45" s="848">
        <f t="shared" si="2"/>
        <v>0</v>
      </c>
      <c r="R45" s="848">
        <f t="shared" si="3"/>
        <v>0</v>
      </c>
      <c r="S45" s="848">
        <f t="shared" si="4"/>
        <v>0</v>
      </c>
      <c r="T45" s="848">
        <f t="shared" si="5"/>
        <v>0</v>
      </c>
      <c r="U45" s="848">
        <f t="shared" si="6"/>
        <v>0</v>
      </c>
      <c r="V45" s="831"/>
    </row>
    <row r="46" spans="2:22" s="819" customFormat="1">
      <c r="B46" s="851"/>
      <c r="C46" s="851"/>
      <c r="D46" s="851"/>
    </row>
    <row r="47" spans="2:22" s="819" customFormat="1">
      <c r="B47" s="851"/>
      <c r="C47" s="851"/>
      <c r="D47" s="851"/>
    </row>
    <row r="48" spans="2:22" s="819" customFormat="1">
      <c r="B48" s="851"/>
      <c r="C48" s="851"/>
      <c r="D48" s="851"/>
    </row>
    <row r="49" spans="2:4" s="819" customFormat="1">
      <c r="B49" s="851"/>
      <c r="C49" s="851"/>
      <c r="D49" s="851"/>
    </row>
    <row r="50" spans="2:4" s="819" customFormat="1">
      <c r="B50" s="851"/>
      <c r="C50" s="851"/>
      <c r="D50" s="851"/>
    </row>
    <row r="51" spans="2:4" s="819" customFormat="1">
      <c r="B51" s="851"/>
      <c r="C51" s="851"/>
      <c r="D51" s="851"/>
    </row>
    <row r="52" spans="2:4" s="819" customFormat="1">
      <c r="B52" s="851"/>
      <c r="C52" s="851"/>
      <c r="D52" s="851"/>
    </row>
    <row r="53" spans="2:4" s="819" customFormat="1">
      <c r="B53" s="851"/>
      <c r="C53" s="851"/>
      <c r="D53" s="851"/>
    </row>
    <row r="54" spans="2:4" s="819" customFormat="1">
      <c r="B54" s="851"/>
      <c r="C54" s="851"/>
      <c r="D54" s="851"/>
    </row>
    <row r="55" spans="2:4" s="819" customFormat="1">
      <c r="B55" s="851"/>
      <c r="C55" s="851"/>
      <c r="D55" s="851"/>
    </row>
    <row r="56" spans="2:4" s="819" customFormat="1">
      <c r="B56" s="851"/>
      <c r="C56" s="851"/>
      <c r="D56" s="851"/>
    </row>
    <row r="57" spans="2:4" s="819" customFormat="1">
      <c r="B57" s="851"/>
      <c r="C57" s="851"/>
      <c r="D57" s="851"/>
    </row>
    <row r="58" spans="2:4" s="819" customFormat="1">
      <c r="B58" s="851"/>
      <c r="C58" s="851"/>
      <c r="D58" s="851"/>
    </row>
    <row r="59" spans="2:4" s="819" customFormat="1">
      <c r="B59" s="851"/>
      <c r="C59" s="851"/>
      <c r="D59" s="851"/>
    </row>
    <row r="60" spans="2:4" s="819" customFormat="1">
      <c r="B60" s="851"/>
      <c r="C60" s="851"/>
      <c r="D60" s="851"/>
    </row>
    <row r="61" spans="2:4" s="819" customFormat="1">
      <c r="B61" s="851"/>
      <c r="C61" s="851"/>
      <c r="D61" s="851"/>
    </row>
    <row r="62" spans="2:4" s="819" customFormat="1">
      <c r="B62" s="851"/>
      <c r="C62" s="851"/>
      <c r="D62" s="851"/>
    </row>
    <row r="63" spans="2:4" s="819" customFormat="1">
      <c r="B63" s="851"/>
      <c r="C63" s="851"/>
      <c r="D63" s="851"/>
    </row>
    <row r="64" spans="2:4" s="819" customFormat="1">
      <c r="B64" s="851"/>
      <c r="C64" s="851"/>
      <c r="D64" s="851"/>
    </row>
    <row r="65" spans="2:4" s="819" customFormat="1">
      <c r="B65" s="851"/>
      <c r="C65" s="851"/>
      <c r="D65" s="851"/>
    </row>
    <row r="66" spans="2:4" s="819" customFormat="1">
      <c r="B66" s="851"/>
      <c r="C66" s="851"/>
      <c r="D66" s="851"/>
    </row>
    <row r="67" spans="2:4" s="819" customFormat="1">
      <c r="B67" s="851"/>
      <c r="C67" s="851"/>
      <c r="D67" s="851"/>
    </row>
    <row r="68" spans="2:4" s="819" customFormat="1">
      <c r="B68" s="851"/>
      <c r="C68" s="851"/>
      <c r="D68" s="851"/>
    </row>
    <row r="69" spans="2:4" s="819" customFormat="1">
      <c r="B69" s="851"/>
      <c r="C69" s="851"/>
      <c r="D69" s="851"/>
    </row>
    <row r="70" spans="2:4" s="819" customFormat="1">
      <c r="B70" s="851"/>
      <c r="C70" s="851"/>
      <c r="D70" s="851"/>
    </row>
    <row r="71" spans="2:4" s="819" customFormat="1">
      <c r="B71" s="851"/>
      <c r="C71" s="851"/>
      <c r="D71" s="851"/>
    </row>
    <row r="72" spans="2:4" s="819" customFormat="1">
      <c r="B72" s="851"/>
      <c r="C72" s="851"/>
      <c r="D72" s="851"/>
    </row>
    <row r="73" spans="2:4" s="819" customFormat="1">
      <c r="B73" s="851"/>
      <c r="C73" s="851"/>
      <c r="D73" s="851"/>
    </row>
    <row r="74" spans="2:4" s="819" customFormat="1">
      <c r="B74" s="851"/>
      <c r="C74" s="851"/>
      <c r="D74" s="851"/>
    </row>
    <row r="75" spans="2:4" s="819" customFormat="1">
      <c r="B75" s="851"/>
      <c r="C75" s="851"/>
      <c r="D75" s="851"/>
    </row>
    <row r="76" spans="2:4" s="819" customFormat="1">
      <c r="B76" s="851"/>
      <c r="C76" s="851"/>
      <c r="D76" s="851"/>
    </row>
    <row r="77" spans="2:4" s="819" customFormat="1">
      <c r="B77" s="851"/>
      <c r="C77" s="851"/>
      <c r="D77" s="851"/>
    </row>
    <row r="78" spans="2:4" s="819" customFormat="1">
      <c r="B78" s="851"/>
      <c r="C78" s="851"/>
      <c r="D78" s="851"/>
    </row>
    <row r="79" spans="2:4" s="819" customFormat="1">
      <c r="B79" s="851"/>
      <c r="C79" s="851"/>
      <c r="D79" s="851"/>
    </row>
    <row r="80" spans="2:4" s="819" customFormat="1">
      <c r="B80" s="851"/>
      <c r="C80" s="851"/>
      <c r="D80" s="851"/>
    </row>
    <row r="81" spans="2:4" s="819" customFormat="1">
      <c r="B81" s="851"/>
      <c r="C81" s="851"/>
      <c r="D81" s="851"/>
    </row>
    <row r="82" spans="2:4" s="819" customFormat="1">
      <c r="B82" s="851"/>
      <c r="C82" s="851"/>
      <c r="D82" s="851"/>
    </row>
    <row r="83" spans="2:4" s="819" customFormat="1">
      <c r="B83" s="851"/>
      <c r="C83" s="851"/>
      <c r="D83" s="851"/>
    </row>
    <row r="84" spans="2:4" s="819" customFormat="1">
      <c r="B84" s="851"/>
      <c r="C84" s="851"/>
      <c r="D84" s="851"/>
    </row>
    <row r="85" spans="2:4" s="819" customFormat="1">
      <c r="B85" s="851"/>
      <c r="C85" s="851"/>
      <c r="D85" s="851"/>
    </row>
    <row r="86" spans="2:4" s="819" customFormat="1">
      <c r="B86" s="851"/>
      <c r="C86" s="851"/>
      <c r="D86" s="851"/>
    </row>
    <row r="87" spans="2:4" s="819" customFormat="1">
      <c r="B87" s="851"/>
      <c r="C87" s="851"/>
      <c r="D87" s="851"/>
    </row>
    <row r="88" spans="2:4" s="819" customFormat="1">
      <c r="B88" s="851"/>
      <c r="C88" s="851"/>
      <c r="D88" s="851"/>
    </row>
    <row r="89" spans="2:4" s="819" customFormat="1">
      <c r="B89" s="851"/>
      <c r="C89" s="851"/>
      <c r="D89" s="851"/>
    </row>
    <row r="90" spans="2:4" s="819" customFormat="1">
      <c r="B90" s="851"/>
      <c r="C90" s="851"/>
      <c r="D90" s="851"/>
    </row>
    <row r="91" spans="2:4" s="819" customFormat="1">
      <c r="B91" s="851"/>
      <c r="C91" s="851"/>
      <c r="D91" s="851"/>
    </row>
    <row r="92" spans="2:4" s="819" customFormat="1">
      <c r="B92" s="851"/>
      <c r="C92" s="851"/>
      <c r="D92" s="851"/>
    </row>
    <row r="93" spans="2:4" s="819" customFormat="1">
      <c r="B93" s="851"/>
      <c r="C93" s="851"/>
      <c r="D93" s="851"/>
    </row>
    <row r="94" spans="2:4" s="819" customFormat="1">
      <c r="B94" s="851"/>
      <c r="C94" s="851"/>
      <c r="D94" s="851"/>
    </row>
    <row r="95" spans="2:4" s="819" customFormat="1">
      <c r="B95" s="851"/>
      <c r="C95" s="851"/>
      <c r="D95" s="851"/>
    </row>
    <row r="96" spans="2:4" s="819" customFormat="1">
      <c r="B96" s="851"/>
      <c r="C96" s="851"/>
      <c r="D96" s="851"/>
    </row>
    <row r="97" spans="2:4" s="819" customFormat="1">
      <c r="B97" s="851"/>
      <c r="C97" s="851"/>
      <c r="D97" s="851"/>
    </row>
    <row r="98" spans="2:4" s="819" customFormat="1">
      <c r="B98" s="851"/>
      <c r="C98" s="851"/>
      <c r="D98" s="851"/>
    </row>
    <row r="99" spans="2:4" s="819" customFormat="1">
      <c r="B99" s="851"/>
      <c r="C99" s="851"/>
      <c r="D99" s="851"/>
    </row>
    <row r="100" spans="2:4" s="819" customFormat="1">
      <c r="B100" s="851"/>
      <c r="C100" s="851"/>
      <c r="D100" s="851"/>
    </row>
    <row r="101" spans="2:4" s="819" customFormat="1">
      <c r="B101" s="851"/>
      <c r="C101" s="851"/>
      <c r="D101" s="851"/>
    </row>
    <row r="102" spans="2:4" s="819" customFormat="1">
      <c r="B102" s="851"/>
      <c r="C102" s="851"/>
      <c r="D102" s="851"/>
    </row>
    <row r="103" spans="2:4" s="819" customFormat="1">
      <c r="B103" s="851"/>
      <c r="C103" s="851"/>
      <c r="D103" s="851"/>
    </row>
    <row r="104" spans="2:4" s="819" customFormat="1">
      <c r="B104" s="851"/>
      <c r="C104" s="851"/>
      <c r="D104" s="851"/>
    </row>
    <row r="105" spans="2:4" s="819" customFormat="1">
      <c r="B105" s="851"/>
      <c r="C105" s="851"/>
      <c r="D105" s="851"/>
    </row>
    <row r="106" spans="2:4" s="819" customFormat="1">
      <c r="B106" s="851"/>
      <c r="C106" s="851"/>
      <c r="D106" s="851"/>
    </row>
    <row r="107" spans="2:4" s="819" customFormat="1">
      <c r="B107" s="851"/>
      <c r="C107" s="851"/>
      <c r="D107" s="851"/>
    </row>
    <row r="108" spans="2:4" s="819" customFormat="1">
      <c r="B108" s="851"/>
      <c r="C108" s="851"/>
      <c r="D108" s="851"/>
    </row>
    <row r="109" spans="2:4" s="819" customFormat="1">
      <c r="B109" s="851"/>
      <c r="C109" s="851"/>
      <c r="D109" s="851"/>
    </row>
    <row r="110" spans="2:4" s="819" customFormat="1">
      <c r="B110" s="851"/>
      <c r="C110" s="851"/>
      <c r="D110" s="851"/>
    </row>
    <row r="111" spans="2:4" s="819" customFormat="1">
      <c r="B111" s="851"/>
      <c r="C111" s="851"/>
      <c r="D111" s="851"/>
    </row>
    <row r="112" spans="2:4" s="819" customFormat="1">
      <c r="B112" s="851"/>
      <c r="C112" s="851"/>
      <c r="D112" s="851"/>
    </row>
    <row r="113" spans="2:4" s="819" customFormat="1">
      <c r="B113" s="851"/>
      <c r="C113" s="851"/>
      <c r="D113" s="851"/>
    </row>
    <row r="114" spans="2:4" s="819" customFormat="1">
      <c r="B114" s="851"/>
      <c r="C114" s="851"/>
      <c r="D114" s="851"/>
    </row>
    <row r="115" spans="2:4" s="819" customFormat="1">
      <c r="B115" s="851"/>
      <c r="C115" s="851"/>
      <c r="D115" s="851"/>
    </row>
    <row r="116" spans="2:4" s="819" customFormat="1">
      <c r="B116" s="851"/>
      <c r="C116" s="851"/>
      <c r="D116" s="851"/>
    </row>
    <row r="117" spans="2:4" s="819" customFormat="1">
      <c r="B117" s="851"/>
      <c r="C117" s="851"/>
      <c r="D117" s="851"/>
    </row>
    <row r="118" spans="2:4" s="819" customFormat="1">
      <c r="B118" s="851"/>
      <c r="C118" s="851"/>
      <c r="D118" s="851"/>
    </row>
    <row r="119" spans="2:4" s="819" customFormat="1">
      <c r="B119" s="851"/>
      <c r="C119" s="851"/>
      <c r="D119" s="851"/>
    </row>
    <row r="120" spans="2:4" s="819" customFormat="1">
      <c r="B120" s="851"/>
      <c r="C120" s="851"/>
      <c r="D120" s="851"/>
    </row>
    <row r="121" spans="2:4" s="819" customFormat="1">
      <c r="B121" s="851"/>
      <c r="C121" s="851"/>
      <c r="D121" s="851"/>
    </row>
    <row r="122" spans="2:4" s="819" customFormat="1">
      <c r="B122" s="851"/>
      <c r="C122" s="851"/>
      <c r="D122" s="851"/>
    </row>
    <row r="123" spans="2:4" s="819" customFormat="1">
      <c r="B123" s="851"/>
      <c r="C123" s="851"/>
      <c r="D123" s="851"/>
    </row>
    <row r="124" spans="2:4" s="819" customFormat="1">
      <c r="B124" s="851"/>
      <c r="C124" s="851"/>
      <c r="D124" s="851"/>
    </row>
    <row r="125" spans="2:4" s="819" customFormat="1">
      <c r="B125" s="851"/>
      <c r="C125" s="851"/>
      <c r="D125" s="851"/>
    </row>
    <row r="126" spans="2:4" s="819" customFormat="1">
      <c r="B126" s="851"/>
      <c r="C126" s="851"/>
      <c r="D126" s="851"/>
    </row>
    <row r="127" spans="2:4" s="819" customFormat="1">
      <c r="B127" s="851"/>
      <c r="C127" s="851"/>
      <c r="D127" s="851"/>
    </row>
    <row r="128" spans="2:4" s="819" customFormat="1">
      <c r="B128" s="851"/>
      <c r="C128" s="851"/>
      <c r="D128" s="851"/>
    </row>
    <row r="129" spans="2:4" s="819" customFormat="1">
      <c r="B129" s="851"/>
      <c r="C129" s="851"/>
      <c r="D129" s="851"/>
    </row>
    <row r="130" spans="2:4" s="819" customFormat="1">
      <c r="B130" s="851"/>
      <c r="C130" s="851"/>
      <c r="D130" s="851"/>
    </row>
    <row r="131" spans="2:4" s="819" customFormat="1">
      <c r="B131" s="851"/>
      <c r="C131" s="851"/>
      <c r="D131" s="851"/>
    </row>
    <row r="132" spans="2:4" s="819" customFormat="1">
      <c r="B132" s="851"/>
      <c r="C132" s="851"/>
      <c r="D132" s="851"/>
    </row>
    <row r="133" spans="2:4" s="819" customFormat="1">
      <c r="B133" s="851"/>
      <c r="C133" s="851"/>
      <c r="D133" s="851"/>
    </row>
    <row r="134" spans="2:4" s="819" customFormat="1">
      <c r="B134" s="851"/>
      <c r="C134" s="851"/>
      <c r="D134" s="851"/>
    </row>
    <row r="135" spans="2:4" s="819" customFormat="1">
      <c r="B135" s="851"/>
      <c r="C135" s="851"/>
      <c r="D135" s="851"/>
    </row>
    <row r="136" spans="2:4" s="819" customFormat="1">
      <c r="B136" s="851"/>
      <c r="C136" s="851"/>
      <c r="D136" s="851"/>
    </row>
    <row r="137" spans="2:4" s="819" customFormat="1">
      <c r="B137" s="851"/>
      <c r="C137" s="851"/>
      <c r="D137" s="851"/>
    </row>
    <row r="138" spans="2:4" s="819" customFormat="1">
      <c r="B138" s="851"/>
      <c r="C138" s="851"/>
      <c r="D138" s="851"/>
    </row>
    <row r="139" spans="2:4" s="819" customFormat="1">
      <c r="B139" s="851"/>
      <c r="C139" s="851"/>
      <c r="D139" s="851"/>
    </row>
    <row r="140" spans="2:4" s="819" customFormat="1">
      <c r="B140" s="851"/>
      <c r="C140" s="851"/>
      <c r="D140" s="851"/>
    </row>
    <row r="141" spans="2:4" s="819" customFormat="1">
      <c r="B141" s="851"/>
      <c r="C141" s="851"/>
      <c r="D141" s="851"/>
    </row>
    <row r="142" spans="2:4" s="819" customFormat="1">
      <c r="B142" s="851"/>
      <c r="C142" s="851"/>
      <c r="D142" s="851"/>
    </row>
    <row r="143" spans="2:4" s="819" customFormat="1">
      <c r="B143" s="851"/>
      <c r="C143" s="851"/>
      <c r="D143" s="851"/>
    </row>
    <row r="144" spans="2:4" s="819" customFormat="1">
      <c r="B144" s="851"/>
      <c r="C144" s="851"/>
      <c r="D144" s="851"/>
    </row>
    <row r="145" spans="2:4" s="819" customFormat="1">
      <c r="B145" s="851"/>
      <c r="C145" s="851"/>
      <c r="D145" s="851"/>
    </row>
    <row r="146" spans="2:4" s="819" customFormat="1">
      <c r="B146" s="851"/>
      <c r="C146" s="851"/>
      <c r="D146" s="851"/>
    </row>
    <row r="147" spans="2:4" s="819" customFormat="1">
      <c r="B147" s="851"/>
      <c r="C147" s="851"/>
      <c r="D147" s="851"/>
    </row>
    <row r="148" spans="2:4" s="819" customFormat="1">
      <c r="B148" s="851"/>
      <c r="C148" s="851"/>
      <c r="D148" s="851"/>
    </row>
    <row r="149" spans="2:4" s="819" customFormat="1">
      <c r="B149" s="851"/>
      <c r="C149" s="851"/>
      <c r="D149" s="851"/>
    </row>
    <row r="150" spans="2:4" s="819" customFormat="1">
      <c r="B150" s="851"/>
      <c r="C150" s="851"/>
      <c r="D150" s="851"/>
    </row>
    <row r="151" spans="2:4" s="819" customFormat="1">
      <c r="B151" s="851"/>
      <c r="C151" s="851"/>
      <c r="D151" s="851"/>
    </row>
    <row r="152" spans="2:4" s="819" customFormat="1">
      <c r="B152" s="851"/>
      <c r="C152" s="851"/>
      <c r="D152" s="851"/>
    </row>
    <row r="153" spans="2:4" s="819" customFormat="1">
      <c r="B153" s="851"/>
      <c r="C153" s="851"/>
      <c r="D153" s="851"/>
    </row>
    <row r="154" spans="2:4" s="819" customFormat="1">
      <c r="B154" s="851"/>
      <c r="C154" s="851"/>
      <c r="D154" s="851"/>
    </row>
    <row r="155" spans="2:4" s="819" customFormat="1">
      <c r="B155" s="851"/>
      <c r="C155" s="851"/>
      <c r="D155" s="851"/>
    </row>
    <row r="156" spans="2:4" s="819" customFormat="1">
      <c r="B156" s="851"/>
      <c r="C156" s="851"/>
      <c r="D156" s="851"/>
    </row>
    <row r="157" spans="2:4" s="819" customFormat="1">
      <c r="B157" s="851"/>
      <c r="C157" s="851"/>
      <c r="D157" s="851"/>
    </row>
    <row r="158" spans="2:4" s="819" customFormat="1">
      <c r="B158" s="851"/>
      <c r="C158" s="851"/>
      <c r="D158" s="851"/>
    </row>
    <row r="159" spans="2:4" s="819" customFormat="1">
      <c r="B159" s="851"/>
      <c r="C159" s="851"/>
      <c r="D159" s="851"/>
    </row>
    <row r="160" spans="2:4" s="819" customFormat="1">
      <c r="B160" s="851"/>
      <c r="C160" s="851"/>
      <c r="D160" s="851"/>
    </row>
    <row r="161" spans="2:4" s="819" customFormat="1">
      <c r="B161" s="851"/>
      <c r="C161" s="851"/>
      <c r="D161" s="851"/>
    </row>
    <row r="162" spans="2:4" s="819" customFormat="1">
      <c r="B162" s="851"/>
      <c r="C162" s="851"/>
      <c r="D162" s="851"/>
    </row>
    <row r="163" spans="2:4" s="819" customFormat="1">
      <c r="B163" s="851"/>
      <c r="C163" s="851"/>
      <c r="D163" s="851"/>
    </row>
    <row r="164" spans="2:4" s="819" customFormat="1">
      <c r="B164" s="851"/>
      <c r="C164" s="851"/>
      <c r="D164" s="851"/>
    </row>
    <row r="165" spans="2:4" s="819" customFormat="1">
      <c r="B165" s="851"/>
      <c r="C165" s="851"/>
      <c r="D165" s="851"/>
    </row>
    <row r="166" spans="2:4" s="819" customFormat="1">
      <c r="B166" s="851"/>
      <c r="C166" s="851"/>
      <c r="D166" s="851"/>
    </row>
    <row r="167" spans="2:4" s="819" customFormat="1">
      <c r="B167" s="851"/>
      <c r="C167" s="851"/>
      <c r="D167" s="851"/>
    </row>
    <row r="168" spans="2:4" s="819" customFormat="1">
      <c r="B168" s="851"/>
      <c r="C168" s="851"/>
      <c r="D168" s="851"/>
    </row>
    <row r="169" spans="2:4" s="819" customFormat="1">
      <c r="B169" s="851"/>
      <c r="C169" s="851"/>
      <c r="D169" s="851"/>
    </row>
    <row r="170" spans="2:4" s="819" customFormat="1">
      <c r="B170" s="851"/>
      <c r="C170" s="851"/>
      <c r="D170" s="851"/>
    </row>
    <row r="171" spans="2:4" s="819" customFormat="1">
      <c r="B171" s="851"/>
      <c r="C171" s="851"/>
      <c r="D171" s="851"/>
    </row>
    <row r="172" spans="2:4" s="819" customFormat="1">
      <c r="B172" s="851"/>
      <c r="C172" s="851"/>
      <c r="D172" s="851"/>
    </row>
    <row r="173" spans="2:4" s="819" customFormat="1">
      <c r="B173" s="851"/>
      <c r="C173" s="851"/>
      <c r="D173" s="851"/>
    </row>
    <row r="174" spans="2:4" s="819" customFormat="1">
      <c r="B174" s="851"/>
      <c r="C174" s="851"/>
      <c r="D174" s="851"/>
    </row>
    <row r="175" spans="2:4" s="819" customFormat="1">
      <c r="B175" s="851"/>
      <c r="C175" s="851"/>
      <c r="D175" s="851"/>
    </row>
    <row r="176" spans="2:4" s="819" customFormat="1">
      <c r="B176" s="851"/>
      <c r="C176" s="851"/>
      <c r="D176" s="851"/>
    </row>
    <row r="177" spans="2:4" s="819" customFormat="1">
      <c r="B177" s="851"/>
      <c r="C177" s="851"/>
      <c r="D177" s="851"/>
    </row>
    <row r="178" spans="2:4" s="819" customFormat="1">
      <c r="B178" s="851"/>
      <c r="C178" s="851"/>
      <c r="D178" s="851"/>
    </row>
    <row r="179" spans="2:4" s="819" customFormat="1">
      <c r="B179" s="851"/>
      <c r="C179" s="851"/>
      <c r="D179" s="851"/>
    </row>
    <row r="180" spans="2:4" s="819" customFormat="1">
      <c r="B180" s="851"/>
      <c r="C180" s="851"/>
      <c r="D180" s="851"/>
    </row>
    <row r="181" spans="2:4" s="819" customFormat="1">
      <c r="B181" s="851"/>
      <c r="C181" s="851"/>
      <c r="D181" s="851"/>
    </row>
    <row r="182" spans="2:4" s="819" customFormat="1">
      <c r="B182" s="851"/>
      <c r="C182" s="851"/>
      <c r="D182" s="851"/>
    </row>
    <row r="183" spans="2:4" s="819" customFormat="1">
      <c r="B183" s="851"/>
      <c r="C183" s="851"/>
      <c r="D183" s="851"/>
    </row>
    <row r="184" spans="2:4" s="819" customFormat="1">
      <c r="B184" s="851"/>
      <c r="C184" s="851"/>
      <c r="D184" s="851"/>
    </row>
    <row r="185" spans="2:4" s="819" customFormat="1">
      <c r="B185" s="851"/>
      <c r="C185" s="851"/>
      <c r="D185" s="851"/>
    </row>
    <row r="186" spans="2:4" s="819" customFormat="1">
      <c r="B186" s="851"/>
      <c r="C186" s="851"/>
      <c r="D186" s="851"/>
    </row>
    <row r="187" spans="2:4" s="819" customFormat="1">
      <c r="B187" s="851"/>
      <c r="C187" s="851"/>
      <c r="D187" s="851"/>
    </row>
    <row r="188" spans="2:4" s="819" customFormat="1">
      <c r="B188" s="851"/>
      <c r="C188" s="851"/>
      <c r="D188" s="851"/>
    </row>
    <row r="189" spans="2:4" s="819" customFormat="1">
      <c r="B189" s="851"/>
      <c r="C189" s="851"/>
      <c r="D189" s="851"/>
    </row>
    <row r="190" spans="2:4" s="819" customFormat="1">
      <c r="B190" s="851"/>
      <c r="C190" s="851"/>
      <c r="D190" s="851"/>
    </row>
    <row r="191" spans="2:4" s="819" customFormat="1">
      <c r="B191" s="851"/>
      <c r="C191" s="851"/>
      <c r="D191" s="851"/>
    </row>
    <row r="192" spans="2:4" s="819" customFormat="1">
      <c r="B192" s="851"/>
      <c r="C192" s="851"/>
      <c r="D192" s="851"/>
    </row>
    <row r="193" spans="2:4" s="819" customFormat="1">
      <c r="B193" s="851"/>
      <c r="C193" s="851"/>
      <c r="D193" s="851"/>
    </row>
    <row r="194" spans="2:4" s="819" customFormat="1">
      <c r="B194" s="851"/>
      <c r="C194" s="851"/>
      <c r="D194" s="851"/>
    </row>
    <row r="195" spans="2:4" s="819" customFormat="1">
      <c r="B195" s="851"/>
      <c r="C195" s="851"/>
      <c r="D195" s="851"/>
    </row>
    <row r="196" spans="2:4" s="819" customFormat="1">
      <c r="B196" s="851"/>
      <c r="C196" s="851"/>
      <c r="D196" s="851"/>
    </row>
    <row r="197" spans="2:4" s="819" customFormat="1">
      <c r="B197" s="851"/>
      <c r="C197" s="851"/>
      <c r="D197" s="851"/>
    </row>
    <row r="198" spans="2:4" s="819" customFormat="1">
      <c r="B198" s="851"/>
      <c r="C198" s="851"/>
      <c r="D198" s="851"/>
    </row>
    <row r="199" spans="2:4" s="819" customFormat="1">
      <c r="B199" s="851"/>
      <c r="C199" s="851"/>
      <c r="D199" s="851"/>
    </row>
    <row r="200" spans="2:4" s="819" customFormat="1">
      <c r="B200" s="851"/>
      <c r="C200" s="851"/>
      <c r="D200" s="851"/>
    </row>
    <row r="201" spans="2:4" s="819" customFormat="1">
      <c r="B201" s="851"/>
      <c r="C201" s="851"/>
      <c r="D201" s="851"/>
    </row>
    <row r="202" spans="2:4" s="819" customFormat="1">
      <c r="B202" s="851"/>
      <c r="C202" s="851"/>
      <c r="D202" s="851"/>
    </row>
    <row r="203" spans="2:4" s="819" customFormat="1">
      <c r="B203" s="851"/>
      <c r="C203" s="851"/>
      <c r="D203" s="851"/>
    </row>
    <row r="204" spans="2:4" s="819" customFormat="1">
      <c r="B204" s="851"/>
      <c r="C204" s="851"/>
      <c r="D204" s="851"/>
    </row>
    <row r="205" spans="2:4" s="819" customFormat="1">
      <c r="B205" s="851"/>
      <c r="C205" s="851"/>
      <c r="D205" s="851"/>
    </row>
    <row r="206" spans="2:4" s="819" customFormat="1">
      <c r="B206" s="851"/>
      <c r="C206" s="851"/>
      <c r="D206" s="851"/>
    </row>
    <row r="207" spans="2:4" s="819" customFormat="1">
      <c r="B207" s="851"/>
      <c r="C207" s="851"/>
      <c r="D207" s="851"/>
    </row>
    <row r="208" spans="2:4" s="819" customFormat="1">
      <c r="B208" s="851"/>
      <c r="C208" s="851"/>
      <c r="D208" s="851"/>
    </row>
    <row r="209" spans="2:4" s="819" customFormat="1">
      <c r="B209" s="851"/>
      <c r="C209" s="851"/>
      <c r="D209" s="851"/>
    </row>
    <row r="210" spans="2:4" s="819" customFormat="1">
      <c r="B210" s="851"/>
      <c r="C210" s="851"/>
      <c r="D210" s="851"/>
    </row>
    <row r="211" spans="2:4" s="819" customFormat="1">
      <c r="B211" s="851"/>
      <c r="C211" s="851"/>
      <c r="D211" s="851"/>
    </row>
    <row r="212" spans="2:4" s="819" customFormat="1">
      <c r="B212" s="851"/>
      <c r="C212" s="851"/>
      <c r="D212" s="851"/>
    </row>
    <row r="213" spans="2:4" s="819" customFormat="1">
      <c r="B213" s="851"/>
      <c r="C213" s="851"/>
      <c r="D213" s="851"/>
    </row>
    <row r="214" spans="2:4" s="819" customFormat="1">
      <c r="B214" s="851"/>
      <c r="C214" s="851"/>
      <c r="D214" s="851"/>
    </row>
    <row r="215" spans="2:4" s="819" customFormat="1">
      <c r="B215" s="851"/>
      <c r="C215" s="851"/>
      <c r="D215" s="851"/>
    </row>
    <row r="216" spans="2:4" s="819" customFormat="1">
      <c r="B216" s="851"/>
      <c r="C216" s="851"/>
      <c r="D216" s="851"/>
    </row>
    <row r="217" spans="2:4" s="819" customFormat="1">
      <c r="B217" s="851"/>
      <c r="C217" s="851"/>
      <c r="D217" s="851"/>
    </row>
    <row r="218" spans="2:4" s="819" customFormat="1">
      <c r="B218" s="851"/>
      <c r="C218" s="851"/>
      <c r="D218" s="851"/>
    </row>
    <row r="219" spans="2:4" s="819" customFormat="1">
      <c r="B219" s="851"/>
      <c r="C219" s="851"/>
      <c r="D219" s="851"/>
    </row>
    <row r="220" spans="2:4" s="819" customFormat="1">
      <c r="B220" s="851"/>
      <c r="C220" s="851"/>
      <c r="D220" s="851"/>
    </row>
    <row r="221" spans="2:4" s="819" customFormat="1">
      <c r="B221" s="851"/>
      <c r="C221" s="851"/>
      <c r="D221" s="851"/>
    </row>
    <row r="222" spans="2:4" s="819" customFormat="1">
      <c r="B222" s="851"/>
      <c r="C222" s="851"/>
      <c r="D222" s="851"/>
    </row>
    <row r="223" spans="2:4" s="819" customFormat="1">
      <c r="B223" s="851"/>
      <c r="C223" s="851"/>
      <c r="D223" s="851"/>
    </row>
    <row r="224" spans="2:4" s="819" customFormat="1">
      <c r="B224" s="851"/>
      <c r="C224" s="851"/>
      <c r="D224" s="851"/>
    </row>
    <row r="225" spans="2:4" s="819" customFormat="1">
      <c r="B225" s="851"/>
      <c r="C225" s="851"/>
      <c r="D225" s="851"/>
    </row>
    <row r="226" spans="2:4" s="819" customFormat="1">
      <c r="B226" s="851"/>
      <c r="C226" s="851"/>
      <c r="D226" s="851"/>
    </row>
    <row r="227" spans="2:4" s="819" customFormat="1">
      <c r="B227" s="851"/>
      <c r="C227" s="851"/>
      <c r="D227" s="851"/>
    </row>
    <row r="228" spans="2:4" s="819" customFormat="1">
      <c r="B228" s="851"/>
      <c r="C228" s="851"/>
      <c r="D228" s="851"/>
    </row>
    <row r="229" spans="2:4" s="819" customFormat="1">
      <c r="B229" s="851"/>
      <c r="C229" s="851"/>
      <c r="D229" s="851"/>
    </row>
    <row r="230" spans="2:4" s="819" customFormat="1">
      <c r="B230" s="851"/>
      <c r="C230" s="851"/>
      <c r="D230" s="851"/>
    </row>
    <row r="231" spans="2:4" s="819" customFormat="1">
      <c r="B231" s="851"/>
      <c r="C231" s="851"/>
      <c r="D231" s="851"/>
    </row>
    <row r="232" spans="2:4" s="819" customFormat="1">
      <c r="B232" s="851"/>
      <c r="C232" s="851"/>
      <c r="D232" s="851"/>
    </row>
    <row r="233" spans="2:4" s="819" customFormat="1">
      <c r="B233" s="851"/>
      <c r="C233" s="851"/>
      <c r="D233" s="851"/>
    </row>
    <row r="234" spans="2:4" s="819" customFormat="1">
      <c r="B234" s="851"/>
      <c r="C234" s="851"/>
      <c r="D234" s="851"/>
    </row>
    <row r="235" spans="2:4" s="819" customFormat="1">
      <c r="B235" s="851"/>
      <c r="C235" s="851"/>
      <c r="D235" s="851"/>
    </row>
    <row r="236" spans="2:4" s="819" customFormat="1">
      <c r="B236" s="851"/>
      <c r="C236" s="851"/>
      <c r="D236" s="851"/>
    </row>
    <row r="237" spans="2:4" s="819" customFormat="1">
      <c r="B237" s="851"/>
      <c r="C237" s="851"/>
      <c r="D237" s="851"/>
    </row>
    <row r="238" spans="2:4" s="819" customFormat="1">
      <c r="B238" s="851"/>
      <c r="C238" s="851"/>
      <c r="D238" s="851"/>
    </row>
    <row r="239" spans="2:4" s="819" customFormat="1">
      <c r="B239" s="851"/>
      <c r="C239" s="851"/>
      <c r="D239" s="851"/>
    </row>
    <row r="240" spans="2:4" s="819" customFormat="1">
      <c r="B240" s="851"/>
      <c r="C240" s="851"/>
      <c r="D240" s="851"/>
    </row>
    <row r="241" spans="2:4" s="819" customFormat="1">
      <c r="B241" s="851"/>
      <c r="C241" s="851"/>
      <c r="D241" s="851"/>
    </row>
    <row r="242" spans="2:4" s="819" customFormat="1">
      <c r="B242" s="851"/>
      <c r="C242" s="851"/>
      <c r="D242" s="851"/>
    </row>
    <row r="243" spans="2:4" s="819" customFormat="1">
      <c r="B243" s="851"/>
      <c r="C243" s="851"/>
      <c r="D243" s="851"/>
    </row>
    <row r="244" spans="2:4" s="819" customFormat="1">
      <c r="B244" s="851"/>
      <c r="C244" s="851"/>
      <c r="D244" s="851"/>
    </row>
    <row r="245" spans="2:4" s="819" customFormat="1">
      <c r="B245" s="851"/>
      <c r="C245" s="851"/>
      <c r="D245" s="851"/>
    </row>
    <row r="246" spans="2:4" s="819" customFormat="1">
      <c r="B246" s="851"/>
      <c r="C246" s="851"/>
      <c r="D246" s="851"/>
    </row>
    <row r="247" spans="2:4" s="819" customFormat="1">
      <c r="B247" s="851"/>
      <c r="C247" s="851"/>
      <c r="D247" s="851"/>
    </row>
    <row r="248" spans="2:4" s="819" customFormat="1">
      <c r="B248" s="851"/>
      <c r="C248" s="851"/>
      <c r="D248" s="851"/>
    </row>
    <row r="249" spans="2:4" s="819" customFormat="1">
      <c r="B249" s="851"/>
      <c r="C249" s="851"/>
      <c r="D249" s="851"/>
    </row>
    <row r="250" spans="2:4" s="819" customFormat="1">
      <c r="B250" s="851"/>
      <c r="C250" s="851"/>
      <c r="D250" s="851"/>
    </row>
    <row r="251" spans="2:4" s="819" customFormat="1">
      <c r="B251" s="851"/>
      <c r="C251" s="851"/>
      <c r="D251" s="851"/>
    </row>
    <row r="252" spans="2:4" s="819" customFormat="1">
      <c r="B252" s="851"/>
      <c r="C252" s="851"/>
      <c r="D252" s="851"/>
    </row>
    <row r="253" spans="2:4" s="819" customFormat="1">
      <c r="B253" s="851"/>
      <c r="C253" s="851"/>
      <c r="D253" s="851"/>
    </row>
    <row r="254" spans="2:4" s="819" customFormat="1">
      <c r="B254" s="851"/>
      <c r="C254" s="851"/>
      <c r="D254" s="851"/>
    </row>
    <row r="255" spans="2:4" s="819" customFormat="1">
      <c r="B255" s="851"/>
      <c r="C255" s="851"/>
      <c r="D255" s="851"/>
    </row>
    <row r="256" spans="2:4" s="819" customFormat="1">
      <c r="B256" s="851"/>
      <c r="C256" s="851"/>
      <c r="D256" s="851"/>
    </row>
    <row r="257" spans="2:4" s="819" customFormat="1">
      <c r="B257" s="851"/>
      <c r="C257" s="851"/>
      <c r="D257" s="851"/>
    </row>
    <row r="258" spans="2:4" s="819" customFormat="1">
      <c r="B258" s="851"/>
      <c r="C258" s="851"/>
      <c r="D258" s="851"/>
    </row>
    <row r="259" spans="2:4" s="819" customFormat="1">
      <c r="B259" s="851"/>
      <c r="C259" s="851"/>
      <c r="D259" s="851"/>
    </row>
    <row r="260" spans="2:4" s="819" customFormat="1">
      <c r="B260" s="851"/>
      <c r="C260" s="851"/>
      <c r="D260" s="851"/>
    </row>
    <row r="261" spans="2:4" s="819" customFormat="1">
      <c r="B261" s="851"/>
      <c r="C261" s="851"/>
      <c r="D261" s="851"/>
    </row>
    <row r="262" spans="2:4" s="819" customFormat="1">
      <c r="B262" s="851"/>
      <c r="C262" s="851"/>
      <c r="D262" s="851"/>
    </row>
    <row r="263" spans="2:4" s="819" customFormat="1">
      <c r="B263" s="851"/>
      <c r="C263" s="851"/>
      <c r="D263" s="851"/>
    </row>
    <row r="264" spans="2:4" s="819" customFormat="1">
      <c r="B264" s="851"/>
      <c r="C264" s="851"/>
      <c r="D264" s="851"/>
    </row>
    <row r="265" spans="2:4" s="819" customFormat="1">
      <c r="B265" s="851"/>
      <c r="C265" s="851"/>
      <c r="D265" s="851"/>
    </row>
    <row r="266" spans="2:4" s="819" customFormat="1">
      <c r="B266" s="851"/>
      <c r="C266" s="851"/>
      <c r="D266" s="851"/>
    </row>
    <row r="267" spans="2:4" s="819" customFormat="1">
      <c r="B267" s="851"/>
      <c r="C267" s="851"/>
      <c r="D267" s="851"/>
    </row>
    <row r="268" spans="2:4" s="819" customFormat="1">
      <c r="B268" s="851"/>
      <c r="C268" s="851"/>
      <c r="D268" s="851"/>
    </row>
    <row r="269" spans="2:4" s="819" customFormat="1">
      <c r="B269" s="851"/>
      <c r="C269" s="851"/>
      <c r="D269" s="851"/>
    </row>
    <row r="270" spans="2:4" s="819" customFormat="1">
      <c r="B270" s="851"/>
      <c r="C270" s="851"/>
      <c r="D270" s="851"/>
    </row>
    <row r="271" spans="2:4" s="819" customFormat="1">
      <c r="B271" s="851"/>
      <c r="C271" s="851"/>
      <c r="D271" s="851"/>
    </row>
    <row r="272" spans="2:4" s="819" customFormat="1">
      <c r="B272" s="851"/>
      <c r="C272" s="851"/>
      <c r="D272" s="851"/>
    </row>
    <row r="273" spans="2:4" s="819" customFormat="1">
      <c r="B273" s="851"/>
      <c r="C273" s="851"/>
      <c r="D273" s="851"/>
    </row>
    <row r="274" spans="2:4" s="819" customFormat="1">
      <c r="B274" s="851"/>
      <c r="C274" s="851"/>
      <c r="D274" s="851"/>
    </row>
    <row r="275" spans="2:4" s="819" customFormat="1">
      <c r="B275" s="851"/>
      <c r="C275" s="851"/>
      <c r="D275" s="851"/>
    </row>
    <row r="276" spans="2:4" s="819" customFormat="1">
      <c r="B276" s="851"/>
      <c r="C276" s="851"/>
      <c r="D276" s="851"/>
    </row>
    <row r="277" spans="2:4" s="819" customFormat="1">
      <c r="B277" s="851"/>
      <c r="C277" s="851"/>
      <c r="D277" s="851"/>
    </row>
    <row r="278" spans="2:4" s="819" customFormat="1">
      <c r="B278" s="851"/>
      <c r="C278" s="851"/>
      <c r="D278" s="851"/>
    </row>
    <row r="279" spans="2:4" s="819" customFormat="1">
      <c r="B279" s="851"/>
      <c r="C279" s="851"/>
      <c r="D279" s="851"/>
    </row>
    <row r="280" spans="2:4" s="819" customFormat="1">
      <c r="B280" s="851"/>
      <c r="C280" s="851"/>
      <c r="D280" s="851"/>
    </row>
    <row r="281" spans="2:4" s="819" customFormat="1">
      <c r="B281" s="851"/>
      <c r="C281" s="851"/>
      <c r="D281" s="851"/>
    </row>
    <row r="282" spans="2:4" s="819" customFormat="1">
      <c r="B282" s="851"/>
      <c r="C282" s="851"/>
      <c r="D282" s="851"/>
    </row>
    <row r="283" spans="2:4" s="819" customFormat="1">
      <c r="B283" s="851"/>
      <c r="C283" s="851"/>
      <c r="D283" s="851"/>
    </row>
    <row r="284" spans="2:4" s="819" customFormat="1">
      <c r="B284" s="851"/>
      <c r="C284" s="851"/>
      <c r="D284" s="851"/>
    </row>
    <row r="285" spans="2:4" s="819" customFormat="1">
      <c r="B285" s="851"/>
      <c r="C285" s="851"/>
      <c r="D285" s="851"/>
    </row>
    <row r="286" spans="2:4" s="819" customFormat="1">
      <c r="B286" s="851"/>
      <c r="C286" s="851"/>
      <c r="D286" s="851"/>
    </row>
    <row r="287" spans="2:4" s="819" customFormat="1">
      <c r="B287" s="851"/>
      <c r="C287" s="851"/>
      <c r="D287" s="851"/>
    </row>
    <row r="288" spans="2:4" s="819" customFormat="1">
      <c r="B288" s="851"/>
      <c r="C288" s="851"/>
      <c r="D288" s="851"/>
    </row>
    <row r="289" spans="2:4" s="819" customFormat="1">
      <c r="B289" s="851"/>
      <c r="C289" s="851"/>
      <c r="D289" s="851"/>
    </row>
    <row r="290" spans="2:4" s="819" customFormat="1">
      <c r="B290" s="851"/>
      <c r="C290" s="851"/>
      <c r="D290" s="851"/>
    </row>
    <row r="291" spans="2:4" s="819" customFormat="1">
      <c r="B291" s="851"/>
      <c r="C291" s="851"/>
      <c r="D291" s="851"/>
    </row>
    <row r="292" spans="2:4" s="819" customFormat="1">
      <c r="B292" s="851"/>
      <c r="C292" s="851"/>
      <c r="D292" s="851"/>
    </row>
    <row r="293" spans="2:4" s="819" customFormat="1">
      <c r="B293" s="851"/>
      <c r="C293" s="851"/>
      <c r="D293" s="851"/>
    </row>
    <row r="294" spans="2:4" s="819" customFormat="1">
      <c r="B294" s="851"/>
      <c r="C294" s="851"/>
      <c r="D294" s="851"/>
    </row>
    <row r="295" spans="2:4" s="819" customFormat="1">
      <c r="B295" s="851"/>
      <c r="C295" s="851"/>
      <c r="D295" s="851"/>
    </row>
    <row r="296" spans="2:4" s="819" customFormat="1">
      <c r="B296" s="851"/>
      <c r="C296" s="851"/>
      <c r="D296" s="851"/>
    </row>
    <row r="297" spans="2:4" s="819" customFormat="1">
      <c r="B297" s="851"/>
      <c r="C297" s="851"/>
      <c r="D297" s="851"/>
    </row>
    <row r="298" spans="2:4" s="819" customFormat="1">
      <c r="B298" s="851"/>
      <c r="C298" s="851"/>
      <c r="D298" s="851"/>
    </row>
    <row r="299" spans="2:4" s="819" customFormat="1">
      <c r="B299" s="851"/>
      <c r="C299" s="851"/>
      <c r="D299" s="851"/>
    </row>
    <row r="300" spans="2:4" s="819" customFormat="1">
      <c r="B300" s="851"/>
      <c r="C300" s="851"/>
      <c r="D300" s="851"/>
    </row>
    <row r="301" spans="2:4" s="819" customFormat="1">
      <c r="B301" s="851"/>
      <c r="C301" s="851"/>
      <c r="D301" s="851"/>
    </row>
    <row r="302" spans="2:4" s="819" customFormat="1">
      <c r="B302" s="851"/>
      <c r="C302" s="851"/>
      <c r="D302" s="851"/>
    </row>
    <row r="303" spans="2:4" s="819" customFormat="1">
      <c r="B303" s="851"/>
      <c r="C303" s="851"/>
      <c r="D303" s="851"/>
    </row>
    <row r="304" spans="2:4" s="819" customFormat="1">
      <c r="B304" s="851"/>
      <c r="C304" s="851"/>
      <c r="D304" s="851"/>
    </row>
    <row r="305" spans="2:4" s="819" customFormat="1">
      <c r="B305" s="851"/>
      <c r="C305" s="851"/>
      <c r="D305" s="851"/>
    </row>
    <row r="306" spans="2:4" s="819" customFormat="1">
      <c r="B306" s="851"/>
      <c r="C306" s="851"/>
      <c r="D306" s="851"/>
    </row>
    <row r="307" spans="2:4" s="819" customFormat="1">
      <c r="B307" s="851"/>
      <c r="C307" s="851"/>
      <c r="D307" s="851"/>
    </row>
    <row r="308" spans="2:4" s="819" customFormat="1">
      <c r="B308" s="851"/>
      <c r="C308" s="851"/>
      <c r="D308" s="851"/>
    </row>
    <row r="309" spans="2:4" s="819" customFormat="1">
      <c r="B309" s="851"/>
      <c r="C309" s="851"/>
      <c r="D309" s="851"/>
    </row>
    <row r="310" spans="2:4" s="819" customFormat="1">
      <c r="B310" s="851"/>
      <c r="C310" s="851"/>
      <c r="D310" s="851"/>
    </row>
    <row r="311" spans="2:4" s="819" customFormat="1">
      <c r="B311" s="851"/>
      <c r="C311" s="851"/>
      <c r="D311" s="851"/>
    </row>
    <row r="312" spans="2:4" s="819" customFormat="1">
      <c r="B312" s="851"/>
      <c r="C312" s="851"/>
      <c r="D312" s="851"/>
    </row>
    <row r="313" spans="2:4" s="819" customFormat="1">
      <c r="B313" s="851"/>
      <c r="C313" s="851"/>
      <c r="D313" s="851"/>
    </row>
    <row r="314" spans="2:4" s="819" customFormat="1">
      <c r="B314" s="851"/>
      <c r="C314" s="851"/>
      <c r="D314" s="851"/>
    </row>
    <row r="315" spans="2:4" s="819" customFormat="1">
      <c r="B315" s="851"/>
      <c r="C315" s="851"/>
      <c r="D315" s="851"/>
    </row>
    <row r="316" spans="2:4" s="819" customFormat="1">
      <c r="B316" s="851"/>
      <c r="C316" s="851"/>
      <c r="D316" s="851"/>
    </row>
    <row r="317" spans="2:4" s="819" customFormat="1">
      <c r="B317" s="851"/>
      <c r="C317" s="851"/>
      <c r="D317" s="851"/>
    </row>
    <row r="318" spans="2:4" s="819" customFormat="1">
      <c r="B318" s="851"/>
      <c r="C318" s="851"/>
      <c r="D318" s="851"/>
    </row>
    <row r="319" spans="2:4" s="819" customFormat="1">
      <c r="B319" s="851"/>
      <c r="C319" s="851"/>
      <c r="D319" s="851"/>
    </row>
    <row r="320" spans="2:4" s="819" customFormat="1">
      <c r="B320" s="851"/>
      <c r="C320" s="851"/>
      <c r="D320" s="851"/>
    </row>
    <row r="321" spans="2:4" s="819" customFormat="1">
      <c r="B321" s="851"/>
      <c r="C321" s="851"/>
      <c r="D321" s="851"/>
    </row>
    <row r="322" spans="2:4" s="819" customFormat="1">
      <c r="B322" s="851"/>
      <c r="C322" s="851"/>
      <c r="D322" s="851"/>
    </row>
    <row r="323" spans="2:4" s="819" customFormat="1">
      <c r="B323" s="851"/>
      <c r="C323" s="851"/>
      <c r="D323" s="851"/>
    </row>
    <row r="324" spans="2:4" s="819" customFormat="1">
      <c r="B324" s="851"/>
      <c r="C324" s="851"/>
      <c r="D324" s="851"/>
    </row>
    <row r="325" spans="2:4" s="819" customFormat="1">
      <c r="B325" s="851"/>
      <c r="C325" s="851"/>
      <c r="D325" s="851"/>
    </row>
    <row r="326" spans="2:4" s="819" customFormat="1">
      <c r="B326" s="851"/>
      <c r="C326" s="851"/>
      <c r="D326" s="851"/>
    </row>
    <row r="327" spans="2:4" s="819" customFormat="1">
      <c r="B327" s="851"/>
      <c r="C327" s="851"/>
      <c r="D327" s="851"/>
    </row>
    <row r="328" spans="2:4" s="819" customFormat="1">
      <c r="B328" s="851"/>
      <c r="C328" s="851"/>
      <c r="D328" s="851"/>
    </row>
    <row r="329" spans="2:4" s="819" customFormat="1">
      <c r="B329" s="851"/>
      <c r="C329" s="851"/>
      <c r="D329" s="851"/>
    </row>
    <row r="330" spans="2:4" s="819" customFormat="1">
      <c r="B330" s="851"/>
      <c r="C330" s="851"/>
      <c r="D330" s="851"/>
    </row>
    <row r="331" spans="2:4" s="819" customFormat="1">
      <c r="B331" s="851"/>
      <c r="C331" s="851"/>
      <c r="D331" s="851"/>
    </row>
    <row r="332" spans="2:4" s="819" customFormat="1">
      <c r="B332" s="851"/>
      <c r="C332" s="851"/>
      <c r="D332" s="851"/>
    </row>
    <row r="333" spans="2:4" s="819" customFormat="1">
      <c r="B333" s="851"/>
      <c r="C333" s="851"/>
      <c r="D333" s="851"/>
    </row>
    <row r="334" spans="2:4" s="819" customFormat="1">
      <c r="B334" s="851"/>
      <c r="C334" s="851"/>
      <c r="D334" s="851"/>
    </row>
    <row r="335" spans="2:4" s="819" customFormat="1">
      <c r="B335" s="851"/>
      <c r="C335" s="851"/>
      <c r="D335" s="851"/>
    </row>
    <row r="336" spans="2:4" s="819" customFormat="1">
      <c r="B336" s="851"/>
      <c r="C336" s="851"/>
      <c r="D336" s="851"/>
    </row>
    <row r="337" spans="2:4" s="819" customFormat="1">
      <c r="B337" s="851"/>
      <c r="C337" s="851"/>
      <c r="D337" s="851"/>
    </row>
    <row r="338" spans="2:4" s="819" customFormat="1">
      <c r="B338" s="851"/>
      <c r="C338" s="851"/>
      <c r="D338" s="851"/>
    </row>
    <row r="339" spans="2:4" s="819" customFormat="1">
      <c r="B339" s="851"/>
      <c r="C339" s="851"/>
      <c r="D339" s="851"/>
    </row>
    <row r="340" spans="2:4" s="819" customFormat="1">
      <c r="B340" s="851"/>
      <c r="C340" s="851"/>
      <c r="D340" s="851"/>
    </row>
    <row r="341" spans="2:4" s="819" customFormat="1">
      <c r="B341" s="851"/>
      <c r="C341" s="851"/>
      <c r="D341" s="851"/>
    </row>
    <row r="342" spans="2:4" s="819" customFormat="1">
      <c r="B342" s="851"/>
      <c r="C342" s="851"/>
      <c r="D342" s="851"/>
    </row>
    <row r="343" spans="2:4" s="819" customFormat="1">
      <c r="B343" s="851"/>
      <c r="C343" s="851"/>
      <c r="D343" s="851"/>
    </row>
    <row r="344" spans="2:4" s="819" customFormat="1">
      <c r="B344" s="851"/>
      <c r="C344" s="851"/>
      <c r="D344" s="851"/>
    </row>
    <row r="345" spans="2:4" s="819" customFormat="1">
      <c r="B345" s="851"/>
      <c r="C345" s="851"/>
      <c r="D345" s="851"/>
    </row>
    <row r="346" spans="2:4" s="819" customFormat="1">
      <c r="B346" s="851"/>
      <c r="C346" s="851"/>
      <c r="D346" s="851"/>
    </row>
    <row r="347" spans="2:4" s="819" customFormat="1">
      <c r="B347" s="851"/>
      <c r="C347" s="851"/>
      <c r="D347" s="851"/>
    </row>
    <row r="348" spans="2:4" s="819" customFormat="1">
      <c r="B348" s="851"/>
      <c r="C348" s="851"/>
      <c r="D348" s="851"/>
    </row>
    <row r="349" spans="2:4" s="819" customFormat="1">
      <c r="B349" s="851"/>
      <c r="C349" s="851"/>
      <c r="D349" s="851"/>
    </row>
    <row r="350" spans="2:4" s="819" customFormat="1">
      <c r="B350" s="851"/>
      <c r="C350" s="851"/>
      <c r="D350" s="851"/>
    </row>
    <row r="351" spans="2:4" s="819" customFormat="1">
      <c r="B351" s="851"/>
      <c r="C351" s="851"/>
      <c r="D351" s="851"/>
    </row>
    <row r="352" spans="2:4" s="819" customFormat="1">
      <c r="B352" s="851"/>
      <c r="C352" s="851"/>
      <c r="D352" s="851"/>
    </row>
    <row r="353" spans="2:4" s="819" customFormat="1">
      <c r="B353" s="851"/>
      <c r="C353" s="851"/>
      <c r="D353" s="851"/>
    </row>
    <row r="354" spans="2:4" s="819" customFormat="1">
      <c r="B354" s="851"/>
      <c r="C354" s="851"/>
      <c r="D354" s="851"/>
    </row>
    <row r="355" spans="2:4" s="819" customFormat="1">
      <c r="B355" s="851"/>
      <c r="C355" s="851"/>
      <c r="D355" s="851"/>
    </row>
    <row r="356" spans="2:4" s="819" customFormat="1">
      <c r="B356" s="851"/>
      <c r="C356" s="851"/>
      <c r="D356" s="851"/>
    </row>
    <row r="357" spans="2:4" s="819" customFormat="1">
      <c r="B357" s="851"/>
      <c r="C357" s="851"/>
      <c r="D357" s="851"/>
    </row>
    <row r="358" spans="2:4" s="819" customFormat="1">
      <c r="B358" s="851"/>
      <c r="C358" s="851"/>
      <c r="D358" s="851"/>
    </row>
    <row r="359" spans="2:4" s="819" customFormat="1">
      <c r="B359" s="851"/>
      <c r="C359" s="851"/>
      <c r="D359" s="851"/>
    </row>
    <row r="360" spans="2:4" s="819" customFormat="1">
      <c r="B360" s="851"/>
      <c r="C360" s="851"/>
      <c r="D360" s="851"/>
    </row>
    <row r="361" spans="2:4" s="819" customFormat="1">
      <c r="B361" s="851"/>
      <c r="C361" s="851"/>
      <c r="D361" s="851"/>
    </row>
    <row r="362" spans="2:4" s="819" customFormat="1">
      <c r="B362" s="851"/>
      <c r="C362" s="851"/>
      <c r="D362" s="851"/>
    </row>
    <row r="363" spans="2:4" s="819" customFormat="1">
      <c r="B363" s="851"/>
      <c r="C363" s="851"/>
      <c r="D363" s="851"/>
    </row>
    <row r="364" spans="2:4" s="819" customFormat="1">
      <c r="B364" s="851"/>
      <c r="C364" s="851"/>
      <c r="D364" s="851"/>
    </row>
    <row r="365" spans="2:4" s="819" customFormat="1">
      <c r="B365" s="851"/>
      <c r="C365" s="851"/>
      <c r="D365" s="851"/>
    </row>
    <row r="366" spans="2:4" s="819" customFormat="1">
      <c r="B366" s="851"/>
      <c r="C366" s="851"/>
      <c r="D366" s="851"/>
    </row>
    <row r="367" spans="2:4" s="819" customFormat="1">
      <c r="B367" s="851"/>
      <c r="C367" s="851"/>
      <c r="D367" s="851"/>
    </row>
    <row r="368" spans="2:4" s="819" customFormat="1">
      <c r="B368" s="851"/>
      <c r="C368" s="851"/>
      <c r="D368" s="851"/>
    </row>
    <row r="369" spans="2:4" s="819" customFormat="1">
      <c r="B369" s="851"/>
      <c r="C369" s="851"/>
      <c r="D369" s="851"/>
    </row>
    <row r="370" spans="2:4" s="819" customFormat="1">
      <c r="B370" s="851"/>
      <c r="C370" s="851"/>
      <c r="D370" s="851"/>
    </row>
    <row r="371" spans="2:4" s="819" customFormat="1">
      <c r="B371" s="851"/>
      <c r="C371" s="851"/>
      <c r="D371" s="851"/>
    </row>
    <row r="372" spans="2:4" s="819" customFormat="1">
      <c r="B372" s="851"/>
      <c r="C372" s="851"/>
      <c r="D372" s="851"/>
    </row>
    <row r="373" spans="2:4" s="819" customFormat="1">
      <c r="B373" s="851"/>
      <c r="C373" s="851"/>
      <c r="D373" s="851"/>
    </row>
    <row r="374" spans="2:4" s="819" customFormat="1">
      <c r="B374" s="851"/>
      <c r="C374" s="851"/>
      <c r="D374" s="851"/>
    </row>
    <row r="375" spans="2:4" s="819" customFormat="1">
      <c r="B375" s="851"/>
      <c r="C375" s="851"/>
      <c r="D375" s="851"/>
    </row>
    <row r="376" spans="2:4" s="819" customFormat="1">
      <c r="B376" s="851"/>
      <c r="C376" s="851"/>
      <c r="D376" s="851"/>
    </row>
    <row r="377" spans="2:4" s="819" customFormat="1">
      <c r="B377" s="851"/>
      <c r="C377" s="851"/>
      <c r="D377" s="851"/>
    </row>
    <row r="378" spans="2:4" s="819" customFormat="1">
      <c r="B378" s="851"/>
      <c r="C378" s="851"/>
      <c r="D378" s="851"/>
    </row>
    <row r="379" spans="2:4" s="819" customFormat="1">
      <c r="B379" s="851"/>
      <c r="C379" s="851"/>
      <c r="D379" s="851"/>
    </row>
    <row r="380" spans="2:4" s="819" customFormat="1">
      <c r="B380" s="851"/>
      <c r="C380" s="851"/>
      <c r="D380" s="851"/>
    </row>
    <row r="381" spans="2:4" s="819" customFormat="1">
      <c r="B381" s="851"/>
      <c r="C381" s="851"/>
      <c r="D381" s="851"/>
    </row>
    <row r="382" spans="2:4" s="819" customFormat="1">
      <c r="B382" s="851"/>
      <c r="C382" s="851"/>
      <c r="D382" s="851"/>
    </row>
    <row r="383" spans="2:4" s="819" customFormat="1">
      <c r="B383" s="851"/>
      <c r="C383" s="851"/>
      <c r="D383" s="851"/>
    </row>
    <row r="384" spans="2:4" s="819" customFormat="1">
      <c r="B384" s="851"/>
      <c r="C384" s="851"/>
      <c r="D384" s="851"/>
    </row>
    <row r="385" spans="2:4" s="819" customFormat="1">
      <c r="B385" s="851"/>
      <c r="C385" s="851"/>
      <c r="D385" s="851"/>
    </row>
    <row r="386" spans="2:4" s="819" customFormat="1">
      <c r="B386" s="851"/>
      <c r="C386" s="851"/>
      <c r="D386" s="851"/>
    </row>
    <row r="387" spans="2:4" s="819" customFormat="1">
      <c r="B387" s="851"/>
      <c r="C387" s="851"/>
      <c r="D387" s="851"/>
    </row>
    <row r="388" spans="2:4" s="819" customFormat="1">
      <c r="B388" s="851"/>
      <c r="C388" s="851"/>
      <c r="D388" s="851"/>
    </row>
    <row r="389" spans="2:4" s="819" customFormat="1">
      <c r="B389" s="851"/>
      <c r="C389" s="851"/>
      <c r="D389" s="851"/>
    </row>
    <row r="390" spans="2:4" s="819" customFormat="1">
      <c r="B390" s="851"/>
      <c r="C390" s="851"/>
      <c r="D390" s="851"/>
    </row>
    <row r="391" spans="2:4" s="819" customFormat="1">
      <c r="B391" s="851"/>
      <c r="C391" s="851"/>
      <c r="D391" s="851"/>
    </row>
    <row r="392" spans="2:4" s="819" customFormat="1">
      <c r="B392" s="851"/>
      <c r="C392" s="851"/>
      <c r="D392" s="851"/>
    </row>
    <row r="393" spans="2:4" s="819" customFormat="1">
      <c r="B393" s="851"/>
      <c r="C393" s="851"/>
      <c r="D393" s="851"/>
    </row>
    <row r="394" spans="2:4" s="819" customFormat="1">
      <c r="B394" s="851"/>
      <c r="C394" s="851"/>
      <c r="D394" s="851"/>
    </row>
    <row r="395" spans="2:4" s="819" customFormat="1">
      <c r="B395" s="851"/>
      <c r="C395" s="851"/>
      <c r="D395" s="851"/>
    </row>
    <row r="396" spans="2:4" s="819" customFormat="1">
      <c r="B396" s="851"/>
      <c r="C396" s="851"/>
      <c r="D396" s="851"/>
    </row>
    <row r="397" spans="2:4" s="819" customFormat="1">
      <c r="B397" s="851"/>
      <c r="C397" s="851"/>
      <c r="D397" s="851"/>
    </row>
    <row r="398" spans="2:4" s="819" customFormat="1">
      <c r="B398" s="851"/>
      <c r="C398" s="851"/>
      <c r="D398" s="851"/>
    </row>
    <row r="399" spans="2:4" s="819" customFormat="1">
      <c r="B399" s="851"/>
      <c r="C399" s="851"/>
      <c r="D399" s="851"/>
    </row>
    <row r="400" spans="2:4" s="819" customFormat="1">
      <c r="B400" s="851"/>
      <c r="C400" s="851"/>
      <c r="D400" s="851"/>
    </row>
    <row r="401" spans="2:4" s="819" customFormat="1">
      <c r="B401" s="851"/>
      <c r="C401" s="851"/>
      <c r="D401" s="851"/>
    </row>
    <row r="402" spans="2:4" s="819" customFormat="1">
      <c r="B402" s="851"/>
      <c r="C402" s="851"/>
      <c r="D402" s="851"/>
    </row>
    <row r="403" spans="2:4" s="819" customFormat="1">
      <c r="B403" s="851"/>
      <c r="C403" s="851"/>
      <c r="D403" s="851"/>
    </row>
    <row r="404" spans="2:4" s="819" customFormat="1">
      <c r="B404" s="851"/>
      <c r="C404" s="851"/>
      <c r="D404" s="851"/>
    </row>
    <row r="405" spans="2:4" s="819" customFormat="1">
      <c r="B405" s="851"/>
      <c r="C405" s="851"/>
      <c r="D405" s="851"/>
    </row>
    <row r="406" spans="2:4" s="819" customFormat="1">
      <c r="B406" s="851"/>
      <c r="C406" s="851"/>
      <c r="D406" s="851"/>
    </row>
    <row r="407" spans="2:4" s="819" customFormat="1">
      <c r="B407" s="851"/>
      <c r="C407" s="851"/>
      <c r="D407" s="851"/>
    </row>
    <row r="408" spans="2:4" s="819" customFormat="1">
      <c r="B408" s="851"/>
      <c r="C408" s="851"/>
      <c r="D408" s="851"/>
    </row>
    <row r="409" spans="2:4" s="819" customFormat="1">
      <c r="B409" s="851"/>
      <c r="C409" s="851"/>
      <c r="D409" s="851"/>
    </row>
    <row r="410" spans="2:4" s="819" customFormat="1">
      <c r="B410" s="851"/>
      <c r="C410" s="851"/>
      <c r="D410" s="851"/>
    </row>
    <row r="411" spans="2:4" s="819" customFormat="1">
      <c r="B411" s="851"/>
      <c r="C411" s="851"/>
      <c r="D411" s="851"/>
    </row>
    <row r="412" spans="2:4" s="819" customFormat="1">
      <c r="B412" s="851"/>
      <c r="C412" s="851"/>
      <c r="D412" s="851"/>
    </row>
    <row r="413" spans="2:4" s="819" customFormat="1">
      <c r="B413" s="851"/>
      <c r="C413" s="851"/>
      <c r="D413" s="851"/>
    </row>
    <row r="414" spans="2:4" s="819" customFormat="1">
      <c r="B414" s="851"/>
      <c r="C414" s="851"/>
      <c r="D414" s="851"/>
    </row>
    <row r="415" spans="2:4" s="819" customFormat="1">
      <c r="B415" s="851"/>
      <c r="C415" s="851"/>
      <c r="D415" s="851"/>
    </row>
    <row r="416" spans="2:4" s="819" customFormat="1">
      <c r="B416" s="851"/>
      <c r="C416" s="851"/>
      <c r="D416" s="851"/>
    </row>
    <row r="417" spans="2:4" s="819" customFormat="1">
      <c r="B417" s="851"/>
      <c r="C417" s="851"/>
      <c r="D417" s="851"/>
    </row>
    <row r="418" spans="2:4" s="819" customFormat="1">
      <c r="B418" s="851"/>
      <c r="C418" s="851"/>
      <c r="D418" s="851"/>
    </row>
    <row r="419" spans="2:4" s="819" customFormat="1">
      <c r="B419" s="851"/>
      <c r="C419" s="851"/>
      <c r="D419" s="851"/>
    </row>
    <row r="420" spans="2:4" s="819" customFormat="1">
      <c r="B420" s="851"/>
      <c r="C420" s="851"/>
      <c r="D420" s="851"/>
    </row>
    <row r="421" spans="2:4" s="819" customFormat="1">
      <c r="B421" s="851"/>
      <c r="C421" s="851"/>
      <c r="D421" s="851"/>
    </row>
    <row r="422" spans="2:4" s="819" customFormat="1">
      <c r="B422" s="851"/>
      <c r="C422" s="851"/>
      <c r="D422" s="851"/>
    </row>
    <row r="423" spans="2:4" s="819" customFormat="1">
      <c r="B423" s="851"/>
      <c r="C423" s="851"/>
      <c r="D423" s="851"/>
    </row>
    <row r="424" spans="2:4" s="819" customFormat="1">
      <c r="B424" s="851"/>
      <c r="C424" s="851"/>
      <c r="D424" s="851"/>
    </row>
    <row r="425" spans="2:4" s="819" customFormat="1">
      <c r="B425" s="851"/>
      <c r="C425" s="851"/>
      <c r="D425" s="851"/>
    </row>
    <row r="426" spans="2:4" s="819" customFormat="1">
      <c r="B426" s="851"/>
      <c r="C426" s="851"/>
      <c r="D426" s="851"/>
    </row>
    <row r="427" spans="2:4" s="819" customFormat="1">
      <c r="B427" s="851"/>
      <c r="C427" s="851"/>
      <c r="D427" s="851"/>
    </row>
    <row r="428" spans="2:4" s="819" customFormat="1">
      <c r="B428" s="851"/>
      <c r="C428" s="851"/>
      <c r="D428" s="851"/>
    </row>
    <row r="429" spans="2:4" s="819" customFormat="1">
      <c r="B429" s="851"/>
      <c r="C429" s="851"/>
      <c r="D429" s="851"/>
    </row>
    <row r="430" spans="2:4" s="819" customFormat="1">
      <c r="B430" s="851"/>
      <c r="C430" s="851"/>
      <c r="D430" s="851"/>
    </row>
    <row r="431" spans="2:4" s="819" customFormat="1">
      <c r="B431" s="851"/>
      <c r="C431" s="851"/>
      <c r="D431" s="851"/>
    </row>
    <row r="432" spans="2:4" s="819" customFormat="1">
      <c r="B432" s="851"/>
      <c r="C432" s="851"/>
      <c r="D432" s="851"/>
    </row>
    <row r="433" spans="2:4" s="819" customFormat="1">
      <c r="B433" s="851"/>
      <c r="C433" s="851"/>
      <c r="D433" s="851"/>
    </row>
    <row r="434" spans="2:4" s="819" customFormat="1">
      <c r="B434" s="851"/>
      <c r="C434" s="851"/>
      <c r="D434" s="851"/>
    </row>
    <row r="435" spans="2:4" s="819" customFormat="1">
      <c r="B435" s="851"/>
      <c r="C435" s="851"/>
      <c r="D435" s="851"/>
    </row>
    <row r="436" spans="2:4" s="819" customFormat="1">
      <c r="B436" s="851"/>
      <c r="C436" s="851"/>
      <c r="D436" s="851"/>
    </row>
    <row r="437" spans="2:4" s="819" customFormat="1">
      <c r="B437" s="851"/>
      <c r="C437" s="851"/>
      <c r="D437" s="851"/>
    </row>
    <row r="438" spans="2:4" s="819" customFormat="1">
      <c r="B438" s="851"/>
      <c r="C438" s="851"/>
      <c r="D438" s="851"/>
    </row>
    <row r="439" spans="2:4" s="819" customFormat="1">
      <c r="B439" s="851"/>
      <c r="C439" s="851"/>
      <c r="D439" s="851"/>
    </row>
    <row r="440" spans="2:4" s="819" customFormat="1">
      <c r="B440" s="851"/>
      <c r="C440" s="851"/>
      <c r="D440" s="851"/>
    </row>
    <row r="441" spans="2:4" s="819" customFormat="1">
      <c r="B441" s="851"/>
      <c r="C441" s="851"/>
      <c r="D441" s="851"/>
    </row>
    <row r="442" spans="2:4" s="819" customFormat="1">
      <c r="B442" s="851"/>
      <c r="C442" s="851"/>
      <c r="D442" s="851"/>
    </row>
    <row r="443" spans="2:4" s="819" customFormat="1">
      <c r="B443" s="851"/>
      <c r="C443" s="851"/>
      <c r="D443" s="851"/>
    </row>
    <row r="444" spans="2:4" s="819" customFormat="1">
      <c r="B444" s="851"/>
      <c r="C444" s="851"/>
      <c r="D444" s="851"/>
    </row>
    <row r="445" spans="2:4" s="819" customFormat="1">
      <c r="B445" s="851"/>
      <c r="C445" s="851"/>
      <c r="D445" s="851"/>
    </row>
    <row r="446" spans="2:4" s="819" customFormat="1">
      <c r="B446" s="851"/>
      <c r="C446" s="851"/>
      <c r="D446" s="851"/>
    </row>
    <row r="447" spans="2:4" s="819" customFormat="1">
      <c r="B447" s="851"/>
      <c r="C447" s="851"/>
      <c r="D447" s="851"/>
    </row>
    <row r="448" spans="2:4" s="819" customFormat="1">
      <c r="B448" s="851"/>
      <c r="C448" s="851"/>
      <c r="D448" s="851"/>
    </row>
    <row r="449" spans="2:4" s="819" customFormat="1">
      <c r="B449" s="851"/>
      <c r="C449" s="851"/>
      <c r="D449" s="851"/>
    </row>
    <row r="450" spans="2:4" s="819" customFormat="1">
      <c r="B450" s="851"/>
      <c r="C450" s="851"/>
      <c r="D450" s="851"/>
    </row>
    <row r="451" spans="2:4" s="819" customFormat="1">
      <c r="B451" s="851"/>
      <c r="C451" s="851"/>
      <c r="D451" s="851"/>
    </row>
    <row r="452" spans="2:4" s="819" customFormat="1">
      <c r="B452" s="851"/>
      <c r="C452" s="851"/>
      <c r="D452" s="851"/>
    </row>
    <row r="453" spans="2:4" s="819" customFormat="1">
      <c r="B453" s="851"/>
      <c r="C453" s="851"/>
      <c r="D453" s="851"/>
    </row>
    <row r="454" spans="2:4" s="819" customFormat="1">
      <c r="B454" s="851"/>
      <c r="C454" s="851"/>
      <c r="D454" s="851"/>
    </row>
    <row r="455" spans="2:4" s="819" customFormat="1">
      <c r="B455" s="851"/>
      <c r="C455" s="851"/>
      <c r="D455" s="851"/>
    </row>
    <row r="456" spans="2:4" s="819" customFormat="1">
      <c r="B456" s="851"/>
      <c r="C456" s="851"/>
      <c r="D456" s="851"/>
    </row>
    <row r="457" spans="2:4" s="819" customFormat="1">
      <c r="B457" s="851"/>
      <c r="C457" s="851"/>
      <c r="D457" s="851"/>
    </row>
    <row r="458" spans="2:4" s="819" customFormat="1">
      <c r="B458" s="851"/>
      <c r="C458" s="851"/>
      <c r="D458" s="851"/>
    </row>
    <row r="459" spans="2:4" s="819" customFormat="1">
      <c r="B459" s="851"/>
      <c r="C459" s="851"/>
      <c r="D459" s="851"/>
    </row>
    <row r="460" spans="2:4" s="819" customFormat="1">
      <c r="B460" s="851"/>
      <c r="C460" s="851"/>
      <c r="D460" s="851"/>
    </row>
    <row r="461" spans="2:4" s="819" customFormat="1">
      <c r="B461" s="851"/>
      <c r="C461" s="851"/>
      <c r="D461" s="851"/>
    </row>
    <row r="462" spans="2:4" s="819" customFormat="1">
      <c r="B462" s="851"/>
      <c r="C462" s="851"/>
      <c r="D462" s="851"/>
    </row>
    <row r="463" spans="2:4" s="819" customFormat="1">
      <c r="B463" s="851"/>
      <c r="C463" s="851"/>
      <c r="D463" s="851"/>
    </row>
    <row r="464" spans="2:4" s="819" customFormat="1">
      <c r="B464" s="851"/>
      <c r="C464" s="851"/>
      <c r="D464" s="851"/>
    </row>
    <row r="465" spans="2:4" s="819" customFormat="1">
      <c r="B465" s="851"/>
      <c r="C465" s="851"/>
      <c r="D465" s="851"/>
    </row>
    <row r="466" spans="2:4" s="819" customFormat="1">
      <c r="B466" s="851"/>
      <c r="C466" s="851"/>
      <c r="D466" s="851"/>
    </row>
    <row r="467" spans="2:4" s="819" customFormat="1">
      <c r="B467" s="851"/>
      <c r="C467" s="851"/>
      <c r="D467" s="851"/>
    </row>
    <row r="468" spans="2:4" s="819" customFormat="1">
      <c r="B468" s="851"/>
      <c r="C468" s="851"/>
      <c r="D468" s="851"/>
    </row>
    <row r="469" spans="2:4" s="819" customFormat="1">
      <c r="B469" s="851"/>
      <c r="C469" s="851"/>
      <c r="D469" s="851"/>
    </row>
    <row r="470" spans="2:4" s="819" customFormat="1">
      <c r="B470" s="851"/>
      <c r="C470" s="851"/>
      <c r="D470" s="851"/>
    </row>
    <row r="471" spans="2:4" s="819" customFormat="1">
      <c r="B471" s="851"/>
      <c r="C471" s="851"/>
      <c r="D471" s="851"/>
    </row>
    <row r="472" spans="2:4" s="819" customFormat="1">
      <c r="B472" s="851"/>
      <c r="C472" s="851"/>
      <c r="D472" s="851"/>
    </row>
    <row r="473" spans="2:4" s="819" customFormat="1">
      <c r="B473" s="851"/>
      <c r="C473" s="851"/>
      <c r="D473" s="851"/>
    </row>
    <row r="474" spans="2:4" s="819" customFormat="1">
      <c r="B474" s="851"/>
      <c r="C474" s="851"/>
      <c r="D474" s="851"/>
    </row>
    <row r="475" spans="2:4" s="819" customFormat="1">
      <c r="B475" s="851"/>
      <c r="C475" s="851"/>
      <c r="D475" s="851"/>
    </row>
    <row r="476" spans="2:4" s="819" customFormat="1">
      <c r="B476" s="851"/>
      <c r="C476" s="851"/>
      <c r="D476" s="851"/>
    </row>
    <row r="477" spans="2:4" s="819" customFormat="1">
      <c r="B477" s="851"/>
      <c r="C477" s="851"/>
      <c r="D477" s="851"/>
    </row>
    <row r="478" spans="2:4" s="819" customFormat="1">
      <c r="B478" s="851"/>
      <c r="C478" s="851"/>
      <c r="D478" s="851"/>
    </row>
    <row r="479" spans="2:4" s="819" customFormat="1">
      <c r="B479" s="851"/>
      <c r="C479" s="851"/>
      <c r="D479" s="851"/>
    </row>
    <row r="480" spans="2:4" s="819" customFormat="1">
      <c r="B480" s="851"/>
      <c r="C480" s="851"/>
      <c r="D480" s="851"/>
    </row>
    <row r="481" spans="2:4" s="819" customFormat="1">
      <c r="B481" s="851"/>
      <c r="C481" s="851"/>
      <c r="D481" s="851"/>
    </row>
    <row r="482" spans="2:4" s="819" customFormat="1">
      <c r="B482" s="851"/>
      <c r="C482" s="851"/>
      <c r="D482" s="851"/>
    </row>
    <row r="483" spans="2:4" s="819" customFormat="1">
      <c r="B483" s="851"/>
      <c r="C483" s="851"/>
      <c r="D483" s="851"/>
    </row>
    <row r="484" spans="2:4" s="819" customFormat="1">
      <c r="B484" s="851"/>
      <c r="C484" s="851"/>
      <c r="D484" s="851"/>
    </row>
    <row r="485" spans="2:4" s="819" customFormat="1">
      <c r="B485" s="851"/>
      <c r="C485" s="851"/>
      <c r="D485" s="851"/>
    </row>
    <row r="486" spans="2:4" s="819" customFormat="1">
      <c r="B486" s="851"/>
      <c r="C486" s="851"/>
      <c r="D486" s="851"/>
    </row>
    <row r="487" spans="2:4" s="819" customFormat="1">
      <c r="B487" s="851"/>
      <c r="C487" s="851"/>
      <c r="D487" s="851"/>
    </row>
    <row r="488" spans="2:4" s="819" customFormat="1">
      <c r="B488" s="851"/>
      <c r="C488" s="851"/>
      <c r="D488" s="851"/>
    </row>
    <row r="489" spans="2:4" s="819" customFormat="1">
      <c r="B489" s="851"/>
      <c r="C489" s="851"/>
      <c r="D489" s="851"/>
    </row>
    <row r="490" spans="2:4" s="819" customFormat="1">
      <c r="B490" s="851"/>
      <c r="C490" s="851"/>
      <c r="D490" s="851"/>
    </row>
    <row r="491" spans="2:4" s="819" customFormat="1">
      <c r="B491" s="851"/>
      <c r="C491" s="851"/>
      <c r="D491" s="851"/>
    </row>
    <row r="492" spans="2:4" s="819" customFormat="1">
      <c r="B492" s="851"/>
      <c r="C492" s="851"/>
      <c r="D492" s="851"/>
    </row>
    <row r="493" spans="2:4" s="819" customFormat="1">
      <c r="B493" s="851"/>
      <c r="C493" s="851"/>
      <c r="D493" s="851"/>
    </row>
    <row r="494" spans="2:4" s="819" customFormat="1">
      <c r="B494" s="851"/>
      <c r="C494" s="851"/>
      <c r="D494" s="851"/>
    </row>
    <row r="495" spans="2:4" s="819" customFormat="1">
      <c r="B495" s="851"/>
      <c r="C495" s="851"/>
      <c r="D495" s="851"/>
    </row>
    <row r="496" spans="2:4" s="819" customFormat="1">
      <c r="B496" s="851"/>
      <c r="C496" s="851"/>
      <c r="D496" s="851"/>
    </row>
    <row r="497" spans="2:4" s="819" customFormat="1">
      <c r="B497" s="851"/>
      <c r="C497" s="851"/>
      <c r="D497" s="851"/>
    </row>
    <row r="498" spans="2:4" s="819" customFormat="1">
      <c r="B498" s="851"/>
      <c r="C498" s="851"/>
      <c r="D498" s="851"/>
    </row>
    <row r="499" spans="2:4" s="819" customFormat="1">
      <c r="B499" s="851"/>
      <c r="C499" s="851"/>
      <c r="D499" s="851"/>
    </row>
    <row r="500" spans="2:4" s="819" customFormat="1">
      <c r="B500" s="851"/>
      <c r="C500" s="851"/>
      <c r="D500" s="851"/>
    </row>
    <row r="501" spans="2:4" s="819" customFormat="1">
      <c r="B501" s="851"/>
      <c r="C501" s="851"/>
      <c r="D501" s="851"/>
    </row>
    <row r="502" spans="2:4" s="819" customFormat="1">
      <c r="B502" s="851"/>
      <c r="C502" s="851"/>
      <c r="D502" s="851"/>
    </row>
    <row r="503" spans="2:4" s="819" customFormat="1">
      <c r="B503" s="851"/>
      <c r="C503" s="851"/>
      <c r="D503" s="851"/>
    </row>
    <row r="504" spans="2:4" s="819" customFormat="1">
      <c r="B504" s="851"/>
      <c r="C504" s="851"/>
      <c r="D504" s="851"/>
    </row>
    <row r="505" spans="2:4" s="819" customFormat="1">
      <c r="B505" s="851"/>
      <c r="C505" s="851"/>
      <c r="D505" s="851"/>
    </row>
    <row r="506" spans="2:4" s="819" customFormat="1">
      <c r="B506" s="851"/>
      <c r="C506" s="851"/>
      <c r="D506" s="851"/>
    </row>
    <row r="507" spans="2:4" s="819" customFormat="1">
      <c r="B507" s="851"/>
      <c r="C507" s="851"/>
      <c r="D507" s="851"/>
    </row>
    <row r="508" spans="2:4" s="819" customFormat="1">
      <c r="B508" s="851"/>
      <c r="C508" s="851"/>
      <c r="D508" s="851"/>
    </row>
    <row r="509" spans="2:4" s="819" customFormat="1">
      <c r="B509" s="851"/>
      <c r="C509" s="851"/>
      <c r="D509" s="851"/>
    </row>
    <row r="510" spans="2:4" s="819" customFormat="1">
      <c r="B510" s="851"/>
      <c r="C510" s="851"/>
      <c r="D510" s="851"/>
    </row>
    <row r="511" spans="2:4" s="819" customFormat="1">
      <c r="B511" s="851"/>
      <c r="C511" s="851"/>
      <c r="D511" s="851"/>
    </row>
    <row r="512" spans="2:4" s="819" customFormat="1">
      <c r="B512" s="851"/>
      <c r="C512" s="851"/>
      <c r="D512" s="851"/>
    </row>
    <row r="513" spans="2:4" s="819" customFormat="1">
      <c r="B513" s="851"/>
      <c r="C513" s="851"/>
      <c r="D513" s="851"/>
    </row>
    <row r="514" spans="2:4" s="819" customFormat="1">
      <c r="B514" s="851"/>
      <c r="C514" s="851"/>
      <c r="D514" s="851"/>
    </row>
    <row r="515" spans="2:4" s="819" customFormat="1">
      <c r="B515" s="851"/>
      <c r="C515" s="851"/>
      <c r="D515" s="851"/>
    </row>
    <row r="516" spans="2:4" s="819" customFormat="1">
      <c r="B516" s="851"/>
      <c r="C516" s="851"/>
      <c r="D516" s="851"/>
    </row>
    <row r="517" spans="2:4" s="819" customFormat="1">
      <c r="B517" s="851"/>
      <c r="C517" s="851"/>
      <c r="D517" s="851"/>
    </row>
    <row r="518" spans="2:4" s="819" customFormat="1">
      <c r="B518" s="851"/>
      <c r="C518" s="851"/>
      <c r="D518" s="851"/>
    </row>
    <row r="519" spans="2:4" s="819" customFormat="1">
      <c r="B519" s="851"/>
      <c r="C519" s="851"/>
      <c r="D519" s="851"/>
    </row>
    <row r="520" spans="2:4" s="819" customFormat="1">
      <c r="B520" s="851"/>
      <c r="C520" s="851"/>
      <c r="D520" s="851"/>
    </row>
    <row r="521" spans="2:4" s="819" customFormat="1">
      <c r="B521" s="851"/>
      <c r="C521" s="851"/>
      <c r="D521" s="851"/>
    </row>
    <row r="522" spans="2:4" s="819" customFormat="1">
      <c r="B522" s="851"/>
      <c r="C522" s="851"/>
      <c r="D522" s="851"/>
    </row>
    <row r="523" spans="2:4" s="819" customFormat="1">
      <c r="B523" s="851"/>
      <c r="C523" s="851"/>
      <c r="D523" s="851"/>
    </row>
    <row r="524" spans="2:4" s="819" customFormat="1">
      <c r="B524" s="851"/>
      <c r="C524" s="851"/>
      <c r="D524" s="851"/>
    </row>
    <row r="525" spans="2:4" s="819" customFormat="1">
      <c r="B525" s="851"/>
      <c r="C525" s="851"/>
      <c r="D525" s="851"/>
    </row>
    <row r="526" spans="2:4" s="819" customFormat="1">
      <c r="B526" s="851"/>
      <c r="C526" s="851"/>
      <c r="D526" s="851"/>
    </row>
    <row r="527" spans="2:4" s="819" customFormat="1">
      <c r="B527" s="851"/>
      <c r="C527" s="851"/>
      <c r="D527" s="851"/>
    </row>
    <row r="528" spans="2:4" s="819" customFormat="1">
      <c r="B528" s="851"/>
      <c r="C528" s="851"/>
      <c r="D528" s="851"/>
    </row>
    <row r="529" spans="2:4" s="819" customFormat="1">
      <c r="B529" s="851"/>
      <c r="C529" s="851"/>
      <c r="D529" s="851"/>
    </row>
    <row r="530" spans="2:4" s="819" customFormat="1">
      <c r="B530" s="851"/>
      <c r="C530" s="851"/>
      <c r="D530" s="851"/>
    </row>
    <row r="531" spans="2:4" s="819" customFormat="1">
      <c r="B531" s="851"/>
      <c r="C531" s="851"/>
      <c r="D531" s="851"/>
    </row>
    <row r="532" spans="2:4" s="819" customFormat="1">
      <c r="B532" s="851"/>
      <c r="C532" s="851"/>
      <c r="D532" s="851"/>
    </row>
    <row r="533" spans="2:4" s="819" customFormat="1">
      <c r="B533" s="851"/>
      <c r="C533" s="851"/>
      <c r="D533" s="851"/>
    </row>
    <row r="534" spans="2:4" s="819" customFormat="1">
      <c r="B534" s="851"/>
      <c r="C534" s="851"/>
      <c r="D534" s="851"/>
    </row>
    <row r="535" spans="2:4" s="819" customFormat="1">
      <c r="B535" s="851"/>
      <c r="C535" s="851"/>
      <c r="D535" s="851"/>
    </row>
    <row r="536" spans="2:4" s="819" customFormat="1">
      <c r="B536" s="851"/>
      <c r="C536" s="851"/>
      <c r="D536" s="851"/>
    </row>
    <row r="537" spans="2:4" s="819" customFormat="1">
      <c r="B537" s="851"/>
      <c r="C537" s="851"/>
      <c r="D537" s="851"/>
    </row>
    <row r="538" spans="2:4" s="819" customFormat="1">
      <c r="B538" s="851"/>
      <c r="C538" s="851"/>
      <c r="D538" s="851"/>
    </row>
    <row r="539" spans="2:4" s="819" customFormat="1">
      <c r="B539" s="851"/>
      <c r="C539" s="851"/>
      <c r="D539" s="851"/>
    </row>
    <row r="540" spans="2:4" s="819" customFormat="1">
      <c r="B540" s="851"/>
      <c r="C540" s="851"/>
      <c r="D540" s="851"/>
    </row>
    <row r="541" spans="2:4" s="819" customFormat="1">
      <c r="B541" s="851"/>
      <c r="C541" s="851"/>
      <c r="D541" s="851"/>
    </row>
    <row r="542" spans="2:4" s="819" customFormat="1">
      <c r="B542" s="851"/>
      <c r="C542" s="851"/>
      <c r="D542" s="851"/>
    </row>
    <row r="543" spans="2:4" s="819" customFormat="1">
      <c r="B543" s="851"/>
      <c r="C543" s="851"/>
      <c r="D543" s="851"/>
    </row>
    <row r="544" spans="2:4" s="819" customFormat="1">
      <c r="B544" s="851"/>
      <c r="C544" s="851"/>
      <c r="D544" s="851"/>
    </row>
    <row r="545" spans="2:4" s="819" customFormat="1">
      <c r="B545" s="851"/>
      <c r="C545" s="851"/>
      <c r="D545" s="851"/>
    </row>
    <row r="546" spans="2:4" s="819" customFormat="1">
      <c r="B546" s="851"/>
      <c r="C546" s="851"/>
      <c r="D546" s="851"/>
    </row>
    <row r="547" spans="2:4" s="819" customFormat="1">
      <c r="B547" s="851"/>
      <c r="C547" s="851"/>
      <c r="D547" s="851"/>
    </row>
    <row r="548" spans="2:4" s="819" customFormat="1">
      <c r="B548" s="851"/>
      <c r="C548" s="851"/>
      <c r="D548" s="851"/>
    </row>
    <row r="549" spans="2:4" s="819" customFormat="1">
      <c r="B549" s="851"/>
      <c r="C549" s="851"/>
      <c r="D549" s="851"/>
    </row>
    <row r="550" spans="2:4" s="819" customFormat="1">
      <c r="B550" s="851"/>
      <c r="C550" s="851"/>
      <c r="D550" s="851"/>
    </row>
    <row r="551" spans="2:4" s="819" customFormat="1">
      <c r="B551" s="851"/>
      <c r="C551" s="851"/>
      <c r="D551" s="851"/>
    </row>
    <row r="552" spans="2:4" s="819" customFormat="1">
      <c r="B552" s="851"/>
      <c r="C552" s="851"/>
      <c r="D552" s="851"/>
    </row>
    <row r="553" spans="2:4" s="819" customFormat="1">
      <c r="B553" s="851"/>
      <c r="C553" s="851"/>
      <c r="D553" s="851"/>
    </row>
    <row r="554" spans="2:4" s="819" customFormat="1">
      <c r="B554" s="851"/>
      <c r="C554" s="851"/>
      <c r="D554" s="851"/>
    </row>
    <row r="555" spans="2:4" s="819" customFormat="1">
      <c r="B555" s="851"/>
      <c r="C555" s="851"/>
      <c r="D555" s="851"/>
    </row>
    <row r="556" spans="2:4" s="819" customFormat="1">
      <c r="B556" s="851"/>
      <c r="C556" s="851"/>
      <c r="D556" s="851"/>
    </row>
    <row r="557" spans="2:4" s="819" customFormat="1">
      <c r="B557" s="851"/>
      <c r="C557" s="851"/>
      <c r="D557" s="851"/>
    </row>
    <row r="558" spans="2:4" s="819" customFormat="1">
      <c r="B558" s="851"/>
      <c r="C558" s="851"/>
      <c r="D558" s="851"/>
    </row>
    <row r="559" spans="2:4" s="819" customFormat="1">
      <c r="B559" s="851"/>
      <c r="C559" s="851"/>
      <c r="D559" s="851"/>
    </row>
    <row r="560" spans="2:4" s="819" customFormat="1">
      <c r="B560" s="851"/>
      <c r="C560" s="851"/>
      <c r="D560" s="851"/>
    </row>
    <row r="561" spans="2:4" s="819" customFormat="1">
      <c r="B561" s="851"/>
      <c r="C561" s="851"/>
      <c r="D561" s="851"/>
    </row>
    <row r="562" spans="2:4" s="819" customFormat="1">
      <c r="B562" s="851"/>
      <c r="C562" s="851"/>
      <c r="D562" s="851"/>
    </row>
    <row r="563" spans="2:4" s="819" customFormat="1">
      <c r="B563" s="851"/>
      <c r="C563" s="851"/>
      <c r="D563" s="851"/>
    </row>
    <row r="564" spans="2:4" s="819" customFormat="1">
      <c r="B564" s="851"/>
      <c r="C564" s="851"/>
      <c r="D564" s="851"/>
    </row>
    <row r="565" spans="2:4" s="819" customFormat="1">
      <c r="B565" s="851"/>
      <c r="C565" s="851"/>
      <c r="D565" s="851"/>
    </row>
    <row r="566" spans="2:4" s="819" customFormat="1">
      <c r="B566" s="851"/>
      <c r="C566" s="851"/>
      <c r="D566" s="851"/>
    </row>
    <row r="567" spans="2:4" s="819" customFormat="1">
      <c r="B567" s="851"/>
      <c r="C567" s="851"/>
      <c r="D567" s="851"/>
    </row>
    <row r="568" spans="2:4" s="819" customFormat="1">
      <c r="B568" s="851"/>
      <c r="C568" s="851"/>
      <c r="D568" s="851"/>
    </row>
    <row r="569" spans="2:4" s="819" customFormat="1">
      <c r="B569" s="851"/>
      <c r="C569" s="851"/>
      <c r="D569" s="851"/>
    </row>
    <row r="570" spans="2:4" s="819" customFormat="1">
      <c r="B570" s="851"/>
      <c r="C570" s="851"/>
      <c r="D570" s="851"/>
    </row>
    <row r="571" spans="2:4" s="819" customFormat="1">
      <c r="B571" s="851"/>
      <c r="C571" s="851"/>
      <c r="D571" s="851"/>
    </row>
    <row r="572" spans="2:4" s="819" customFormat="1">
      <c r="B572" s="851"/>
      <c r="C572" s="851"/>
      <c r="D572" s="851"/>
    </row>
    <row r="573" spans="2:4" s="819" customFormat="1">
      <c r="B573" s="851"/>
      <c r="C573" s="851"/>
      <c r="D573" s="851"/>
    </row>
    <row r="574" spans="2:4" s="819" customFormat="1">
      <c r="B574" s="851"/>
      <c r="C574" s="851"/>
      <c r="D574" s="851"/>
    </row>
    <row r="575" spans="2:4" s="819" customFormat="1">
      <c r="B575" s="851"/>
      <c r="C575" s="851"/>
      <c r="D575" s="851"/>
    </row>
    <row r="576" spans="2:4" s="819" customFormat="1">
      <c r="B576" s="851"/>
      <c r="C576" s="851"/>
      <c r="D576" s="851"/>
    </row>
    <row r="577" spans="2:4" s="819" customFormat="1">
      <c r="B577" s="851"/>
      <c r="C577" s="851"/>
      <c r="D577" s="851"/>
    </row>
    <row r="578" spans="2:4" s="819" customFormat="1">
      <c r="B578" s="851"/>
      <c r="C578" s="851"/>
      <c r="D578" s="851"/>
    </row>
    <row r="579" spans="2:4" s="819" customFormat="1">
      <c r="B579" s="851"/>
      <c r="C579" s="851"/>
      <c r="D579" s="851"/>
    </row>
    <row r="580" spans="2:4" s="819" customFormat="1">
      <c r="B580" s="851"/>
      <c r="C580" s="851"/>
      <c r="D580" s="851"/>
    </row>
    <row r="581" spans="2:4" s="819" customFormat="1">
      <c r="B581" s="851"/>
      <c r="C581" s="851"/>
      <c r="D581" s="851"/>
    </row>
    <row r="582" spans="2:4" s="819" customFormat="1">
      <c r="B582" s="851"/>
      <c r="C582" s="851"/>
      <c r="D582" s="851"/>
    </row>
    <row r="583" spans="2:4" s="819" customFormat="1">
      <c r="B583" s="851"/>
      <c r="C583" s="851"/>
      <c r="D583" s="851"/>
    </row>
    <row r="584" spans="2:4" s="819" customFormat="1">
      <c r="B584" s="851"/>
      <c r="C584" s="851"/>
      <c r="D584" s="851"/>
    </row>
    <row r="585" spans="2:4" s="819" customFormat="1">
      <c r="B585" s="851"/>
      <c r="C585" s="851"/>
      <c r="D585" s="851"/>
    </row>
    <row r="586" spans="2:4" s="819" customFormat="1">
      <c r="B586" s="851"/>
      <c r="C586" s="851"/>
      <c r="D586" s="851"/>
    </row>
    <row r="587" spans="2:4" s="819" customFormat="1">
      <c r="B587" s="851"/>
      <c r="C587" s="851"/>
      <c r="D587" s="851"/>
    </row>
    <row r="588" spans="2:4" s="819" customFormat="1">
      <c r="B588" s="851"/>
      <c r="C588" s="851"/>
      <c r="D588" s="851"/>
    </row>
    <row r="589" spans="2:4" s="819" customFormat="1">
      <c r="B589" s="851"/>
      <c r="C589" s="851"/>
      <c r="D589" s="851"/>
    </row>
    <row r="590" spans="2:4" s="819" customFormat="1">
      <c r="B590" s="851"/>
      <c r="C590" s="851"/>
      <c r="D590" s="851"/>
    </row>
    <row r="591" spans="2:4" s="819" customFormat="1">
      <c r="B591" s="851"/>
      <c r="C591" s="851"/>
      <c r="D591" s="851"/>
    </row>
    <row r="592" spans="2:4" s="819" customFormat="1">
      <c r="B592" s="851"/>
      <c r="C592" s="851"/>
      <c r="D592" s="851"/>
    </row>
    <row r="593" spans="2:4" s="819" customFormat="1">
      <c r="B593" s="851"/>
      <c r="C593" s="851"/>
      <c r="D593" s="851"/>
    </row>
    <row r="594" spans="2:4" s="819" customFormat="1">
      <c r="B594" s="851"/>
      <c r="C594" s="851"/>
      <c r="D594" s="851"/>
    </row>
    <row r="595" spans="2:4" s="819" customFormat="1">
      <c r="B595" s="851"/>
      <c r="C595" s="851"/>
      <c r="D595" s="851"/>
    </row>
    <row r="596" spans="2:4" s="819" customFormat="1">
      <c r="B596" s="851"/>
      <c r="C596" s="851"/>
      <c r="D596" s="851"/>
    </row>
    <row r="597" spans="2:4" s="819" customFormat="1">
      <c r="B597" s="851"/>
      <c r="C597" s="851"/>
      <c r="D597" s="851"/>
    </row>
    <row r="598" spans="2:4" s="819" customFormat="1">
      <c r="B598" s="851"/>
      <c r="C598" s="851"/>
      <c r="D598" s="851"/>
    </row>
    <row r="599" spans="2:4" s="819" customFormat="1">
      <c r="B599" s="851"/>
      <c r="C599" s="851"/>
      <c r="D599" s="851"/>
    </row>
    <row r="600" spans="2:4" s="819" customFormat="1">
      <c r="B600" s="851"/>
      <c r="C600" s="851"/>
      <c r="D600" s="851"/>
    </row>
    <row r="601" spans="2:4" s="819" customFormat="1">
      <c r="B601" s="851"/>
      <c r="C601" s="851"/>
      <c r="D601" s="851"/>
    </row>
    <row r="602" spans="2:4" s="819" customFormat="1">
      <c r="B602" s="851"/>
      <c r="C602" s="851"/>
      <c r="D602" s="851"/>
    </row>
    <row r="603" spans="2:4" s="819" customFormat="1">
      <c r="B603" s="851"/>
      <c r="C603" s="851"/>
      <c r="D603" s="851"/>
    </row>
    <row r="604" spans="2:4" s="819" customFormat="1">
      <c r="B604" s="851"/>
      <c r="C604" s="851"/>
      <c r="D604" s="851"/>
    </row>
    <row r="605" spans="2:4" s="819" customFormat="1">
      <c r="B605" s="851"/>
      <c r="C605" s="851"/>
      <c r="D605" s="851"/>
    </row>
    <row r="606" spans="2:4" s="819" customFormat="1">
      <c r="B606" s="851"/>
      <c r="C606" s="851"/>
      <c r="D606" s="851"/>
    </row>
    <row r="607" spans="2:4" s="819" customFormat="1">
      <c r="B607" s="851"/>
      <c r="C607" s="851"/>
      <c r="D607" s="851"/>
    </row>
    <row r="608" spans="2:4" s="819" customFormat="1">
      <c r="B608" s="851"/>
      <c r="C608" s="851"/>
      <c r="D608" s="851"/>
    </row>
    <row r="609" spans="2:4" s="819" customFormat="1">
      <c r="B609" s="851"/>
      <c r="C609" s="851"/>
      <c r="D609" s="851"/>
    </row>
    <row r="610" spans="2:4" s="819" customFormat="1">
      <c r="B610" s="851"/>
      <c r="C610" s="851"/>
      <c r="D610" s="851"/>
    </row>
    <row r="611" spans="2:4" s="819" customFormat="1">
      <c r="B611" s="851"/>
      <c r="C611" s="851"/>
      <c r="D611" s="851"/>
    </row>
    <row r="612" spans="2:4" s="819" customFormat="1">
      <c r="B612" s="851"/>
      <c r="C612" s="851"/>
      <c r="D612" s="851"/>
    </row>
    <row r="613" spans="2:4" s="819" customFormat="1">
      <c r="B613" s="851"/>
      <c r="C613" s="851"/>
      <c r="D613" s="851"/>
    </row>
    <row r="614" spans="2:4" s="819" customFormat="1">
      <c r="B614" s="851"/>
      <c r="C614" s="851"/>
      <c r="D614" s="851"/>
    </row>
    <row r="615" spans="2:4" s="819" customFormat="1">
      <c r="B615" s="851"/>
      <c r="C615" s="851"/>
      <c r="D615" s="851"/>
    </row>
    <row r="616" spans="2:4" s="819" customFormat="1">
      <c r="B616" s="851"/>
      <c r="C616" s="851"/>
      <c r="D616" s="851"/>
    </row>
    <row r="617" spans="2:4" s="819" customFormat="1">
      <c r="B617" s="851"/>
      <c r="C617" s="851"/>
      <c r="D617" s="851"/>
    </row>
    <row r="618" spans="2:4" s="819" customFormat="1">
      <c r="B618" s="851"/>
      <c r="C618" s="851"/>
      <c r="D618" s="851"/>
    </row>
    <row r="619" spans="2:4" s="819" customFormat="1">
      <c r="B619" s="851"/>
      <c r="C619" s="851"/>
      <c r="D619" s="851"/>
    </row>
    <row r="620" spans="2:4" s="819" customFormat="1">
      <c r="B620" s="851"/>
      <c r="C620" s="851"/>
      <c r="D620" s="851"/>
    </row>
    <row r="621" spans="2:4" s="819" customFormat="1">
      <c r="B621" s="851"/>
      <c r="C621" s="851"/>
      <c r="D621" s="851"/>
    </row>
    <row r="622" spans="2:4" s="819" customFormat="1">
      <c r="B622" s="851"/>
      <c r="C622" s="851"/>
      <c r="D622" s="851"/>
    </row>
    <row r="623" spans="2:4" s="819" customFormat="1">
      <c r="B623" s="851"/>
      <c r="C623" s="851"/>
      <c r="D623" s="851"/>
    </row>
    <row r="624" spans="2:4" s="819" customFormat="1">
      <c r="B624" s="851"/>
      <c r="C624" s="851"/>
      <c r="D624" s="851"/>
    </row>
    <row r="625" spans="2:4" s="819" customFormat="1">
      <c r="B625" s="851"/>
      <c r="C625" s="851"/>
      <c r="D625" s="851"/>
    </row>
    <row r="626" spans="2:4" s="819" customFormat="1">
      <c r="B626" s="851"/>
      <c r="C626" s="851"/>
      <c r="D626" s="851"/>
    </row>
    <row r="627" spans="2:4" s="819" customFormat="1">
      <c r="B627" s="851"/>
      <c r="C627" s="851"/>
      <c r="D627" s="851"/>
    </row>
    <row r="628" spans="2:4" s="819" customFormat="1">
      <c r="B628" s="851"/>
      <c r="C628" s="851"/>
      <c r="D628" s="851"/>
    </row>
    <row r="629" spans="2:4" s="819" customFormat="1">
      <c r="B629" s="851"/>
      <c r="C629" s="851"/>
      <c r="D629" s="851"/>
    </row>
    <row r="630" spans="2:4" s="819" customFormat="1">
      <c r="B630" s="851"/>
      <c r="C630" s="851"/>
      <c r="D630" s="851"/>
    </row>
    <row r="631" spans="2:4" s="819" customFormat="1">
      <c r="B631" s="851"/>
      <c r="C631" s="851"/>
      <c r="D631" s="851"/>
    </row>
    <row r="632" spans="2:4" s="819" customFormat="1">
      <c r="B632" s="851"/>
      <c r="C632" s="851"/>
      <c r="D632" s="851"/>
    </row>
    <row r="633" spans="2:4" s="819" customFormat="1">
      <c r="B633" s="851"/>
      <c r="C633" s="851"/>
      <c r="D633" s="851"/>
    </row>
    <row r="634" spans="2:4" s="819" customFormat="1">
      <c r="B634" s="851"/>
      <c r="C634" s="851"/>
      <c r="D634" s="851"/>
    </row>
    <row r="635" spans="2:4" s="819" customFormat="1">
      <c r="B635" s="851"/>
      <c r="C635" s="851"/>
      <c r="D635" s="851"/>
    </row>
    <row r="636" spans="2:4" s="819" customFormat="1">
      <c r="B636" s="851"/>
      <c r="C636" s="851"/>
      <c r="D636" s="851"/>
    </row>
    <row r="637" spans="2:4" s="819" customFormat="1">
      <c r="B637" s="851"/>
      <c r="C637" s="851"/>
      <c r="D637" s="851"/>
    </row>
    <row r="638" spans="2:4" s="819" customFormat="1">
      <c r="B638" s="851"/>
      <c r="C638" s="851"/>
      <c r="D638" s="851"/>
    </row>
    <row r="639" spans="2:4" s="819" customFormat="1">
      <c r="B639" s="851"/>
      <c r="C639" s="851"/>
      <c r="D639" s="851"/>
    </row>
    <row r="640" spans="2:4" s="819" customFormat="1">
      <c r="B640" s="851"/>
      <c r="C640" s="851"/>
      <c r="D640" s="851"/>
    </row>
    <row r="641" spans="2:4" s="819" customFormat="1">
      <c r="B641" s="851"/>
      <c r="C641" s="851"/>
      <c r="D641" s="851"/>
    </row>
    <row r="642" spans="2:4" s="819" customFormat="1">
      <c r="B642" s="851"/>
      <c r="C642" s="851"/>
      <c r="D642" s="851"/>
    </row>
    <row r="643" spans="2:4" s="819" customFormat="1">
      <c r="B643" s="851"/>
      <c r="C643" s="851"/>
      <c r="D643" s="851"/>
    </row>
    <row r="644" spans="2:4" s="819" customFormat="1">
      <c r="B644" s="851"/>
      <c r="C644" s="851"/>
      <c r="D644" s="851"/>
    </row>
    <row r="645" spans="2:4" s="819" customFormat="1">
      <c r="B645" s="851"/>
      <c r="C645" s="851"/>
      <c r="D645" s="851"/>
    </row>
    <row r="646" spans="2:4" s="819" customFormat="1">
      <c r="B646" s="851"/>
      <c r="C646" s="851"/>
      <c r="D646" s="851"/>
    </row>
    <row r="647" spans="2:4" s="819" customFormat="1">
      <c r="B647" s="851"/>
      <c r="C647" s="851"/>
      <c r="D647" s="851"/>
    </row>
    <row r="648" spans="2:4" s="819" customFormat="1">
      <c r="B648" s="851"/>
      <c r="C648" s="851"/>
      <c r="D648" s="851"/>
    </row>
    <row r="649" spans="2:4" s="819" customFormat="1">
      <c r="B649" s="851"/>
      <c r="C649" s="851"/>
      <c r="D649" s="851"/>
    </row>
    <row r="650" spans="2:4" s="819" customFormat="1">
      <c r="B650" s="851"/>
      <c r="C650" s="851"/>
      <c r="D650" s="851"/>
    </row>
    <row r="651" spans="2:4" s="819" customFormat="1">
      <c r="B651" s="851"/>
      <c r="C651" s="851"/>
      <c r="D651" s="851"/>
    </row>
    <row r="652" spans="2:4" s="819" customFormat="1">
      <c r="B652" s="851"/>
      <c r="C652" s="851"/>
      <c r="D652" s="851"/>
    </row>
    <row r="653" spans="2:4" s="819" customFormat="1">
      <c r="B653" s="851"/>
      <c r="C653" s="851"/>
      <c r="D653" s="851"/>
    </row>
    <row r="654" spans="2:4" s="819" customFormat="1">
      <c r="B654" s="851"/>
      <c r="C654" s="851"/>
      <c r="D654" s="851"/>
    </row>
    <row r="655" spans="2:4" s="819" customFormat="1">
      <c r="B655" s="851"/>
      <c r="C655" s="851"/>
      <c r="D655" s="851"/>
    </row>
    <row r="656" spans="2:4" s="819" customFormat="1">
      <c r="B656" s="851"/>
      <c r="C656" s="851"/>
      <c r="D656" s="851"/>
    </row>
    <row r="657" spans="2:4" s="819" customFormat="1">
      <c r="B657" s="851"/>
      <c r="C657" s="851"/>
      <c r="D657" s="851"/>
    </row>
    <row r="658" spans="2:4" s="819" customFormat="1">
      <c r="B658" s="851"/>
      <c r="C658" s="851"/>
      <c r="D658" s="851"/>
    </row>
    <row r="659" spans="2:4" s="819" customFormat="1">
      <c r="B659" s="851"/>
      <c r="C659" s="851"/>
      <c r="D659" s="851"/>
    </row>
    <row r="660" spans="2:4" s="819" customFormat="1">
      <c r="B660" s="851"/>
      <c r="C660" s="851"/>
      <c r="D660" s="851"/>
    </row>
    <row r="661" spans="2:4" s="819" customFormat="1">
      <c r="B661" s="851"/>
      <c r="C661" s="851"/>
      <c r="D661" s="851"/>
    </row>
    <row r="662" spans="2:4" s="819" customFormat="1">
      <c r="B662" s="851"/>
      <c r="C662" s="851"/>
      <c r="D662" s="851"/>
    </row>
    <row r="663" spans="2:4" s="819" customFormat="1">
      <c r="B663" s="851"/>
      <c r="C663" s="851"/>
      <c r="D663" s="851"/>
    </row>
    <row r="664" spans="2:4" s="819" customFormat="1">
      <c r="B664" s="851"/>
      <c r="C664" s="851"/>
      <c r="D664" s="851"/>
    </row>
    <row r="665" spans="2:4" s="819" customFormat="1">
      <c r="B665" s="851"/>
      <c r="C665" s="851"/>
      <c r="D665" s="851"/>
    </row>
    <row r="666" spans="2:4" s="819" customFormat="1">
      <c r="B666" s="851"/>
      <c r="C666" s="851"/>
      <c r="D666" s="851"/>
    </row>
    <row r="667" spans="2:4" s="819" customFormat="1">
      <c r="B667" s="851"/>
      <c r="C667" s="851"/>
      <c r="D667" s="851"/>
    </row>
    <row r="668" spans="2:4" s="819" customFormat="1">
      <c r="B668" s="851"/>
      <c r="C668" s="851"/>
      <c r="D668" s="851"/>
    </row>
    <row r="669" spans="2:4" s="819" customFormat="1">
      <c r="B669" s="851"/>
      <c r="C669" s="851"/>
      <c r="D669" s="851"/>
    </row>
    <row r="670" spans="2:4" s="819" customFormat="1">
      <c r="B670" s="851"/>
      <c r="C670" s="851"/>
      <c r="D670" s="851"/>
    </row>
    <row r="671" spans="2:4" s="819" customFormat="1">
      <c r="B671" s="851"/>
      <c r="C671" s="851"/>
      <c r="D671" s="851"/>
    </row>
    <row r="672" spans="2:4" s="819" customFormat="1">
      <c r="B672" s="851"/>
      <c r="C672" s="851"/>
      <c r="D672" s="851"/>
    </row>
    <row r="673" spans="2:4" s="819" customFormat="1">
      <c r="B673" s="851"/>
      <c r="C673" s="851"/>
      <c r="D673" s="851"/>
    </row>
    <row r="674" spans="2:4" s="819" customFormat="1">
      <c r="B674" s="851"/>
      <c r="C674" s="851"/>
      <c r="D674" s="851"/>
    </row>
    <row r="675" spans="2:4" s="819" customFormat="1">
      <c r="B675" s="851"/>
      <c r="C675" s="851"/>
      <c r="D675" s="851"/>
    </row>
    <row r="676" spans="2:4" s="819" customFormat="1">
      <c r="B676" s="851"/>
      <c r="C676" s="851"/>
      <c r="D676" s="851"/>
    </row>
    <row r="677" spans="2:4" s="819" customFormat="1">
      <c r="B677" s="851"/>
      <c r="C677" s="851"/>
      <c r="D677" s="851"/>
    </row>
    <row r="678" spans="2:4" s="819" customFormat="1">
      <c r="B678" s="851"/>
      <c r="C678" s="851"/>
      <c r="D678" s="851"/>
    </row>
    <row r="679" spans="2:4" s="819" customFormat="1">
      <c r="B679" s="851"/>
      <c r="C679" s="851"/>
      <c r="D679" s="851"/>
    </row>
    <row r="680" spans="2:4" s="819" customFormat="1">
      <c r="B680" s="851"/>
      <c r="C680" s="851"/>
      <c r="D680" s="851"/>
    </row>
    <row r="681" spans="2:4" s="819" customFormat="1">
      <c r="B681" s="851"/>
      <c r="C681" s="851"/>
      <c r="D681" s="851"/>
    </row>
    <row r="682" spans="2:4" s="819" customFormat="1">
      <c r="B682" s="851"/>
      <c r="C682" s="851"/>
      <c r="D682" s="851"/>
    </row>
    <row r="683" spans="2:4" s="819" customFormat="1">
      <c r="B683" s="851"/>
      <c r="C683" s="851"/>
      <c r="D683" s="851"/>
    </row>
    <row r="684" spans="2:4" s="819" customFormat="1">
      <c r="B684" s="851"/>
      <c r="C684" s="851"/>
      <c r="D684" s="851"/>
    </row>
    <row r="685" spans="2:4" s="819" customFormat="1">
      <c r="B685" s="851"/>
      <c r="C685" s="851"/>
      <c r="D685" s="851"/>
    </row>
    <row r="686" spans="2:4" s="819" customFormat="1">
      <c r="B686" s="851"/>
      <c r="C686" s="851"/>
      <c r="D686" s="851"/>
    </row>
    <row r="687" spans="2:4" s="819" customFormat="1">
      <c r="B687" s="851"/>
      <c r="C687" s="851"/>
      <c r="D687" s="851"/>
    </row>
    <row r="688" spans="2:4" s="819" customFormat="1">
      <c r="B688" s="851"/>
      <c r="C688" s="851"/>
      <c r="D688" s="851"/>
    </row>
    <row r="689" spans="2:4" s="819" customFormat="1">
      <c r="B689" s="851"/>
      <c r="C689" s="851"/>
      <c r="D689" s="851"/>
    </row>
    <row r="690" spans="2:4" s="819" customFormat="1">
      <c r="B690" s="851"/>
      <c r="C690" s="851"/>
      <c r="D690" s="851"/>
    </row>
    <row r="691" spans="2:4" s="819" customFormat="1">
      <c r="B691" s="851"/>
      <c r="C691" s="851"/>
      <c r="D691" s="851"/>
    </row>
    <row r="692" spans="2:4" s="819" customFormat="1">
      <c r="B692" s="851"/>
      <c r="C692" s="851"/>
      <c r="D692" s="851"/>
    </row>
    <row r="693" spans="2:4" s="819" customFormat="1">
      <c r="B693" s="851"/>
      <c r="C693" s="851"/>
      <c r="D693" s="851"/>
    </row>
    <row r="694" spans="2:4" s="819" customFormat="1">
      <c r="B694" s="851"/>
      <c r="C694" s="851"/>
      <c r="D694" s="851"/>
    </row>
    <row r="695" spans="2:4" s="819" customFormat="1">
      <c r="B695" s="851"/>
      <c r="C695" s="851"/>
      <c r="D695" s="851"/>
    </row>
    <row r="696" spans="2:4" s="819" customFormat="1">
      <c r="B696" s="851"/>
      <c r="C696" s="851"/>
      <c r="D696" s="851"/>
    </row>
    <row r="697" spans="2:4" s="819" customFormat="1">
      <c r="B697" s="851"/>
      <c r="C697" s="851"/>
      <c r="D697" s="851"/>
    </row>
    <row r="698" spans="2:4" s="819" customFormat="1">
      <c r="B698" s="851"/>
      <c r="C698" s="851"/>
      <c r="D698" s="851"/>
    </row>
    <row r="699" spans="2:4" s="819" customFormat="1">
      <c r="B699" s="851"/>
      <c r="C699" s="851"/>
      <c r="D699" s="851"/>
    </row>
    <row r="700" spans="2:4" s="819" customFormat="1">
      <c r="B700" s="851"/>
      <c r="C700" s="851"/>
      <c r="D700" s="851"/>
    </row>
    <row r="701" spans="2:4" s="819" customFormat="1">
      <c r="B701" s="851"/>
      <c r="C701" s="851"/>
      <c r="D701" s="851"/>
    </row>
    <row r="702" spans="2:4" s="819" customFormat="1">
      <c r="B702" s="851"/>
      <c r="C702" s="851"/>
      <c r="D702" s="851"/>
    </row>
    <row r="703" spans="2:4" s="819" customFormat="1">
      <c r="B703" s="851"/>
      <c r="C703" s="851"/>
      <c r="D703" s="851"/>
    </row>
    <row r="704" spans="2:4" s="819" customFormat="1">
      <c r="B704" s="851"/>
      <c r="C704" s="851"/>
      <c r="D704" s="851"/>
    </row>
    <row r="705" spans="2:4" s="819" customFormat="1">
      <c r="B705" s="851"/>
      <c r="C705" s="851"/>
      <c r="D705" s="851"/>
    </row>
    <row r="706" spans="2:4" s="819" customFormat="1">
      <c r="B706" s="851"/>
      <c r="C706" s="851"/>
      <c r="D706" s="851"/>
    </row>
    <row r="707" spans="2:4" s="819" customFormat="1">
      <c r="B707" s="851"/>
      <c r="C707" s="851"/>
      <c r="D707" s="851"/>
    </row>
    <row r="708" spans="2:4" s="819" customFormat="1">
      <c r="B708" s="851"/>
      <c r="C708" s="851"/>
      <c r="D708" s="851"/>
    </row>
    <row r="709" spans="2:4" s="819" customFormat="1">
      <c r="B709" s="851"/>
      <c r="C709" s="851"/>
      <c r="D709" s="851"/>
    </row>
    <row r="710" spans="2:4" s="819" customFormat="1">
      <c r="B710" s="851"/>
      <c r="C710" s="851"/>
      <c r="D710" s="851"/>
    </row>
    <row r="711" spans="2:4" s="819" customFormat="1">
      <c r="B711" s="851"/>
      <c r="C711" s="851"/>
      <c r="D711" s="851"/>
    </row>
    <row r="712" spans="2:4" s="819" customFormat="1">
      <c r="B712" s="851"/>
      <c r="C712" s="851"/>
      <c r="D712" s="851"/>
    </row>
    <row r="713" spans="2:4" s="819" customFormat="1">
      <c r="B713" s="851"/>
      <c r="C713" s="851"/>
      <c r="D713" s="851"/>
    </row>
    <row r="714" spans="2:4" s="819" customFormat="1">
      <c r="B714" s="851"/>
      <c r="C714" s="851"/>
      <c r="D714" s="851"/>
    </row>
    <row r="715" spans="2:4" s="819" customFormat="1">
      <c r="B715" s="851"/>
      <c r="C715" s="851"/>
      <c r="D715" s="851"/>
    </row>
    <row r="716" spans="2:4" s="819" customFormat="1">
      <c r="B716" s="851"/>
      <c r="C716" s="851"/>
      <c r="D716" s="851"/>
    </row>
    <row r="717" spans="2:4" s="819" customFormat="1">
      <c r="B717" s="851"/>
      <c r="C717" s="851"/>
      <c r="D717" s="851"/>
    </row>
    <row r="718" spans="2:4" s="819" customFormat="1">
      <c r="B718" s="851"/>
      <c r="C718" s="851"/>
      <c r="D718" s="851"/>
    </row>
    <row r="719" spans="2:4" s="819" customFormat="1">
      <c r="B719" s="851"/>
      <c r="C719" s="851"/>
      <c r="D719" s="851"/>
    </row>
    <row r="720" spans="2:4" s="819" customFormat="1">
      <c r="B720" s="851"/>
      <c r="C720" s="851"/>
      <c r="D720" s="851"/>
    </row>
    <row r="721" spans="2:4" s="819" customFormat="1">
      <c r="B721" s="851"/>
      <c r="C721" s="851"/>
      <c r="D721" s="851"/>
    </row>
    <row r="722" spans="2:4" s="819" customFormat="1">
      <c r="B722" s="851"/>
      <c r="C722" s="851"/>
      <c r="D722" s="851"/>
    </row>
    <row r="723" spans="2:4" s="819" customFormat="1">
      <c r="B723" s="851"/>
      <c r="C723" s="851"/>
      <c r="D723" s="851"/>
    </row>
    <row r="724" spans="2:4" s="819" customFormat="1">
      <c r="B724" s="851"/>
      <c r="C724" s="851"/>
      <c r="D724" s="851"/>
    </row>
    <row r="725" spans="2:4" s="819" customFormat="1">
      <c r="B725" s="851"/>
      <c r="C725" s="851"/>
      <c r="D725" s="851"/>
    </row>
    <row r="726" spans="2:4" s="819" customFormat="1">
      <c r="B726" s="851"/>
      <c r="C726" s="851"/>
      <c r="D726" s="851"/>
    </row>
    <row r="727" spans="2:4" s="819" customFormat="1">
      <c r="B727" s="851"/>
      <c r="C727" s="851"/>
      <c r="D727" s="851"/>
    </row>
    <row r="728" spans="2:4" s="819" customFormat="1">
      <c r="B728" s="851"/>
      <c r="C728" s="851"/>
      <c r="D728" s="851"/>
    </row>
    <row r="729" spans="2:4" s="819" customFormat="1">
      <c r="B729" s="851"/>
      <c r="C729" s="851"/>
      <c r="D729" s="851"/>
    </row>
    <row r="730" spans="2:4" s="819" customFormat="1">
      <c r="B730" s="851"/>
      <c r="C730" s="851"/>
      <c r="D730" s="851"/>
    </row>
    <row r="731" spans="2:4" s="819" customFormat="1">
      <c r="B731" s="851"/>
      <c r="C731" s="851"/>
      <c r="D731" s="851"/>
    </row>
    <row r="732" spans="2:4" s="819" customFormat="1">
      <c r="B732" s="851"/>
      <c r="C732" s="851"/>
      <c r="D732" s="851"/>
    </row>
    <row r="733" spans="2:4" s="819" customFormat="1">
      <c r="B733" s="851"/>
      <c r="C733" s="851"/>
      <c r="D733" s="851"/>
    </row>
    <row r="734" spans="2:4" s="819" customFormat="1">
      <c r="B734" s="851"/>
      <c r="C734" s="851"/>
      <c r="D734" s="851"/>
    </row>
    <row r="735" spans="2:4" s="819" customFormat="1">
      <c r="B735" s="851"/>
      <c r="C735" s="851"/>
      <c r="D735" s="851"/>
    </row>
    <row r="736" spans="2:4" s="819" customFormat="1">
      <c r="B736" s="851"/>
      <c r="C736" s="851"/>
      <c r="D736" s="851"/>
    </row>
    <row r="737" spans="2:4" s="819" customFormat="1">
      <c r="B737" s="851"/>
      <c r="C737" s="851"/>
      <c r="D737" s="851"/>
    </row>
    <row r="738" spans="2:4" s="819" customFormat="1">
      <c r="B738" s="851"/>
      <c r="C738" s="851"/>
      <c r="D738" s="851"/>
    </row>
    <row r="739" spans="2:4" s="819" customFormat="1">
      <c r="B739" s="851"/>
      <c r="C739" s="851"/>
      <c r="D739" s="851"/>
    </row>
    <row r="740" spans="2:4" s="819" customFormat="1">
      <c r="B740" s="851"/>
      <c r="C740" s="851"/>
      <c r="D740" s="851"/>
    </row>
    <row r="741" spans="2:4" s="819" customFormat="1">
      <c r="B741" s="851"/>
      <c r="C741" s="851"/>
      <c r="D741" s="851"/>
    </row>
    <row r="742" spans="2:4" s="819" customFormat="1">
      <c r="B742" s="851"/>
      <c r="C742" s="851"/>
      <c r="D742" s="851"/>
    </row>
    <row r="743" spans="2:4" s="819" customFormat="1">
      <c r="B743" s="851"/>
      <c r="C743" s="851"/>
      <c r="D743" s="851"/>
    </row>
    <row r="744" spans="2:4" s="819" customFormat="1">
      <c r="B744" s="851"/>
      <c r="C744" s="851"/>
      <c r="D744" s="851"/>
    </row>
    <row r="745" spans="2:4" s="819" customFormat="1">
      <c r="B745" s="851"/>
      <c r="C745" s="851"/>
      <c r="D745" s="851"/>
    </row>
    <row r="746" spans="2:4" s="819" customFormat="1">
      <c r="B746" s="851"/>
      <c r="C746" s="851"/>
      <c r="D746" s="851"/>
    </row>
    <row r="747" spans="2:4" s="819" customFormat="1">
      <c r="B747" s="851"/>
      <c r="C747" s="851"/>
      <c r="D747" s="851"/>
    </row>
    <row r="748" spans="2:4" s="819" customFormat="1">
      <c r="B748" s="851"/>
      <c r="C748" s="851"/>
      <c r="D748" s="851"/>
    </row>
    <row r="749" spans="2:4" s="819" customFormat="1">
      <c r="B749" s="851"/>
      <c r="C749" s="851"/>
      <c r="D749" s="851"/>
    </row>
    <row r="750" spans="2:4" s="819" customFormat="1">
      <c r="B750" s="851"/>
      <c r="C750" s="851"/>
      <c r="D750" s="851"/>
    </row>
    <row r="751" spans="2:4" s="819" customFormat="1">
      <c r="B751" s="851"/>
      <c r="C751" s="851"/>
      <c r="D751" s="851"/>
    </row>
    <row r="752" spans="2:4" s="819" customFormat="1">
      <c r="B752" s="851"/>
      <c r="C752" s="851"/>
      <c r="D752" s="851"/>
    </row>
    <row r="753" spans="2:4" s="819" customFormat="1">
      <c r="B753" s="851"/>
      <c r="C753" s="851"/>
      <c r="D753" s="851"/>
    </row>
    <row r="754" spans="2:4" s="819" customFormat="1">
      <c r="B754" s="851"/>
      <c r="C754" s="851"/>
      <c r="D754" s="851"/>
    </row>
    <row r="755" spans="2:4" s="819" customFormat="1">
      <c r="B755" s="851"/>
      <c r="C755" s="851"/>
      <c r="D755" s="851"/>
    </row>
    <row r="756" spans="2:4" s="819" customFormat="1">
      <c r="B756" s="851"/>
      <c r="C756" s="851"/>
      <c r="D756" s="851"/>
    </row>
    <row r="757" spans="2:4" s="819" customFormat="1">
      <c r="B757" s="851"/>
      <c r="C757" s="851"/>
      <c r="D757" s="851"/>
    </row>
    <row r="758" spans="2:4" s="819" customFormat="1">
      <c r="B758" s="851"/>
      <c r="C758" s="851"/>
      <c r="D758" s="851"/>
    </row>
    <row r="759" spans="2:4" s="819" customFormat="1">
      <c r="B759" s="851"/>
      <c r="C759" s="851"/>
      <c r="D759" s="851"/>
    </row>
    <row r="760" spans="2:4" s="819" customFormat="1">
      <c r="B760" s="851"/>
      <c r="C760" s="851"/>
      <c r="D760" s="851"/>
    </row>
    <row r="761" spans="2:4" s="819" customFormat="1">
      <c r="B761" s="851"/>
      <c r="C761" s="851"/>
      <c r="D761" s="851"/>
    </row>
    <row r="762" spans="2:4" s="819" customFormat="1">
      <c r="B762" s="851"/>
      <c r="C762" s="851"/>
      <c r="D762" s="851"/>
    </row>
    <row r="763" spans="2:4" s="819" customFormat="1">
      <c r="B763" s="851"/>
      <c r="C763" s="851"/>
      <c r="D763" s="851"/>
    </row>
    <row r="764" spans="2:4" s="819" customFormat="1">
      <c r="B764" s="851"/>
      <c r="C764" s="851"/>
      <c r="D764" s="851"/>
    </row>
    <row r="765" spans="2:4" s="819" customFormat="1">
      <c r="B765" s="851"/>
      <c r="C765" s="851"/>
      <c r="D765" s="851"/>
    </row>
    <row r="766" spans="2:4" s="819" customFormat="1">
      <c r="B766" s="851"/>
      <c r="C766" s="851"/>
      <c r="D766" s="851"/>
    </row>
    <row r="767" spans="2:4" s="819" customFormat="1">
      <c r="B767" s="851"/>
      <c r="C767" s="851"/>
      <c r="D767" s="851"/>
    </row>
    <row r="768" spans="2:4" s="819" customFormat="1">
      <c r="B768" s="851"/>
      <c r="C768" s="851"/>
      <c r="D768" s="851"/>
    </row>
    <row r="769" spans="2:4" s="819" customFormat="1">
      <c r="B769" s="851"/>
      <c r="C769" s="851"/>
      <c r="D769" s="851"/>
    </row>
    <row r="770" spans="2:4" s="819" customFormat="1">
      <c r="B770" s="851"/>
      <c r="C770" s="851"/>
      <c r="D770" s="851"/>
    </row>
    <row r="771" spans="2:4" s="819" customFormat="1">
      <c r="B771" s="851"/>
      <c r="C771" s="851"/>
      <c r="D771" s="851"/>
    </row>
    <row r="772" spans="2:4" s="819" customFormat="1">
      <c r="B772" s="851"/>
      <c r="C772" s="851"/>
      <c r="D772" s="851"/>
    </row>
    <row r="773" spans="2:4" s="819" customFormat="1">
      <c r="B773" s="851"/>
      <c r="C773" s="851"/>
      <c r="D773" s="851"/>
    </row>
    <row r="774" spans="2:4" s="819" customFormat="1">
      <c r="B774" s="851"/>
      <c r="C774" s="851"/>
      <c r="D774" s="851"/>
    </row>
    <row r="775" spans="2:4" s="819" customFormat="1">
      <c r="B775" s="851"/>
      <c r="C775" s="851"/>
      <c r="D775" s="851"/>
    </row>
    <row r="776" spans="2:4" s="819" customFormat="1">
      <c r="B776" s="851"/>
      <c r="C776" s="851"/>
      <c r="D776" s="851"/>
    </row>
    <row r="777" spans="2:4" s="819" customFormat="1">
      <c r="B777" s="851"/>
      <c r="C777" s="851"/>
      <c r="D777" s="851"/>
    </row>
    <row r="778" spans="2:4" s="819" customFormat="1">
      <c r="B778" s="851"/>
      <c r="C778" s="851"/>
      <c r="D778" s="851"/>
    </row>
    <row r="779" spans="2:4" s="819" customFormat="1">
      <c r="B779" s="851"/>
      <c r="C779" s="851"/>
      <c r="D779" s="851"/>
    </row>
    <row r="780" spans="2:4" s="819" customFormat="1">
      <c r="B780" s="851"/>
      <c r="C780" s="851"/>
      <c r="D780" s="851"/>
    </row>
    <row r="781" spans="2:4" s="819" customFormat="1">
      <c r="B781" s="851"/>
      <c r="C781" s="851"/>
      <c r="D781" s="851"/>
    </row>
    <row r="782" spans="2:4" s="819" customFormat="1">
      <c r="B782" s="851"/>
      <c r="C782" s="851"/>
      <c r="D782" s="851"/>
    </row>
    <row r="783" spans="2:4" s="819" customFormat="1">
      <c r="B783" s="851"/>
      <c r="C783" s="851"/>
      <c r="D783" s="851"/>
    </row>
    <row r="784" spans="2:4" s="819" customFormat="1">
      <c r="B784" s="851"/>
      <c r="C784" s="851"/>
      <c r="D784" s="851"/>
    </row>
    <row r="785" spans="2:4" s="819" customFormat="1">
      <c r="B785" s="851"/>
      <c r="C785" s="851"/>
      <c r="D785" s="851"/>
    </row>
    <row r="786" spans="2:4" s="819" customFormat="1">
      <c r="B786" s="851"/>
      <c r="C786" s="851"/>
      <c r="D786" s="851"/>
    </row>
    <row r="787" spans="2:4" s="819" customFormat="1">
      <c r="B787" s="851"/>
      <c r="C787" s="851"/>
      <c r="D787" s="851"/>
    </row>
    <row r="788" spans="2:4" s="819" customFormat="1">
      <c r="B788" s="851"/>
      <c r="C788" s="851"/>
      <c r="D788" s="851"/>
    </row>
    <row r="789" spans="2:4" s="819" customFormat="1">
      <c r="B789" s="851"/>
      <c r="C789" s="851"/>
      <c r="D789" s="851"/>
    </row>
    <row r="790" spans="2:4" s="819" customFormat="1">
      <c r="B790" s="851"/>
      <c r="C790" s="851"/>
      <c r="D790" s="851"/>
    </row>
    <row r="791" spans="2:4" s="819" customFormat="1">
      <c r="B791" s="851"/>
      <c r="C791" s="851"/>
      <c r="D791" s="851"/>
    </row>
    <row r="792" spans="2:4" s="819" customFormat="1">
      <c r="B792" s="851"/>
      <c r="C792" s="851"/>
      <c r="D792" s="851"/>
    </row>
    <row r="793" spans="2:4" s="819" customFormat="1">
      <c r="B793" s="851"/>
      <c r="C793" s="851"/>
      <c r="D793" s="851"/>
    </row>
    <row r="794" spans="2:4" s="819" customFormat="1">
      <c r="B794" s="851"/>
      <c r="C794" s="851"/>
      <c r="D794" s="851"/>
    </row>
    <row r="795" spans="2:4" s="819" customFormat="1">
      <c r="B795" s="851"/>
      <c r="C795" s="851"/>
      <c r="D795" s="851"/>
    </row>
    <row r="796" spans="2:4" s="819" customFormat="1">
      <c r="B796" s="851"/>
      <c r="C796" s="851"/>
      <c r="D796" s="851"/>
    </row>
    <row r="797" spans="2:4" s="819" customFormat="1">
      <c r="B797" s="851"/>
      <c r="C797" s="851"/>
      <c r="D797" s="851"/>
    </row>
    <row r="798" spans="2:4" s="819" customFormat="1">
      <c r="B798" s="851"/>
      <c r="C798" s="851"/>
      <c r="D798" s="851"/>
    </row>
    <row r="799" spans="2:4" s="819" customFormat="1">
      <c r="B799" s="851"/>
      <c r="C799" s="851"/>
      <c r="D799" s="851"/>
    </row>
    <row r="800" spans="2:4" s="819" customFormat="1">
      <c r="B800" s="851"/>
      <c r="C800" s="851"/>
      <c r="D800" s="851"/>
    </row>
    <row r="801" spans="2:4" s="819" customFormat="1">
      <c r="B801" s="851"/>
      <c r="C801" s="851"/>
      <c r="D801" s="851"/>
    </row>
    <row r="802" spans="2:4" s="819" customFormat="1">
      <c r="B802" s="851"/>
      <c r="C802" s="851"/>
      <c r="D802" s="851"/>
    </row>
    <row r="803" spans="2:4" s="819" customFormat="1">
      <c r="B803" s="851"/>
      <c r="C803" s="851"/>
      <c r="D803" s="851"/>
    </row>
    <row r="804" spans="2:4" s="819" customFormat="1">
      <c r="B804" s="851"/>
      <c r="C804" s="851"/>
      <c r="D804" s="851"/>
    </row>
    <row r="805" spans="2:4" s="819" customFormat="1">
      <c r="B805" s="851"/>
      <c r="C805" s="851"/>
      <c r="D805" s="851"/>
    </row>
    <row r="806" spans="2:4" s="819" customFormat="1">
      <c r="B806" s="851"/>
      <c r="C806" s="851"/>
      <c r="D806" s="851"/>
    </row>
    <row r="807" spans="2:4" s="819" customFormat="1">
      <c r="B807" s="851"/>
      <c r="C807" s="851"/>
      <c r="D807" s="851"/>
    </row>
    <row r="808" spans="2:4" s="819" customFormat="1">
      <c r="B808" s="851"/>
      <c r="C808" s="851"/>
      <c r="D808" s="851"/>
    </row>
    <row r="809" spans="2:4" s="819" customFormat="1">
      <c r="B809" s="851"/>
      <c r="C809" s="851"/>
      <c r="D809" s="851"/>
    </row>
    <row r="810" spans="2:4" s="819" customFormat="1">
      <c r="B810" s="851"/>
      <c r="C810" s="851"/>
      <c r="D810" s="851"/>
    </row>
    <row r="811" spans="2:4" s="819" customFormat="1">
      <c r="B811" s="851"/>
      <c r="C811" s="851"/>
      <c r="D811" s="851"/>
    </row>
    <row r="812" spans="2:4" s="819" customFormat="1">
      <c r="B812" s="851"/>
      <c r="C812" s="851"/>
      <c r="D812" s="851"/>
    </row>
    <row r="813" spans="2:4" s="819" customFormat="1">
      <c r="B813" s="851"/>
      <c r="C813" s="851"/>
      <c r="D813" s="851"/>
    </row>
    <row r="814" spans="2:4" s="819" customFormat="1">
      <c r="B814" s="851"/>
      <c r="C814" s="851"/>
      <c r="D814" s="851"/>
    </row>
    <row r="815" spans="2:4" s="819" customFormat="1">
      <c r="B815" s="851"/>
      <c r="C815" s="851"/>
      <c r="D815" s="851"/>
    </row>
    <row r="816" spans="2:4" s="819" customFormat="1">
      <c r="B816" s="851"/>
      <c r="C816" s="851"/>
      <c r="D816" s="851"/>
    </row>
    <row r="817" spans="2:4" s="819" customFormat="1">
      <c r="B817" s="851"/>
      <c r="C817" s="851"/>
      <c r="D817" s="851"/>
    </row>
    <row r="818" spans="2:4" s="819" customFormat="1">
      <c r="B818" s="851"/>
      <c r="C818" s="851"/>
      <c r="D818" s="851"/>
    </row>
    <row r="819" spans="2:4" s="819" customFormat="1">
      <c r="B819" s="851"/>
      <c r="C819" s="851"/>
      <c r="D819" s="851"/>
    </row>
    <row r="820" spans="2:4" s="819" customFormat="1">
      <c r="B820" s="851"/>
      <c r="C820" s="851"/>
      <c r="D820" s="851"/>
    </row>
    <row r="821" spans="2:4" s="819" customFormat="1">
      <c r="B821" s="851"/>
      <c r="C821" s="851"/>
      <c r="D821" s="851"/>
    </row>
    <row r="822" spans="2:4" s="819" customFormat="1">
      <c r="B822" s="851"/>
      <c r="C822" s="851"/>
      <c r="D822" s="851"/>
    </row>
    <row r="823" spans="2:4" s="819" customFormat="1">
      <c r="B823" s="851"/>
      <c r="C823" s="851"/>
      <c r="D823" s="851"/>
    </row>
    <row r="824" spans="2:4" s="819" customFormat="1">
      <c r="B824" s="851"/>
      <c r="C824" s="851"/>
      <c r="D824" s="851"/>
    </row>
    <row r="825" spans="2:4" s="819" customFormat="1">
      <c r="B825" s="851"/>
      <c r="C825" s="851"/>
      <c r="D825" s="851"/>
    </row>
    <row r="826" spans="2:4" s="819" customFormat="1">
      <c r="B826" s="851"/>
      <c r="C826" s="851"/>
      <c r="D826" s="851"/>
    </row>
    <row r="827" spans="2:4" s="819" customFormat="1">
      <c r="B827" s="851"/>
      <c r="C827" s="851"/>
      <c r="D827" s="851"/>
    </row>
    <row r="828" spans="2:4" s="819" customFormat="1">
      <c r="B828" s="851"/>
      <c r="C828" s="851"/>
      <c r="D828" s="851"/>
    </row>
    <row r="829" spans="2:4" s="819" customFormat="1">
      <c r="B829" s="851"/>
      <c r="C829" s="851"/>
      <c r="D829" s="851"/>
    </row>
    <row r="830" spans="2:4" s="819" customFormat="1">
      <c r="B830" s="851"/>
      <c r="C830" s="851"/>
      <c r="D830" s="851"/>
    </row>
    <row r="831" spans="2:4" s="819" customFormat="1">
      <c r="B831" s="851"/>
      <c r="C831" s="851"/>
      <c r="D831" s="851"/>
    </row>
    <row r="832" spans="2:4" s="819" customFormat="1">
      <c r="B832" s="851"/>
      <c r="C832" s="851"/>
      <c r="D832" s="851"/>
    </row>
    <row r="833" spans="2:4" s="819" customFormat="1">
      <c r="B833" s="851"/>
      <c r="C833" s="851"/>
      <c r="D833" s="851"/>
    </row>
    <row r="834" spans="2:4" s="819" customFormat="1">
      <c r="B834" s="851"/>
      <c r="C834" s="851"/>
      <c r="D834" s="851"/>
    </row>
    <row r="835" spans="2:4" s="819" customFormat="1">
      <c r="B835" s="851"/>
      <c r="C835" s="851"/>
      <c r="D835" s="851"/>
    </row>
    <row r="836" spans="2:4" s="819" customFormat="1">
      <c r="B836" s="851"/>
      <c r="C836" s="851"/>
      <c r="D836" s="851"/>
    </row>
    <row r="837" spans="2:4" s="819" customFormat="1">
      <c r="B837" s="851"/>
      <c r="C837" s="851"/>
      <c r="D837" s="851"/>
    </row>
    <row r="838" spans="2:4" s="819" customFormat="1">
      <c r="B838" s="851"/>
      <c r="C838" s="851"/>
      <c r="D838" s="851"/>
    </row>
    <row r="839" spans="2:4" s="819" customFormat="1">
      <c r="B839" s="851"/>
      <c r="C839" s="851"/>
      <c r="D839" s="851"/>
    </row>
    <row r="840" spans="2:4" s="819" customFormat="1">
      <c r="B840" s="851"/>
      <c r="C840" s="851"/>
      <c r="D840" s="851"/>
    </row>
    <row r="841" spans="2:4" s="819" customFormat="1">
      <c r="B841" s="851"/>
      <c r="C841" s="851"/>
      <c r="D841" s="851"/>
    </row>
    <row r="842" spans="2:4" s="819" customFormat="1">
      <c r="B842" s="851"/>
      <c r="C842" s="851"/>
      <c r="D842" s="851"/>
    </row>
    <row r="843" spans="2:4" s="819" customFormat="1">
      <c r="B843" s="851"/>
      <c r="C843" s="851"/>
      <c r="D843" s="851"/>
    </row>
    <row r="844" spans="2:4" s="819" customFormat="1">
      <c r="B844" s="851"/>
      <c r="C844" s="851"/>
      <c r="D844" s="851"/>
    </row>
    <row r="845" spans="2:4" s="819" customFormat="1">
      <c r="B845" s="851"/>
      <c r="C845" s="851"/>
      <c r="D845" s="851"/>
    </row>
    <row r="846" spans="2:4" s="819" customFormat="1">
      <c r="B846" s="851"/>
      <c r="C846" s="851"/>
      <c r="D846" s="851"/>
    </row>
    <row r="847" spans="2:4" s="819" customFormat="1">
      <c r="B847" s="851"/>
      <c r="C847" s="851"/>
      <c r="D847" s="851"/>
    </row>
    <row r="848" spans="2:4" s="819" customFormat="1">
      <c r="B848" s="851"/>
      <c r="C848" s="851"/>
      <c r="D848" s="851"/>
    </row>
    <row r="849" spans="2:4" s="819" customFormat="1">
      <c r="B849" s="851"/>
      <c r="C849" s="851"/>
      <c r="D849" s="851"/>
    </row>
    <row r="850" spans="2:4" s="819" customFormat="1">
      <c r="B850" s="851"/>
      <c r="C850" s="851"/>
      <c r="D850" s="851"/>
    </row>
    <row r="851" spans="2:4" s="819" customFormat="1">
      <c r="B851" s="851"/>
      <c r="C851" s="851"/>
      <c r="D851" s="851"/>
    </row>
    <row r="852" spans="2:4" s="819" customFormat="1">
      <c r="B852" s="851"/>
      <c r="C852" s="851"/>
      <c r="D852" s="851"/>
    </row>
    <row r="853" spans="2:4" s="819" customFormat="1">
      <c r="B853" s="851"/>
      <c r="C853" s="851"/>
      <c r="D853" s="851"/>
    </row>
    <row r="854" spans="2:4" s="819" customFormat="1">
      <c r="B854" s="851"/>
      <c r="C854" s="851"/>
      <c r="D854" s="851"/>
    </row>
    <row r="855" spans="2:4" s="819" customFormat="1">
      <c r="B855" s="851"/>
      <c r="C855" s="851"/>
      <c r="D855" s="851"/>
    </row>
    <row r="856" spans="2:4" s="819" customFormat="1">
      <c r="B856" s="851"/>
      <c r="C856" s="851"/>
      <c r="D856" s="851"/>
    </row>
    <row r="857" spans="2:4" s="819" customFormat="1">
      <c r="B857" s="851"/>
      <c r="C857" s="851"/>
      <c r="D857" s="851"/>
    </row>
    <row r="858" spans="2:4" s="819" customFormat="1">
      <c r="B858" s="851"/>
      <c r="C858" s="851"/>
      <c r="D858" s="851"/>
    </row>
    <row r="859" spans="2:4" s="819" customFormat="1">
      <c r="B859" s="851"/>
      <c r="C859" s="851"/>
      <c r="D859" s="851"/>
    </row>
    <row r="860" spans="2:4" s="819" customFormat="1">
      <c r="B860" s="851"/>
      <c r="C860" s="851"/>
      <c r="D860" s="851"/>
    </row>
    <row r="861" spans="2:4" s="819" customFormat="1">
      <c r="B861" s="851"/>
      <c r="C861" s="851"/>
      <c r="D861" s="851"/>
    </row>
    <row r="862" spans="2:4" s="819" customFormat="1">
      <c r="B862" s="851"/>
      <c r="C862" s="851"/>
      <c r="D862" s="851"/>
    </row>
    <row r="863" spans="2:4" s="819" customFormat="1">
      <c r="B863" s="851"/>
      <c r="C863" s="851"/>
      <c r="D863" s="851"/>
    </row>
    <row r="864" spans="2:4" s="819" customFormat="1">
      <c r="B864" s="851"/>
      <c r="C864" s="851"/>
      <c r="D864" s="851"/>
    </row>
    <row r="865" spans="2:4" s="819" customFormat="1">
      <c r="B865" s="851"/>
      <c r="C865" s="851"/>
      <c r="D865" s="851"/>
    </row>
    <row r="866" spans="2:4" s="819" customFormat="1">
      <c r="B866" s="851"/>
      <c r="C866" s="851"/>
      <c r="D866" s="851"/>
    </row>
    <row r="867" spans="2:4" s="819" customFormat="1">
      <c r="B867" s="851"/>
      <c r="C867" s="851"/>
      <c r="D867" s="851"/>
    </row>
    <row r="868" spans="2:4" s="819" customFormat="1">
      <c r="B868" s="851"/>
      <c r="C868" s="851"/>
      <c r="D868" s="851"/>
    </row>
    <row r="869" spans="2:4" s="819" customFormat="1">
      <c r="B869" s="851"/>
      <c r="C869" s="851"/>
      <c r="D869" s="851"/>
    </row>
    <row r="870" spans="2:4" s="819" customFormat="1">
      <c r="B870" s="851"/>
      <c r="C870" s="851"/>
      <c r="D870" s="851"/>
    </row>
    <row r="871" spans="2:4" s="819" customFormat="1">
      <c r="B871" s="851"/>
      <c r="C871" s="851"/>
      <c r="D871" s="851"/>
    </row>
    <row r="872" spans="2:4" s="819" customFormat="1">
      <c r="B872" s="851"/>
      <c r="C872" s="851"/>
      <c r="D872" s="851"/>
    </row>
    <row r="873" spans="2:4" s="819" customFormat="1">
      <c r="B873" s="851"/>
      <c r="C873" s="851"/>
      <c r="D873" s="851"/>
    </row>
    <row r="874" spans="2:4" s="819" customFormat="1">
      <c r="B874" s="851"/>
      <c r="C874" s="851"/>
      <c r="D874" s="851"/>
    </row>
    <row r="875" spans="2:4" s="819" customFormat="1">
      <c r="B875" s="851"/>
      <c r="C875" s="851"/>
      <c r="D875" s="851"/>
    </row>
    <row r="876" spans="2:4" s="819" customFormat="1">
      <c r="B876" s="851"/>
      <c r="C876" s="851"/>
      <c r="D876" s="851"/>
    </row>
    <row r="877" spans="2:4" s="819" customFormat="1">
      <c r="B877" s="851"/>
      <c r="C877" s="851"/>
      <c r="D877" s="851"/>
    </row>
    <row r="878" spans="2:4" s="819" customFormat="1">
      <c r="B878" s="851"/>
      <c r="C878" s="851"/>
      <c r="D878" s="851"/>
    </row>
    <row r="879" spans="2:4" s="819" customFormat="1">
      <c r="B879" s="851"/>
      <c r="C879" s="851"/>
      <c r="D879" s="851"/>
    </row>
    <row r="880" spans="2:4" s="819" customFormat="1">
      <c r="B880" s="851"/>
      <c r="C880" s="851"/>
      <c r="D880" s="851"/>
    </row>
    <row r="881" spans="2:4" s="819" customFormat="1">
      <c r="B881" s="851"/>
      <c r="C881" s="851"/>
      <c r="D881" s="851"/>
    </row>
    <row r="882" spans="2:4" s="819" customFormat="1">
      <c r="B882" s="851"/>
      <c r="C882" s="851"/>
      <c r="D882" s="851"/>
    </row>
    <row r="883" spans="2:4" s="819" customFormat="1">
      <c r="B883" s="851"/>
      <c r="C883" s="851"/>
      <c r="D883" s="851"/>
    </row>
    <row r="884" spans="2:4" s="819" customFormat="1">
      <c r="B884" s="851"/>
      <c r="C884" s="851"/>
      <c r="D884" s="851"/>
    </row>
    <row r="885" spans="2:4" s="819" customFormat="1">
      <c r="B885" s="851"/>
      <c r="C885" s="851"/>
      <c r="D885" s="851"/>
    </row>
    <row r="886" spans="2:4" s="819" customFormat="1">
      <c r="B886" s="851"/>
      <c r="C886" s="851"/>
      <c r="D886" s="851"/>
    </row>
    <row r="887" spans="2:4" s="819" customFormat="1">
      <c r="B887" s="851"/>
      <c r="C887" s="851"/>
      <c r="D887" s="851"/>
    </row>
    <row r="888" spans="2:4" s="819" customFormat="1">
      <c r="B888" s="851"/>
      <c r="C888" s="851"/>
      <c r="D888" s="851"/>
    </row>
    <row r="889" spans="2:4" s="819" customFormat="1">
      <c r="B889" s="851"/>
      <c r="C889" s="851"/>
      <c r="D889" s="851"/>
    </row>
    <row r="890" spans="2:4" s="819" customFormat="1">
      <c r="B890" s="851"/>
      <c r="C890" s="851"/>
      <c r="D890" s="851"/>
    </row>
    <row r="891" spans="2:4" s="819" customFormat="1">
      <c r="B891" s="851"/>
      <c r="C891" s="851"/>
      <c r="D891" s="851"/>
    </row>
    <row r="892" spans="2:4" s="819" customFormat="1">
      <c r="B892" s="851"/>
      <c r="C892" s="851"/>
      <c r="D892" s="851"/>
    </row>
    <row r="893" spans="2:4" s="819" customFormat="1">
      <c r="B893" s="851"/>
      <c r="C893" s="851"/>
      <c r="D893" s="851"/>
    </row>
    <row r="894" spans="2:4" s="819" customFormat="1">
      <c r="B894" s="851"/>
      <c r="C894" s="851"/>
      <c r="D894" s="851"/>
    </row>
    <row r="895" spans="2:4" s="819" customFormat="1">
      <c r="B895" s="851"/>
      <c r="C895" s="851"/>
      <c r="D895" s="851"/>
    </row>
    <row r="896" spans="2:4" s="819" customFormat="1">
      <c r="B896" s="851"/>
      <c r="C896" s="851"/>
      <c r="D896" s="851"/>
    </row>
    <row r="897" spans="2:4" s="819" customFormat="1">
      <c r="B897" s="851"/>
      <c r="C897" s="851"/>
      <c r="D897" s="851"/>
    </row>
    <row r="898" spans="2:4" s="819" customFormat="1">
      <c r="B898" s="851"/>
      <c r="C898" s="851"/>
      <c r="D898" s="851"/>
    </row>
    <row r="899" spans="2:4" s="819" customFormat="1">
      <c r="B899" s="851"/>
      <c r="C899" s="851"/>
      <c r="D899" s="851"/>
    </row>
    <row r="900" spans="2:4" s="819" customFormat="1">
      <c r="B900" s="851"/>
      <c r="C900" s="851"/>
      <c r="D900" s="851"/>
    </row>
    <row r="901" spans="2:4" s="819" customFormat="1">
      <c r="B901" s="851"/>
      <c r="C901" s="851"/>
      <c r="D901" s="851"/>
    </row>
    <row r="902" spans="2:4" s="819" customFormat="1">
      <c r="B902" s="851"/>
      <c r="C902" s="851"/>
      <c r="D902" s="851"/>
    </row>
    <row r="903" spans="2:4" s="819" customFormat="1">
      <c r="B903" s="851"/>
      <c r="C903" s="851"/>
      <c r="D903" s="851"/>
    </row>
    <row r="904" spans="2:4" s="819" customFormat="1">
      <c r="B904" s="851"/>
      <c r="C904" s="851"/>
      <c r="D904" s="851"/>
    </row>
    <row r="905" spans="2:4" s="819" customFormat="1">
      <c r="B905" s="851"/>
      <c r="C905" s="851"/>
      <c r="D905" s="851"/>
    </row>
    <row r="906" spans="2:4" s="819" customFormat="1">
      <c r="B906" s="851"/>
      <c r="C906" s="851"/>
      <c r="D906" s="851"/>
    </row>
    <row r="907" spans="2:4" s="819" customFormat="1">
      <c r="B907" s="851"/>
      <c r="C907" s="851"/>
      <c r="D907" s="851"/>
    </row>
    <row r="908" spans="2:4" s="819" customFormat="1">
      <c r="B908" s="851"/>
      <c r="C908" s="851"/>
      <c r="D908" s="851"/>
    </row>
    <row r="909" spans="2:4" s="819" customFormat="1">
      <c r="B909" s="851"/>
      <c r="C909" s="851"/>
      <c r="D909" s="851"/>
    </row>
    <row r="910" spans="2:4" s="819" customFormat="1">
      <c r="B910" s="851"/>
      <c r="C910" s="851"/>
      <c r="D910" s="851"/>
    </row>
    <row r="911" spans="2:4" s="819" customFormat="1">
      <c r="B911" s="851"/>
      <c r="C911" s="851"/>
      <c r="D911" s="851"/>
    </row>
    <row r="912" spans="2:4" s="819" customFormat="1">
      <c r="B912" s="851"/>
      <c r="C912" s="851"/>
      <c r="D912" s="851"/>
    </row>
    <row r="913" spans="2:4" s="819" customFormat="1">
      <c r="B913" s="851"/>
      <c r="C913" s="851"/>
      <c r="D913" s="851"/>
    </row>
    <row r="914" spans="2:4" s="819" customFormat="1">
      <c r="B914" s="851"/>
      <c r="C914" s="851"/>
      <c r="D914" s="851"/>
    </row>
    <row r="915" spans="2:4" s="819" customFormat="1">
      <c r="B915" s="851"/>
      <c r="C915" s="851"/>
      <c r="D915" s="851"/>
    </row>
    <row r="916" spans="2:4" s="819" customFormat="1">
      <c r="B916" s="851"/>
      <c r="C916" s="851"/>
      <c r="D916" s="851"/>
    </row>
    <row r="917" spans="2:4" s="819" customFormat="1">
      <c r="B917" s="851"/>
      <c r="C917" s="851"/>
      <c r="D917" s="851"/>
    </row>
    <row r="918" spans="2:4" s="819" customFormat="1">
      <c r="B918" s="851"/>
      <c r="C918" s="851"/>
      <c r="D918" s="851"/>
    </row>
    <row r="919" spans="2:4" s="819" customFormat="1">
      <c r="B919" s="851"/>
      <c r="C919" s="851"/>
      <c r="D919" s="851"/>
    </row>
    <row r="920" spans="2:4" s="819" customFormat="1">
      <c r="B920" s="851"/>
      <c r="C920" s="851"/>
      <c r="D920" s="851"/>
    </row>
    <row r="921" spans="2:4" s="819" customFormat="1">
      <c r="B921" s="851"/>
      <c r="C921" s="851"/>
      <c r="D921" s="851"/>
    </row>
    <row r="922" spans="2:4" s="819" customFormat="1">
      <c r="B922" s="851"/>
      <c r="C922" s="851"/>
      <c r="D922" s="851"/>
    </row>
    <row r="923" spans="2:4" s="819" customFormat="1">
      <c r="B923" s="851"/>
      <c r="C923" s="851"/>
      <c r="D923" s="851"/>
    </row>
    <row r="924" spans="2:4" s="819" customFormat="1">
      <c r="B924" s="851"/>
      <c r="C924" s="851"/>
      <c r="D924" s="851"/>
    </row>
    <row r="925" spans="2:4" s="819" customFormat="1">
      <c r="B925" s="851"/>
      <c r="C925" s="851"/>
      <c r="D925" s="851"/>
    </row>
    <row r="926" spans="2:4" s="819" customFormat="1">
      <c r="B926" s="851"/>
      <c r="C926" s="851"/>
      <c r="D926" s="851"/>
    </row>
    <row r="927" spans="2:4" s="819" customFormat="1">
      <c r="B927" s="851"/>
      <c r="C927" s="851"/>
      <c r="D927" s="851"/>
    </row>
    <row r="928" spans="2:4" s="819" customFormat="1">
      <c r="B928" s="851"/>
      <c r="C928" s="851"/>
      <c r="D928" s="851"/>
    </row>
    <row r="929" spans="2:4" s="819" customFormat="1">
      <c r="B929" s="851"/>
      <c r="C929" s="851"/>
      <c r="D929" s="851"/>
    </row>
    <row r="930" spans="2:4" s="819" customFormat="1">
      <c r="B930" s="851"/>
      <c r="C930" s="851"/>
      <c r="D930" s="851"/>
    </row>
    <row r="931" spans="2:4" s="819" customFormat="1">
      <c r="B931" s="851"/>
      <c r="C931" s="851"/>
      <c r="D931" s="851"/>
    </row>
    <row r="932" spans="2:4" s="819" customFormat="1">
      <c r="B932" s="851"/>
      <c r="C932" s="851"/>
      <c r="D932" s="851"/>
    </row>
    <row r="933" spans="2:4" s="819" customFormat="1">
      <c r="B933" s="851"/>
      <c r="C933" s="851"/>
      <c r="D933" s="851"/>
    </row>
    <row r="934" spans="2:4" s="819" customFormat="1">
      <c r="B934" s="851"/>
      <c r="C934" s="851"/>
      <c r="D934" s="851"/>
    </row>
    <row r="935" spans="2:4" s="819" customFormat="1">
      <c r="B935" s="851"/>
      <c r="C935" s="851"/>
      <c r="D935" s="851"/>
    </row>
    <row r="936" spans="2:4" s="819" customFormat="1">
      <c r="B936" s="851"/>
      <c r="C936" s="851"/>
      <c r="D936" s="851"/>
    </row>
    <row r="937" spans="2:4" s="819" customFormat="1">
      <c r="B937" s="851"/>
      <c r="C937" s="851"/>
      <c r="D937" s="851"/>
    </row>
    <row r="938" spans="2:4" s="819" customFormat="1">
      <c r="B938" s="851"/>
      <c r="C938" s="851"/>
      <c r="D938" s="851"/>
    </row>
    <row r="939" spans="2:4" s="819" customFormat="1">
      <c r="B939" s="851"/>
      <c r="C939" s="851"/>
      <c r="D939" s="851"/>
    </row>
    <row r="940" spans="2:4" s="819" customFormat="1">
      <c r="B940" s="851"/>
      <c r="C940" s="851"/>
      <c r="D940" s="851"/>
    </row>
    <row r="941" spans="2:4" s="819" customFormat="1">
      <c r="B941" s="851"/>
      <c r="C941" s="851"/>
      <c r="D941" s="851"/>
    </row>
    <row r="942" spans="2:4" s="819" customFormat="1">
      <c r="B942" s="851"/>
      <c r="C942" s="851"/>
      <c r="D942" s="851"/>
    </row>
    <row r="943" spans="2:4" s="819" customFormat="1">
      <c r="B943" s="851"/>
      <c r="C943" s="851"/>
      <c r="D943" s="851"/>
    </row>
    <row r="944" spans="2:4" s="819" customFormat="1">
      <c r="B944" s="851"/>
      <c r="C944" s="851"/>
      <c r="D944" s="851"/>
    </row>
    <row r="945" spans="2:4" s="819" customFormat="1">
      <c r="B945" s="851"/>
      <c r="C945" s="851"/>
      <c r="D945" s="851"/>
    </row>
    <row r="946" spans="2:4" s="819" customFormat="1">
      <c r="B946" s="851"/>
      <c r="C946" s="851"/>
      <c r="D946" s="851"/>
    </row>
    <row r="947" spans="2:4" s="819" customFormat="1">
      <c r="B947" s="851"/>
      <c r="C947" s="851"/>
      <c r="D947" s="851"/>
    </row>
    <row r="948" spans="2:4" s="819" customFormat="1">
      <c r="B948" s="851"/>
      <c r="C948" s="851"/>
      <c r="D948" s="851"/>
    </row>
    <row r="949" spans="2:4" s="819" customFormat="1">
      <c r="B949" s="851"/>
      <c r="C949" s="851"/>
      <c r="D949" s="851"/>
    </row>
    <row r="950" spans="2:4" s="819" customFormat="1">
      <c r="B950" s="851"/>
      <c r="C950" s="851"/>
      <c r="D950" s="851"/>
    </row>
    <row r="951" spans="2:4" s="819" customFormat="1">
      <c r="B951" s="851"/>
      <c r="C951" s="851"/>
      <c r="D951" s="851"/>
    </row>
    <row r="952" spans="2:4" s="819" customFormat="1">
      <c r="B952" s="851"/>
      <c r="C952" s="851"/>
      <c r="D952" s="851"/>
    </row>
    <row r="953" spans="2:4" s="819" customFormat="1">
      <c r="B953" s="851"/>
      <c r="C953" s="851"/>
      <c r="D953" s="851"/>
    </row>
    <row r="954" spans="2:4" s="819" customFormat="1">
      <c r="B954" s="851"/>
      <c r="C954" s="851"/>
      <c r="D954" s="851"/>
    </row>
    <row r="955" spans="2:4" s="819" customFormat="1">
      <c r="B955" s="851"/>
      <c r="C955" s="851"/>
      <c r="D955" s="851"/>
    </row>
    <row r="956" spans="2:4" s="819" customFormat="1">
      <c r="B956" s="851"/>
      <c r="C956" s="851"/>
      <c r="D956" s="851"/>
    </row>
    <row r="957" spans="2:4" s="819" customFormat="1">
      <c r="B957" s="851"/>
      <c r="C957" s="851"/>
      <c r="D957" s="851"/>
    </row>
    <row r="958" spans="2:4" s="819" customFormat="1">
      <c r="B958" s="851"/>
      <c r="C958" s="851"/>
      <c r="D958" s="851"/>
    </row>
    <row r="959" spans="2:4" s="819" customFormat="1">
      <c r="B959" s="851"/>
      <c r="C959" s="851"/>
      <c r="D959" s="851"/>
    </row>
    <row r="960" spans="2:4" s="819" customFormat="1">
      <c r="B960" s="851"/>
      <c r="C960" s="851"/>
      <c r="D960" s="851"/>
    </row>
    <row r="961" spans="2:4" s="819" customFormat="1">
      <c r="B961" s="851"/>
      <c r="C961" s="851"/>
      <c r="D961" s="851"/>
    </row>
    <row r="962" spans="2:4" s="819" customFormat="1">
      <c r="B962" s="851"/>
      <c r="C962" s="851"/>
      <c r="D962" s="851"/>
    </row>
    <row r="963" spans="2:4" s="819" customFormat="1">
      <c r="B963" s="851"/>
      <c r="C963" s="851"/>
      <c r="D963" s="851"/>
    </row>
    <row r="964" spans="2:4" s="819" customFormat="1">
      <c r="B964" s="851"/>
      <c r="C964" s="851"/>
      <c r="D964" s="851"/>
    </row>
    <row r="965" spans="2:4" s="819" customFormat="1">
      <c r="B965" s="851"/>
      <c r="C965" s="851"/>
      <c r="D965" s="851"/>
    </row>
    <row r="966" spans="2:4" s="819" customFormat="1">
      <c r="B966" s="851"/>
      <c r="C966" s="851"/>
      <c r="D966" s="851"/>
    </row>
    <row r="967" spans="2:4" s="819" customFormat="1">
      <c r="B967" s="851"/>
      <c r="C967" s="851"/>
      <c r="D967" s="851"/>
    </row>
    <row r="968" spans="2:4" s="819" customFormat="1">
      <c r="B968" s="851"/>
      <c r="C968" s="851"/>
      <c r="D968" s="851"/>
    </row>
    <row r="969" spans="2:4" s="819" customFormat="1">
      <c r="B969" s="851"/>
      <c r="C969" s="851"/>
      <c r="D969" s="851"/>
    </row>
    <row r="970" spans="2:4" s="819" customFormat="1">
      <c r="B970" s="851"/>
      <c r="C970" s="851"/>
      <c r="D970" s="851"/>
    </row>
    <row r="971" spans="2:4" s="819" customFormat="1">
      <c r="B971" s="851"/>
      <c r="C971" s="851"/>
      <c r="D971" s="851"/>
    </row>
    <row r="972" spans="2:4" s="819" customFormat="1">
      <c r="B972" s="851"/>
      <c r="C972" s="851"/>
      <c r="D972" s="851"/>
    </row>
    <row r="973" spans="2:4" s="819" customFormat="1">
      <c r="B973" s="851"/>
      <c r="C973" s="851"/>
      <c r="D973" s="851"/>
    </row>
    <row r="974" spans="2:4" s="819" customFormat="1">
      <c r="B974" s="851"/>
      <c r="C974" s="851"/>
      <c r="D974" s="851"/>
    </row>
    <row r="975" spans="2:4" s="819" customFormat="1">
      <c r="B975" s="851"/>
      <c r="C975" s="851"/>
      <c r="D975" s="851"/>
    </row>
    <row r="976" spans="2:4" s="819" customFormat="1">
      <c r="B976" s="851"/>
      <c r="C976" s="851"/>
      <c r="D976" s="851"/>
    </row>
    <row r="977" spans="2:4" s="819" customFormat="1">
      <c r="B977" s="851"/>
      <c r="C977" s="851"/>
      <c r="D977" s="851"/>
    </row>
    <row r="978" spans="2:4" s="819" customFormat="1">
      <c r="B978" s="851"/>
      <c r="C978" s="851"/>
      <c r="D978" s="851"/>
    </row>
    <row r="979" spans="2:4" s="819" customFormat="1">
      <c r="B979" s="851"/>
      <c r="C979" s="851"/>
      <c r="D979" s="851"/>
    </row>
    <row r="980" spans="2:4" s="819" customFormat="1">
      <c r="B980" s="851"/>
      <c r="C980" s="851"/>
      <c r="D980" s="851"/>
    </row>
    <row r="981" spans="2:4" s="819" customFormat="1">
      <c r="B981" s="851"/>
      <c r="C981" s="851"/>
      <c r="D981" s="851"/>
    </row>
    <row r="982" spans="2:4" s="819" customFormat="1">
      <c r="B982" s="851"/>
      <c r="C982" s="851"/>
      <c r="D982" s="851"/>
    </row>
    <row r="983" spans="2:4" s="819" customFormat="1">
      <c r="B983" s="851"/>
      <c r="C983" s="851"/>
      <c r="D983" s="851"/>
    </row>
    <row r="984" spans="2:4" s="819" customFormat="1">
      <c r="B984" s="851"/>
      <c r="C984" s="851"/>
      <c r="D984" s="851"/>
    </row>
    <row r="985" spans="2:4" s="819" customFormat="1">
      <c r="B985" s="851"/>
      <c r="C985" s="851"/>
      <c r="D985" s="851"/>
    </row>
    <row r="986" spans="2:4" s="819" customFormat="1">
      <c r="B986" s="851"/>
      <c r="C986" s="851"/>
      <c r="D986" s="851"/>
    </row>
    <row r="987" spans="2:4" s="819" customFormat="1">
      <c r="B987" s="851"/>
      <c r="C987" s="851"/>
      <c r="D987" s="851"/>
    </row>
    <row r="988" spans="2:4" s="819" customFormat="1">
      <c r="B988" s="851"/>
      <c r="C988" s="851"/>
      <c r="D988" s="851"/>
    </row>
    <row r="989" spans="2:4" s="819" customFormat="1">
      <c r="B989" s="851"/>
      <c r="C989" s="851"/>
      <c r="D989" s="851"/>
    </row>
    <row r="990" spans="2:4" s="819" customFormat="1">
      <c r="B990" s="851"/>
      <c r="C990" s="851"/>
      <c r="D990" s="851"/>
    </row>
    <row r="991" spans="2:4" s="819" customFormat="1">
      <c r="B991" s="851"/>
      <c r="C991" s="851"/>
      <c r="D991" s="851"/>
    </row>
    <row r="992" spans="2:4" s="819" customFormat="1">
      <c r="B992" s="851"/>
      <c r="C992" s="851"/>
      <c r="D992" s="851"/>
    </row>
    <row r="993" spans="2:4" s="819" customFormat="1">
      <c r="B993" s="851"/>
      <c r="C993" s="851"/>
      <c r="D993" s="851"/>
    </row>
    <row r="994" spans="2:4" s="819" customFormat="1">
      <c r="B994" s="851"/>
      <c r="C994" s="851"/>
      <c r="D994" s="851"/>
    </row>
    <row r="995" spans="2:4" s="819" customFormat="1">
      <c r="B995" s="851"/>
      <c r="C995" s="851"/>
      <c r="D995" s="851"/>
    </row>
    <row r="996" spans="2:4" s="819" customFormat="1">
      <c r="B996" s="851"/>
      <c r="C996" s="851"/>
      <c r="D996" s="851"/>
    </row>
    <row r="997" spans="2:4" s="819" customFormat="1">
      <c r="B997" s="851"/>
      <c r="C997" s="851"/>
      <c r="D997" s="851"/>
    </row>
    <row r="998" spans="2:4" s="819" customFormat="1">
      <c r="B998" s="851"/>
      <c r="C998" s="851"/>
      <c r="D998" s="851"/>
    </row>
    <row r="999" spans="2:4" s="819" customFormat="1">
      <c r="B999" s="851"/>
      <c r="C999" s="851"/>
      <c r="D999" s="851"/>
    </row>
    <row r="1000" spans="2:4" s="819" customFormat="1">
      <c r="B1000" s="851"/>
      <c r="C1000" s="851"/>
      <c r="D1000" s="851"/>
    </row>
    <row r="1001" spans="2:4" s="819" customFormat="1">
      <c r="B1001" s="851"/>
      <c r="C1001" s="851"/>
      <c r="D1001" s="851"/>
    </row>
    <row r="1002" spans="2:4" s="819" customFormat="1">
      <c r="B1002" s="851"/>
      <c r="C1002" s="851"/>
      <c r="D1002" s="851"/>
    </row>
    <row r="1003" spans="2:4" s="819" customFormat="1">
      <c r="B1003" s="851"/>
      <c r="C1003" s="851"/>
      <c r="D1003" s="851"/>
    </row>
    <row r="1004" spans="2:4" s="819" customFormat="1">
      <c r="B1004" s="851"/>
      <c r="C1004" s="851"/>
      <c r="D1004" s="851"/>
    </row>
    <row r="1005" spans="2:4" s="819" customFormat="1">
      <c r="B1005" s="851"/>
      <c r="C1005" s="851"/>
      <c r="D1005" s="851"/>
    </row>
    <row r="1006" spans="2:4" s="819" customFormat="1">
      <c r="B1006" s="851"/>
      <c r="C1006" s="851"/>
      <c r="D1006" s="851"/>
    </row>
    <row r="1007" spans="2:4" s="819" customFormat="1">
      <c r="B1007" s="851"/>
      <c r="C1007" s="851"/>
      <c r="D1007" s="851"/>
    </row>
    <row r="1008" spans="2:4" s="819" customFormat="1">
      <c r="B1008" s="851"/>
      <c r="C1008" s="851"/>
      <c r="D1008" s="851"/>
    </row>
    <row r="1009" spans="2:4" s="819" customFormat="1">
      <c r="B1009" s="851"/>
      <c r="C1009" s="851"/>
      <c r="D1009" s="851"/>
    </row>
    <row r="1010" spans="2:4" s="819" customFormat="1">
      <c r="B1010" s="851"/>
      <c r="C1010" s="851"/>
      <c r="D1010" s="851"/>
    </row>
    <row r="1011" spans="2:4" s="819" customFormat="1">
      <c r="B1011" s="851"/>
      <c r="C1011" s="851"/>
      <c r="D1011" s="851"/>
    </row>
    <row r="1012" spans="2:4" s="819" customFormat="1">
      <c r="B1012" s="851"/>
      <c r="C1012" s="851"/>
      <c r="D1012" s="851"/>
    </row>
    <row r="1013" spans="2:4" s="819" customFormat="1">
      <c r="B1013" s="851"/>
      <c r="C1013" s="851"/>
      <c r="D1013" s="851"/>
    </row>
    <row r="1014" spans="2:4" s="819" customFormat="1">
      <c r="B1014" s="851"/>
      <c r="C1014" s="851"/>
      <c r="D1014" s="851"/>
    </row>
    <row r="1015" spans="2:4" s="819" customFormat="1">
      <c r="B1015" s="851"/>
      <c r="C1015" s="851"/>
      <c r="D1015" s="851"/>
    </row>
    <row r="1016" spans="2:4" s="819" customFormat="1">
      <c r="B1016" s="851"/>
      <c r="C1016" s="851"/>
      <c r="D1016" s="851"/>
    </row>
    <row r="1017" spans="2:4" s="819" customFormat="1">
      <c r="B1017" s="851"/>
      <c r="C1017" s="851"/>
      <c r="D1017" s="851"/>
    </row>
    <row r="1018" spans="2:4" s="819" customFormat="1">
      <c r="B1018" s="851"/>
      <c r="C1018" s="851"/>
      <c r="D1018" s="851"/>
    </row>
    <row r="1019" spans="2:4" s="819" customFormat="1">
      <c r="B1019" s="851"/>
      <c r="C1019" s="851"/>
      <c r="D1019" s="851"/>
    </row>
    <row r="1020" spans="2:4" s="819" customFormat="1">
      <c r="B1020" s="851"/>
      <c r="C1020" s="851"/>
      <c r="D1020" s="851"/>
    </row>
    <row r="1021" spans="2:4" s="819" customFormat="1">
      <c r="B1021" s="851"/>
      <c r="C1021" s="851"/>
      <c r="D1021" s="851"/>
    </row>
    <row r="1022" spans="2:4" s="819" customFormat="1">
      <c r="B1022" s="851"/>
      <c r="C1022" s="851"/>
      <c r="D1022" s="851"/>
    </row>
    <row r="1023" spans="2:4" s="819" customFormat="1">
      <c r="B1023" s="851"/>
      <c r="C1023" s="851"/>
      <c r="D1023" s="851"/>
    </row>
    <row r="1024" spans="2:4" s="819" customFormat="1">
      <c r="B1024" s="851"/>
      <c r="C1024" s="851"/>
      <c r="D1024" s="851"/>
    </row>
    <row r="1025" spans="2:4" s="819" customFormat="1">
      <c r="B1025" s="851"/>
      <c r="C1025" s="851"/>
      <c r="D1025" s="851"/>
    </row>
    <row r="1026" spans="2:4" s="819" customFormat="1">
      <c r="B1026" s="851"/>
      <c r="C1026" s="851"/>
      <c r="D1026" s="851"/>
    </row>
    <row r="1027" spans="2:4" s="819" customFormat="1">
      <c r="B1027" s="851"/>
      <c r="C1027" s="851"/>
      <c r="D1027" s="851"/>
    </row>
    <row r="1028" spans="2:4" s="819" customFormat="1">
      <c r="B1028" s="851"/>
      <c r="C1028" s="851"/>
      <c r="D1028" s="851"/>
    </row>
    <row r="1029" spans="2:4" s="819" customFormat="1">
      <c r="B1029" s="851"/>
      <c r="C1029" s="851"/>
      <c r="D1029" s="851"/>
    </row>
    <row r="1030" spans="2:4" s="819" customFormat="1">
      <c r="B1030" s="851"/>
      <c r="C1030" s="851"/>
      <c r="D1030" s="851"/>
    </row>
    <row r="1031" spans="2:4" s="819" customFormat="1">
      <c r="B1031" s="851"/>
      <c r="C1031" s="851"/>
      <c r="D1031" s="851"/>
    </row>
    <row r="1032" spans="2:4" s="819" customFormat="1">
      <c r="B1032" s="851"/>
      <c r="C1032" s="851"/>
      <c r="D1032" s="851"/>
    </row>
    <row r="1033" spans="2:4" s="819" customFormat="1">
      <c r="B1033" s="851"/>
      <c r="C1033" s="851"/>
      <c r="D1033" s="851"/>
    </row>
    <row r="1034" spans="2:4" s="819" customFormat="1">
      <c r="B1034" s="851"/>
      <c r="C1034" s="851"/>
      <c r="D1034" s="851"/>
    </row>
    <row r="1035" spans="2:4" s="819" customFormat="1">
      <c r="B1035" s="851"/>
      <c r="C1035" s="851"/>
      <c r="D1035" s="851"/>
    </row>
    <row r="1036" spans="2:4" s="819" customFormat="1">
      <c r="B1036" s="851"/>
      <c r="C1036" s="851"/>
      <c r="D1036" s="851"/>
    </row>
    <row r="1037" spans="2:4" s="819" customFormat="1">
      <c r="B1037" s="851"/>
      <c r="C1037" s="851"/>
      <c r="D1037" s="851"/>
    </row>
    <row r="1038" spans="2:4" s="819" customFormat="1">
      <c r="B1038" s="851"/>
      <c r="C1038" s="851"/>
      <c r="D1038" s="851"/>
    </row>
    <row r="1039" spans="2:4" s="819" customFormat="1">
      <c r="B1039" s="851"/>
      <c r="C1039" s="851"/>
      <c r="D1039" s="851"/>
    </row>
    <row r="1040" spans="2:4" s="819" customFormat="1">
      <c r="B1040" s="851"/>
      <c r="C1040" s="851"/>
      <c r="D1040" s="851"/>
    </row>
    <row r="1041" spans="2:4" s="819" customFormat="1">
      <c r="B1041" s="851"/>
      <c r="C1041" s="851"/>
      <c r="D1041" s="851"/>
    </row>
    <row r="1042" spans="2:4" s="819" customFormat="1">
      <c r="B1042" s="851"/>
      <c r="C1042" s="851"/>
      <c r="D1042" s="851"/>
    </row>
    <row r="1043" spans="2:4" s="819" customFormat="1">
      <c r="B1043" s="851"/>
      <c r="C1043" s="851"/>
      <c r="D1043" s="851"/>
    </row>
    <row r="1044" spans="2:4" s="819" customFormat="1">
      <c r="B1044" s="851"/>
      <c r="C1044" s="851"/>
      <c r="D1044" s="851"/>
    </row>
    <row r="1045" spans="2:4" s="819" customFormat="1">
      <c r="B1045" s="851"/>
      <c r="C1045" s="851"/>
      <c r="D1045" s="851"/>
    </row>
    <row r="1046" spans="2:4" s="819" customFormat="1">
      <c r="B1046" s="851"/>
      <c r="C1046" s="851"/>
      <c r="D1046" s="851"/>
    </row>
    <row r="1047" spans="2:4" s="819" customFormat="1">
      <c r="B1047" s="851"/>
      <c r="C1047" s="851"/>
      <c r="D1047" s="851"/>
    </row>
    <row r="1048" spans="2:4" s="819" customFormat="1">
      <c r="B1048" s="851"/>
      <c r="C1048" s="851"/>
      <c r="D1048" s="851"/>
    </row>
    <row r="1049" spans="2:4" s="819" customFormat="1">
      <c r="B1049" s="851"/>
      <c r="C1049" s="851"/>
      <c r="D1049" s="851"/>
    </row>
    <row r="1050" spans="2:4" s="819" customFormat="1">
      <c r="B1050" s="851"/>
      <c r="C1050" s="851"/>
      <c r="D1050" s="851"/>
    </row>
    <row r="1051" spans="2:4" s="819" customFormat="1">
      <c r="B1051" s="851"/>
      <c r="C1051" s="851"/>
      <c r="D1051" s="851"/>
    </row>
    <row r="1052" spans="2:4" s="819" customFormat="1">
      <c r="B1052" s="851"/>
      <c r="C1052" s="851"/>
      <c r="D1052" s="851"/>
    </row>
    <row r="1053" spans="2:4" s="819" customFormat="1">
      <c r="B1053" s="851"/>
      <c r="C1053" s="851"/>
      <c r="D1053" s="851"/>
    </row>
    <row r="1054" spans="2:4" s="819" customFormat="1">
      <c r="B1054" s="851"/>
      <c r="C1054" s="851"/>
      <c r="D1054" s="851"/>
    </row>
    <row r="1055" spans="2:4" s="819" customFormat="1">
      <c r="B1055" s="851"/>
      <c r="C1055" s="851"/>
      <c r="D1055" s="851"/>
    </row>
    <row r="1056" spans="2:4" s="819" customFormat="1">
      <c r="B1056" s="851"/>
      <c r="C1056" s="851"/>
      <c r="D1056" s="851"/>
    </row>
    <row r="1057" spans="2:4" s="819" customFormat="1">
      <c r="B1057" s="851"/>
      <c r="C1057" s="851"/>
      <c r="D1057" s="851"/>
    </row>
    <row r="1058" spans="2:4" s="819" customFormat="1">
      <c r="B1058" s="851"/>
      <c r="C1058" s="851"/>
      <c r="D1058" s="851"/>
    </row>
    <row r="1059" spans="2:4" s="819" customFormat="1">
      <c r="B1059" s="851"/>
      <c r="C1059" s="851"/>
      <c r="D1059" s="851"/>
    </row>
    <row r="1060" spans="2:4" s="819" customFormat="1">
      <c r="B1060" s="851"/>
      <c r="C1060" s="851"/>
      <c r="D1060" s="851"/>
    </row>
    <row r="1061" spans="2:4" s="819" customFormat="1">
      <c r="B1061" s="851"/>
      <c r="C1061" s="851"/>
      <c r="D1061" s="851"/>
    </row>
    <row r="1062" spans="2:4" s="819" customFormat="1">
      <c r="B1062" s="851"/>
      <c r="C1062" s="851"/>
      <c r="D1062" s="851"/>
    </row>
    <row r="1063" spans="2:4" s="819" customFormat="1">
      <c r="B1063" s="851"/>
      <c r="C1063" s="851"/>
      <c r="D1063" s="851"/>
    </row>
    <row r="1064" spans="2:4" s="819" customFormat="1">
      <c r="B1064" s="851"/>
      <c r="C1064" s="851"/>
      <c r="D1064" s="851"/>
    </row>
    <row r="1065" spans="2:4" s="819" customFormat="1">
      <c r="B1065" s="851"/>
      <c r="C1065" s="851"/>
      <c r="D1065" s="851"/>
    </row>
    <row r="1066" spans="2:4" s="819" customFormat="1">
      <c r="B1066" s="851"/>
      <c r="C1066" s="851"/>
      <c r="D1066" s="851"/>
    </row>
    <row r="1067" spans="2:4" s="819" customFormat="1">
      <c r="B1067" s="851"/>
      <c r="C1067" s="851"/>
      <c r="D1067" s="851"/>
    </row>
    <row r="1068" spans="2:4" s="819" customFormat="1">
      <c r="B1068" s="851"/>
      <c r="C1068" s="851"/>
      <c r="D1068" s="851"/>
    </row>
    <row r="1069" spans="2:4" s="819" customFormat="1">
      <c r="B1069" s="851"/>
      <c r="C1069" s="851"/>
      <c r="D1069" s="851"/>
    </row>
    <row r="1070" spans="2:4" s="819" customFormat="1">
      <c r="B1070" s="851"/>
      <c r="C1070" s="851"/>
      <c r="D1070" s="851"/>
    </row>
    <row r="1071" spans="2:4" s="819" customFormat="1">
      <c r="B1071" s="851"/>
      <c r="C1071" s="851"/>
      <c r="D1071" s="851"/>
    </row>
    <row r="1072" spans="2:4" s="819" customFormat="1">
      <c r="B1072" s="851"/>
      <c r="C1072" s="851"/>
      <c r="D1072" s="851"/>
    </row>
    <row r="1073" spans="2:4" s="819" customFormat="1">
      <c r="B1073" s="851"/>
      <c r="C1073" s="851"/>
      <c r="D1073" s="851"/>
    </row>
    <row r="1074" spans="2:4" s="819" customFormat="1">
      <c r="B1074" s="851"/>
      <c r="C1074" s="851"/>
      <c r="D1074" s="851"/>
    </row>
    <row r="1075" spans="2:4" s="819" customFormat="1">
      <c r="B1075" s="851"/>
      <c r="C1075" s="851"/>
      <c r="D1075" s="851"/>
    </row>
    <row r="1076" spans="2:4" s="819" customFormat="1">
      <c r="B1076" s="851"/>
      <c r="C1076" s="851"/>
      <c r="D1076" s="851"/>
    </row>
    <row r="1077" spans="2:4" s="819" customFormat="1">
      <c r="B1077" s="851"/>
      <c r="C1077" s="851"/>
      <c r="D1077" s="851"/>
    </row>
    <row r="1078" spans="2:4" s="819" customFormat="1">
      <c r="B1078" s="851"/>
      <c r="C1078" s="851"/>
      <c r="D1078" s="851"/>
    </row>
    <row r="1079" spans="2:4" s="819" customFormat="1">
      <c r="B1079" s="851"/>
      <c r="C1079" s="851"/>
      <c r="D1079" s="851"/>
    </row>
    <row r="1080" spans="2:4" s="819" customFormat="1">
      <c r="B1080" s="851"/>
      <c r="C1080" s="851"/>
      <c r="D1080" s="851"/>
    </row>
    <row r="1081" spans="2:4" s="819" customFormat="1">
      <c r="B1081" s="851"/>
      <c r="C1081" s="851"/>
      <c r="D1081" s="851"/>
    </row>
    <row r="1082" spans="2:4" s="819" customFormat="1">
      <c r="B1082" s="851"/>
      <c r="C1082" s="851"/>
      <c r="D1082" s="851"/>
    </row>
    <row r="1083" spans="2:4" s="819" customFormat="1">
      <c r="B1083" s="851"/>
      <c r="C1083" s="851"/>
      <c r="D1083" s="851"/>
    </row>
    <row r="1084" spans="2:4" s="819" customFormat="1">
      <c r="B1084" s="851"/>
      <c r="C1084" s="851"/>
      <c r="D1084" s="851"/>
    </row>
    <row r="1085" spans="2:4" s="819" customFormat="1">
      <c r="B1085" s="851"/>
      <c r="C1085" s="851"/>
      <c r="D1085" s="851"/>
    </row>
    <row r="1086" spans="2:4" s="819" customFormat="1">
      <c r="B1086" s="851"/>
      <c r="C1086" s="851"/>
      <c r="D1086" s="851"/>
    </row>
    <row r="1087" spans="2:4" s="819" customFormat="1">
      <c r="B1087" s="851"/>
      <c r="C1087" s="851"/>
      <c r="D1087" s="851"/>
    </row>
    <row r="1088" spans="2:4" s="819" customFormat="1">
      <c r="B1088" s="851"/>
      <c r="C1088" s="851"/>
      <c r="D1088" s="851"/>
    </row>
    <row r="1089" spans="2:4" s="819" customFormat="1">
      <c r="B1089" s="851"/>
      <c r="C1089" s="851"/>
      <c r="D1089" s="851"/>
    </row>
    <row r="1090" spans="2:4" s="819" customFormat="1">
      <c r="B1090" s="851"/>
      <c r="C1090" s="851"/>
      <c r="D1090" s="851"/>
    </row>
    <row r="1091" spans="2:4" s="819" customFormat="1">
      <c r="B1091" s="851"/>
      <c r="C1091" s="851"/>
      <c r="D1091" s="851"/>
    </row>
    <row r="1092" spans="2:4" s="819" customFormat="1">
      <c r="B1092" s="851"/>
      <c r="C1092" s="851"/>
      <c r="D1092" s="851"/>
    </row>
    <row r="1093" spans="2:4" s="819" customFormat="1">
      <c r="B1093" s="851"/>
      <c r="C1093" s="851"/>
      <c r="D1093" s="851"/>
    </row>
    <row r="1094" spans="2:4" s="819" customFormat="1">
      <c r="B1094" s="851"/>
      <c r="C1094" s="851"/>
      <c r="D1094" s="851"/>
    </row>
    <row r="1095" spans="2:4" s="819" customFormat="1">
      <c r="B1095" s="851"/>
      <c r="C1095" s="851"/>
      <c r="D1095" s="851"/>
    </row>
    <row r="1096" spans="2:4" s="819" customFormat="1">
      <c r="B1096" s="851"/>
      <c r="C1096" s="851"/>
      <c r="D1096" s="851"/>
    </row>
    <row r="1097" spans="2:4" s="819" customFormat="1">
      <c r="B1097" s="851"/>
      <c r="C1097" s="851"/>
      <c r="D1097" s="851"/>
    </row>
    <row r="1098" spans="2:4" s="819" customFormat="1">
      <c r="B1098" s="851"/>
      <c r="C1098" s="851"/>
      <c r="D1098" s="851"/>
    </row>
    <row r="1099" spans="2:4" s="819" customFormat="1">
      <c r="B1099" s="851"/>
      <c r="C1099" s="851"/>
      <c r="D1099" s="851"/>
    </row>
    <row r="1100" spans="2:4" s="819" customFormat="1">
      <c r="B1100" s="851"/>
      <c r="C1100" s="851"/>
      <c r="D1100" s="851"/>
    </row>
    <row r="1101" spans="2:4" s="819" customFormat="1">
      <c r="B1101" s="851"/>
      <c r="C1101" s="851"/>
      <c r="D1101" s="851"/>
    </row>
    <row r="1102" spans="2:4" s="819" customFormat="1">
      <c r="B1102" s="851"/>
      <c r="C1102" s="851"/>
      <c r="D1102" s="851"/>
    </row>
    <row r="1103" spans="2:4" s="819" customFormat="1">
      <c r="B1103" s="851"/>
      <c r="C1103" s="851"/>
      <c r="D1103" s="851"/>
    </row>
    <row r="1104" spans="2:4" s="819" customFormat="1">
      <c r="B1104" s="851"/>
      <c r="C1104" s="851"/>
      <c r="D1104" s="851"/>
    </row>
    <row r="1105" spans="2:4" s="819" customFormat="1">
      <c r="B1105" s="851"/>
      <c r="C1105" s="851"/>
      <c r="D1105" s="851"/>
    </row>
    <row r="1106" spans="2:4" s="819" customFormat="1">
      <c r="B1106" s="851"/>
      <c r="C1106" s="851"/>
      <c r="D1106" s="851"/>
    </row>
    <row r="1107" spans="2:4" s="819" customFormat="1">
      <c r="B1107" s="851"/>
      <c r="C1107" s="851"/>
      <c r="D1107" s="851"/>
    </row>
    <row r="1108" spans="2:4" s="819" customFormat="1">
      <c r="B1108" s="851"/>
      <c r="C1108" s="851"/>
      <c r="D1108" s="851"/>
    </row>
    <row r="1109" spans="2:4" s="819" customFormat="1">
      <c r="B1109" s="851"/>
      <c r="C1109" s="851"/>
      <c r="D1109" s="851"/>
    </row>
    <row r="1110" spans="2:4" s="819" customFormat="1">
      <c r="B1110" s="851"/>
      <c r="C1110" s="851"/>
      <c r="D1110" s="851"/>
    </row>
    <row r="1111" spans="2:4" s="819" customFormat="1">
      <c r="B1111" s="851"/>
      <c r="C1111" s="851"/>
      <c r="D1111" s="851"/>
    </row>
    <row r="1112" spans="2:4" s="819" customFormat="1">
      <c r="B1112" s="851"/>
      <c r="C1112" s="851"/>
      <c r="D1112" s="851"/>
    </row>
    <row r="1113" spans="2:4" s="819" customFormat="1">
      <c r="B1113" s="851"/>
      <c r="C1113" s="851"/>
      <c r="D1113" s="851"/>
    </row>
    <row r="1114" spans="2:4" s="819" customFormat="1">
      <c r="B1114" s="851"/>
      <c r="C1114" s="851"/>
      <c r="D1114" s="851"/>
    </row>
    <row r="1115" spans="2:4" s="819" customFormat="1">
      <c r="B1115" s="851"/>
      <c r="C1115" s="851"/>
      <c r="D1115" s="851"/>
    </row>
    <row r="1116" spans="2:4" s="819" customFormat="1">
      <c r="B1116" s="851"/>
      <c r="C1116" s="851"/>
      <c r="D1116" s="851"/>
    </row>
    <row r="1117" spans="2:4" s="819" customFormat="1">
      <c r="B1117" s="851"/>
      <c r="C1117" s="851"/>
      <c r="D1117" s="851"/>
    </row>
    <row r="1118" spans="2:4" s="819" customFormat="1">
      <c r="B1118" s="851"/>
      <c r="C1118" s="851"/>
      <c r="D1118" s="851"/>
    </row>
    <row r="1119" spans="2:4" s="819" customFormat="1">
      <c r="B1119" s="851"/>
      <c r="C1119" s="851"/>
      <c r="D1119" s="851"/>
    </row>
    <row r="1120" spans="2:4" s="819" customFormat="1">
      <c r="B1120" s="851"/>
      <c r="C1120" s="851"/>
      <c r="D1120" s="851"/>
    </row>
    <row r="1121" spans="2:4" s="819" customFormat="1">
      <c r="B1121" s="851"/>
      <c r="C1121" s="851"/>
      <c r="D1121" s="851"/>
    </row>
    <row r="1122" spans="2:4" s="819" customFormat="1">
      <c r="B1122" s="851"/>
      <c r="C1122" s="851"/>
      <c r="D1122" s="851"/>
    </row>
    <row r="1123" spans="2:4" s="819" customFormat="1">
      <c r="B1123" s="851"/>
      <c r="C1123" s="851"/>
      <c r="D1123" s="851"/>
    </row>
    <row r="1124" spans="2:4" s="819" customFormat="1">
      <c r="B1124" s="851"/>
      <c r="C1124" s="851"/>
      <c r="D1124" s="851"/>
    </row>
    <row r="1125" spans="2:4" s="819" customFormat="1">
      <c r="B1125" s="851"/>
      <c r="C1125" s="851"/>
      <c r="D1125" s="851"/>
    </row>
    <row r="1126" spans="2:4" s="819" customFormat="1">
      <c r="B1126" s="851"/>
      <c r="C1126" s="851"/>
      <c r="D1126" s="851"/>
    </row>
    <row r="1127" spans="2:4" s="819" customFormat="1">
      <c r="B1127" s="851"/>
      <c r="C1127" s="851"/>
      <c r="D1127" s="851"/>
    </row>
    <row r="1128" spans="2:4" s="819" customFormat="1">
      <c r="B1128" s="851"/>
      <c r="C1128" s="851"/>
      <c r="D1128" s="851"/>
    </row>
    <row r="1129" spans="2:4" s="819" customFormat="1">
      <c r="B1129" s="851"/>
      <c r="C1129" s="851"/>
      <c r="D1129" s="851"/>
    </row>
    <row r="1130" spans="2:4" s="819" customFormat="1">
      <c r="B1130" s="851"/>
      <c r="C1130" s="851"/>
      <c r="D1130" s="851"/>
    </row>
    <row r="1131" spans="2:4" s="819" customFormat="1">
      <c r="B1131" s="851"/>
      <c r="C1131" s="851"/>
      <c r="D1131" s="851"/>
    </row>
    <row r="1132" spans="2:4" s="819" customFormat="1">
      <c r="B1132" s="851"/>
      <c r="C1132" s="851"/>
      <c r="D1132" s="851"/>
    </row>
    <row r="1133" spans="2:4" s="819" customFormat="1">
      <c r="B1133" s="851"/>
      <c r="C1133" s="851"/>
      <c r="D1133" s="851"/>
    </row>
    <row r="1134" spans="2:4" s="819" customFormat="1">
      <c r="B1134" s="851"/>
      <c r="C1134" s="851"/>
      <c r="D1134" s="851"/>
    </row>
    <row r="1135" spans="2:4" s="819" customFormat="1">
      <c r="B1135" s="851"/>
      <c r="C1135" s="851"/>
      <c r="D1135" s="851"/>
    </row>
    <row r="1136" spans="2:4" s="819" customFormat="1">
      <c r="B1136" s="851"/>
      <c r="C1136" s="851"/>
      <c r="D1136" s="851"/>
    </row>
    <row r="1137" spans="2:4" s="819" customFormat="1">
      <c r="B1137" s="851"/>
      <c r="C1137" s="851"/>
      <c r="D1137" s="851"/>
    </row>
    <row r="1138" spans="2:4" s="819" customFormat="1">
      <c r="B1138" s="851"/>
      <c r="C1138" s="851"/>
      <c r="D1138" s="851"/>
    </row>
    <row r="1139" spans="2:4" s="819" customFormat="1">
      <c r="B1139" s="851"/>
      <c r="C1139" s="851"/>
      <c r="D1139" s="851"/>
    </row>
    <row r="1140" spans="2:4" s="819" customFormat="1">
      <c r="B1140" s="851"/>
      <c r="C1140" s="851"/>
      <c r="D1140" s="851"/>
    </row>
    <row r="1141" spans="2:4" s="819" customFormat="1">
      <c r="B1141" s="851"/>
      <c r="C1141" s="851"/>
      <c r="D1141" s="851"/>
    </row>
    <row r="1142" spans="2:4" s="819" customFormat="1">
      <c r="B1142" s="851"/>
      <c r="C1142" s="851"/>
      <c r="D1142" s="851"/>
    </row>
    <row r="1143" spans="2:4" s="819" customFormat="1">
      <c r="B1143" s="851"/>
      <c r="C1143" s="851"/>
      <c r="D1143" s="851"/>
    </row>
    <row r="1144" spans="2:4" s="819" customFormat="1">
      <c r="B1144" s="851"/>
      <c r="C1144" s="851"/>
      <c r="D1144" s="851"/>
    </row>
    <row r="1145" spans="2:4" s="819" customFormat="1">
      <c r="B1145" s="851"/>
      <c r="C1145" s="851"/>
      <c r="D1145" s="851"/>
    </row>
    <row r="1146" spans="2:4" s="819" customFormat="1">
      <c r="B1146" s="851"/>
      <c r="C1146" s="851"/>
      <c r="D1146" s="851"/>
    </row>
    <row r="1147" spans="2:4" s="819" customFormat="1">
      <c r="B1147" s="851"/>
      <c r="C1147" s="851"/>
      <c r="D1147" s="851"/>
    </row>
    <row r="1148" spans="2:4" s="819" customFormat="1">
      <c r="B1148" s="851"/>
      <c r="C1148" s="851"/>
      <c r="D1148" s="851"/>
    </row>
    <row r="1149" spans="2:4" s="819" customFormat="1">
      <c r="B1149" s="851"/>
      <c r="C1149" s="851"/>
      <c r="D1149" s="851"/>
    </row>
    <row r="1150" spans="2:4" s="819" customFormat="1">
      <c r="B1150" s="851"/>
      <c r="C1150" s="851"/>
      <c r="D1150" s="851"/>
    </row>
    <row r="1151" spans="2:4" s="819" customFormat="1">
      <c r="B1151" s="851"/>
      <c r="C1151" s="851"/>
      <c r="D1151" s="851"/>
    </row>
    <row r="1152" spans="2:4" s="819" customFormat="1">
      <c r="B1152" s="851"/>
      <c r="C1152" s="851"/>
      <c r="D1152" s="851"/>
    </row>
    <row r="1153" spans="2:4" s="819" customFormat="1">
      <c r="B1153" s="851"/>
      <c r="C1153" s="851"/>
      <c r="D1153" s="851"/>
    </row>
    <row r="1154" spans="2:4" s="819" customFormat="1">
      <c r="B1154" s="851"/>
      <c r="C1154" s="851"/>
      <c r="D1154" s="851"/>
    </row>
    <row r="1155" spans="2:4" s="819" customFormat="1">
      <c r="B1155" s="851"/>
      <c r="C1155" s="851"/>
      <c r="D1155" s="851"/>
    </row>
    <row r="1156" spans="2:4" s="819" customFormat="1">
      <c r="B1156" s="851"/>
      <c r="C1156" s="851"/>
      <c r="D1156" s="851"/>
    </row>
    <row r="1157" spans="2:4" s="819" customFormat="1">
      <c r="B1157" s="851"/>
      <c r="C1157" s="851"/>
      <c r="D1157" s="851"/>
    </row>
    <row r="1158" spans="2:4" s="819" customFormat="1">
      <c r="B1158" s="851"/>
      <c r="C1158" s="851"/>
      <c r="D1158" s="851"/>
    </row>
    <row r="1159" spans="2:4" s="819" customFormat="1">
      <c r="B1159" s="851"/>
      <c r="C1159" s="851"/>
      <c r="D1159" s="851"/>
    </row>
    <row r="1160" spans="2:4" s="819" customFormat="1">
      <c r="B1160" s="851"/>
      <c r="C1160" s="851"/>
      <c r="D1160" s="851"/>
    </row>
    <row r="1161" spans="2:4" s="819" customFormat="1">
      <c r="B1161" s="851"/>
      <c r="C1161" s="851"/>
      <c r="D1161" s="851"/>
    </row>
    <row r="1162" spans="2:4" s="819" customFormat="1">
      <c r="B1162" s="851"/>
      <c r="C1162" s="851"/>
      <c r="D1162" s="851"/>
    </row>
    <row r="1163" spans="2:4" s="819" customFormat="1">
      <c r="B1163" s="851"/>
      <c r="C1163" s="851"/>
      <c r="D1163" s="851"/>
    </row>
    <row r="1164" spans="2:4" s="819" customFormat="1">
      <c r="B1164" s="851"/>
      <c r="C1164" s="851"/>
      <c r="D1164" s="851"/>
    </row>
    <row r="1165" spans="2:4" s="819" customFormat="1">
      <c r="B1165" s="851"/>
      <c r="C1165" s="851"/>
      <c r="D1165" s="851"/>
    </row>
    <row r="1166" spans="2:4" s="819" customFormat="1">
      <c r="B1166" s="851"/>
      <c r="C1166" s="851"/>
      <c r="D1166" s="851"/>
    </row>
    <row r="1167" spans="2:4" s="819" customFormat="1">
      <c r="B1167" s="851"/>
      <c r="C1167" s="851"/>
      <c r="D1167" s="851"/>
    </row>
    <row r="1168" spans="2:4" s="819" customFormat="1">
      <c r="B1168" s="851"/>
      <c r="C1168" s="851"/>
      <c r="D1168" s="851"/>
    </row>
    <row r="1169" spans="2:4" s="819" customFormat="1">
      <c r="B1169" s="851"/>
      <c r="C1169" s="851"/>
      <c r="D1169" s="851"/>
    </row>
    <row r="1170" spans="2:4" s="819" customFormat="1">
      <c r="B1170" s="851"/>
      <c r="C1170" s="851"/>
      <c r="D1170" s="851"/>
    </row>
    <row r="1171" spans="2:4" s="819" customFormat="1">
      <c r="B1171" s="851"/>
      <c r="C1171" s="851"/>
      <c r="D1171" s="851"/>
    </row>
    <row r="1172" spans="2:4" s="819" customFormat="1">
      <c r="B1172" s="851"/>
      <c r="C1172" s="851"/>
      <c r="D1172" s="851"/>
    </row>
    <row r="1173" spans="2:4" s="819" customFormat="1">
      <c r="B1173" s="851"/>
      <c r="C1173" s="851"/>
      <c r="D1173" s="851"/>
    </row>
    <row r="1174" spans="2:4" s="819" customFormat="1">
      <c r="B1174" s="851"/>
      <c r="C1174" s="851"/>
      <c r="D1174" s="851"/>
    </row>
    <row r="1175" spans="2:4" s="819" customFormat="1">
      <c r="B1175" s="851"/>
      <c r="C1175" s="851"/>
      <c r="D1175" s="851"/>
    </row>
    <row r="1176" spans="2:4" s="819" customFormat="1">
      <c r="B1176" s="851"/>
      <c r="C1176" s="851"/>
      <c r="D1176" s="851"/>
    </row>
    <row r="1177" spans="2:4" s="819" customFormat="1">
      <c r="B1177" s="851"/>
      <c r="C1177" s="851"/>
      <c r="D1177" s="851"/>
    </row>
    <row r="1178" spans="2:4" s="819" customFormat="1">
      <c r="B1178" s="851"/>
      <c r="C1178" s="851"/>
      <c r="D1178" s="851"/>
    </row>
    <row r="1179" spans="2:4" s="819" customFormat="1">
      <c r="B1179" s="851"/>
      <c r="C1179" s="851"/>
      <c r="D1179" s="851"/>
    </row>
    <row r="1180" spans="2:4" s="819" customFormat="1">
      <c r="B1180" s="851"/>
      <c r="C1180" s="851"/>
      <c r="D1180" s="851"/>
    </row>
    <row r="1181" spans="2:4" s="819" customFormat="1">
      <c r="B1181" s="851"/>
      <c r="C1181" s="851"/>
      <c r="D1181" s="851"/>
    </row>
    <row r="1182" spans="2:4" s="819" customFormat="1">
      <c r="B1182" s="851"/>
      <c r="C1182" s="851"/>
      <c r="D1182" s="851"/>
    </row>
    <row r="1183" spans="2:4" s="819" customFormat="1">
      <c r="B1183" s="851"/>
      <c r="C1183" s="851"/>
      <c r="D1183" s="851"/>
    </row>
    <row r="1184" spans="2:4" s="819" customFormat="1">
      <c r="B1184" s="851"/>
      <c r="C1184" s="851"/>
      <c r="D1184" s="851"/>
    </row>
    <row r="1185" spans="2:4" s="819" customFormat="1">
      <c r="B1185" s="851"/>
      <c r="C1185" s="851"/>
      <c r="D1185" s="851"/>
    </row>
    <row r="1186" spans="2:4" s="819" customFormat="1">
      <c r="B1186" s="851"/>
      <c r="C1186" s="851"/>
      <c r="D1186" s="851"/>
    </row>
    <row r="1187" spans="2:4" s="819" customFormat="1">
      <c r="B1187" s="851"/>
      <c r="C1187" s="851"/>
      <c r="D1187" s="851"/>
    </row>
    <row r="1188" spans="2:4" s="819" customFormat="1">
      <c r="B1188" s="851"/>
      <c r="C1188" s="851"/>
      <c r="D1188" s="851"/>
    </row>
    <row r="1189" spans="2:4" s="819" customFormat="1">
      <c r="B1189" s="851"/>
      <c r="C1189" s="851"/>
      <c r="D1189" s="851"/>
    </row>
    <row r="1190" spans="2:4" s="819" customFormat="1">
      <c r="B1190" s="851"/>
      <c r="C1190" s="851"/>
      <c r="D1190" s="851"/>
    </row>
    <row r="1191" spans="2:4" s="819" customFormat="1">
      <c r="B1191" s="851"/>
      <c r="C1191" s="851"/>
      <c r="D1191" s="851"/>
    </row>
    <row r="1192" spans="2:4" s="819" customFormat="1">
      <c r="B1192" s="851"/>
      <c r="C1192" s="851"/>
      <c r="D1192" s="851"/>
    </row>
    <row r="1193" spans="2:4" s="819" customFormat="1">
      <c r="B1193" s="851"/>
      <c r="C1193" s="851"/>
      <c r="D1193" s="851"/>
    </row>
    <row r="1194" spans="2:4" s="819" customFormat="1">
      <c r="B1194" s="851"/>
      <c r="C1194" s="851"/>
      <c r="D1194" s="851"/>
    </row>
    <row r="1195" spans="2:4" s="819" customFormat="1">
      <c r="B1195" s="851"/>
      <c r="C1195" s="851"/>
      <c r="D1195" s="851"/>
    </row>
    <row r="1196" spans="2:4" s="819" customFormat="1">
      <c r="B1196" s="851"/>
      <c r="C1196" s="851"/>
      <c r="D1196" s="851"/>
    </row>
    <row r="1197" spans="2:4" s="819" customFormat="1">
      <c r="B1197" s="851"/>
      <c r="C1197" s="851"/>
      <c r="D1197" s="851"/>
    </row>
    <row r="1198" spans="2:4" s="819" customFormat="1">
      <c r="B1198" s="851"/>
      <c r="C1198" s="851"/>
      <c r="D1198" s="851"/>
    </row>
    <row r="1199" spans="2:4" s="819" customFormat="1">
      <c r="B1199" s="851"/>
      <c r="C1199" s="851"/>
      <c r="D1199" s="851"/>
    </row>
    <row r="1200" spans="2:4" s="819" customFormat="1">
      <c r="B1200" s="851"/>
      <c r="C1200" s="851"/>
      <c r="D1200" s="851"/>
    </row>
    <row r="1201" spans="2:4" s="819" customFormat="1">
      <c r="B1201" s="851"/>
      <c r="C1201" s="851"/>
      <c r="D1201" s="851"/>
    </row>
    <row r="1202" spans="2:4" s="819" customFormat="1">
      <c r="B1202" s="851"/>
      <c r="C1202" s="851"/>
      <c r="D1202" s="851"/>
    </row>
    <row r="1203" spans="2:4" s="819" customFormat="1">
      <c r="B1203" s="851"/>
      <c r="C1203" s="851"/>
      <c r="D1203" s="851"/>
    </row>
    <row r="1204" spans="2:4" s="819" customFormat="1">
      <c r="B1204" s="851"/>
      <c r="C1204" s="851"/>
      <c r="D1204" s="851"/>
    </row>
    <row r="1205" spans="2:4" s="819" customFormat="1">
      <c r="B1205" s="851"/>
      <c r="C1205" s="851"/>
      <c r="D1205" s="851"/>
    </row>
    <row r="1206" spans="2:4" s="819" customFormat="1">
      <c r="B1206" s="851"/>
      <c r="C1206" s="851"/>
      <c r="D1206" s="851"/>
    </row>
    <row r="1207" spans="2:4" s="819" customFormat="1">
      <c r="B1207" s="851"/>
      <c r="C1207" s="851"/>
      <c r="D1207" s="851"/>
    </row>
    <row r="1208" spans="2:4" s="819" customFormat="1">
      <c r="B1208" s="851"/>
      <c r="C1208" s="851"/>
      <c r="D1208" s="851"/>
    </row>
    <row r="1209" spans="2:4" s="819" customFormat="1">
      <c r="B1209" s="851"/>
      <c r="C1209" s="851"/>
      <c r="D1209" s="851"/>
    </row>
    <row r="1210" spans="2:4" s="819" customFormat="1">
      <c r="B1210" s="851"/>
      <c r="C1210" s="851"/>
      <c r="D1210" s="851"/>
    </row>
    <row r="1211" spans="2:4" s="819" customFormat="1">
      <c r="B1211" s="851"/>
      <c r="C1211" s="851"/>
      <c r="D1211" s="851"/>
    </row>
    <row r="1212" spans="2:4" s="819" customFormat="1">
      <c r="B1212" s="851"/>
      <c r="C1212" s="851"/>
      <c r="D1212" s="851"/>
    </row>
    <row r="1213" spans="2:4" s="819" customFormat="1">
      <c r="B1213" s="851"/>
      <c r="C1213" s="851"/>
      <c r="D1213" s="851"/>
    </row>
    <row r="1214" spans="2:4" s="819" customFormat="1">
      <c r="B1214" s="851"/>
      <c r="C1214" s="851"/>
      <c r="D1214" s="851"/>
    </row>
    <row r="1215" spans="2:4" s="819" customFormat="1">
      <c r="B1215" s="851"/>
      <c r="C1215" s="851"/>
      <c r="D1215" s="851"/>
    </row>
    <row r="1216" spans="2:4" s="819" customFormat="1">
      <c r="B1216" s="851"/>
      <c r="C1216" s="851"/>
      <c r="D1216" s="851"/>
    </row>
    <row r="1217" spans="2:4" s="819" customFormat="1">
      <c r="B1217" s="851"/>
      <c r="C1217" s="851"/>
      <c r="D1217" s="851"/>
    </row>
    <row r="1218" spans="2:4" s="819" customFormat="1">
      <c r="B1218" s="851"/>
      <c r="C1218" s="851"/>
      <c r="D1218" s="851"/>
    </row>
    <row r="1219" spans="2:4" s="819" customFormat="1">
      <c r="B1219" s="851"/>
      <c r="C1219" s="851"/>
      <c r="D1219" s="851"/>
    </row>
    <row r="1220" spans="2:4" s="819" customFormat="1">
      <c r="B1220" s="851"/>
      <c r="C1220" s="851"/>
      <c r="D1220" s="851"/>
    </row>
    <row r="1221" spans="2:4" s="819" customFormat="1">
      <c r="B1221" s="851"/>
      <c r="C1221" s="851"/>
      <c r="D1221" s="851"/>
    </row>
    <row r="1222" spans="2:4" s="819" customFormat="1">
      <c r="B1222" s="851"/>
      <c r="C1222" s="851"/>
      <c r="D1222" s="851"/>
    </row>
    <row r="1223" spans="2:4" s="819" customFormat="1">
      <c r="B1223" s="851"/>
      <c r="C1223" s="851"/>
      <c r="D1223" s="851"/>
    </row>
    <row r="1224" spans="2:4" s="819" customFormat="1">
      <c r="B1224" s="851"/>
      <c r="C1224" s="851"/>
      <c r="D1224" s="851"/>
    </row>
    <row r="1225" spans="2:4" s="819" customFormat="1">
      <c r="B1225" s="851"/>
      <c r="C1225" s="851"/>
      <c r="D1225" s="851"/>
    </row>
    <row r="1226" spans="2:4" s="819" customFormat="1">
      <c r="B1226" s="851"/>
      <c r="C1226" s="851"/>
      <c r="D1226" s="851"/>
    </row>
    <row r="1227" spans="2:4" s="819" customFormat="1">
      <c r="B1227" s="851"/>
      <c r="C1227" s="851"/>
      <c r="D1227" s="851"/>
    </row>
    <row r="1228" spans="2:4" s="819" customFormat="1">
      <c r="B1228" s="851"/>
      <c r="C1228" s="851"/>
      <c r="D1228" s="851"/>
    </row>
    <row r="1229" spans="2:4" s="819" customFormat="1">
      <c r="B1229" s="851"/>
      <c r="C1229" s="851"/>
      <c r="D1229" s="851"/>
    </row>
    <row r="1230" spans="2:4" s="819" customFormat="1">
      <c r="B1230" s="851"/>
      <c r="C1230" s="851"/>
      <c r="D1230" s="851"/>
    </row>
    <row r="1231" spans="2:4" s="819" customFormat="1">
      <c r="B1231" s="851"/>
      <c r="C1231" s="851"/>
      <c r="D1231" s="851"/>
    </row>
    <row r="1232" spans="2:4" s="819" customFormat="1">
      <c r="B1232" s="851"/>
      <c r="C1232" s="851"/>
      <c r="D1232" s="851"/>
    </row>
    <row r="1233" spans="2:4" s="819" customFormat="1">
      <c r="B1233" s="851"/>
      <c r="C1233" s="851"/>
      <c r="D1233" s="851"/>
    </row>
    <row r="1234" spans="2:4" s="819" customFormat="1">
      <c r="B1234" s="851"/>
      <c r="C1234" s="851"/>
      <c r="D1234" s="851"/>
    </row>
    <row r="1235" spans="2:4" s="819" customFormat="1">
      <c r="B1235" s="851"/>
      <c r="C1235" s="851"/>
      <c r="D1235" s="851"/>
    </row>
    <row r="1236" spans="2:4" s="819" customFormat="1">
      <c r="B1236" s="851"/>
      <c r="C1236" s="851"/>
      <c r="D1236" s="851"/>
    </row>
    <row r="1237" spans="2:4" s="819" customFormat="1">
      <c r="B1237" s="851"/>
      <c r="C1237" s="851"/>
      <c r="D1237" s="851"/>
    </row>
    <row r="1238" spans="2:4" s="819" customFormat="1">
      <c r="B1238" s="851"/>
      <c r="C1238" s="851"/>
      <c r="D1238" s="851"/>
    </row>
    <row r="1239" spans="2:4" s="819" customFormat="1">
      <c r="B1239" s="851"/>
      <c r="C1239" s="851"/>
      <c r="D1239" s="851"/>
    </row>
    <row r="1240" spans="2:4" s="819" customFormat="1">
      <c r="B1240" s="851"/>
      <c r="C1240" s="851"/>
      <c r="D1240" s="851"/>
    </row>
    <row r="1241" spans="2:4" s="819" customFormat="1">
      <c r="B1241" s="851"/>
      <c r="C1241" s="851"/>
      <c r="D1241" s="851"/>
    </row>
    <row r="1242" spans="2:4" s="819" customFormat="1">
      <c r="B1242" s="851"/>
      <c r="C1242" s="851"/>
      <c r="D1242" s="851"/>
    </row>
    <row r="1243" spans="2:4" s="819" customFormat="1">
      <c r="B1243" s="851"/>
      <c r="C1243" s="851"/>
      <c r="D1243" s="851"/>
    </row>
    <row r="1244" spans="2:4" s="819" customFormat="1">
      <c r="B1244" s="851"/>
      <c r="C1244" s="851"/>
      <c r="D1244" s="851"/>
    </row>
    <row r="1245" spans="2:4" s="819" customFormat="1">
      <c r="B1245" s="851"/>
      <c r="C1245" s="851"/>
      <c r="D1245" s="851"/>
    </row>
    <row r="1246" spans="2:4" s="819" customFormat="1">
      <c r="B1246" s="851"/>
      <c r="C1246" s="851"/>
      <c r="D1246" s="851"/>
    </row>
    <row r="1247" spans="2:4" s="819" customFormat="1">
      <c r="B1247" s="851"/>
      <c r="C1247" s="851"/>
      <c r="D1247" s="851"/>
    </row>
    <row r="1248" spans="2:4" s="819" customFormat="1">
      <c r="B1248" s="851"/>
      <c r="C1248" s="851"/>
      <c r="D1248" s="851"/>
    </row>
    <row r="1249" spans="2:4" s="819" customFormat="1">
      <c r="B1249" s="851"/>
      <c r="C1249" s="851"/>
      <c r="D1249" s="851"/>
    </row>
    <row r="1250" spans="2:4" s="819" customFormat="1">
      <c r="B1250" s="851"/>
      <c r="C1250" s="851"/>
      <c r="D1250" s="851"/>
    </row>
    <row r="1251" spans="2:4" s="819" customFormat="1">
      <c r="B1251" s="851"/>
      <c r="C1251" s="851"/>
      <c r="D1251" s="851"/>
    </row>
    <row r="1252" spans="2:4" s="819" customFormat="1">
      <c r="B1252" s="851"/>
      <c r="C1252" s="851"/>
      <c r="D1252" s="851"/>
    </row>
    <row r="1253" spans="2:4" s="819" customFormat="1">
      <c r="B1253" s="851"/>
      <c r="C1253" s="851"/>
      <c r="D1253" s="851"/>
    </row>
    <row r="1254" spans="2:4" s="819" customFormat="1">
      <c r="B1254" s="851"/>
      <c r="C1254" s="851"/>
      <c r="D1254" s="851"/>
    </row>
    <row r="1255" spans="2:4" s="819" customFormat="1">
      <c r="B1255" s="851"/>
      <c r="C1255" s="851"/>
      <c r="D1255" s="851"/>
    </row>
    <row r="1256" spans="2:4" s="819" customFormat="1">
      <c r="B1256" s="851"/>
      <c r="C1256" s="851"/>
      <c r="D1256" s="851"/>
    </row>
    <row r="1257" spans="2:4" s="819" customFormat="1">
      <c r="B1257" s="851"/>
      <c r="C1257" s="851"/>
      <c r="D1257" s="851"/>
    </row>
    <row r="1258" spans="2:4" s="819" customFormat="1">
      <c r="B1258" s="851"/>
      <c r="C1258" s="851"/>
      <c r="D1258" s="851"/>
    </row>
    <row r="1259" spans="2:4" s="819" customFormat="1">
      <c r="B1259" s="851"/>
      <c r="C1259" s="851"/>
      <c r="D1259" s="851"/>
    </row>
    <row r="1260" spans="2:4" s="819" customFormat="1">
      <c r="B1260" s="851"/>
      <c r="C1260" s="851"/>
      <c r="D1260" s="851"/>
    </row>
    <row r="1261" spans="2:4" s="819" customFormat="1">
      <c r="B1261" s="851"/>
      <c r="C1261" s="851"/>
      <c r="D1261" s="851"/>
    </row>
    <row r="1262" spans="2:4" s="819" customFormat="1">
      <c r="B1262" s="851"/>
      <c r="C1262" s="851"/>
      <c r="D1262" s="851"/>
    </row>
    <row r="1263" spans="2:4" s="819" customFormat="1">
      <c r="B1263" s="851"/>
      <c r="C1263" s="851"/>
      <c r="D1263" s="851"/>
    </row>
    <row r="1264" spans="2:4" s="819" customFormat="1">
      <c r="B1264" s="851"/>
      <c r="C1264" s="851"/>
      <c r="D1264" s="851"/>
    </row>
    <row r="1265" spans="2:4" s="819" customFormat="1">
      <c r="B1265" s="851"/>
      <c r="C1265" s="851"/>
      <c r="D1265" s="851"/>
    </row>
    <row r="1266" spans="2:4" s="819" customFormat="1">
      <c r="B1266" s="851"/>
      <c r="C1266" s="851"/>
      <c r="D1266" s="851"/>
    </row>
    <row r="1267" spans="2:4" s="819" customFormat="1">
      <c r="B1267" s="851"/>
      <c r="C1267" s="851"/>
      <c r="D1267" s="851"/>
    </row>
    <row r="1268" spans="2:4" s="819" customFormat="1">
      <c r="B1268" s="851"/>
      <c r="C1268" s="851"/>
      <c r="D1268" s="851"/>
    </row>
    <row r="1269" spans="2:4" s="819" customFormat="1">
      <c r="B1269" s="851"/>
      <c r="C1269" s="851"/>
      <c r="D1269" s="851"/>
    </row>
    <row r="1270" spans="2:4" s="819" customFormat="1">
      <c r="B1270" s="851"/>
      <c r="C1270" s="851"/>
      <c r="D1270" s="851"/>
    </row>
    <row r="1271" spans="2:4" s="819" customFormat="1">
      <c r="B1271" s="851"/>
      <c r="C1271" s="851"/>
      <c r="D1271" s="851"/>
    </row>
    <row r="1272" spans="2:4" s="819" customFormat="1">
      <c r="B1272" s="851"/>
      <c r="C1272" s="851"/>
      <c r="D1272" s="851"/>
    </row>
    <row r="1273" spans="2:4" s="819" customFormat="1">
      <c r="B1273" s="851"/>
      <c r="C1273" s="851"/>
      <c r="D1273" s="851"/>
    </row>
    <row r="1274" spans="2:4" s="819" customFormat="1">
      <c r="B1274" s="851"/>
      <c r="C1274" s="851"/>
      <c r="D1274" s="851"/>
    </row>
    <row r="1275" spans="2:4" s="819" customFormat="1">
      <c r="B1275" s="851"/>
      <c r="C1275" s="851"/>
      <c r="D1275" s="851"/>
    </row>
    <row r="1276" spans="2:4" s="819" customFormat="1">
      <c r="B1276" s="851"/>
      <c r="C1276" s="851"/>
      <c r="D1276" s="851"/>
    </row>
    <row r="1277" spans="2:4" s="819" customFormat="1">
      <c r="B1277" s="851"/>
      <c r="C1277" s="851"/>
      <c r="D1277" s="851"/>
    </row>
    <row r="1278" spans="2:4" s="819" customFormat="1">
      <c r="B1278" s="851"/>
      <c r="C1278" s="851"/>
      <c r="D1278" s="851"/>
    </row>
    <row r="1279" spans="2:4" s="819" customFormat="1">
      <c r="B1279" s="851"/>
      <c r="C1279" s="851"/>
      <c r="D1279" s="851"/>
    </row>
    <row r="1280" spans="2:4" s="819" customFormat="1">
      <c r="B1280" s="851"/>
      <c r="C1280" s="851"/>
      <c r="D1280" s="851"/>
    </row>
    <row r="1281" spans="2:4" s="819" customFormat="1">
      <c r="B1281" s="851"/>
      <c r="C1281" s="851"/>
      <c r="D1281" s="851"/>
    </row>
    <row r="1282" spans="2:4" s="819" customFormat="1">
      <c r="B1282" s="851"/>
      <c r="C1282" s="851"/>
      <c r="D1282" s="851"/>
    </row>
    <row r="1283" spans="2:4" s="819" customFormat="1">
      <c r="B1283" s="851"/>
      <c r="C1283" s="851"/>
      <c r="D1283" s="851"/>
    </row>
    <row r="1284" spans="2:4" s="819" customFormat="1">
      <c r="B1284" s="851"/>
      <c r="C1284" s="851"/>
      <c r="D1284" s="851"/>
    </row>
    <row r="1285" spans="2:4" s="819" customFormat="1">
      <c r="B1285" s="851"/>
      <c r="C1285" s="851"/>
      <c r="D1285" s="851"/>
    </row>
    <row r="1286" spans="2:4" s="819" customFormat="1">
      <c r="B1286" s="851"/>
      <c r="C1286" s="851"/>
      <c r="D1286" s="851"/>
    </row>
    <row r="1287" spans="2:4" s="819" customFormat="1">
      <c r="B1287" s="851"/>
      <c r="C1287" s="851"/>
      <c r="D1287" s="851"/>
    </row>
    <row r="1288" spans="2:4" s="819" customFormat="1">
      <c r="B1288" s="851"/>
      <c r="C1288" s="851"/>
      <c r="D1288" s="851"/>
    </row>
    <row r="1289" spans="2:4" s="819" customFormat="1">
      <c r="B1289" s="851"/>
      <c r="C1289" s="851"/>
      <c r="D1289" s="851"/>
    </row>
    <row r="1290" spans="2:4" s="819" customFormat="1">
      <c r="B1290" s="851"/>
      <c r="C1290" s="851"/>
      <c r="D1290" s="851"/>
    </row>
    <row r="1291" spans="2:4" s="819" customFormat="1">
      <c r="B1291" s="851"/>
      <c r="C1291" s="851"/>
      <c r="D1291" s="851"/>
    </row>
    <row r="1292" spans="2:4" s="819" customFormat="1">
      <c r="B1292" s="851"/>
      <c r="C1292" s="851"/>
      <c r="D1292" s="851"/>
    </row>
    <row r="1293" spans="2:4" s="819" customFormat="1">
      <c r="B1293" s="851"/>
      <c r="C1293" s="851"/>
      <c r="D1293" s="851"/>
    </row>
    <row r="1294" spans="2:4" s="819" customFormat="1">
      <c r="B1294" s="851"/>
      <c r="C1294" s="851"/>
      <c r="D1294" s="851"/>
    </row>
    <row r="1295" spans="2:4" s="819" customFormat="1">
      <c r="B1295" s="851"/>
      <c r="C1295" s="851"/>
      <c r="D1295" s="851"/>
    </row>
    <row r="1296" spans="2:4" s="819" customFormat="1">
      <c r="B1296" s="851"/>
      <c r="C1296" s="851"/>
      <c r="D1296" s="851"/>
    </row>
    <row r="1297" spans="2:4" s="819" customFormat="1">
      <c r="B1297" s="851"/>
      <c r="C1297" s="851"/>
      <c r="D1297" s="851"/>
    </row>
    <row r="1298" spans="2:4" s="819" customFormat="1">
      <c r="B1298" s="851"/>
      <c r="C1298" s="851"/>
      <c r="D1298" s="851"/>
    </row>
    <row r="1299" spans="2:4" s="819" customFormat="1">
      <c r="B1299" s="851"/>
      <c r="C1299" s="851"/>
      <c r="D1299" s="851"/>
    </row>
    <row r="1300" spans="2:4" s="819" customFormat="1">
      <c r="B1300" s="851"/>
      <c r="C1300" s="851"/>
      <c r="D1300" s="851"/>
    </row>
    <row r="1301" spans="2:4" s="819" customFormat="1">
      <c r="B1301" s="851"/>
      <c r="C1301" s="851"/>
      <c r="D1301" s="851"/>
    </row>
    <row r="1302" spans="2:4" s="819" customFormat="1">
      <c r="B1302" s="851"/>
      <c r="C1302" s="851"/>
      <c r="D1302" s="851"/>
    </row>
    <row r="1303" spans="2:4" s="819" customFormat="1">
      <c r="B1303" s="851"/>
      <c r="C1303" s="851"/>
      <c r="D1303" s="851"/>
    </row>
    <row r="1304" spans="2:4" s="819" customFormat="1">
      <c r="B1304" s="851"/>
      <c r="C1304" s="851"/>
      <c r="D1304" s="851"/>
    </row>
    <row r="1305" spans="2:4" s="819" customFormat="1">
      <c r="B1305" s="851"/>
      <c r="C1305" s="851"/>
      <c r="D1305" s="851"/>
    </row>
    <row r="1306" spans="2:4" s="819" customFormat="1">
      <c r="B1306" s="851"/>
      <c r="C1306" s="851"/>
      <c r="D1306" s="851"/>
    </row>
    <row r="1307" spans="2:4" s="819" customFormat="1">
      <c r="B1307" s="851"/>
      <c r="C1307" s="851"/>
      <c r="D1307" s="851"/>
    </row>
    <row r="1308" spans="2:4" s="819" customFormat="1">
      <c r="B1308" s="851"/>
      <c r="C1308" s="851"/>
      <c r="D1308" s="851"/>
    </row>
    <row r="1309" spans="2:4" s="819" customFormat="1">
      <c r="B1309" s="851"/>
      <c r="C1309" s="851"/>
      <c r="D1309" s="851"/>
    </row>
    <row r="1310" spans="2:4" s="819" customFormat="1">
      <c r="B1310" s="851"/>
      <c r="C1310" s="851"/>
      <c r="D1310" s="851"/>
    </row>
    <row r="1311" spans="2:4" s="819" customFormat="1">
      <c r="B1311" s="851"/>
      <c r="C1311" s="851"/>
      <c r="D1311" s="851"/>
    </row>
    <row r="1312" spans="2:4" s="819" customFormat="1">
      <c r="B1312" s="851"/>
      <c r="C1312" s="851"/>
      <c r="D1312" s="851"/>
    </row>
    <row r="1313" spans="2:4" s="819" customFormat="1">
      <c r="B1313" s="851"/>
      <c r="C1313" s="851"/>
      <c r="D1313" s="851"/>
    </row>
    <row r="1314" spans="2:4" s="819" customFormat="1">
      <c r="B1314" s="851"/>
      <c r="C1314" s="851"/>
      <c r="D1314" s="851"/>
    </row>
    <row r="1315" spans="2:4" s="819" customFormat="1">
      <c r="B1315" s="851"/>
      <c r="C1315" s="851"/>
      <c r="D1315" s="851"/>
    </row>
    <row r="1316" spans="2:4" s="819" customFormat="1">
      <c r="B1316" s="851"/>
      <c r="C1316" s="851"/>
      <c r="D1316" s="851"/>
    </row>
    <row r="1317" spans="2:4" s="819" customFormat="1">
      <c r="B1317" s="851"/>
      <c r="C1317" s="851"/>
      <c r="D1317" s="851"/>
    </row>
    <row r="1318" spans="2:4" s="819" customFormat="1">
      <c r="B1318" s="851"/>
      <c r="C1318" s="851"/>
      <c r="D1318" s="851"/>
    </row>
    <row r="1319" spans="2:4" s="819" customFormat="1">
      <c r="B1319" s="851"/>
      <c r="C1319" s="851"/>
      <c r="D1319" s="851"/>
    </row>
    <row r="1320" spans="2:4" s="819" customFormat="1">
      <c r="B1320" s="851"/>
      <c r="C1320" s="851"/>
      <c r="D1320" s="851"/>
    </row>
    <row r="1321" spans="2:4" s="819" customFormat="1">
      <c r="B1321" s="851"/>
      <c r="C1321" s="851"/>
      <c r="D1321" s="851"/>
    </row>
    <row r="1322" spans="2:4" s="819" customFormat="1">
      <c r="B1322" s="851"/>
      <c r="C1322" s="851"/>
      <c r="D1322" s="851"/>
    </row>
    <row r="1323" spans="2:4" s="819" customFormat="1">
      <c r="B1323" s="851"/>
      <c r="C1323" s="851"/>
      <c r="D1323" s="851"/>
    </row>
    <row r="1324" spans="2:4" s="819" customFormat="1">
      <c r="B1324" s="851"/>
      <c r="C1324" s="851"/>
      <c r="D1324" s="851"/>
    </row>
    <row r="1325" spans="2:4" s="819" customFormat="1">
      <c r="B1325" s="851"/>
      <c r="C1325" s="851"/>
      <c r="D1325" s="851"/>
    </row>
    <row r="1326" spans="2:4" s="819" customFormat="1">
      <c r="B1326" s="851"/>
      <c r="C1326" s="851"/>
      <c r="D1326" s="851"/>
    </row>
    <row r="1327" spans="2:4" s="819" customFormat="1">
      <c r="B1327" s="851"/>
      <c r="C1327" s="851"/>
      <c r="D1327" s="851"/>
    </row>
    <row r="1328" spans="2:4" s="819" customFormat="1">
      <c r="B1328" s="851"/>
      <c r="C1328" s="851"/>
      <c r="D1328" s="851"/>
    </row>
    <row r="1329" spans="2:4" s="819" customFormat="1">
      <c r="B1329" s="851"/>
      <c r="C1329" s="851"/>
      <c r="D1329" s="851"/>
    </row>
    <row r="1330" spans="2:4" s="819" customFormat="1">
      <c r="B1330" s="851"/>
      <c r="C1330" s="851"/>
      <c r="D1330" s="851"/>
    </row>
    <row r="1331" spans="2:4" s="819" customFormat="1">
      <c r="B1331" s="851"/>
      <c r="C1331" s="851"/>
      <c r="D1331" s="851"/>
    </row>
    <row r="1332" spans="2:4" s="819" customFormat="1">
      <c r="B1332" s="851"/>
      <c r="C1332" s="851"/>
      <c r="D1332" s="851"/>
    </row>
    <row r="1333" spans="2:4" s="819" customFormat="1">
      <c r="B1333" s="851"/>
      <c r="C1333" s="851"/>
      <c r="D1333" s="851"/>
    </row>
    <row r="1334" spans="2:4" s="819" customFormat="1">
      <c r="B1334" s="851"/>
      <c r="C1334" s="851"/>
      <c r="D1334" s="851"/>
    </row>
    <row r="1335" spans="2:4" s="819" customFormat="1">
      <c r="B1335" s="851"/>
      <c r="C1335" s="851"/>
      <c r="D1335" s="851"/>
    </row>
    <row r="1336" spans="2:4" s="819" customFormat="1">
      <c r="B1336" s="851"/>
      <c r="C1336" s="851"/>
      <c r="D1336" s="851"/>
    </row>
    <row r="1337" spans="2:4" s="819" customFormat="1">
      <c r="B1337" s="851"/>
      <c r="C1337" s="851"/>
      <c r="D1337" s="851"/>
    </row>
    <row r="1338" spans="2:4" s="819" customFormat="1">
      <c r="B1338" s="851"/>
      <c r="C1338" s="851"/>
      <c r="D1338" s="851"/>
    </row>
    <row r="1339" spans="2:4" s="819" customFormat="1">
      <c r="B1339" s="851"/>
      <c r="C1339" s="851"/>
      <c r="D1339" s="851"/>
    </row>
    <row r="1340" spans="2:4" s="819" customFormat="1">
      <c r="B1340" s="851"/>
      <c r="C1340" s="851"/>
      <c r="D1340" s="851"/>
    </row>
    <row r="1341" spans="2:4" s="819" customFormat="1">
      <c r="B1341" s="851"/>
      <c r="C1341" s="851"/>
      <c r="D1341" s="851"/>
    </row>
    <row r="1342" spans="2:4" s="819" customFormat="1">
      <c r="B1342" s="851"/>
      <c r="C1342" s="851"/>
      <c r="D1342" s="851"/>
    </row>
    <row r="1343" spans="2:4" s="819" customFormat="1">
      <c r="B1343" s="851"/>
      <c r="C1343" s="851"/>
      <c r="D1343" s="851"/>
    </row>
    <row r="1344" spans="2:4" s="819" customFormat="1">
      <c r="B1344" s="851"/>
      <c r="C1344" s="851"/>
      <c r="D1344" s="851"/>
    </row>
    <row r="1345" spans="2:4" s="819" customFormat="1">
      <c r="B1345" s="851"/>
      <c r="C1345" s="851"/>
      <c r="D1345" s="851"/>
    </row>
    <row r="1346" spans="2:4" s="819" customFormat="1">
      <c r="B1346" s="851"/>
      <c r="C1346" s="851"/>
      <c r="D1346" s="851"/>
    </row>
    <row r="1347" spans="2:4" s="819" customFormat="1">
      <c r="B1347" s="851"/>
      <c r="C1347" s="851"/>
      <c r="D1347" s="851"/>
    </row>
    <row r="1348" spans="2:4" s="819" customFormat="1">
      <c r="B1348" s="851"/>
      <c r="C1348" s="851"/>
      <c r="D1348" s="851"/>
    </row>
    <row r="1349" spans="2:4" s="819" customFormat="1">
      <c r="B1349" s="851"/>
      <c r="C1349" s="851"/>
      <c r="D1349" s="851"/>
    </row>
    <row r="1350" spans="2:4" s="819" customFormat="1">
      <c r="B1350" s="851"/>
      <c r="C1350" s="851"/>
      <c r="D1350" s="851"/>
    </row>
    <row r="1351" spans="2:4" s="819" customFormat="1">
      <c r="B1351" s="851"/>
      <c r="C1351" s="851"/>
      <c r="D1351" s="851"/>
    </row>
    <row r="1352" spans="2:4" s="819" customFormat="1">
      <c r="B1352" s="851"/>
      <c r="C1352" s="851"/>
      <c r="D1352" s="851"/>
    </row>
    <row r="1353" spans="2:4" s="819" customFormat="1">
      <c r="B1353" s="851"/>
      <c r="C1353" s="851"/>
      <c r="D1353" s="851"/>
    </row>
    <row r="1354" spans="2:4" s="819" customFormat="1">
      <c r="B1354" s="851"/>
      <c r="C1354" s="851"/>
      <c r="D1354" s="851"/>
    </row>
    <row r="1355" spans="2:4" s="819" customFormat="1">
      <c r="B1355" s="851"/>
      <c r="C1355" s="851"/>
      <c r="D1355" s="851"/>
    </row>
    <row r="1356" spans="2:4" s="819" customFormat="1">
      <c r="B1356" s="851"/>
      <c r="C1356" s="851"/>
      <c r="D1356" s="851"/>
    </row>
    <row r="1357" spans="2:4" s="819" customFormat="1">
      <c r="B1357" s="851"/>
      <c r="C1357" s="851"/>
      <c r="D1357" s="851"/>
    </row>
    <row r="1358" spans="2:4" s="819" customFormat="1">
      <c r="B1358" s="851"/>
      <c r="C1358" s="851"/>
      <c r="D1358" s="851"/>
    </row>
    <row r="1359" spans="2:4" s="819" customFormat="1">
      <c r="B1359" s="851"/>
      <c r="C1359" s="851"/>
      <c r="D1359" s="851"/>
    </row>
    <row r="1360" spans="2:4" s="819" customFormat="1">
      <c r="B1360" s="851"/>
      <c r="C1360" s="851"/>
      <c r="D1360" s="851"/>
    </row>
    <row r="1361" spans="2:4" s="819" customFormat="1">
      <c r="B1361" s="851"/>
      <c r="C1361" s="851"/>
      <c r="D1361" s="851"/>
    </row>
    <row r="1362" spans="2:4" s="819" customFormat="1">
      <c r="B1362" s="851"/>
      <c r="C1362" s="851"/>
      <c r="D1362" s="851"/>
    </row>
    <row r="1363" spans="2:4" s="819" customFormat="1">
      <c r="B1363" s="851"/>
      <c r="C1363" s="851"/>
      <c r="D1363" s="851"/>
    </row>
    <row r="1364" spans="2:4" s="819" customFormat="1">
      <c r="B1364" s="851"/>
      <c r="C1364" s="851"/>
      <c r="D1364" s="851"/>
    </row>
    <row r="1365" spans="2:4" s="819" customFormat="1">
      <c r="B1365" s="851"/>
      <c r="C1365" s="851"/>
      <c r="D1365" s="851"/>
    </row>
    <row r="1366" spans="2:4" s="819" customFormat="1">
      <c r="B1366" s="851"/>
      <c r="C1366" s="851"/>
      <c r="D1366" s="851"/>
    </row>
    <row r="1367" spans="2:4" s="819" customFormat="1">
      <c r="B1367" s="851"/>
      <c r="C1367" s="851"/>
      <c r="D1367" s="851"/>
    </row>
    <row r="1368" spans="2:4" s="819" customFormat="1">
      <c r="B1368" s="851"/>
      <c r="C1368" s="851"/>
      <c r="D1368" s="851"/>
    </row>
    <row r="1369" spans="2:4" s="819" customFormat="1">
      <c r="B1369" s="851"/>
      <c r="C1369" s="851"/>
      <c r="D1369" s="851"/>
    </row>
    <row r="1370" spans="2:4" s="819" customFormat="1">
      <c r="B1370" s="851"/>
      <c r="C1370" s="851"/>
      <c r="D1370" s="851"/>
    </row>
    <row r="1371" spans="2:4" s="819" customFormat="1">
      <c r="B1371" s="851"/>
      <c r="C1371" s="851"/>
      <c r="D1371" s="851"/>
    </row>
    <row r="1372" spans="2:4" s="819" customFormat="1">
      <c r="B1372" s="851"/>
      <c r="C1372" s="851"/>
      <c r="D1372" s="851"/>
    </row>
    <row r="1373" spans="2:4" s="819" customFormat="1">
      <c r="B1373" s="851"/>
      <c r="C1373" s="851"/>
      <c r="D1373" s="851"/>
    </row>
    <row r="1374" spans="2:4" s="819" customFormat="1">
      <c r="B1374" s="851"/>
      <c r="C1374" s="851"/>
      <c r="D1374" s="851"/>
    </row>
    <row r="1375" spans="2:4" s="819" customFormat="1">
      <c r="B1375" s="851"/>
      <c r="C1375" s="851"/>
      <c r="D1375" s="851"/>
    </row>
    <row r="1376" spans="2:4" s="819" customFormat="1">
      <c r="B1376" s="851"/>
      <c r="C1376" s="851"/>
      <c r="D1376" s="851"/>
    </row>
    <row r="1377" spans="2:4" s="819" customFormat="1">
      <c r="B1377" s="851"/>
      <c r="C1377" s="851"/>
      <c r="D1377" s="851"/>
    </row>
    <row r="1378" spans="2:4" s="819" customFormat="1">
      <c r="B1378" s="851"/>
      <c r="C1378" s="851"/>
      <c r="D1378" s="851"/>
    </row>
    <row r="1379" spans="2:4" s="819" customFormat="1">
      <c r="B1379" s="851"/>
      <c r="C1379" s="851"/>
      <c r="D1379" s="851"/>
    </row>
    <row r="1380" spans="2:4" s="819" customFormat="1">
      <c r="B1380" s="851"/>
      <c r="C1380" s="851"/>
      <c r="D1380" s="851"/>
    </row>
    <row r="1381" spans="2:4" s="819" customFormat="1">
      <c r="B1381" s="851"/>
      <c r="C1381" s="851"/>
      <c r="D1381" s="851"/>
    </row>
    <row r="1382" spans="2:4" s="819" customFormat="1">
      <c r="B1382" s="851"/>
      <c r="C1382" s="851"/>
      <c r="D1382" s="851"/>
    </row>
    <row r="1383" spans="2:4" s="819" customFormat="1">
      <c r="B1383" s="851"/>
      <c r="C1383" s="851"/>
      <c r="D1383" s="851"/>
    </row>
    <row r="1384" spans="2:4" s="819" customFormat="1">
      <c r="B1384" s="851"/>
      <c r="C1384" s="851"/>
      <c r="D1384" s="851"/>
    </row>
    <row r="1385" spans="2:4" s="819" customFormat="1">
      <c r="B1385" s="851"/>
      <c r="C1385" s="851"/>
      <c r="D1385" s="851"/>
    </row>
    <row r="1386" spans="2:4" s="819" customFormat="1">
      <c r="B1386" s="851"/>
      <c r="C1386" s="851"/>
      <c r="D1386" s="851"/>
    </row>
    <row r="1387" spans="2:4" s="819" customFormat="1">
      <c r="B1387" s="851"/>
      <c r="C1387" s="851"/>
      <c r="D1387" s="851"/>
    </row>
    <row r="1388" spans="2:4" s="819" customFormat="1">
      <c r="B1388" s="851"/>
      <c r="C1388" s="851"/>
      <c r="D1388" s="851"/>
    </row>
    <row r="1389" spans="2:4" s="819" customFormat="1">
      <c r="B1389" s="851"/>
      <c r="C1389" s="851"/>
      <c r="D1389" s="851"/>
    </row>
    <row r="1390" spans="2:4" s="819" customFormat="1">
      <c r="B1390" s="851"/>
      <c r="C1390" s="851"/>
      <c r="D1390" s="851"/>
    </row>
    <row r="1391" spans="2:4" s="819" customFormat="1">
      <c r="B1391" s="851"/>
      <c r="C1391" s="851"/>
      <c r="D1391" s="851"/>
    </row>
    <row r="1392" spans="2:4" s="819" customFormat="1">
      <c r="B1392" s="851"/>
      <c r="C1392" s="851"/>
      <c r="D1392" s="851"/>
    </row>
    <row r="1393" spans="2:4" s="819" customFormat="1">
      <c r="B1393" s="851"/>
      <c r="C1393" s="851"/>
      <c r="D1393" s="851"/>
    </row>
    <row r="1394" spans="2:4" s="819" customFormat="1">
      <c r="B1394" s="851"/>
      <c r="C1394" s="851"/>
      <c r="D1394" s="851"/>
    </row>
    <row r="1395" spans="2:4" s="819" customFormat="1">
      <c r="B1395" s="851"/>
      <c r="C1395" s="851"/>
      <c r="D1395" s="851"/>
    </row>
    <row r="1396" spans="2:4" s="819" customFormat="1">
      <c r="B1396" s="851"/>
      <c r="C1396" s="851"/>
      <c r="D1396" s="851"/>
    </row>
    <row r="1397" spans="2:4" s="819" customFormat="1">
      <c r="B1397" s="851"/>
      <c r="C1397" s="851"/>
      <c r="D1397" s="851"/>
    </row>
    <row r="1398" spans="2:4" s="819" customFormat="1">
      <c r="B1398" s="851"/>
      <c r="C1398" s="851"/>
      <c r="D1398" s="851"/>
    </row>
    <row r="1399" spans="2:4" s="819" customFormat="1">
      <c r="B1399" s="851"/>
      <c r="C1399" s="851"/>
      <c r="D1399" s="851"/>
    </row>
    <row r="1400" spans="2:4" s="819" customFormat="1">
      <c r="B1400" s="851"/>
      <c r="C1400" s="851"/>
      <c r="D1400" s="851"/>
    </row>
    <row r="1401" spans="2:4" s="819" customFormat="1">
      <c r="B1401" s="851"/>
      <c r="C1401" s="851"/>
      <c r="D1401" s="851"/>
    </row>
    <row r="1402" spans="2:4" s="819" customFormat="1">
      <c r="B1402" s="851"/>
      <c r="C1402" s="851"/>
      <c r="D1402" s="851"/>
    </row>
    <row r="1403" spans="2:4" s="819" customFormat="1">
      <c r="B1403" s="851"/>
      <c r="C1403" s="851"/>
      <c r="D1403" s="851"/>
    </row>
    <row r="1404" spans="2:4" s="819" customFormat="1">
      <c r="B1404" s="851"/>
      <c r="C1404" s="851"/>
      <c r="D1404" s="851"/>
    </row>
    <row r="1405" spans="2:4" s="819" customFormat="1">
      <c r="B1405" s="851"/>
      <c r="C1405" s="851"/>
      <c r="D1405" s="851"/>
    </row>
    <row r="1406" spans="2:4" s="819" customFormat="1">
      <c r="B1406" s="851"/>
      <c r="C1406" s="851"/>
      <c r="D1406" s="851"/>
    </row>
    <row r="1407" spans="2:4" s="819" customFormat="1">
      <c r="B1407" s="851"/>
      <c r="C1407" s="851"/>
      <c r="D1407" s="851"/>
    </row>
    <row r="1408" spans="2:4" s="819" customFormat="1">
      <c r="B1408" s="851"/>
      <c r="C1408" s="851"/>
      <c r="D1408" s="851"/>
    </row>
    <row r="1409" spans="2:4" s="819" customFormat="1">
      <c r="B1409" s="851"/>
      <c r="C1409" s="851"/>
      <c r="D1409" s="851"/>
    </row>
    <row r="1410" spans="2:4" s="819" customFormat="1">
      <c r="B1410" s="851"/>
      <c r="C1410" s="851"/>
      <c r="D1410" s="851"/>
    </row>
    <row r="1411" spans="2:4" s="819" customFormat="1">
      <c r="B1411" s="851"/>
      <c r="C1411" s="851"/>
      <c r="D1411" s="851"/>
    </row>
    <row r="1412" spans="2:4" s="819" customFormat="1">
      <c r="B1412" s="851"/>
      <c r="C1412" s="851"/>
      <c r="D1412" s="851"/>
    </row>
    <row r="1413" spans="2:4" s="819" customFormat="1">
      <c r="B1413" s="851"/>
      <c r="C1413" s="851"/>
      <c r="D1413" s="851"/>
    </row>
    <row r="1414" spans="2:4" s="819" customFormat="1">
      <c r="B1414" s="851"/>
      <c r="C1414" s="851"/>
      <c r="D1414" s="851"/>
    </row>
    <row r="1415" spans="2:4" s="819" customFormat="1">
      <c r="B1415" s="851"/>
      <c r="C1415" s="851"/>
      <c r="D1415" s="851"/>
    </row>
    <row r="1416" spans="2:4" s="819" customFormat="1">
      <c r="B1416" s="851"/>
      <c r="C1416" s="851"/>
      <c r="D1416" s="851"/>
    </row>
    <row r="1417" spans="2:4" s="819" customFormat="1">
      <c r="B1417" s="851"/>
      <c r="C1417" s="851"/>
      <c r="D1417" s="851"/>
    </row>
    <row r="1418" spans="2:4" s="819" customFormat="1">
      <c r="B1418" s="851"/>
      <c r="C1418" s="851"/>
      <c r="D1418" s="851"/>
    </row>
    <row r="1419" spans="2:4" s="819" customFormat="1">
      <c r="B1419" s="851"/>
      <c r="C1419" s="851"/>
      <c r="D1419" s="851"/>
    </row>
    <row r="1420" spans="2:4" s="819" customFormat="1">
      <c r="B1420" s="851"/>
      <c r="C1420" s="851"/>
      <c r="D1420" s="851"/>
    </row>
    <row r="1421" spans="2:4" s="819" customFormat="1">
      <c r="B1421" s="851"/>
      <c r="C1421" s="851"/>
      <c r="D1421" s="851"/>
    </row>
    <row r="1422" spans="2:4" s="819" customFormat="1">
      <c r="B1422" s="851"/>
      <c r="C1422" s="851"/>
      <c r="D1422" s="851"/>
    </row>
    <row r="1423" spans="2:4" s="819" customFormat="1">
      <c r="B1423" s="851"/>
      <c r="C1423" s="851"/>
      <c r="D1423" s="851"/>
    </row>
    <row r="1424" spans="2:4" s="819" customFormat="1">
      <c r="B1424" s="851"/>
      <c r="C1424" s="851"/>
      <c r="D1424" s="851"/>
    </row>
    <row r="1425" spans="2:4" s="819" customFormat="1">
      <c r="B1425" s="851"/>
      <c r="C1425" s="851"/>
      <c r="D1425" s="851"/>
    </row>
    <row r="1426" spans="2:4" s="819" customFormat="1">
      <c r="B1426" s="851"/>
      <c r="C1426" s="851"/>
      <c r="D1426" s="851"/>
    </row>
    <row r="1427" spans="2:4" s="819" customFormat="1">
      <c r="B1427" s="851"/>
      <c r="C1427" s="851"/>
      <c r="D1427" s="851"/>
    </row>
    <row r="1428" spans="2:4" s="819" customFormat="1">
      <c r="B1428" s="851"/>
      <c r="C1428" s="851"/>
      <c r="D1428" s="851"/>
    </row>
    <row r="1429" spans="2:4" s="819" customFormat="1">
      <c r="B1429" s="851"/>
      <c r="C1429" s="851"/>
      <c r="D1429" s="851"/>
    </row>
    <row r="1430" spans="2:4" s="819" customFormat="1">
      <c r="B1430" s="851"/>
      <c r="C1430" s="851"/>
      <c r="D1430" s="851"/>
    </row>
    <row r="1431" spans="2:4" s="819" customFormat="1">
      <c r="B1431" s="851"/>
      <c r="C1431" s="851"/>
      <c r="D1431" s="851"/>
    </row>
    <row r="1432" spans="2:4" s="819" customFormat="1">
      <c r="B1432" s="851"/>
      <c r="C1432" s="851"/>
      <c r="D1432" s="851"/>
    </row>
    <row r="1433" spans="2:4" s="819" customFormat="1">
      <c r="B1433" s="851"/>
      <c r="C1433" s="851"/>
      <c r="D1433" s="851"/>
    </row>
    <row r="1434" spans="2:4" s="819" customFormat="1">
      <c r="B1434" s="851"/>
      <c r="C1434" s="851"/>
      <c r="D1434" s="851"/>
    </row>
    <row r="1435" spans="2:4" s="819" customFormat="1">
      <c r="B1435" s="851"/>
      <c r="C1435" s="851"/>
      <c r="D1435" s="851"/>
    </row>
    <row r="1436" spans="2:4" s="819" customFormat="1">
      <c r="B1436" s="851"/>
      <c r="C1436" s="851"/>
      <c r="D1436" s="851"/>
    </row>
    <row r="1437" spans="2:4" s="819" customFormat="1">
      <c r="B1437" s="851"/>
      <c r="C1437" s="851"/>
      <c r="D1437" s="851"/>
    </row>
    <row r="1438" spans="2:4" s="819" customFormat="1">
      <c r="B1438" s="851"/>
      <c r="C1438" s="851"/>
      <c r="D1438" s="851"/>
    </row>
    <row r="1439" spans="2:4" s="819" customFormat="1">
      <c r="B1439" s="851"/>
      <c r="C1439" s="851"/>
      <c r="D1439" s="851"/>
    </row>
    <row r="1440" spans="2:4" s="819" customFormat="1">
      <c r="B1440" s="851"/>
      <c r="C1440" s="851"/>
      <c r="D1440" s="851"/>
    </row>
    <row r="1441" spans="2:4" s="819" customFormat="1">
      <c r="B1441" s="851"/>
      <c r="C1441" s="851"/>
      <c r="D1441" s="851"/>
    </row>
    <row r="1442" spans="2:4" s="819" customFormat="1">
      <c r="B1442" s="851"/>
      <c r="C1442" s="851"/>
      <c r="D1442" s="851"/>
    </row>
    <row r="1443" spans="2:4" s="819" customFormat="1">
      <c r="B1443" s="851"/>
      <c r="C1443" s="851"/>
      <c r="D1443" s="851"/>
    </row>
    <row r="1444" spans="2:4" s="819" customFormat="1">
      <c r="B1444" s="851"/>
      <c r="C1444" s="851"/>
      <c r="D1444" s="851"/>
    </row>
    <row r="1445" spans="2:4" s="819" customFormat="1">
      <c r="B1445" s="851"/>
      <c r="C1445" s="851"/>
      <c r="D1445" s="851"/>
    </row>
    <row r="1446" spans="2:4" s="819" customFormat="1">
      <c r="B1446" s="851"/>
      <c r="C1446" s="851"/>
      <c r="D1446" s="851"/>
    </row>
    <row r="1447" spans="2:4" s="819" customFormat="1">
      <c r="B1447" s="851"/>
      <c r="C1447" s="851"/>
      <c r="D1447" s="851"/>
    </row>
    <row r="1448" spans="2:4" s="819" customFormat="1">
      <c r="B1448" s="851"/>
      <c r="C1448" s="851"/>
      <c r="D1448" s="851"/>
    </row>
    <row r="1449" spans="2:4" s="819" customFormat="1">
      <c r="B1449" s="851"/>
      <c r="C1449" s="851"/>
      <c r="D1449" s="851"/>
    </row>
    <row r="1450" spans="2:4" s="819" customFormat="1">
      <c r="B1450" s="851"/>
      <c r="C1450" s="851"/>
      <c r="D1450" s="851"/>
    </row>
    <row r="1451" spans="2:4" s="819" customFormat="1">
      <c r="B1451" s="851"/>
      <c r="C1451" s="851"/>
      <c r="D1451" s="851"/>
    </row>
    <row r="1452" spans="2:4" s="819" customFormat="1">
      <c r="B1452" s="851"/>
      <c r="C1452" s="851"/>
      <c r="D1452" s="851"/>
    </row>
    <row r="1453" spans="2:4" s="819" customFormat="1">
      <c r="B1453" s="851"/>
      <c r="C1453" s="851"/>
      <c r="D1453" s="851"/>
    </row>
    <row r="1454" spans="2:4" s="819" customFormat="1">
      <c r="B1454" s="851"/>
      <c r="C1454" s="851"/>
      <c r="D1454" s="851"/>
    </row>
    <row r="1455" spans="2:4" s="819" customFormat="1">
      <c r="B1455" s="851"/>
      <c r="C1455" s="851"/>
      <c r="D1455" s="851"/>
    </row>
    <row r="1456" spans="2:4" s="819" customFormat="1">
      <c r="B1456" s="851"/>
      <c r="C1456" s="851"/>
      <c r="D1456" s="851"/>
    </row>
    <row r="1457" spans="2:4" s="819" customFormat="1">
      <c r="B1457" s="851"/>
      <c r="C1457" s="851"/>
      <c r="D1457" s="851"/>
    </row>
    <row r="1458" spans="2:4" s="819" customFormat="1">
      <c r="B1458" s="851"/>
      <c r="C1458" s="851"/>
      <c r="D1458" s="851"/>
    </row>
    <row r="1459" spans="2:4" s="819" customFormat="1">
      <c r="B1459" s="851"/>
      <c r="C1459" s="851"/>
      <c r="D1459" s="851"/>
    </row>
    <row r="1460" spans="2:4" s="819" customFormat="1">
      <c r="B1460" s="851"/>
      <c r="C1460" s="851"/>
      <c r="D1460" s="851"/>
    </row>
    <row r="1461" spans="2:4" s="819" customFormat="1">
      <c r="B1461" s="851"/>
      <c r="C1461" s="851"/>
      <c r="D1461" s="851"/>
    </row>
    <row r="1462" spans="2:4" s="819" customFormat="1">
      <c r="B1462" s="851"/>
      <c r="C1462" s="851"/>
      <c r="D1462" s="851"/>
    </row>
    <row r="1463" spans="2:4" s="819" customFormat="1">
      <c r="B1463" s="851"/>
      <c r="C1463" s="851"/>
      <c r="D1463" s="851"/>
    </row>
    <row r="1464" spans="2:4" s="819" customFormat="1">
      <c r="B1464" s="851"/>
      <c r="C1464" s="851"/>
      <c r="D1464" s="851"/>
    </row>
    <row r="1465" spans="2:4" s="819" customFormat="1">
      <c r="B1465" s="851"/>
      <c r="C1465" s="851"/>
      <c r="D1465" s="851"/>
    </row>
    <row r="1466" spans="2:4" s="819" customFormat="1">
      <c r="B1466" s="851"/>
      <c r="C1466" s="851"/>
      <c r="D1466" s="851"/>
    </row>
    <row r="1467" spans="2:4" s="819" customFormat="1">
      <c r="B1467" s="851"/>
      <c r="C1467" s="851"/>
      <c r="D1467" s="851"/>
    </row>
    <row r="1468" spans="2:4" s="819" customFormat="1">
      <c r="B1468" s="851"/>
      <c r="C1468" s="851"/>
      <c r="D1468" s="851"/>
    </row>
    <row r="1469" spans="2:4" s="819" customFormat="1">
      <c r="B1469" s="851"/>
      <c r="C1469" s="851"/>
      <c r="D1469" s="851"/>
    </row>
    <row r="1470" spans="2:4" s="819" customFormat="1">
      <c r="B1470" s="851"/>
      <c r="C1470" s="851"/>
      <c r="D1470" s="851"/>
    </row>
    <row r="1471" spans="2:4" s="819" customFormat="1">
      <c r="B1471" s="851"/>
      <c r="C1471" s="851"/>
      <c r="D1471" s="851"/>
    </row>
    <row r="1472" spans="2:4" s="819" customFormat="1">
      <c r="B1472" s="851"/>
      <c r="C1472" s="851"/>
      <c r="D1472" s="851"/>
    </row>
    <row r="1473" spans="2:4" s="819" customFormat="1">
      <c r="B1473" s="851"/>
      <c r="C1473" s="851"/>
      <c r="D1473" s="851"/>
    </row>
    <row r="1474" spans="2:4" s="819" customFormat="1">
      <c r="B1474" s="851"/>
      <c r="C1474" s="851"/>
      <c r="D1474" s="851"/>
    </row>
    <row r="1475" spans="2:4" s="819" customFormat="1">
      <c r="B1475" s="851"/>
      <c r="C1475" s="851"/>
      <c r="D1475" s="851"/>
    </row>
    <row r="1476" spans="2:4" s="819" customFormat="1">
      <c r="B1476" s="851"/>
      <c r="C1476" s="851"/>
      <c r="D1476" s="851"/>
    </row>
    <row r="1477" spans="2:4" s="819" customFormat="1">
      <c r="B1477" s="851"/>
      <c r="C1477" s="851"/>
      <c r="D1477" s="851"/>
    </row>
    <row r="1478" spans="2:4" s="819" customFormat="1">
      <c r="B1478" s="851"/>
      <c r="C1478" s="851"/>
      <c r="D1478" s="851"/>
    </row>
    <row r="1479" spans="2:4" s="819" customFormat="1">
      <c r="B1479" s="851"/>
      <c r="C1479" s="851"/>
      <c r="D1479" s="851"/>
    </row>
    <row r="1480" spans="2:4" s="819" customFormat="1">
      <c r="B1480" s="851"/>
      <c r="C1480" s="851"/>
      <c r="D1480" s="851"/>
    </row>
    <row r="1481" spans="2:4" s="819" customFormat="1">
      <c r="B1481" s="851"/>
      <c r="C1481" s="851"/>
      <c r="D1481" s="851"/>
    </row>
    <row r="1482" spans="2:4" s="819" customFormat="1">
      <c r="B1482" s="851"/>
      <c r="C1482" s="851"/>
      <c r="D1482" s="851"/>
    </row>
    <row r="1483" spans="2:4" s="819" customFormat="1">
      <c r="B1483" s="851"/>
      <c r="C1483" s="851"/>
      <c r="D1483" s="851"/>
    </row>
    <row r="1484" spans="2:4" s="819" customFormat="1">
      <c r="B1484" s="851"/>
      <c r="C1484" s="851"/>
      <c r="D1484" s="851"/>
    </row>
    <row r="1485" spans="2:4" s="819" customFormat="1">
      <c r="B1485" s="851"/>
      <c r="C1485" s="851"/>
      <c r="D1485" s="851"/>
    </row>
    <row r="1486" spans="2:4" s="819" customFormat="1">
      <c r="B1486" s="851"/>
      <c r="C1486" s="851"/>
      <c r="D1486" s="851"/>
    </row>
    <row r="1487" spans="2:4" s="819" customFormat="1">
      <c r="B1487" s="851"/>
      <c r="C1487" s="851"/>
      <c r="D1487" s="851"/>
    </row>
    <row r="1488" spans="2:4" s="819" customFormat="1">
      <c r="B1488" s="851"/>
      <c r="C1488" s="851"/>
      <c r="D1488" s="851"/>
    </row>
    <row r="1489" spans="2:4" s="819" customFormat="1">
      <c r="B1489" s="851"/>
      <c r="C1489" s="851"/>
      <c r="D1489" s="851"/>
    </row>
    <row r="1490" spans="2:4" s="819" customFormat="1">
      <c r="B1490" s="851"/>
      <c r="C1490" s="851"/>
      <c r="D1490" s="851"/>
    </row>
    <row r="1491" spans="2:4" s="819" customFormat="1">
      <c r="B1491" s="851"/>
      <c r="C1491" s="851"/>
      <c r="D1491" s="851"/>
    </row>
    <row r="1492" spans="2:4" s="819" customFormat="1">
      <c r="B1492" s="851"/>
      <c r="C1492" s="851"/>
      <c r="D1492" s="851"/>
    </row>
    <row r="1493" spans="2:4" s="819" customFormat="1">
      <c r="B1493" s="851"/>
      <c r="C1493" s="851"/>
      <c r="D1493" s="851"/>
    </row>
    <row r="1494" spans="2:4" s="819" customFormat="1">
      <c r="B1494" s="851"/>
      <c r="C1494" s="851"/>
      <c r="D1494" s="851"/>
    </row>
    <row r="1495" spans="2:4" s="819" customFormat="1">
      <c r="B1495" s="851"/>
      <c r="C1495" s="851"/>
      <c r="D1495" s="851"/>
    </row>
    <row r="1496" spans="2:4" s="819" customFormat="1">
      <c r="B1496" s="851"/>
      <c r="C1496" s="851"/>
      <c r="D1496" s="851"/>
    </row>
    <row r="1497" spans="2:4" s="819" customFormat="1">
      <c r="B1497" s="851"/>
      <c r="C1497" s="851"/>
      <c r="D1497" s="851"/>
    </row>
    <row r="1498" spans="2:4" s="819" customFormat="1">
      <c r="B1498" s="851"/>
      <c r="C1498" s="851"/>
      <c r="D1498" s="851"/>
    </row>
    <row r="1499" spans="2:4" s="819" customFormat="1">
      <c r="B1499" s="851"/>
      <c r="C1499" s="851"/>
      <c r="D1499" s="851"/>
    </row>
    <row r="1500" spans="2:4" s="819" customFormat="1">
      <c r="B1500" s="851"/>
      <c r="C1500" s="851"/>
      <c r="D1500" s="851"/>
    </row>
    <row r="1501" spans="2:4" s="819" customFormat="1">
      <c r="B1501" s="851"/>
      <c r="C1501" s="851"/>
      <c r="D1501" s="851"/>
    </row>
    <row r="1502" spans="2:4" s="819" customFormat="1">
      <c r="B1502" s="851"/>
      <c r="C1502" s="851"/>
      <c r="D1502" s="851"/>
    </row>
    <row r="1503" spans="2:4" s="819" customFormat="1">
      <c r="B1503" s="851"/>
      <c r="C1503" s="851"/>
      <c r="D1503" s="851"/>
    </row>
    <row r="1504" spans="2:4" s="819" customFormat="1">
      <c r="B1504" s="851"/>
      <c r="C1504" s="851"/>
      <c r="D1504" s="851"/>
    </row>
    <row r="1505" spans="2:4" s="819" customFormat="1">
      <c r="B1505" s="851"/>
      <c r="C1505" s="851"/>
      <c r="D1505" s="851"/>
    </row>
    <row r="1506" spans="2:4" s="819" customFormat="1">
      <c r="B1506" s="851"/>
      <c r="C1506" s="851"/>
      <c r="D1506" s="851"/>
    </row>
    <row r="1507" spans="2:4" s="819" customFormat="1">
      <c r="B1507" s="851"/>
      <c r="C1507" s="851"/>
      <c r="D1507" s="851"/>
    </row>
    <row r="1508" spans="2:4" s="819" customFormat="1">
      <c r="B1508" s="851"/>
      <c r="C1508" s="851"/>
      <c r="D1508" s="851"/>
    </row>
    <row r="1509" spans="2:4" s="819" customFormat="1">
      <c r="B1509" s="851"/>
      <c r="C1509" s="851"/>
      <c r="D1509" s="851"/>
    </row>
    <row r="1510" spans="2:4" s="819" customFormat="1">
      <c r="B1510" s="851"/>
      <c r="C1510" s="851"/>
      <c r="D1510" s="851"/>
    </row>
    <row r="1511" spans="2:4" s="819" customFormat="1">
      <c r="B1511" s="851"/>
      <c r="C1511" s="851"/>
      <c r="D1511" s="851"/>
    </row>
    <row r="1512" spans="2:4" s="819" customFormat="1">
      <c r="B1512" s="851"/>
      <c r="C1512" s="851"/>
      <c r="D1512" s="851"/>
    </row>
    <row r="1513" spans="2:4" s="819" customFormat="1">
      <c r="B1513" s="851"/>
      <c r="C1513" s="851"/>
      <c r="D1513" s="851"/>
    </row>
    <row r="1514" spans="2:4" s="819" customFormat="1">
      <c r="B1514" s="851"/>
      <c r="C1514" s="851"/>
      <c r="D1514" s="851"/>
    </row>
    <row r="1515" spans="2:4" s="819" customFormat="1">
      <c r="B1515" s="851"/>
      <c r="C1515" s="851"/>
      <c r="D1515" s="851"/>
    </row>
    <row r="1516" spans="2:4" s="819" customFormat="1">
      <c r="B1516" s="851"/>
      <c r="C1516" s="851"/>
      <c r="D1516" s="851"/>
    </row>
    <row r="1517" spans="2:4" s="819" customFormat="1">
      <c r="B1517" s="851"/>
      <c r="C1517" s="851"/>
      <c r="D1517" s="851"/>
    </row>
    <row r="1518" spans="2:4" s="819" customFormat="1">
      <c r="B1518" s="851"/>
      <c r="C1518" s="851"/>
      <c r="D1518" s="851"/>
    </row>
    <row r="1519" spans="2:4" s="819" customFormat="1">
      <c r="B1519" s="851"/>
      <c r="C1519" s="851"/>
      <c r="D1519" s="851"/>
    </row>
    <row r="1520" spans="2:4" s="819" customFormat="1">
      <c r="B1520" s="851"/>
      <c r="C1520" s="851"/>
      <c r="D1520" s="851"/>
    </row>
    <row r="1521" spans="2:4" s="819" customFormat="1">
      <c r="B1521" s="851"/>
      <c r="C1521" s="851"/>
      <c r="D1521" s="851"/>
    </row>
    <row r="1522" spans="2:4" s="819" customFormat="1">
      <c r="B1522" s="851"/>
      <c r="C1522" s="851"/>
      <c r="D1522" s="851"/>
    </row>
    <row r="1523" spans="2:4" s="819" customFormat="1">
      <c r="B1523" s="851"/>
      <c r="C1523" s="851"/>
      <c r="D1523" s="851"/>
    </row>
    <row r="1524" spans="2:4" s="819" customFormat="1">
      <c r="B1524" s="851"/>
      <c r="C1524" s="851"/>
      <c r="D1524" s="851"/>
    </row>
    <row r="1525" spans="2:4" s="819" customFormat="1">
      <c r="B1525" s="851"/>
      <c r="C1525" s="851"/>
      <c r="D1525" s="851"/>
    </row>
    <row r="1526" spans="2:4" s="819" customFormat="1">
      <c r="B1526" s="851"/>
      <c r="C1526" s="851"/>
      <c r="D1526" s="851"/>
    </row>
    <row r="1527" spans="2:4" s="819" customFormat="1">
      <c r="B1527" s="851"/>
      <c r="C1527" s="851"/>
      <c r="D1527" s="851"/>
    </row>
    <row r="1528" spans="2:4" s="819" customFormat="1">
      <c r="B1528" s="851"/>
      <c r="C1528" s="851"/>
      <c r="D1528" s="851"/>
    </row>
    <row r="1529" spans="2:4" s="819" customFormat="1">
      <c r="B1529" s="851"/>
      <c r="C1529" s="851"/>
      <c r="D1529" s="851"/>
    </row>
    <row r="1530" spans="2:4" s="819" customFormat="1">
      <c r="B1530" s="851"/>
      <c r="C1530" s="851"/>
      <c r="D1530" s="851"/>
    </row>
    <row r="1531" spans="2:4" s="819" customFormat="1">
      <c r="B1531" s="851"/>
      <c r="C1531" s="851"/>
      <c r="D1531" s="851"/>
    </row>
    <row r="1532" spans="2:4" s="819" customFormat="1">
      <c r="B1532" s="851"/>
      <c r="C1532" s="851"/>
      <c r="D1532" s="851"/>
    </row>
    <row r="1533" spans="2:4" s="819" customFormat="1">
      <c r="B1533" s="851"/>
      <c r="C1533" s="851"/>
      <c r="D1533" s="851"/>
    </row>
    <row r="1534" spans="2:4" s="819" customFormat="1">
      <c r="B1534" s="851"/>
      <c r="C1534" s="851"/>
      <c r="D1534" s="851"/>
    </row>
    <row r="1535" spans="2:4" s="819" customFormat="1">
      <c r="B1535" s="851"/>
      <c r="C1535" s="851"/>
      <c r="D1535" s="851"/>
    </row>
    <row r="1536" spans="2:4" s="819" customFormat="1">
      <c r="B1536" s="851"/>
      <c r="C1536" s="851"/>
      <c r="D1536" s="851"/>
    </row>
    <row r="1537" spans="2:4" s="819" customFormat="1">
      <c r="B1537" s="851"/>
      <c r="C1537" s="851"/>
      <c r="D1537" s="851"/>
    </row>
    <row r="1538" spans="2:4" s="819" customFormat="1">
      <c r="B1538" s="851"/>
      <c r="C1538" s="851"/>
      <c r="D1538" s="851"/>
    </row>
    <row r="1539" spans="2:4" s="819" customFormat="1">
      <c r="B1539" s="851"/>
      <c r="C1539" s="851"/>
      <c r="D1539" s="851"/>
    </row>
    <row r="1540" spans="2:4" s="819" customFormat="1">
      <c r="B1540" s="851"/>
      <c r="C1540" s="851"/>
      <c r="D1540" s="851"/>
    </row>
    <row r="1541" spans="2:4" s="819" customFormat="1">
      <c r="B1541" s="851"/>
      <c r="C1541" s="851"/>
      <c r="D1541" s="851"/>
    </row>
    <row r="1542" spans="2:4" s="819" customFormat="1">
      <c r="B1542" s="851"/>
      <c r="C1542" s="851"/>
      <c r="D1542" s="851"/>
    </row>
    <row r="1543" spans="2:4" s="819" customFormat="1">
      <c r="B1543" s="851"/>
      <c r="C1543" s="851"/>
      <c r="D1543" s="851"/>
    </row>
    <row r="1544" spans="2:4" s="819" customFormat="1">
      <c r="B1544" s="851"/>
      <c r="C1544" s="851"/>
      <c r="D1544" s="851"/>
    </row>
    <row r="1545" spans="2:4" s="819" customFormat="1">
      <c r="B1545" s="851"/>
      <c r="C1545" s="851"/>
      <c r="D1545" s="851"/>
    </row>
    <row r="1546" spans="2:4" s="819" customFormat="1">
      <c r="B1546" s="851"/>
      <c r="C1546" s="851"/>
      <c r="D1546" s="851"/>
    </row>
    <row r="1547" spans="2:4" s="819" customFormat="1">
      <c r="B1547" s="851"/>
      <c r="C1547" s="851"/>
      <c r="D1547" s="851"/>
    </row>
    <row r="1548" spans="2:4" s="819" customFormat="1">
      <c r="B1548" s="851"/>
      <c r="C1548" s="851"/>
      <c r="D1548" s="851"/>
    </row>
    <row r="1549" spans="2:4" s="819" customFormat="1">
      <c r="B1549" s="851"/>
      <c r="C1549" s="851"/>
      <c r="D1549" s="851"/>
    </row>
    <row r="1550" spans="2:4" s="819" customFormat="1">
      <c r="B1550" s="851"/>
      <c r="C1550" s="851"/>
      <c r="D1550" s="851"/>
    </row>
    <row r="1551" spans="2:4" s="819" customFormat="1">
      <c r="B1551" s="851"/>
      <c r="C1551" s="851"/>
      <c r="D1551" s="851"/>
    </row>
    <row r="1552" spans="2:4" s="819" customFormat="1">
      <c r="B1552" s="851"/>
      <c r="C1552" s="851"/>
      <c r="D1552" s="851"/>
    </row>
    <row r="1553" spans="2:4" s="819" customFormat="1">
      <c r="B1553" s="851"/>
      <c r="C1553" s="851"/>
      <c r="D1553" s="851"/>
    </row>
    <row r="1554" spans="2:4" s="819" customFormat="1">
      <c r="B1554" s="851"/>
      <c r="C1554" s="851"/>
      <c r="D1554" s="851"/>
    </row>
    <row r="1555" spans="2:4" s="819" customFormat="1">
      <c r="B1555" s="851"/>
      <c r="C1555" s="851"/>
      <c r="D1555" s="851"/>
    </row>
    <row r="1556" spans="2:4" s="819" customFormat="1">
      <c r="B1556" s="851"/>
      <c r="C1556" s="851"/>
      <c r="D1556" s="851"/>
    </row>
    <row r="1557" spans="2:4" s="819" customFormat="1">
      <c r="B1557" s="851"/>
      <c r="C1557" s="851"/>
      <c r="D1557" s="851"/>
    </row>
    <row r="1558" spans="2:4" s="819" customFormat="1">
      <c r="B1558" s="851"/>
      <c r="C1558" s="851"/>
      <c r="D1558" s="851"/>
    </row>
    <row r="1559" spans="2:4" s="819" customFormat="1">
      <c r="B1559" s="851"/>
      <c r="C1559" s="851"/>
      <c r="D1559" s="851"/>
    </row>
    <row r="1560" spans="2:4" s="819" customFormat="1">
      <c r="B1560" s="851"/>
      <c r="C1560" s="851"/>
      <c r="D1560" s="851"/>
    </row>
    <row r="1561" spans="2:4" s="819" customFormat="1">
      <c r="B1561" s="851"/>
      <c r="C1561" s="851"/>
      <c r="D1561" s="851"/>
    </row>
    <row r="1562" spans="2:4" s="819" customFormat="1">
      <c r="B1562" s="851"/>
      <c r="C1562" s="851"/>
      <c r="D1562" s="851"/>
    </row>
    <row r="1563" spans="2:4" s="819" customFormat="1">
      <c r="B1563" s="851"/>
      <c r="C1563" s="851"/>
      <c r="D1563" s="851"/>
    </row>
    <row r="1564" spans="2:4" s="819" customFormat="1">
      <c r="B1564" s="851"/>
      <c r="C1564" s="851"/>
      <c r="D1564" s="851"/>
    </row>
    <row r="1565" spans="2:4" s="819" customFormat="1">
      <c r="B1565" s="851"/>
      <c r="C1565" s="851"/>
      <c r="D1565" s="851"/>
    </row>
    <row r="1566" spans="2:4" s="819" customFormat="1">
      <c r="B1566" s="851"/>
      <c r="C1566" s="851"/>
      <c r="D1566" s="851"/>
    </row>
    <row r="1567" spans="2:4" s="819" customFormat="1">
      <c r="B1567" s="851"/>
      <c r="C1567" s="851"/>
      <c r="D1567" s="851"/>
    </row>
    <row r="1568" spans="2:4" s="819" customFormat="1">
      <c r="B1568" s="851"/>
      <c r="C1568" s="851"/>
      <c r="D1568" s="851"/>
    </row>
    <row r="1569" spans="2:4" s="819" customFormat="1">
      <c r="B1569" s="851"/>
      <c r="C1569" s="851"/>
      <c r="D1569" s="851"/>
    </row>
    <row r="1570" spans="2:4" s="819" customFormat="1">
      <c r="B1570" s="851"/>
      <c r="C1570" s="851"/>
      <c r="D1570" s="851"/>
    </row>
    <row r="1571" spans="2:4" s="819" customFormat="1">
      <c r="B1571" s="851"/>
      <c r="C1571" s="851"/>
      <c r="D1571" s="851"/>
    </row>
    <row r="1572" spans="2:4" s="819" customFormat="1">
      <c r="B1572" s="851"/>
      <c r="C1572" s="851"/>
      <c r="D1572" s="851"/>
    </row>
    <row r="1573" spans="2:4" s="819" customFormat="1">
      <c r="B1573" s="851"/>
      <c r="C1573" s="851"/>
      <c r="D1573" s="851"/>
    </row>
    <row r="1574" spans="2:4" s="819" customFormat="1">
      <c r="B1574" s="851"/>
      <c r="C1574" s="851"/>
      <c r="D1574" s="851"/>
    </row>
    <row r="1575" spans="2:4" s="819" customFormat="1">
      <c r="B1575" s="851"/>
      <c r="C1575" s="851"/>
      <c r="D1575" s="851"/>
    </row>
    <row r="1576" spans="2:4" s="819" customFormat="1">
      <c r="B1576" s="851"/>
      <c r="C1576" s="851"/>
      <c r="D1576" s="851"/>
    </row>
    <row r="1577" spans="2:4" s="819" customFormat="1">
      <c r="B1577" s="851"/>
      <c r="C1577" s="851"/>
      <c r="D1577" s="851"/>
    </row>
    <row r="1578" spans="2:4" s="819" customFormat="1">
      <c r="B1578" s="851"/>
      <c r="C1578" s="851"/>
      <c r="D1578" s="851"/>
    </row>
    <row r="1579" spans="2:4" s="819" customFormat="1">
      <c r="B1579" s="851"/>
      <c r="C1579" s="851"/>
      <c r="D1579" s="851"/>
    </row>
    <row r="1580" spans="2:4" s="819" customFormat="1">
      <c r="B1580" s="851"/>
      <c r="C1580" s="851"/>
      <c r="D1580" s="851"/>
    </row>
    <row r="1581" spans="2:4" s="819" customFormat="1">
      <c r="B1581" s="851"/>
      <c r="C1581" s="851"/>
      <c r="D1581" s="851"/>
    </row>
    <row r="1582" spans="2:4" s="819" customFormat="1">
      <c r="B1582" s="851"/>
      <c r="C1582" s="851"/>
      <c r="D1582" s="851"/>
    </row>
    <row r="1583" spans="2:4" s="819" customFormat="1">
      <c r="B1583" s="851"/>
      <c r="C1583" s="851"/>
      <c r="D1583" s="851"/>
    </row>
    <row r="1584" spans="2:4" s="819" customFormat="1">
      <c r="B1584" s="851"/>
      <c r="C1584" s="851"/>
      <c r="D1584" s="851"/>
    </row>
    <row r="1585" spans="2:4" s="819" customFormat="1">
      <c r="B1585" s="851"/>
      <c r="C1585" s="851"/>
      <c r="D1585" s="851"/>
    </row>
    <row r="1586" spans="2:4" s="819" customFormat="1">
      <c r="B1586" s="851"/>
      <c r="C1586" s="851"/>
      <c r="D1586" s="851"/>
    </row>
    <row r="1587" spans="2:4" s="819" customFormat="1">
      <c r="B1587" s="851"/>
      <c r="C1587" s="851"/>
      <c r="D1587" s="851"/>
    </row>
    <row r="1588" spans="2:4" s="819" customFormat="1">
      <c r="B1588" s="851"/>
      <c r="C1588" s="851"/>
      <c r="D1588" s="851"/>
    </row>
    <row r="1589" spans="2:4" s="819" customFormat="1">
      <c r="B1589" s="851"/>
      <c r="C1589" s="851"/>
      <c r="D1589" s="851"/>
    </row>
    <row r="1590" spans="2:4" s="819" customFormat="1">
      <c r="B1590" s="851"/>
      <c r="C1590" s="851"/>
      <c r="D1590" s="851"/>
    </row>
    <row r="1591" spans="2:4" s="819" customFormat="1">
      <c r="B1591" s="851"/>
      <c r="C1591" s="851"/>
      <c r="D1591" s="851"/>
    </row>
    <row r="1592" spans="2:4" s="819" customFormat="1">
      <c r="B1592" s="851"/>
      <c r="C1592" s="851"/>
      <c r="D1592" s="851"/>
    </row>
    <row r="1593" spans="2:4" s="819" customFormat="1">
      <c r="B1593" s="851"/>
      <c r="C1593" s="851"/>
      <c r="D1593" s="851"/>
    </row>
    <row r="1594" spans="2:4" s="819" customFormat="1">
      <c r="B1594" s="851"/>
      <c r="C1594" s="851"/>
      <c r="D1594" s="851"/>
    </row>
    <row r="1595" spans="2:4" s="819" customFormat="1">
      <c r="B1595" s="851"/>
      <c r="C1595" s="851"/>
      <c r="D1595" s="851"/>
    </row>
    <row r="1596" spans="2:4" s="819" customFormat="1">
      <c r="B1596" s="851"/>
      <c r="C1596" s="851"/>
      <c r="D1596" s="851"/>
    </row>
    <row r="1597" spans="2:4" s="819" customFormat="1">
      <c r="B1597" s="851"/>
      <c r="C1597" s="851"/>
      <c r="D1597" s="851"/>
    </row>
    <row r="1598" spans="2:4" s="819" customFormat="1">
      <c r="B1598" s="851"/>
      <c r="C1598" s="851"/>
      <c r="D1598" s="851"/>
    </row>
    <row r="1599" spans="2:4" s="819" customFormat="1">
      <c r="B1599" s="851"/>
      <c r="C1599" s="851"/>
      <c r="D1599" s="851"/>
    </row>
    <row r="1600" spans="2:4" s="819" customFormat="1">
      <c r="B1600" s="851"/>
      <c r="C1600" s="851"/>
      <c r="D1600" s="851"/>
    </row>
    <row r="1601" spans="2:4" s="819" customFormat="1">
      <c r="B1601" s="851"/>
      <c r="C1601" s="851"/>
      <c r="D1601" s="851"/>
    </row>
    <row r="1602" spans="2:4" s="819" customFormat="1">
      <c r="B1602" s="851"/>
      <c r="C1602" s="851"/>
      <c r="D1602" s="851"/>
    </row>
    <row r="1603" spans="2:4" s="819" customFormat="1">
      <c r="B1603" s="851"/>
      <c r="C1603" s="851"/>
      <c r="D1603" s="851"/>
    </row>
    <row r="1604" spans="2:4" s="819" customFormat="1">
      <c r="B1604" s="851"/>
      <c r="C1604" s="851"/>
      <c r="D1604" s="851"/>
    </row>
    <row r="1605" spans="2:4" s="819" customFormat="1">
      <c r="B1605" s="851"/>
      <c r="C1605" s="851"/>
      <c r="D1605" s="851"/>
    </row>
    <row r="1606" spans="2:4" s="819" customFormat="1">
      <c r="B1606" s="851"/>
      <c r="C1606" s="851"/>
      <c r="D1606" s="851"/>
    </row>
    <row r="1607" spans="2:4" s="819" customFormat="1">
      <c r="B1607" s="851"/>
      <c r="C1607" s="851"/>
      <c r="D1607" s="851"/>
    </row>
    <row r="1608" spans="2:4" s="819" customFormat="1">
      <c r="B1608" s="851"/>
      <c r="C1608" s="851"/>
      <c r="D1608" s="851"/>
    </row>
    <row r="1609" spans="2:4" s="819" customFormat="1">
      <c r="B1609" s="851"/>
      <c r="C1609" s="851"/>
      <c r="D1609" s="851"/>
    </row>
    <row r="1610" spans="2:4" s="819" customFormat="1">
      <c r="B1610" s="851"/>
      <c r="C1610" s="851"/>
      <c r="D1610" s="851"/>
    </row>
    <row r="1611" spans="2:4" s="819" customFormat="1">
      <c r="B1611" s="851"/>
      <c r="C1611" s="851"/>
      <c r="D1611" s="851"/>
    </row>
    <row r="1612" spans="2:4" s="819" customFormat="1">
      <c r="B1612" s="851"/>
      <c r="C1612" s="851"/>
      <c r="D1612" s="851"/>
    </row>
    <row r="1613" spans="2:4" s="819" customFormat="1">
      <c r="B1613" s="851"/>
      <c r="C1613" s="851"/>
      <c r="D1613" s="851"/>
    </row>
    <row r="1614" spans="2:4" s="819" customFormat="1">
      <c r="B1614" s="851"/>
      <c r="C1614" s="851"/>
      <c r="D1614" s="851"/>
    </row>
    <row r="1615" spans="2:4" s="819" customFormat="1">
      <c r="B1615" s="851"/>
      <c r="C1615" s="851"/>
      <c r="D1615" s="851"/>
    </row>
    <row r="1616" spans="2:4" s="819" customFormat="1">
      <c r="B1616" s="851"/>
      <c r="C1616" s="851"/>
      <c r="D1616" s="851"/>
    </row>
    <row r="1617" spans="2:4" s="819" customFormat="1">
      <c r="B1617" s="851"/>
      <c r="C1617" s="851"/>
      <c r="D1617" s="851"/>
    </row>
    <row r="1618" spans="2:4" s="819" customFormat="1">
      <c r="B1618" s="851"/>
      <c r="C1618" s="851"/>
      <c r="D1618" s="851"/>
    </row>
    <row r="1619" spans="2:4" s="819" customFormat="1">
      <c r="B1619" s="851"/>
      <c r="C1619" s="851"/>
      <c r="D1619" s="851"/>
    </row>
    <row r="1620" spans="2:4" s="819" customFormat="1">
      <c r="B1620" s="851"/>
      <c r="C1620" s="851"/>
      <c r="D1620" s="851"/>
    </row>
    <row r="1621" spans="2:4" s="819" customFormat="1">
      <c r="B1621" s="851"/>
      <c r="C1621" s="851"/>
      <c r="D1621" s="851"/>
    </row>
    <row r="1622" spans="2:4" s="819" customFormat="1">
      <c r="B1622" s="851"/>
      <c r="C1622" s="851"/>
      <c r="D1622" s="851"/>
    </row>
    <row r="1623" spans="2:4" s="819" customFormat="1">
      <c r="B1623" s="851"/>
      <c r="C1623" s="851"/>
      <c r="D1623" s="851"/>
    </row>
    <row r="1624" spans="2:4" s="819" customFormat="1">
      <c r="B1624" s="851"/>
      <c r="C1624" s="851"/>
      <c r="D1624" s="851"/>
    </row>
    <row r="1625" spans="2:4" s="819" customFormat="1">
      <c r="B1625" s="851"/>
      <c r="C1625" s="851"/>
      <c r="D1625" s="851"/>
    </row>
    <row r="1626" spans="2:4" s="819" customFormat="1">
      <c r="B1626" s="851"/>
      <c r="C1626" s="851"/>
      <c r="D1626" s="851"/>
    </row>
    <row r="1627" spans="2:4" s="819" customFormat="1">
      <c r="B1627" s="851"/>
      <c r="C1627" s="851"/>
      <c r="D1627" s="851"/>
    </row>
    <row r="1628" spans="2:4" s="819" customFormat="1">
      <c r="B1628" s="851"/>
      <c r="C1628" s="851"/>
      <c r="D1628" s="851"/>
    </row>
    <row r="1629" spans="2:4" s="819" customFormat="1">
      <c r="B1629" s="851"/>
      <c r="C1629" s="851"/>
      <c r="D1629" s="851"/>
    </row>
    <row r="1630" spans="2:4" s="819" customFormat="1">
      <c r="B1630" s="851"/>
      <c r="C1630" s="851"/>
      <c r="D1630" s="851"/>
    </row>
    <row r="1631" spans="2:4" s="819" customFormat="1">
      <c r="B1631" s="851"/>
      <c r="C1631" s="851"/>
      <c r="D1631" s="851"/>
    </row>
    <row r="1632" spans="2:4" s="819" customFormat="1">
      <c r="B1632" s="851"/>
      <c r="C1632" s="851"/>
      <c r="D1632" s="851"/>
    </row>
    <row r="1633" spans="2:4" s="819" customFormat="1">
      <c r="B1633" s="851"/>
      <c r="C1633" s="851"/>
      <c r="D1633" s="851"/>
    </row>
    <row r="1634" spans="2:4" s="819" customFormat="1">
      <c r="B1634" s="851"/>
      <c r="C1634" s="851"/>
      <c r="D1634" s="851"/>
    </row>
    <row r="1635" spans="2:4" s="819" customFormat="1">
      <c r="B1635" s="851"/>
      <c r="C1635" s="851"/>
      <c r="D1635" s="851"/>
    </row>
    <row r="1636" spans="2:4" s="819" customFormat="1">
      <c r="B1636" s="851"/>
      <c r="C1636" s="851"/>
      <c r="D1636" s="851"/>
    </row>
    <row r="1637" spans="2:4" s="819" customFormat="1">
      <c r="B1637" s="851"/>
      <c r="C1637" s="851"/>
      <c r="D1637" s="851"/>
    </row>
    <row r="1638" spans="2:4" s="819" customFormat="1">
      <c r="B1638" s="851"/>
      <c r="C1638" s="851"/>
      <c r="D1638" s="851"/>
    </row>
    <row r="1639" spans="2:4" s="819" customFormat="1">
      <c r="B1639" s="851"/>
      <c r="C1639" s="851"/>
      <c r="D1639" s="851"/>
    </row>
    <row r="1640" spans="2:4" s="819" customFormat="1">
      <c r="B1640" s="851"/>
      <c r="C1640" s="851"/>
      <c r="D1640" s="851"/>
    </row>
    <row r="1641" spans="2:4" s="819" customFormat="1">
      <c r="B1641" s="851"/>
      <c r="C1641" s="851"/>
      <c r="D1641" s="851"/>
    </row>
    <row r="1642" spans="2:4" s="819" customFormat="1">
      <c r="B1642" s="851"/>
      <c r="C1642" s="851"/>
      <c r="D1642" s="851"/>
    </row>
    <row r="1643" spans="2:4" s="819" customFormat="1">
      <c r="B1643" s="851"/>
      <c r="C1643" s="851"/>
      <c r="D1643" s="851"/>
    </row>
    <row r="1644" spans="2:4" s="819" customFormat="1">
      <c r="B1644" s="851"/>
      <c r="C1644" s="851"/>
      <c r="D1644" s="851"/>
    </row>
    <row r="1645" spans="2:4" s="819" customFormat="1">
      <c r="B1645" s="851"/>
      <c r="C1645" s="851"/>
      <c r="D1645" s="851"/>
    </row>
    <row r="1646" spans="2:4" s="819" customFormat="1">
      <c r="B1646" s="851"/>
      <c r="C1646" s="851"/>
      <c r="D1646" s="851"/>
    </row>
    <row r="1647" spans="2:4" s="819" customFormat="1">
      <c r="B1647" s="851"/>
      <c r="C1647" s="851"/>
      <c r="D1647" s="851"/>
    </row>
    <row r="1648" spans="2:4" s="819" customFormat="1">
      <c r="B1648" s="851"/>
      <c r="C1648" s="851"/>
      <c r="D1648" s="851"/>
    </row>
    <row r="1649" spans="2:4" s="819" customFormat="1">
      <c r="B1649" s="851"/>
      <c r="C1649" s="851"/>
      <c r="D1649" s="851"/>
    </row>
    <row r="1650" spans="2:4" s="819" customFormat="1">
      <c r="B1650" s="851"/>
      <c r="C1650" s="851"/>
      <c r="D1650" s="851"/>
    </row>
    <row r="1651" spans="2:4" s="819" customFormat="1">
      <c r="B1651" s="851"/>
      <c r="C1651" s="851"/>
      <c r="D1651" s="851"/>
    </row>
    <row r="1652" spans="2:4" s="819" customFormat="1">
      <c r="B1652" s="851"/>
      <c r="C1652" s="851"/>
      <c r="D1652" s="851"/>
    </row>
    <row r="1653" spans="2:4" s="819" customFormat="1">
      <c r="B1653" s="851"/>
      <c r="C1653" s="851"/>
      <c r="D1653" s="851"/>
    </row>
    <row r="1654" spans="2:4" s="819" customFormat="1">
      <c r="B1654" s="851"/>
      <c r="C1654" s="851"/>
      <c r="D1654" s="851"/>
    </row>
    <row r="1655" spans="2:4" s="819" customFormat="1">
      <c r="B1655" s="851"/>
      <c r="C1655" s="851"/>
      <c r="D1655" s="851"/>
    </row>
    <row r="1656" spans="2:4" s="819" customFormat="1">
      <c r="B1656" s="851"/>
      <c r="C1656" s="851"/>
      <c r="D1656" s="851"/>
    </row>
    <row r="1657" spans="2:4" s="819" customFormat="1">
      <c r="B1657" s="851"/>
      <c r="C1657" s="851"/>
      <c r="D1657" s="851"/>
    </row>
    <row r="1658" spans="2:4" s="819" customFormat="1">
      <c r="B1658" s="851"/>
      <c r="C1658" s="851"/>
      <c r="D1658" s="851"/>
    </row>
    <row r="1659" spans="2:4" s="819" customFormat="1">
      <c r="B1659" s="851"/>
      <c r="C1659" s="851"/>
      <c r="D1659" s="851"/>
    </row>
    <row r="1660" spans="2:4" s="819" customFormat="1">
      <c r="B1660" s="851"/>
      <c r="C1660" s="851"/>
      <c r="D1660" s="851"/>
    </row>
    <row r="1661" spans="2:4" s="819" customFormat="1">
      <c r="B1661" s="851"/>
      <c r="C1661" s="851"/>
      <c r="D1661" s="851"/>
    </row>
    <row r="1662" spans="2:4" s="819" customFormat="1">
      <c r="B1662" s="851"/>
      <c r="C1662" s="851"/>
      <c r="D1662" s="851"/>
    </row>
    <row r="1663" spans="2:4" s="819" customFormat="1">
      <c r="B1663" s="851"/>
      <c r="C1663" s="851"/>
      <c r="D1663" s="851"/>
    </row>
    <row r="1664" spans="2:4" s="819" customFormat="1">
      <c r="B1664" s="851"/>
      <c r="C1664" s="851"/>
      <c r="D1664" s="851"/>
    </row>
    <row r="1665" spans="2:4" s="819" customFormat="1">
      <c r="B1665" s="851"/>
      <c r="C1665" s="851"/>
      <c r="D1665" s="851"/>
    </row>
    <row r="1666" spans="2:4" s="819" customFormat="1">
      <c r="B1666" s="851"/>
      <c r="C1666" s="851"/>
      <c r="D1666" s="851"/>
    </row>
    <row r="1667" spans="2:4" s="819" customFormat="1">
      <c r="B1667" s="851"/>
      <c r="C1667" s="851"/>
      <c r="D1667" s="851"/>
    </row>
    <row r="1668" spans="2:4" s="819" customFormat="1">
      <c r="B1668" s="851"/>
      <c r="C1668" s="851"/>
      <c r="D1668" s="851"/>
    </row>
    <row r="1669" spans="2:4" s="819" customFormat="1">
      <c r="B1669" s="851"/>
      <c r="C1669" s="851"/>
      <c r="D1669" s="851"/>
    </row>
    <row r="1670" spans="2:4" s="819" customFormat="1">
      <c r="B1670" s="851"/>
      <c r="C1670" s="851"/>
      <c r="D1670" s="851"/>
    </row>
    <row r="1671" spans="2:4" s="819" customFormat="1">
      <c r="B1671" s="851"/>
      <c r="C1671" s="851"/>
      <c r="D1671" s="851"/>
    </row>
    <row r="1672" spans="2:4" s="819" customFormat="1">
      <c r="B1672" s="851"/>
      <c r="C1672" s="851"/>
      <c r="D1672" s="851"/>
    </row>
    <row r="1673" spans="2:4" s="819" customFormat="1">
      <c r="B1673" s="851"/>
      <c r="C1673" s="851"/>
      <c r="D1673" s="851"/>
    </row>
    <row r="1674" spans="2:4" s="819" customFormat="1">
      <c r="B1674" s="851"/>
      <c r="C1674" s="851"/>
      <c r="D1674" s="851"/>
    </row>
    <row r="1675" spans="2:4" s="819" customFormat="1">
      <c r="B1675" s="851"/>
      <c r="C1675" s="851"/>
      <c r="D1675" s="851"/>
    </row>
    <row r="1676" spans="2:4" s="819" customFormat="1">
      <c r="B1676" s="851"/>
      <c r="C1676" s="851"/>
      <c r="D1676" s="851"/>
    </row>
    <row r="1677" spans="2:4" s="819" customFormat="1">
      <c r="B1677" s="851"/>
      <c r="C1677" s="851"/>
      <c r="D1677" s="851"/>
    </row>
    <row r="1678" spans="2:4" s="819" customFormat="1">
      <c r="B1678" s="851"/>
      <c r="C1678" s="851"/>
      <c r="D1678" s="851"/>
    </row>
    <row r="1679" spans="2:4" s="819" customFormat="1">
      <c r="B1679" s="851"/>
      <c r="C1679" s="851"/>
      <c r="D1679" s="851"/>
    </row>
    <row r="1680" spans="2:4" s="819" customFormat="1">
      <c r="B1680" s="851"/>
      <c r="C1680" s="851"/>
      <c r="D1680" s="851"/>
    </row>
    <row r="1681" spans="2:4" s="819" customFormat="1">
      <c r="B1681" s="851"/>
      <c r="C1681" s="851"/>
      <c r="D1681" s="851"/>
    </row>
    <row r="1682" spans="2:4" s="819" customFormat="1">
      <c r="B1682" s="851"/>
      <c r="C1682" s="851"/>
      <c r="D1682" s="851"/>
    </row>
    <row r="1683" spans="2:4" s="819" customFormat="1">
      <c r="B1683" s="851"/>
      <c r="C1683" s="851"/>
      <c r="D1683" s="851"/>
    </row>
    <row r="1684" spans="2:4" s="819" customFormat="1">
      <c r="B1684" s="851"/>
      <c r="C1684" s="851"/>
      <c r="D1684" s="851"/>
    </row>
    <row r="1685" spans="2:4" s="819" customFormat="1">
      <c r="B1685" s="851"/>
      <c r="C1685" s="851"/>
      <c r="D1685" s="851"/>
    </row>
    <row r="1686" spans="2:4" s="819" customFormat="1">
      <c r="B1686" s="851"/>
      <c r="C1686" s="851"/>
      <c r="D1686" s="851"/>
    </row>
    <row r="1687" spans="2:4" s="819" customFormat="1">
      <c r="B1687" s="851"/>
      <c r="C1687" s="851"/>
      <c r="D1687" s="851"/>
    </row>
    <row r="1688" spans="2:4" s="819" customFormat="1">
      <c r="B1688" s="851"/>
      <c r="C1688" s="851"/>
      <c r="D1688" s="851"/>
    </row>
    <row r="1689" spans="2:4" s="819" customFormat="1">
      <c r="B1689" s="851"/>
      <c r="C1689" s="851"/>
      <c r="D1689" s="851"/>
    </row>
    <row r="1690" spans="2:4" s="819" customFormat="1">
      <c r="B1690" s="851"/>
      <c r="C1690" s="851"/>
      <c r="D1690" s="851"/>
    </row>
    <row r="1691" spans="2:4" s="819" customFormat="1">
      <c r="B1691" s="851"/>
      <c r="C1691" s="851"/>
      <c r="D1691" s="851"/>
    </row>
    <row r="1692" spans="2:4" s="819" customFormat="1">
      <c r="B1692" s="851"/>
      <c r="C1692" s="851"/>
      <c r="D1692" s="851"/>
    </row>
    <row r="1693" spans="2:4" s="819" customFormat="1">
      <c r="B1693" s="851"/>
      <c r="C1693" s="851"/>
      <c r="D1693" s="851"/>
    </row>
    <row r="1694" spans="2:4" s="819" customFormat="1">
      <c r="B1694" s="851"/>
      <c r="C1694" s="851"/>
      <c r="D1694" s="851"/>
    </row>
    <row r="1695" spans="2:4" s="819" customFormat="1">
      <c r="B1695" s="851"/>
      <c r="C1695" s="851"/>
      <c r="D1695" s="851"/>
    </row>
    <row r="1696" spans="2:4" s="819" customFormat="1">
      <c r="B1696" s="851"/>
      <c r="C1696" s="851"/>
      <c r="D1696" s="851"/>
    </row>
    <row r="1697" spans="2:4" s="819" customFormat="1">
      <c r="B1697" s="851"/>
      <c r="C1697" s="851"/>
      <c r="D1697" s="851"/>
    </row>
    <row r="1698" spans="2:4" s="819" customFormat="1">
      <c r="B1698" s="851"/>
      <c r="C1698" s="851"/>
      <c r="D1698" s="851"/>
    </row>
    <row r="1699" spans="2:4" s="819" customFormat="1">
      <c r="B1699" s="851"/>
      <c r="C1699" s="851"/>
      <c r="D1699" s="851"/>
    </row>
    <row r="1700" spans="2:4" s="819" customFormat="1">
      <c r="B1700" s="851"/>
      <c r="C1700" s="851"/>
      <c r="D1700" s="851"/>
    </row>
    <row r="1701" spans="2:4" s="819" customFormat="1">
      <c r="B1701" s="851"/>
      <c r="C1701" s="851"/>
      <c r="D1701" s="851"/>
    </row>
    <row r="1702" spans="2:4" s="819" customFormat="1">
      <c r="B1702" s="851"/>
      <c r="C1702" s="851"/>
      <c r="D1702" s="851"/>
    </row>
    <row r="1703" spans="2:4" s="819" customFormat="1">
      <c r="B1703" s="851"/>
      <c r="C1703" s="851"/>
      <c r="D1703" s="851"/>
    </row>
    <row r="1704" spans="2:4" s="819" customFormat="1">
      <c r="B1704" s="851"/>
      <c r="C1704" s="851"/>
      <c r="D1704" s="851"/>
    </row>
    <row r="1705" spans="2:4" s="819" customFormat="1">
      <c r="B1705" s="851"/>
      <c r="C1705" s="851"/>
      <c r="D1705" s="851"/>
    </row>
    <row r="1706" spans="2:4" s="819" customFormat="1">
      <c r="B1706" s="851"/>
      <c r="C1706" s="851"/>
      <c r="D1706" s="851"/>
    </row>
    <row r="1707" spans="2:4" s="819" customFormat="1">
      <c r="B1707" s="851"/>
      <c r="C1707" s="851"/>
      <c r="D1707" s="851"/>
    </row>
    <row r="1708" spans="2:4" s="819" customFormat="1">
      <c r="B1708" s="851"/>
      <c r="C1708" s="851"/>
      <c r="D1708" s="851"/>
    </row>
    <row r="1709" spans="2:4" s="819" customFormat="1">
      <c r="B1709" s="851"/>
      <c r="C1709" s="851"/>
      <c r="D1709" s="851"/>
    </row>
    <row r="1710" spans="2:4" s="819" customFormat="1">
      <c r="B1710" s="851"/>
      <c r="C1710" s="851"/>
      <c r="D1710" s="851"/>
    </row>
    <row r="1711" spans="2:4" s="819" customFormat="1">
      <c r="B1711" s="851"/>
      <c r="C1711" s="851"/>
      <c r="D1711" s="851"/>
    </row>
    <row r="1712" spans="2:4" s="819" customFormat="1">
      <c r="B1712" s="851"/>
      <c r="C1712" s="851"/>
      <c r="D1712" s="851"/>
    </row>
    <row r="1713" spans="2:4" s="819" customFormat="1">
      <c r="B1713" s="851"/>
      <c r="C1713" s="851"/>
      <c r="D1713" s="851"/>
    </row>
    <row r="1714" spans="2:4" s="819" customFormat="1">
      <c r="B1714" s="851"/>
      <c r="C1714" s="851"/>
      <c r="D1714" s="851"/>
    </row>
    <row r="1715" spans="2:4" s="819" customFormat="1">
      <c r="B1715" s="851"/>
      <c r="C1715" s="851"/>
      <c r="D1715" s="851"/>
    </row>
    <row r="1716" spans="2:4" s="819" customFormat="1">
      <c r="B1716" s="851"/>
      <c r="C1716" s="851"/>
      <c r="D1716" s="851"/>
    </row>
    <row r="1717" spans="2:4" s="819" customFormat="1">
      <c r="B1717" s="851"/>
      <c r="C1717" s="851"/>
      <c r="D1717" s="851"/>
    </row>
    <row r="1718" spans="2:4" s="819" customFormat="1">
      <c r="B1718" s="851"/>
      <c r="C1718" s="851"/>
      <c r="D1718" s="851"/>
    </row>
    <row r="1719" spans="2:4" s="819" customFormat="1">
      <c r="B1719" s="851"/>
      <c r="C1719" s="851"/>
      <c r="D1719" s="851"/>
    </row>
    <row r="1720" spans="2:4" s="819" customFormat="1">
      <c r="B1720" s="851"/>
      <c r="C1720" s="851"/>
      <c r="D1720" s="851"/>
    </row>
    <row r="1721" spans="2:4" s="819" customFormat="1">
      <c r="B1721" s="851"/>
      <c r="C1721" s="851"/>
      <c r="D1721" s="851"/>
    </row>
    <row r="1722" spans="2:4" s="819" customFormat="1">
      <c r="B1722" s="851"/>
      <c r="C1722" s="851"/>
      <c r="D1722" s="851"/>
    </row>
    <row r="1723" spans="2:4" s="819" customFormat="1">
      <c r="B1723" s="851"/>
      <c r="C1723" s="851"/>
      <c r="D1723" s="851"/>
    </row>
    <row r="1724" spans="2:4" s="819" customFormat="1">
      <c r="B1724" s="851"/>
      <c r="C1724" s="851"/>
      <c r="D1724" s="851"/>
    </row>
    <row r="1725" spans="2:4" s="819" customFormat="1">
      <c r="B1725" s="851"/>
      <c r="C1725" s="851"/>
      <c r="D1725" s="851"/>
    </row>
    <row r="1726" spans="2:4" s="819" customFormat="1">
      <c r="B1726" s="851"/>
      <c r="C1726" s="851"/>
      <c r="D1726" s="851"/>
    </row>
    <row r="1727" spans="2:4" s="819" customFormat="1">
      <c r="B1727" s="851"/>
      <c r="C1727" s="851"/>
      <c r="D1727" s="851"/>
    </row>
    <row r="1728" spans="2:4" s="819" customFormat="1">
      <c r="B1728" s="851"/>
      <c r="C1728" s="851"/>
      <c r="D1728" s="851"/>
    </row>
    <row r="1729" spans="2:4" s="819" customFormat="1">
      <c r="B1729" s="851"/>
      <c r="C1729" s="851"/>
      <c r="D1729" s="851"/>
    </row>
    <row r="1730" spans="2:4" s="819" customFormat="1">
      <c r="B1730" s="851"/>
      <c r="C1730" s="851"/>
      <c r="D1730" s="851"/>
    </row>
    <row r="1731" spans="2:4" s="819" customFormat="1">
      <c r="B1731" s="851"/>
      <c r="C1731" s="851"/>
      <c r="D1731" s="851"/>
    </row>
    <row r="1732" spans="2:4" s="819" customFormat="1">
      <c r="B1732" s="851"/>
      <c r="C1732" s="851"/>
      <c r="D1732" s="851"/>
    </row>
    <row r="1733" spans="2:4" s="819" customFormat="1">
      <c r="B1733" s="851"/>
      <c r="C1733" s="851"/>
      <c r="D1733" s="851"/>
    </row>
    <row r="1734" spans="2:4" s="819" customFormat="1">
      <c r="B1734" s="851"/>
      <c r="C1734" s="851"/>
      <c r="D1734" s="851"/>
    </row>
    <row r="1735" spans="2:4" s="819" customFormat="1">
      <c r="B1735" s="851"/>
      <c r="C1735" s="851"/>
      <c r="D1735" s="851"/>
    </row>
    <row r="1736" spans="2:4" s="819" customFormat="1">
      <c r="B1736" s="851"/>
      <c r="C1736" s="851"/>
      <c r="D1736" s="851"/>
    </row>
    <row r="1737" spans="2:4" s="819" customFormat="1">
      <c r="B1737" s="851"/>
      <c r="C1737" s="851"/>
      <c r="D1737" s="851"/>
    </row>
    <row r="1738" spans="2:4" s="819" customFormat="1">
      <c r="B1738" s="851"/>
      <c r="C1738" s="851"/>
      <c r="D1738" s="851"/>
    </row>
    <row r="1739" spans="2:4" s="819" customFormat="1">
      <c r="B1739" s="851"/>
      <c r="C1739" s="851"/>
      <c r="D1739" s="851"/>
    </row>
    <row r="1740" spans="2:4" s="819" customFormat="1">
      <c r="B1740" s="851"/>
      <c r="C1740" s="851"/>
      <c r="D1740" s="851"/>
    </row>
    <row r="1741" spans="2:4" s="819" customFormat="1">
      <c r="B1741" s="851"/>
      <c r="C1741" s="851"/>
      <c r="D1741" s="851"/>
    </row>
    <row r="1742" spans="2:4" s="819" customFormat="1">
      <c r="B1742" s="851"/>
      <c r="C1742" s="851"/>
      <c r="D1742" s="851"/>
    </row>
    <row r="1743" spans="2:4" s="819" customFormat="1">
      <c r="B1743" s="851"/>
      <c r="C1743" s="851"/>
      <c r="D1743" s="851"/>
    </row>
    <row r="1744" spans="2:4" s="819" customFormat="1">
      <c r="B1744" s="851"/>
      <c r="C1744" s="851"/>
      <c r="D1744" s="851"/>
    </row>
    <row r="1745" spans="2:4" s="819" customFormat="1">
      <c r="B1745" s="851"/>
      <c r="C1745" s="851"/>
      <c r="D1745" s="851"/>
    </row>
    <row r="1746" spans="2:4" s="819" customFormat="1">
      <c r="B1746" s="851"/>
      <c r="C1746" s="851"/>
      <c r="D1746" s="851"/>
    </row>
    <row r="1747" spans="2:4" s="819" customFormat="1">
      <c r="B1747" s="851"/>
      <c r="C1747" s="851"/>
      <c r="D1747" s="851"/>
    </row>
    <row r="1748" spans="2:4" s="819" customFormat="1">
      <c r="B1748" s="851"/>
      <c r="C1748" s="851"/>
      <c r="D1748" s="851"/>
    </row>
    <row r="1749" spans="2:4" s="819" customFormat="1">
      <c r="B1749" s="851"/>
      <c r="C1749" s="851"/>
      <c r="D1749" s="851"/>
    </row>
    <row r="1750" spans="2:4" s="819" customFormat="1">
      <c r="B1750" s="851"/>
      <c r="C1750" s="851"/>
      <c r="D1750" s="851"/>
    </row>
    <row r="1751" spans="2:4" s="819" customFormat="1">
      <c r="B1751" s="851"/>
      <c r="C1751" s="851"/>
      <c r="D1751" s="851"/>
    </row>
    <row r="1752" spans="2:4" s="819" customFormat="1">
      <c r="B1752" s="851"/>
      <c r="C1752" s="851"/>
      <c r="D1752" s="851"/>
    </row>
    <row r="1753" spans="2:4" s="819" customFormat="1">
      <c r="B1753" s="851"/>
      <c r="C1753" s="851"/>
      <c r="D1753" s="851"/>
    </row>
    <row r="1754" spans="2:4" s="819" customFormat="1">
      <c r="B1754" s="851"/>
      <c r="C1754" s="851"/>
      <c r="D1754" s="851"/>
    </row>
    <row r="1755" spans="2:4" s="819" customFormat="1">
      <c r="B1755" s="851"/>
      <c r="C1755" s="851"/>
      <c r="D1755" s="851"/>
    </row>
    <row r="1756" spans="2:4" s="819" customFormat="1">
      <c r="B1756" s="851"/>
      <c r="C1756" s="851"/>
      <c r="D1756" s="851"/>
    </row>
    <row r="1757" spans="2:4" s="819" customFormat="1">
      <c r="B1757" s="851"/>
      <c r="C1757" s="851"/>
      <c r="D1757" s="851"/>
    </row>
    <row r="1758" spans="2:4" s="819" customFormat="1">
      <c r="B1758" s="851"/>
      <c r="C1758" s="851"/>
      <c r="D1758" s="851"/>
    </row>
    <row r="1759" spans="2:4" s="819" customFormat="1">
      <c r="B1759" s="851"/>
      <c r="C1759" s="851"/>
      <c r="D1759" s="851"/>
    </row>
    <row r="1760" spans="2:4" s="819" customFormat="1">
      <c r="B1760" s="851"/>
      <c r="C1760" s="851"/>
      <c r="D1760" s="851"/>
    </row>
    <row r="1761" spans="2:4" s="819" customFormat="1">
      <c r="B1761" s="851"/>
      <c r="C1761" s="851"/>
      <c r="D1761" s="851"/>
    </row>
    <row r="1762" spans="2:4" s="819" customFormat="1">
      <c r="B1762" s="851"/>
      <c r="C1762" s="851"/>
      <c r="D1762" s="851"/>
    </row>
    <row r="1763" spans="2:4" s="819" customFormat="1">
      <c r="B1763" s="851"/>
      <c r="C1763" s="851"/>
      <c r="D1763" s="851"/>
    </row>
    <row r="1764" spans="2:4" s="819" customFormat="1">
      <c r="B1764" s="851"/>
      <c r="C1764" s="851"/>
      <c r="D1764" s="851"/>
    </row>
    <row r="1765" spans="2:4" s="819" customFormat="1">
      <c r="B1765" s="851"/>
      <c r="C1765" s="851"/>
      <c r="D1765" s="851"/>
    </row>
    <row r="1766" spans="2:4" s="819" customFormat="1">
      <c r="B1766" s="851"/>
      <c r="C1766" s="851"/>
      <c r="D1766" s="851"/>
    </row>
    <row r="1767" spans="2:4" s="819" customFormat="1">
      <c r="B1767" s="851"/>
      <c r="C1767" s="851"/>
      <c r="D1767" s="851"/>
    </row>
    <row r="1768" spans="2:4" s="819" customFormat="1">
      <c r="B1768" s="851"/>
      <c r="C1768" s="851"/>
      <c r="D1768" s="851"/>
    </row>
    <row r="1769" spans="2:4" s="819" customFormat="1">
      <c r="B1769" s="851"/>
      <c r="C1769" s="851"/>
      <c r="D1769" s="851"/>
    </row>
    <row r="1770" spans="2:4" s="819" customFormat="1">
      <c r="B1770" s="851"/>
      <c r="C1770" s="851"/>
      <c r="D1770" s="851"/>
    </row>
    <row r="1771" spans="2:4" s="819" customFormat="1">
      <c r="B1771" s="851"/>
      <c r="C1771" s="851"/>
      <c r="D1771" s="851"/>
    </row>
    <row r="1772" spans="2:4" s="819" customFormat="1">
      <c r="B1772" s="851"/>
      <c r="C1772" s="851"/>
      <c r="D1772" s="851"/>
    </row>
    <row r="1773" spans="2:4" s="819" customFormat="1">
      <c r="B1773" s="851"/>
      <c r="C1773" s="851"/>
      <c r="D1773" s="851"/>
    </row>
    <row r="1774" spans="2:4" s="819" customFormat="1">
      <c r="B1774" s="851"/>
      <c r="C1774" s="851"/>
      <c r="D1774" s="851"/>
    </row>
    <row r="1775" spans="2:4" s="819" customFormat="1">
      <c r="B1775" s="851"/>
      <c r="C1775" s="851"/>
      <c r="D1775" s="851"/>
    </row>
    <row r="1776" spans="2:4" s="819" customFormat="1">
      <c r="B1776" s="851"/>
      <c r="C1776" s="851"/>
      <c r="D1776" s="851"/>
    </row>
    <row r="1777" spans="2:4" s="819" customFormat="1">
      <c r="B1777" s="851"/>
      <c r="C1777" s="851"/>
      <c r="D1777" s="851"/>
    </row>
    <row r="1778" spans="2:4" s="819" customFormat="1">
      <c r="B1778" s="851"/>
      <c r="C1778" s="851"/>
      <c r="D1778" s="851"/>
    </row>
    <row r="1779" spans="2:4" s="819" customFormat="1">
      <c r="B1779" s="851"/>
      <c r="C1779" s="851"/>
      <c r="D1779" s="851"/>
    </row>
    <row r="1780" spans="2:4" s="819" customFormat="1">
      <c r="B1780" s="851"/>
      <c r="C1780" s="851"/>
      <c r="D1780" s="851"/>
    </row>
    <row r="1781" spans="2:4" s="819" customFormat="1">
      <c r="B1781" s="851"/>
      <c r="C1781" s="851"/>
      <c r="D1781" s="851"/>
    </row>
    <row r="1782" spans="2:4" s="819" customFormat="1">
      <c r="B1782" s="851"/>
      <c r="C1782" s="851"/>
      <c r="D1782" s="851"/>
    </row>
    <row r="1783" spans="2:4" s="819" customFormat="1">
      <c r="B1783" s="851"/>
      <c r="C1783" s="851"/>
      <c r="D1783" s="851"/>
    </row>
    <row r="1784" spans="2:4" s="819" customFormat="1">
      <c r="B1784" s="851"/>
      <c r="C1784" s="851"/>
      <c r="D1784" s="851"/>
    </row>
    <row r="1785" spans="2:4" s="819" customFormat="1">
      <c r="B1785" s="851"/>
      <c r="C1785" s="851"/>
      <c r="D1785" s="851"/>
    </row>
    <row r="1786" spans="2:4" s="819" customFormat="1">
      <c r="B1786" s="851"/>
      <c r="C1786" s="851"/>
      <c r="D1786" s="851"/>
    </row>
    <row r="1787" spans="2:4" s="819" customFormat="1">
      <c r="B1787" s="851"/>
      <c r="C1787" s="851"/>
      <c r="D1787" s="851"/>
    </row>
    <row r="1788" spans="2:4" s="819" customFormat="1">
      <c r="B1788" s="851"/>
      <c r="C1788" s="851"/>
      <c r="D1788" s="851"/>
    </row>
    <row r="1789" spans="2:4" s="819" customFormat="1">
      <c r="B1789" s="851"/>
      <c r="C1789" s="851"/>
      <c r="D1789" s="851"/>
    </row>
    <row r="1790" spans="2:4" s="819" customFormat="1">
      <c r="B1790" s="851"/>
      <c r="C1790" s="851"/>
      <c r="D1790" s="851"/>
    </row>
    <row r="1791" spans="2:4" s="819" customFormat="1">
      <c r="B1791" s="851"/>
      <c r="C1791" s="851"/>
      <c r="D1791" s="851"/>
    </row>
    <row r="1792" spans="2:4" s="819" customFormat="1">
      <c r="B1792" s="851"/>
      <c r="C1792" s="851"/>
      <c r="D1792" s="851"/>
    </row>
    <row r="1793" spans="2:4" s="819" customFormat="1">
      <c r="B1793" s="851"/>
      <c r="C1793" s="851"/>
      <c r="D1793" s="851"/>
    </row>
    <row r="1794" spans="2:4" s="819" customFormat="1">
      <c r="B1794" s="851"/>
      <c r="C1794" s="851"/>
      <c r="D1794" s="851"/>
    </row>
    <row r="1795" spans="2:4" s="819" customFormat="1">
      <c r="B1795" s="851"/>
      <c r="C1795" s="851"/>
      <c r="D1795" s="851"/>
    </row>
    <row r="1796" spans="2:4" s="819" customFormat="1">
      <c r="B1796" s="851"/>
      <c r="C1796" s="851"/>
      <c r="D1796" s="851"/>
    </row>
    <row r="1797" spans="2:4" s="819" customFormat="1">
      <c r="B1797" s="851"/>
      <c r="C1797" s="851"/>
      <c r="D1797" s="851"/>
    </row>
    <row r="1798" spans="2:4" s="819" customFormat="1">
      <c r="B1798" s="851"/>
      <c r="C1798" s="851"/>
      <c r="D1798" s="851"/>
    </row>
    <row r="1799" spans="2:4" s="819" customFormat="1">
      <c r="B1799" s="851"/>
      <c r="C1799" s="851"/>
      <c r="D1799" s="851"/>
    </row>
    <row r="1800" spans="2:4" s="819" customFormat="1">
      <c r="B1800" s="851"/>
      <c r="C1800" s="851"/>
      <c r="D1800" s="851"/>
    </row>
    <row r="1801" spans="2:4" s="819" customFormat="1">
      <c r="B1801" s="851"/>
      <c r="C1801" s="851"/>
      <c r="D1801" s="851"/>
    </row>
    <row r="1802" spans="2:4" s="819" customFormat="1">
      <c r="B1802" s="851"/>
      <c r="C1802" s="851"/>
      <c r="D1802" s="851"/>
    </row>
    <row r="1803" spans="2:4" s="819" customFormat="1">
      <c r="B1803" s="851"/>
      <c r="C1803" s="851"/>
      <c r="D1803" s="851"/>
    </row>
    <row r="1804" spans="2:4" s="819" customFormat="1">
      <c r="B1804" s="851"/>
      <c r="C1804" s="851"/>
      <c r="D1804" s="851"/>
    </row>
    <row r="1805" spans="2:4" s="819" customFormat="1">
      <c r="B1805" s="851"/>
      <c r="C1805" s="851"/>
      <c r="D1805" s="851"/>
    </row>
    <row r="1806" spans="2:4" s="819" customFormat="1">
      <c r="B1806" s="851"/>
      <c r="C1806" s="851"/>
      <c r="D1806" s="851"/>
    </row>
    <row r="1807" spans="2:4" s="819" customFormat="1">
      <c r="B1807" s="851"/>
      <c r="C1807" s="851"/>
      <c r="D1807" s="851"/>
    </row>
    <row r="1808" spans="2:4" s="819" customFormat="1">
      <c r="B1808" s="851"/>
      <c r="C1808" s="851"/>
      <c r="D1808" s="851"/>
    </row>
    <row r="1809" spans="2:4" s="819" customFormat="1">
      <c r="B1809" s="851"/>
      <c r="C1809" s="851"/>
      <c r="D1809" s="851"/>
    </row>
    <row r="1810" spans="2:4" s="819" customFormat="1">
      <c r="B1810" s="851"/>
      <c r="C1810" s="851"/>
      <c r="D1810" s="851"/>
    </row>
    <row r="1811" spans="2:4" s="819" customFormat="1">
      <c r="B1811" s="851"/>
      <c r="C1811" s="851"/>
      <c r="D1811" s="851"/>
    </row>
    <row r="1812" spans="2:4" s="819" customFormat="1">
      <c r="B1812" s="851"/>
      <c r="C1812" s="851"/>
      <c r="D1812" s="851"/>
    </row>
    <row r="1813" spans="2:4" s="819" customFormat="1">
      <c r="B1813" s="851"/>
      <c r="C1813" s="851"/>
      <c r="D1813" s="851"/>
    </row>
    <row r="1814" spans="2:4" s="819" customFormat="1">
      <c r="B1814" s="851"/>
      <c r="C1814" s="851"/>
      <c r="D1814" s="851"/>
    </row>
    <row r="1815" spans="2:4" s="819" customFormat="1">
      <c r="B1815" s="851"/>
      <c r="C1815" s="851"/>
      <c r="D1815" s="851"/>
    </row>
    <row r="1816" spans="2:4" s="819" customFormat="1">
      <c r="B1816" s="851"/>
      <c r="C1816" s="851"/>
      <c r="D1816" s="851"/>
    </row>
    <row r="1817" spans="2:4" s="819" customFormat="1">
      <c r="B1817" s="851"/>
      <c r="C1817" s="851"/>
      <c r="D1817" s="851"/>
    </row>
    <row r="1818" spans="2:4" s="819" customFormat="1">
      <c r="B1818" s="851"/>
      <c r="C1818" s="851"/>
      <c r="D1818" s="851"/>
    </row>
    <row r="1819" spans="2:4" s="819" customFormat="1">
      <c r="B1819" s="851"/>
      <c r="C1819" s="851"/>
      <c r="D1819" s="851"/>
    </row>
    <row r="1820" spans="2:4" s="819" customFormat="1">
      <c r="B1820" s="851"/>
      <c r="C1820" s="851"/>
      <c r="D1820" s="851"/>
    </row>
    <row r="1821" spans="2:4" s="819" customFormat="1">
      <c r="B1821" s="851"/>
      <c r="C1821" s="851"/>
      <c r="D1821" s="851"/>
    </row>
    <row r="1822" spans="2:4" s="819" customFormat="1">
      <c r="B1822" s="851"/>
      <c r="C1822" s="851"/>
      <c r="D1822" s="851"/>
    </row>
    <row r="1823" spans="2:4" s="819" customFormat="1">
      <c r="B1823" s="851"/>
      <c r="C1823" s="851"/>
      <c r="D1823" s="851"/>
    </row>
    <row r="1824" spans="2:4" s="819" customFormat="1">
      <c r="B1824" s="851"/>
      <c r="C1824" s="851"/>
      <c r="D1824" s="851"/>
    </row>
    <row r="1825" spans="2:4" s="819" customFormat="1">
      <c r="B1825" s="851"/>
      <c r="C1825" s="851"/>
      <c r="D1825" s="851"/>
    </row>
    <row r="1826" spans="2:4" s="819" customFormat="1">
      <c r="B1826" s="851"/>
      <c r="C1826" s="851"/>
      <c r="D1826" s="851"/>
    </row>
    <row r="1827" spans="2:4" s="819" customFormat="1">
      <c r="B1827" s="851"/>
      <c r="C1827" s="851"/>
      <c r="D1827" s="851"/>
    </row>
    <row r="1828" spans="2:4" s="819" customFormat="1">
      <c r="B1828" s="851"/>
      <c r="C1828" s="851"/>
      <c r="D1828" s="851"/>
    </row>
    <row r="1829" spans="2:4" s="819" customFormat="1">
      <c r="B1829" s="851"/>
      <c r="C1829" s="851"/>
      <c r="D1829" s="851"/>
    </row>
    <row r="1830" spans="2:4" s="819" customFormat="1">
      <c r="B1830" s="851"/>
      <c r="C1830" s="851"/>
      <c r="D1830" s="851"/>
    </row>
    <row r="1831" spans="2:4" s="819" customFormat="1">
      <c r="B1831" s="851"/>
      <c r="C1831" s="851"/>
      <c r="D1831" s="851"/>
    </row>
    <row r="1832" spans="2:4" s="819" customFormat="1">
      <c r="B1832" s="851"/>
      <c r="C1832" s="851"/>
      <c r="D1832" s="851"/>
    </row>
    <row r="1833" spans="2:4" s="819" customFormat="1">
      <c r="B1833" s="851"/>
      <c r="C1833" s="851"/>
      <c r="D1833" s="851"/>
    </row>
    <row r="1834" spans="2:4" s="819" customFormat="1">
      <c r="B1834" s="851"/>
      <c r="C1834" s="851"/>
      <c r="D1834" s="851"/>
    </row>
    <row r="1835" spans="2:4" s="819" customFormat="1">
      <c r="B1835" s="851"/>
      <c r="C1835" s="851"/>
      <c r="D1835" s="851"/>
    </row>
    <row r="1836" spans="2:4" s="819" customFormat="1">
      <c r="B1836" s="851"/>
      <c r="C1836" s="851"/>
      <c r="D1836" s="851"/>
    </row>
    <row r="1837" spans="2:4" s="819" customFormat="1">
      <c r="B1837" s="851"/>
      <c r="C1837" s="851"/>
      <c r="D1837" s="851"/>
    </row>
    <row r="1838" spans="2:4" s="819" customFormat="1">
      <c r="B1838" s="851"/>
      <c r="C1838" s="851"/>
      <c r="D1838" s="851"/>
    </row>
    <row r="1839" spans="2:4" s="819" customFormat="1">
      <c r="B1839" s="851"/>
      <c r="C1839" s="851"/>
      <c r="D1839" s="851"/>
    </row>
    <row r="1840" spans="2:4" s="819" customFormat="1">
      <c r="B1840" s="851"/>
      <c r="C1840" s="851"/>
      <c r="D1840" s="851"/>
    </row>
    <row r="1841" spans="2:4" s="819" customFormat="1">
      <c r="B1841" s="851"/>
      <c r="C1841" s="851"/>
      <c r="D1841" s="851"/>
    </row>
    <row r="1842" spans="2:4" s="819" customFormat="1">
      <c r="B1842" s="851"/>
      <c r="C1842" s="851"/>
      <c r="D1842" s="851"/>
    </row>
    <row r="1843" spans="2:4" s="819" customFormat="1">
      <c r="B1843" s="851"/>
      <c r="C1843" s="851"/>
      <c r="D1843" s="851"/>
    </row>
    <row r="1844" spans="2:4" s="819" customFormat="1">
      <c r="B1844" s="851"/>
      <c r="C1844" s="851"/>
      <c r="D1844" s="851"/>
    </row>
    <row r="1845" spans="2:4" s="819" customFormat="1">
      <c r="B1845" s="851"/>
      <c r="C1845" s="851"/>
      <c r="D1845" s="851"/>
    </row>
    <row r="1846" spans="2:4" s="819" customFormat="1">
      <c r="B1846" s="851"/>
      <c r="C1846" s="851"/>
      <c r="D1846" s="851"/>
    </row>
    <row r="1847" spans="2:4" s="819" customFormat="1">
      <c r="B1847" s="851"/>
      <c r="C1847" s="851"/>
      <c r="D1847" s="851"/>
    </row>
    <row r="1848" spans="2:4" s="819" customFormat="1">
      <c r="B1848" s="851"/>
      <c r="C1848" s="851"/>
      <c r="D1848" s="851"/>
    </row>
    <row r="1849" spans="2:4" s="819" customFormat="1">
      <c r="B1849" s="851"/>
      <c r="C1849" s="851"/>
      <c r="D1849" s="851"/>
    </row>
    <row r="1850" spans="2:4" s="819" customFormat="1">
      <c r="B1850" s="851"/>
      <c r="C1850" s="851"/>
      <c r="D1850" s="851"/>
    </row>
    <row r="1851" spans="2:4" s="819" customFormat="1">
      <c r="B1851" s="851"/>
      <c r="C1851" s="851"/>
      <c r="D1851" s="851"/>
    </row>
    <row r="1852" spans="2:4" s="819" customFormat="1">
      <c r="B1852" s="851"/>
      <c r="C1852" s="851"/>
      <c r="D1852" s="851"/>
    </row>
    <row r="1853" spans="2:4" s="819" customFormat="1">
      <c r="B1853" s="851"/>
      <c r="C1853" s="851"/>
      <c r="D1853" s="851"/>
    </row>
    <row r="1854" spans="2:4" s="819" customFormat="1">
      <c r="B1854" s="851"/>
      <c r="C1854" s="851"/>
      <c r="D1854" s="851"/>
    </row>
    <row r="1855" spans="2:4" s="819" customFormat="1">
      <c r="B1855" s="851"/>
      <c r="C1855" s="851"/>
      <c r="D1855" s="851"/>
    </row>
    <row r="1856" spans="2:4" s="819" customFormat="1">
      <c r="B1856" s="851"/>
      <c r="C1856" s="851"/>
      <c r="D1856" s="851"/>
    </row>
    <row r="1857" spans="2:4" s="819" customFormat="1">
      <c r="B1857" s="851"/>
      <c r="C1857" s="851"/>
      <c r="D1857" s="851"/>
    </row>
    <row r="1858" spans="2:4" s="819" customFormat="1">
      <c r="B1858" s="851"/>
      <c r="C1858" s="851"/>
      <c r="D1858" s="851"/>
    </row>
    <row r="1859" spans="2:4" s="819" customFormat="1">
      <c r="B1859" s="851"/>
      <c r="C1859" s="851"/>
      <c r="D1859" s="851"/>
    </row>
    <row r="1860" spans="2:4" s="819" customFormat="1">
      <c r="B1860" s="851"/>
      <c r="C1860" s="851"/>
      <c r="D1860" s="851"/>
    </row>
    <row r="1861" spans="2:4" s="819" customFormat="1">
      <c r="B1861" s="851"/>
      <c r="C1861" s="851"/>
      <c r="D1861" s="851"/>
    </row>
    <row r="1862" spans="2:4" s="819" customFormat="1">
      <c r="B1862" s="851"/>
      <c r="C1862" s="851"/>
      <c r="D1862" s="851"/>
    </row>
    <row r="1863" spans="2:4" s="819" customFormat="1">
      <c r="B1863" s="851"/>
      <c r="C1863" s="851"/>
      <c r="D1863" s="851"/>
    </row>
    <row r="1864" spans="2:4" s="819" customFormat="1">
      <c r="B1864" s="851"/>
      <c r="C1864" s="851"/>
      <c r="D1864" s="851"/>
    </row>
    <row r="1865" spans="2:4" s="819" customFormat="1">
      <c r="B1865" s="851"/>
      <c r="C1865" s="851"/>
      <c r="D1865" s="851"/>
    </row>
    <row r="1866" spans="2:4" s="819" customFormat="1">
      <c r="B1866" s="851"/>
      <c r="C1866" s="851"/>
      <c r="D1866" s="851"/>
    </row>
    <row r="1867" spans="2:4" s="819" customFormat="1">
      <c r="B1867" s="851"/>
      <c r="C1867" s="851"/>
      <c r="D1867" s="851"/>
    </row>
    <row r="1868" spans="2:4" s="819" customFormat="1">
      <c r="B1868" s="851"/>
      <c r="C1868" s="851"/>
      <c r="D1868" s="851"/>
    </row>
    <row r="1869" spans="2:4" s="819" customFormat="1">
      <c r="B1869" s="851"/>
      <c r="C1869" s="851"/>
      <c r="D1869" s="851"/>
    </row>
    <row r="1870" spans="2:4" s="819" customFormat="1">
      <c r="B1870" s="851"/>
      <c r="C1870" s="851"/>
      <c r="D1870" s="851"/>
    </row>
    <row r="1871" spans="2:4" s="819" customFormat="1">
      <c r="B1871" s="851"/>
      <c r="C1871" s="851"/>
      <c r="D1871" s="851"/>
    </row>
    <row r="1872" spans="2:4" s="819" customFormat="1">
      <c r="B1872" s="851"/>
      <c r="C1872" s="851"/>
      <c r="D1872" s="851"/>
    </row>
    <row r="1873" spans="2:4" s="819" customFormat="1">
      <c r="B1873" s="851"/>
      <c r="C1873" s="851"/>
      <c r="D1873" s="851"/>
    </row>
    <row r="1874" spans="2:4" s="819" customFormat="1">
      <c r="B1874" s="851"/>
      <c r="C1874" s="851"/>
      <c r="D1874" s="851"/>
    </row>
    <row r="1875" spans="2:4" s="819" customFormat="1">
      <c r="B1875" s="851"/>
      <c r="C1875" s="851"/>
      <c r="D1875" s="851"/>
    </row>
    <row r="1876" spans="2:4" s="819" customFormat="1">
      <c r="B1876" s="851"/>
      <c r="C1876" s="851"/>
      <c r="D1876" s="851"/>
    </row>
    <row r="1877" spans="2:4" s="819" customFormat="1">
      <c r="B1877" s="851"/>
      <c r="C1877" s="851"/>
      <c r="D1877" s="851"/>
    </row>
    <row r="1878" spans="2:4" s="819" customFormat="1">
      <c r="B1878" s="851"/>
      <c r="C1878" s="851"/>
      <c r="D1878" s="851"/>
    </row>
    <row r="1879" spans="2:4" s="819" customFormat="1">
      <c r="B1879" s="851"/>
      <c r="C1879" s="851"/>
      <c r="D1879" s="851"/>
    </row>
    <row r="1880" spans="2:4" s="819" customFormat="1">
      <c r="B1880" s="851"/>
      <c r="C1880" s="851"/>
      <c r="D1880" s="851"/>
    </row>
    <row r="1881" spans="2:4" s="819" customFormat="1">
      <c r="B1881" s="851"/>
      <c r="C1881" s="851"/>
      <c r="D1881" s="851"/>
    </row>
    <row r="1882" spans="2:4" s="819" customFormat="1">
      <c r="B1882" s="851"/>
      <c r="C1882" s="851"/>
      <c r="D1882" s="851"/>
    </row>
    <row r="1883" spans="2:4" s="819" customFormat="1">
      <c r="B1883" s="851"/>
      <c r="C1883" s="851"/>
      <c r="D1883" s="851"/>
    </row>
    <row r="1884" spans="2:4" s="819" customFormat="1">
      <c r="B1884" s="851"/>
      <c r="C1884" s="851"/>
      <c r="D1884" s="851"/>
    </row>
    <row r="1885" spans="2:4" s="819" customFormat="1">
      <c r="B1885" s="851"/>
      <c r="C1885" s="851"/>
      <c r="D1885" s="851"/>
    </row>
    <row r="1886" spans="2:4" s="819" customFormat="1">
      <c r="B1886" s="851"/>
      <c r="C1886" s="851"/>
      <c r="D1886" s="851"/>
    </row>
    <row r="1887" spans="2:4" s="819" customFormat="1">
      <c r="B1887" s="851"/>
      <c r="C1887" s="851"/>
      <c r="D1887" s="851"/>
    </row>
    <row r="1888" spans="2:4" s="819" customFormat="1">
      <c r="B1888" s="851"/>
      <c r="C1888" s="851"/>
      <c r="D1888" s="851"/>
    </row>
    <row r="1889" spans="2:4" s="819" customFormat="1">
      <c r="B1889" s="851"/>
      <c r="C1889" s="851"/>
      <c r="D1889" s="851"/>
    </row>
    <row r="1890" spans="2:4" s="819" customFormat="1">
      <c r="B1890" s="851"/>
      <c r="C1890" s="851"/>
      <c r="D1890" s="851"/>
    </row>
    <row r="1891" spans="2:4" s="819" customFormat="1">
      <c r="B1891" s="851"/>
      <c r="C1891" s="851"/>
      <c r="D1891" s="851"/>
    </row>
    <row r="1892" spans="2:4" s="819" customFormat="1">
      <c r="B1892" s="851"/>
      <c r="C1892" s="851"/>
      <c r="D1892" s="851"/>
    </row>
    <row r="1893" spans="2:4" s="819" customFormat="1">
      <c r="B1893" s="851"/>
      <c r="C1893" s="851"/>
      <c r="D1893" s="851"/>
    </row>
    <row r="1894" spans="2:4" s="819" customFormat="1">
      <c r="B1894" s="851"/>
      <c r="C1894" s="851"/>
      <c r="D1894" s="851"/>
    </row>
    <row r="1895" spans="2:4" s="819" customFormat="1">
      <c r="B1895" s="851"/>
      <c r="C1895" s="851"/>
      <c r="D1895" s="851"/>
    </row>
    <row r="1896" spans="2:4" s="819" customFormat="1">
      <c r="B1896" s="851"/>
      <c r="C1896" s="851"/>
      <c r="D1896" s="851"/>
    </row>
    <row r="1897" spans="2:4" s="819" customFormat="1">
      <c r="B1897" s="851"/>
      <c r="C1897" s="851"/>
      <c r="D1897" s="851"/>
    </row>
    <row r="1898" spans="2:4" s="819" customFormat="1">
      <c r="B1898" s="851"/>
      <c r="C1898" s="851"/>
      <c r="D1898" s="851"/>
    </row>
    <row r="1899" spans="2:4" s="819" customFormat="1">
      <c r="B1899" s="851"/>
      <c r="C1899" s="851"/>
      <c r="D1899" s="851"/>
    </row>
    <row r="1900" spans="2:4" s="819" customFormat="1">
      <c r="B1900" s="851"/>
      <c r="C1900" s="851"/>
      <c r="D1900" s="851"/>
    </row>
    <row r="1901" spans="2:4" s="819" customFormat="1">
      <c r="B1901" s="851"/>
      <c r="C1901" s="851"/>
      <c r="D1901" s="851"/>
    </row>
    <row r="1902" spans="2:4" s="819" customFormat="1">
      <c r="B1902" s="851"/>
      <c r="C1902" s="851"/>
      <c r="D1902" s="851"/>
    </row>
    <row r="1903" spans="2:4" s="819" customFormat="1">
      <c r="B1903" s="851"/>
      <c r="C1903" s="851"/>
      <c r="D1903" s="851"/>
    </row>
    <row r="1904" spans="2:4" s="819" customFormat="1">
      <c r="B1904" s="851"/>
      <c r="C1904" s="851"/>
      <c r="D1904" s="851"/>
    </row>
    <row r="1905" spans="2:4" s="819" customFormat="1">
      <c r="B1905" s="851"/>
      <c r="C1905" s="851"/>
      <c r="D1905" s="851"/>
    </row>
    <row r="1906" spans="2:4" s="819" customFormat="1">
      <c r="B1906" s="851"/>
      <c r="C1906" s="851"/>
      <c r="D1906" s="851"/>
    </row>
    <row r="1907" spans="2:4" s="819" customFormat="1">
      <c r="B1907" s="851"/>
      <c r="C1907" s="851"/>
      <c r="D1907" s="851"/>
    </row>
    <row r="1908" spans="2:4" s="819" customFormat="1">
      <c r="B1908" s="851"/>
      <c r="C1908" s="851"/>
      <c r="D1908" s="851"/>
    </row>
    <row r="1909" spans="2:4" s="819" customFormat="1">
      <c r="B1909" s="851"/>
      <c r="C1909" s="851"/>
      <c r="D1909" s="851"/>
    </row>
    <row r="1910" spans="2:4" s="819" customFormat="1">
      <c r="B1910" s="851"/>
      <c r="C1910" s="851"/>
      <c r="D1910" s="851"/>
    </row>
    <row r="1911" spans="2:4" s="819" customFormat="1">
      <c r="B1911" s="851"/>
      <c r="C1911" s="851"/>
      <c r="D1911" s="851"/>
    </row>
    <row r="1912" spans="2:4" s="819" customFormat="1">
      <c r="B1912" s="851"/>
      <c r="C1912" s="851"/>
      <c r="D1912" s="851"/>
    </row>
    <row r="1913" spans="2:4" s="819" customFormat="1">
      <c r="B1913" s="851"/>
      <c r="C1913" s="851"/>
      <c r="D1913" s="851"/>
    </row>
    <row r="1914" spans="2:4" s="819" customFormat="1">
      <c r="B1914" s="851"/>
      <c r="C1914" s="851"/>
      <c r="D1914" s="851"/>
    </row>
    <row r="1915" spans="2:4" s="819" customFormat="1">
      <c r="B1915" s="851"/>
      <c r="C1915" s="851"/>
      <c r="D1915" s="851"/>
    </row>
    <row r="1916" spans="2:4" s="819" customFormat="1">
      <c r="B1916" s="851"/>
      <c r="C1916" s="851"/>
      <c r="D1916" s="851"/>
    </row>
    <row r="1917" spans="2:4" s="819" customFormat="1">
      <c r="B1917" s="851"/>
      <c r="C1917" s="851"/>
      <c r="D1917" s="851"/>
    </row>
    <row r="1918" spans="2:4" s="819" customFormat="1">
      <c r="B1918" s="851"/>
      <c r="C1918" s="851"/>
      <c r="D1918" s="851"/>
    </row>
    <row r="1919" spans="2:4" s="819" customFormat="1">
      <c r="B1919" s="851"/>
      <c r="C1919" s="851"/>
      <c r="D1919" s="851"/>
    </row>
    <row r="1920" spans="2:4" s="819" customFormat="1">
      <c r="B1920" s="851"/>
      <c r="C1920" s="851"/>
      <c r="D1920" s="851"/>
    </row>
    <row r="1921" spans="2:4" s="819" customFormat="1">
      <c r="B1921" s="851"/>
      <c r="C1921" s="851"/>
      <c r="D1921" s="851"/>
    </row>
    <row r="1922" spans="2:4" s="819" customFormat="1">
      <c r="B1922" s="851"/>
      <c r="C1922" s="851"/>
      <c r="D1922" s="851"/>
    </row>
    <row r="1923" spans="2:4" s="819" customFormat="1">
      <c r="B1923" s="851"/>
      <c r="C1923" s="851"/>
      <c r="D1923" s="851"/>
    </row>
    <row r="1924" spans="2:4" s="819" customFormat="1">
      <c r="B1924" s="851"/>
      <c r="C1924" s="851"/>
      <c r="D1924" s="851"/>
    </row>
    <row r="1925" spans="2:4" s="819" customFormat="1">
      <c r="B1925" s="851"/>
      <c r="C1925" s="851"/>
      <c r="D1925" s="851"/>
    </row>
    <row r="1926" spans="2:4" s="819" customFormat="1">
      <c r="B1926" s="851"/>
      <c r="C1926" s="851"/>
      <c r="D1926" s="851"/>
    </row>
    <row r="1927" spans="2:4" s="819" customFormat="1">
      <c r="B1927" s="851"/>
      <c r="C1927" s="851"/>
      <c r="D1927" s="851"/>
    </row>
    <row r="1928" spans="2:4" s="819" customFormat="1">
      <c r="B1928" s="851"/>
      <c r="C1928" s="851"/>
      <c r="D1928" s="851"/>
    </row>
    <row r="1929" spans="2:4" s="819" customFormat="1">
      <c r="B1929" s="851"/>
      <c r="C1929" s="851"/>
      <c r="D1929" s="851"/>
    </row>
    <row r="1930" spans="2:4" s="819" customFormat="1">
      <c r="B1930" s="851"/>
      <c r="C1930" s="851"/>
      <c r="D1930" s="851"/>
    </row>
    <row r="1931" spans="2:4" s="819" customFormat="1">
      <c r="B1931" s="851"/>
      <c r="C1931" s="851"/>
      <c r="D1931" s="851"/>
    </row>
    <row r="1932" spans="2:4" s="819" customFormat="1">
      <c r="B1932" s="851"/>
      <c r="C1932" s="851"/>
      <c r="D1932" s="851"/>
    </row>
    <row r="1933" spans="2:4" s="819" customFormat="1">
      <c r="B1933" s="851"/>
      <c r="C1933" s="851"/>
      <c r="D1933" s="851"/>
    </row>
    <row r="1934" spans="2:4" s="819" customFormat="1">
      <c r="B1934" s="851"/>
      <c r="C1934" s="851"/>
      <c r="D1934" s="851"/>
    </row>
    <row r="1935" spans="2:4" s="819" customFormat="1">
      <c r="B1935" s="851"/>
      <c r="C1935" s="851"/>
      <c r="D1935" s="851"/>
    </row>
    <row r="1936" spans="2:4" s="819" customFormat="1">
      <c r="B1936" s="851"/>
      <c r="C1936" s="851"/>
      <c r="D1936" s="851"/>
    </row>
    <row r="1937" spans="2:4" s="819" customFormat="1">
      <c r="B1937" s="851"/>
      <c r="C1937" s="851"/>
      <c r="D1937" s="851"/>
    </row>
    <row r="1938" spans="2:4" s="819" customFormat="1">
      <c r="B1938" s="851"/>
      <c r="C1938" s="851"/>
      <c r="D1938" s="851"/>
    </row>
    <row r="1939" spans="2:4" s="819" customFormat="1">
      <c r="B1939" s="851"/>
      <c r="C1939" s="851"/>
      <c r="D1939" s="851"/>
    </row>
    <row r="1940" spans="2:4" s="819" customFormat="1">
      <c r="B1940" s="851"/>
      <c r="C1940" s="851"/>
      <c r="D1940" s="851"/>
    </row>
    <row r="1941" spans="2:4" s="819" customFormat="1">
      <c r="B1941" s="851"/>
      <c r="C1941" s="851"/>
      <c r="D1941" s="851"/>
    </row>
    <row r="1942" spans="2:4" s="819" customFormat="1">
      <c r="B1942" s="851"/>
      <c r="C1942" s="851"/>
      <c r="D1942" s="851"/>
    </row>
    <row r="1943" spans="2:4" s="819" customFormat="1">
      <c r="B1943" s="851"/>
      <c r="C1943" s="851"/>
      <c r="D1943" s="851"/>
    </row>
    <row r="1944" spans="2:4" s="819" customFormat="1">
      <c r="B1944" s="851"/>
      <c r="C1944" s="851"/>
      <c r="D1944" s="851"/>
    </row>
    <row r="1945" spans="2:4" s="819" customFormat="1">
      <c r="B1945" s="851"/>
      <c r="C1945" s="851"/>
      <c r="D1945" s="851"/>
    </row>
    <row r="1946" spans="2:4" s="819" customFormat="1">
      <c r="B1946" s="851"/>
      <c r="C1946" s="851"/>
      <c r="D1946" s="851"/>
    </row>
    <row r="1947" spans="2:4" s="819" customFormat="1">
      <c r="B1947" s="851"/>
      <c r="C1947" s="851"/>
      <c r="D1947" s="851"/>
    </row>
    <row r="1948" spans="2:4" s="819" customFormat="1">
      <c r="B1948" s="851"/>
      <c r="C1948" s="851"/>
      <c r="D1948" s="851"/>
    </row>
    <row r="1949" spans="2:4" s="819" customFormat="1">
      <c r="B1949" s="851"/>
      <c r="C1949" s="851"/>
      <c r="D1949" s="851"/>
    </row>
    <row r="1950" spans="2:4" s="819" customFormat="1">
      <c r="B1950" s="851"/>
      <c r="C1950" s="851"/>
      <c r="D1950" s="851"/>
    </row>
    <row r="1951" spans="2:4" s="819" customFormat="1">
      <c r="B1951" s="851"/>
      <c r="C1951" s="851"/>
      <c r="D1951" s="851"/>
    </row>
    <row r="1952" spans="2:4" s="819" customFormat="1">
      <c r="B1952" s="851"/>
      <c r="C1952" s="851"/>
      <c r="D1952" s="851"/>
    </row>
    <row r="1953" spans="2:4" s="819" customFormat="1">
      <c r="B1953" s="851"/>
      <c r="C1953" s="851"/>
      <c r="D1953" s="851"/>
    </row>
    <row r="1954" spans="2:4" s="819" customFormat="1">
      <c r="B1954" s="851"/>
      <c r="C1954" s="851"/>
      <c r="D1954" s="851"/>
    </row>
    <row r="1955" spans="2:4" s="819" customFormat="1">
      <c r="B1955" s="851"/>
      <c r="C1955" s="851"/>
      <c r="D1955" s="851"/>
    </row>
    <row r="1956" spans="2:4" s="819" customFormat="1">
      <c r="B1956" s="851"/>
      <c r="C1956" s="851"/>
      <c r="D1956" s="851"/>
    </row>
    <row r="1957" spans="2:4" s="819" customFormat="1">
      <c r="B1957" s="851"/>
      <c r="C1957" s="851"/>
      <c r="D1957" s="851"/>
    </row>
    <row r="1958" spans="2:4" s="819" customFormat="1">
      <c r="B1958" s="851"/>
      <c r="C1958" s="851"/>
      <c r="D1958" s="851"/>
    </row>
    <row r="1959" spans="2:4" s="819" customFormat="1">
      <c r="B1959" s="851"/>
      <c r="C1959" s="851"/>
      <c r="D1959" s="851"/>
    </row>
    <row r="1960" spans="2:4" s="819" customFormat="1">
      <c r="B1960" s="851"/>
      <c r="C1960" s="851"/>
      <c r="D1960" s="851"/>
    </row>
    <row r="1961" spans="2:4" s="819" customFormat="1">
      <c r="B1961" s="851"/>
      <c r="C1961" s="851"/>
      <c r="D1961" s="851"/>
    </row>
    <row r="1962" spans="2:4" s="819" customFormat="1">
      <c r="B1962" s="851"/>
      <c r="C1962" s="851"/>
      <c r="D1962" s="851"/>
    </row>
    <row r="1963" spans="2:4" s="819" customFormat="1">
      <c r="B1963" s="851"/>
      <c r="C1963" s="851"/>
      <c r="D1963" s="851"/>
    </row>
    <row r="1964" spans="2:4" s="819" customFormat="1">
      <c r="B1964" s="851"/>
      <c r="C1964" s="851"/>
      <c r="D1964" s="851"/>
    </row>
    <row r="1965" spans="2:4" s="819" customFormat="1">
      <c r="B1965" s="851"/>
      <c r="C1965" s="851"/>
      <c r="D1965" s="851"/>
    </row>
    <row r="1966" spans="2:4" s="819" customFormat="1">
      <c r="B1966" s="851"/>
      <c r="C1966" s="851"/>
      <c r="D1966" s="851"/>
    </row>
    <row r="1967" spans="2:4" s="819" customFormat="1">
      <c r="B1967" s="851"/>
      <c r="C1967" s="851"/>
      <c r="D1967" s="851"/>
    </row>
    <row r="1968" spans="2:4" s="819" customFormat="1">
      <c r="B1968" s="851"/>
      <c r="C1968" s="851"/>
      <c r="D1968" s="851"/>
    </row>
    <row r="1969" spans="2:4" s="819" customFormat="1">
      <c r="B1969" s="851"/>
      <c r="C1969" s="851"/>
      <c r="D1969" s="851"/>
    </row>
    <row r="1970" spans="2:4" s="819" customFormat="1">
      <c r="B1970" s="851"/>
      <c r="C1970" s="851"/>
      <c r="D1970" s="851"/>
    </row>
    <row r="1971" spans="2:4" s="819" customFormat="1">
      <c r="B1971" s="851"/>
      <c r="C1971" s="851"/>
      <c r="D1971" s="851"/>
    </row>
    <row r="1972" spans="2:4" s="819" customFormat="1">
      <c r="B1972" s="851"/>
      <c r="C1972" s="851"/>
      <c r="D1972" s="851"/>
    </row>
    <row r="1973" spans="2:4" s="819" customFormat="1">
      <c r="B1973" s="851"/>
      <c r="C1973" s="851"/>
      <c r="D1973" s="851"/>
    </row>
    <row r="1974" spans="2:4" s="819" customFormat="1">
      <c r="B1974" s="851"/>
      <c r="C1974" s="851"/>
      <c r="D1974" s="851"/>
    </row>
    <row r="1975" spans="2:4" s="819" customFormat="1">
      <c r="B1975" s="851"/>
      <c r="C1975" s="851"/>
      <c r="D1975" s="851"/>
    </row>
    <row r="1976" spans="2:4" s="819" customFormat="1">
      <c r="B1976" s="851"/>
      <c r="C1976" s="851"/>
      <c r="D1976" s="851"/>
    </row>
    <row r="1977" spans="2:4" s="819" customFormat="1">
      <c r="B1977" s="851"/>
      <c r="C1977" s="851"/>
      <c r="D1977" s="851"/>
    </row>
    <row r="1978" spans="2:4" s="819" customFormat="1">
      <c r="B1978" s="851"/>
      <c r="C1978" s="851"/>
      <c r="D1978" s="851"/>
    </row>
    <row r="1979" spans="2:4" s="819" customFormat="1">
      <c r="B1979" s="851"/>
      <c r="C1979" s="851"/>
      <c r="D1979" s="851"/>
    </row>
    <row r="1980" spans="2:4" s="819" customFormat="1">
      <c r="B1980" s="851"/>
      <c r="C1980" s="851"/>
      <c r="D1980" s="851"/>
    </row>
    <row r="1981" spans="2:4" s="819" customFormat="1">
      <c r="B1981" s="851"/>
      <c r="C1981" s="851"/>
      <c r="D1981" s="851"/>
    </row>
    <row r="1982" spans="2:4" s="819" customFormat="1">
      <c r="B1982" s="851"/>
      <c r="C1982" s="851"/>
      <c r="D1982" s="851"/>
    </row>
    <row r="1983" spans="2:4" s="819" customFormat="1">
      <c r="B1983" s="851"/>
      <c r="C1983" s="851"/>
      <c r="D1983" s="851"/>
    </row>
    <row r="1984" spans="2:4" s="819" customFormat="1">
      <c r="B1984" s="851"/>
      <c r="C1984" s="851"/>
      <c r="D1984" s="851"/>
    </row>
    <row r="1985" spans="2:4" s="819" customFormat="1">
      <c r="B1985" s="851"/>
      <c r="C1985" s="851"/>
      <c r="D1985" s="851"/>
    </row>
    <row r="1986" spans="2:4" s="819" customFormat="1">
      <c r="B1986" s="851"/>
      <c r="C1986" s="851"/>
      <c r="D1986" s="851"/>
    </row>
    <row r="1987" spans="2:4" s="819" customFormat="1">
      <c r="B1987" s="851"/>
      <c r="C1987" s="851"/>
      <c r="D1987" s="851"/>
    </row>
    <row r="1988" spans="2:4" s="819" customFormat="1">
      <c r="B1988" s="851"/>
      <c r="C1988" s="851"/>
      <c r="D1988" s="851"/>
    </row>
    <row r="1989" spans="2:4" s="819" customFormat="1">
      <c r="B1989" s="851"/>
      <c r="C1989" s="851"/>
      <c r="D1989" s="851"/>
    </row>
    <row r="1990" spans="2:4" s="819" customFormat="1">
      <c r="B1990" s="851"/>
      <c r="C1990" s="851"/>
      <c r="D1990" s="851"/>
    </row>
    <row r="1991" spans="2:4" s="819" customFormat="1">
      <c r="B1991" s="851"/>
      <c r="C1991" s="851"/>
      <c r="D1991" s="851"/>
    </row>
    <row r="1992" spans="2:4" s="819" customFormat="1">
      <c r="B1992" s="851"/>
      <c r="C1992" s="851"/>
      <c r="D1992" s="851"/>
    </row>
    <row r="1993" spans="2:4" s="819" customFormat="1">
      <c r="B1993" s="851"/>
      <c r="C1993" s="851"/>
      <c r="D1993" s="851"/>
    </row>
    <row r="1994" spans="2:4" s="819" customFormat="1">
      <c r="B1994" s="851"/>
      <c r="C1994" s="851"/>
      <c r="D1994" s="851"/>
    </row>
    <row r="1995" spans="2:4" s="819" customFormat="1">
      <c r="B1995" s="851"/>
      <c r="C1995" s="851"/>
      <c r="D1995" s="851"/>
    </row>
    <row r="1996" spans="2:4" s="819" customFormat="1">
      <c r="B1996" s="851"/>
      <c r="C1996" s="851"/>
      <c r="D1996" s="851"/>
    </row>
    <row r="1997" spans="2:4" s="819" customFormat="1">
      <c r="B1997" s="851"/>
      <c r="C1997" s="851"/>
      <c r="D1997" s="851"/>
    </row>
    <row r="1998" spans="2:4" s="819" customFormat="1">
      <c r="B1998" s="851"/>
      <c r="C1998" s="851"/>
      <c r="D1998" s="851"/>
    </row>
    <row r="1999" spans="2:4" s="819" customFormat="1">
      <c r="B1999" s="851"/>
      <c r="C1999" s="851"/>
      <c r="D1999" s="851"/>
    </row>
    <row r="2000" spans="2:4" s="819" customFormat="1">
      <c r="B2000" s="851"/>
      <c r="C2000" s="851"/>
      <c r="D2000" s="851"/>
    </row>
    <row r="2001" spans="2:4" s="819" customFormat="1">
      <c r="B2001" s="851"/>
      <c r="C2001" s="851"/>
      <c r="D2001" s="851"/>
    </row>
    <row r="2002" spans="2:4" s="819" customFormat="1">
      <c r="B2002" s="851"/>
      <c r="C2002" s="851"/>
      <c r="D2002" s="851"/>
    </row>
    <row r="2003" spans="2:4" s="819" customFormat="1">
      <c r="B2003" s="851"/>
      <c r="C2003" s="851"/>
      <c r="D2003" s="851"/>
    </row>
    <row r="2004" spans="2:4" s="819" customFormat="1">
      <c r="B2004" s="851"/>
      <c r="C2004" s="851"/>
      <c r="D2004" s="851"/>
    </row>
    <row r="2005" spans="2:4" s="819" customFormat="1">
      <c r="B2005" s="851"/>
      <c r="C2005" s="851"/>
      <c r="D2005" s="851"/>
    </row>
    <row r="2006" spans="2:4" s="819" customFormat="1">
      <c r="B2006" s="851"/>
      <c r="C2006" s="851"/>
      <c r="D2006" s="851"/>
    </row>
    <row r="2007" spans="2:4" s="819" customFormat="1">
      <c r="B2007" s="851"/>
      <c r="C2007" s="851"/>
      <c r="D2007" s="851"/>
    </row>
    <row r="2008" spans="2:4" s="819" customFormat="1">
      <c r="B2008" s="851"/>
      <c r="C2008" s="851"/>
      <c r="D2008" s="851"/>
    </row>
    <row r="2009" spans="2:4" s="819" customFormat="1">
      <c r="B2009" s="851"/>
      <c r="C2009" s="851"/>
      <c r="D2009" s="851"/>
    </row>
    <row r="2010" spans="2:4" s="819" customFormat="1">
      <c r="B2010" s="851"/>
      <c r="C2010" s="851"/>
      <c r="D2010" s="851"/>
    </row>
    <row r="2011" spans="2:4" s="819" customFormat="1">
      <c r="B2011" s="851"/>
      <c r="C2011" s="851"/>
      <c r="D2011" s="851"/>
    </row>
    <row r="2012" spans="2:4" s="819" customFormat="1">
      <c r="B2012" s="851"/>
      <c r="C2012" s="851"/>
      <c r="D2012" s="851"/>
    </row>
    <row r="2013" spans="2:4" s="819" customFormat="1">
      <c r="B2013" s="851"/>
      <c r="C2013" s="851"/>
      <c r="D2013" s="851"/>
    </row>
    <row r="2014" spans="2:4" s="819" customFormat="1">
      <c r="B2014" s="851"/>
      <c r="C2014" s="851"/>
      <c r="D2014" s="851"/>
    </row>
    <row r="2015" spans="2:4" s="819" customFormat="1">
      <c r="B2015" s="851"/>
      <c r="C2015" s="851"/>
      <c r="D2015" s="851"/>
    </row>
    <row r="2016" spans="2:4" s="819" customFormat="1">
      <c r="B2016" s="851"/>
      <c r="C2016" s="851"/>
      <c r="D2016" s="851"/>
    </row>
    <row r="2017" spans="2:4" s="819" customFormat="1">
      <c r="B2017" s="851"/>
      <c r="C2017" s="851"/>
      <c r="D2017" s="851"/>
    </row>
    <row r="2018" spans="2:4" s="819" customFormat="1">
      <c r="B2018" s="851"/>
      <c r="C2018" s="851"/>
      <c r="D2018" s="851"/>
    </row>
    <row r="2019" spans="2:4" s="819" customFormat="1">
      <c r="B2019" s="851"/>
      <c r="C2019" s="851"/>
      <c r="D2019" s="851"/>
    </row>
    <row r="2020" spans="2:4" s="819" customFormat="1">
      <c r="B2020" s="851"/>
      <c r="C2020" s="851"/>
      <c r="D2020" s="851"/>
    </row>
    <row r="2021" spans="2:4" s="819" customFormat="1">
      <c r="B2021" s="851"/>
      <c r="C2021" s="851"/>
      <c r="D2021" s="851"/>
    </row>
    <row r="2022" spans="2:4" s="819" customFormat="1">
      <c r="B2022" s="851"/>
      <c r="C2022" s="851"/>
      <c r="D2022" s="851"/>
    </row>
    <row r="2023" spans="2:4" s="819" customFormat="1">
      <c r="B2023" s="851"/>
      <c r="C2023" s="851"/>
      <c r="D2023" s="851"/>
    </row>
    <row r="2024" spans="2:4" s="819" customFormat="1">
      <c r="B2024" s="851"/>
      <c r="C2024" s="851"/>
      <c r="D2024" s="851"/>
    </row>
    <row r="2025" spans="2:4" s="819" customFormat="1">
      <c r="B2025" s="851"/>
      <c r="C2025" s="851"/>
      <c r="D2025" s="851"/>
    </row>
    <row r="2026" spans="2:4" s="819" customFormat="1">
      <c r="B2026" s="851"/>
      <c r="C2026" s="851"/>
      <c r="D2026" s="851"/>
    </row>
    <row r="2027" spans="2:4" s="819" customFormat="1">
      <c r="B2027" s="851"/>
      <c r="C2027" s="851"/>
      <c r="D2027" s="851"/>
    </row>
    <row r="2028" spans="2:4" s="819" customFormat="1">
      <c r="B2028" s="851"/>
      <c r="C2028" s="851"/>
      <c r="D2028" s="851"/>
    </row>
    <row r="2029" spans="2:4" s="819" customFormat="1">
      <c r="B2029" s="851"/>
      <c r="C2029" s="851"/>
      <c r="D2029" s="851"/>
    </row>
    <row r="2030" spans="2:4" s="819" customFormat="1">
      <c r="B2030" s="851"/>
      <c r="C2030" s="851"/>
      <c r="D2030" s="851"/>
    </row>
    <row r="2031" spans="2:4" s="819" customFormat="1">
      <c r="B2031" s="851"/>
      <c r="C2031" s="851"/>
      <c r="D2031" s="851"/>
    </row>
    <row r="2032" spans="2:4" s="819" customFormat="1">
      <c r="B2032" s="851"/>
      <c r="C2032" s="851"/>
      <c r="D2032" s="851"/>
    </row>
    <row r="2033" spans="2:4" s="819" customFormat="1">
      <c r="B2033" s="851"/>
      <c r="C2033" s="851"/>
      <c r="D2033" s="851"/>
    </row>
    <row r="2034" spans="2:4" s="819" customFormat="1">
      <c r="B2034" s="851"/>
      <c r="C2034" s="851"/>
      <c r="D2034" s="851"/>
    </row>
    <row r="2035" spans="2:4" s="819" customFormat="1">
      <c r="B2035" s="851"/>
      <c r="C2035" s="851"/>
      <c r="D2035" s="851"/>
    </row>
    <row r="2036" spans="2:4" s="819" customFormat="1">
      <c r="B2036" s="851"/>
      <c r="C2036" s="851"/>
      <c r="D2036" s="851"/>
    </row>
    <row r="2037" spans="2:4" s="819" customFormat="1">
      <c r="B2037" s="851"/>
      <c r="C2037" s="851"/>
      <c r="D2037" s="851"/>
    </row>
    <row r="2038" spans="2:4" s="819" customFormat="1">
      <c r="B2038" s="851"/>
      <c r="C2038" s="851"/>
      <c r="D2038" s="851"/>
    </row>
    <row r="2039" spans="2:4" s="819" customFormat="1">
      <c r="B2039" s="851"/>
      <c r="C2039" s="851"/>
      <c r="D2039" s="851"/>
    </row>
    <row r="2040" spans="2:4" s="819" customFormat="1">
      <c r="B2040" s="851"/>
      <c r="C2040" s="851"/>
      <c r="D2040" s="851"/>
    </row>
    <row r="2041" spans="2:4" s="819" customFormat="1">
      <c r="B2041" s="851"/>
      <c r="C2041" s="851"/>
      <c r="D2041" s="851"/>
    </row>
    <row r="2042" spans="2:4" s="819" customFormat="1">
      <c r="B2042" s="851"/>
      <c r="C2042" s="851"/>
      <c r="D2042" s="851"/>
    </row>
    <row r="2043" spans="2:4" s="819" customFormat="1">
      <c r="B2043" s="851"/>
      <c r="C2043" s="851"/>
      <c r="D2043" s="851"/>
    </row>
    <row r="2044" spans="2:4" s="819" customFormat="1">
      <c r="B2044" s="851"/>
      <c r="C2044" s="851"/>
      <c r="D2044" s="851"/>
    </row>
    <row r="2045" spans="2:4" s="819" customFormat="1">
      <c r="B2045" s="851"/>
      <c r="C2045" s="851"/>
      <c r="D2045" s="851"/>
    </row>
    <row r="2046" spans="2:4" s="819" customFormat="1">
      <c r="B2046" s="851"/>
      <c r="C2046" s="851"/>
      <c r="D2046" s="851"/>
    </row>
    <row r="2047" spans="2:4" s="819" customFormat="1">
      <c r="B2047" s="851"/>
      <c r="C2047" s="851"/>
      <c r="D2047" s="851"/>
    </row>
    <row r="2048" spans="2:4" s="819" customFormat="1">
      <c r="B2048" s="851"/>
      <c r="C2048" s="851"/>
      <c r="D2048" s="851"/>
    </row>
    <row r="2049" spans="2:4" s="819" customFormat="1">
      <c r="B2049" s="851"/>
      <c r="C2049" s="851"/>
      <c r="D2049" s="851"/>
    </row>
    <row r="2050" spans="2:4" s="819" customFormat="1">
      <c r="B2050" s="851"/>
      <c r="C2050" s="851"/>
      <c r="D2050" s="851"/>
    </row>
    <row r="2051" spans="2:4" s="819" customFormat="1">
      <c r="B2051" s="851"/>
      <c r="C2051" s="851"/>
      <c r="D2051" s="851"/>
    </row>
    <row r="2052" spans="2:4" s="819" customFormat="1">
      <c r="B2052" s="851"/>
      <c r="C2052" s="851"/>
      <c r="D2052" s="851"/>
    </row>
    <row r="2053" spans="2:4" s="819" customFormat="1">
      <c r="B2053" s="851"/>
      <c r="C2053" s="851"/>
      <c r="D2053" s="851"/>
    </row>
    <row r="2054" spans="2:4" s="819" customFormat="1">
      <c r="B2054" s="851"/>
      <c r="C2054" s="851"/>
      <c r="D2054" s="851"/>
    </row>
    <row r="2055" spans="2:4" s="819" customFormat="1">
      <c r="B2055" s="851"/>
      <c r="C2055" s="851"/>
      <c r="D2055" s="851"/>
    </row>
    <row r="2056" spans="2:4" s="819" customFormat="1">
      <c r="B2056" s="851"/>
      <c r="C2056" s="851"/>
      <c r="D2056" s="851"/>
    </row>
    <row r="2057" spans="2:4" s="819" customFormat="1">
      <c r="B2057" s="851"/>
      <c r="C2057" s="851"/>
      <c r="D2057" s="851"/>
    </row>
    <row r="2058" spans="2:4" s="819" customFormat="1">
      <c r="B2058" s="851"/>
      <c r="C2058" s="851"/>
      <c r="D2058" s="851"/>
    </row>
    <row r="2059" spans="2:4" s="819" customFormat="1">
      <c r="B2059" s="851"/>
      <c r="C2059" s="851"/>
      <c r="D2059" s="851"/>
    </row>
    <row r="2060" spans="2:4" s="819" customFormat="1">
      <c r="B2060" s="851"/>
      <c r="C2060" s="851"/>
      <c r="D2060" s="851"/>
    </row>
    <row r="2061" spans="2:4" s="819" customFormat="1">
      <c r="B2061" s="851"/>
      <c r="C2061" s="851"/>
      <c r="D2061" s="851"/>
    </row>
    <row r="2062" spans="2:4" s="819" customFormat="1">
      <c r="B2062" s="851"/>
      <c r="C2062" s="851"/>
      <c r="D2062" s="851"/>
    </row>
    <row r="2063" spans="2:4" s="819" customFormat="1">
      <c r="B2063" s="851"/>
      <c r="C2063" s="851"/>
      <c r="D2063" s="851"/>
    </row>
    <row r="2064" spans="2:4" s="819" customFormat="1">
      <c r="B2064" s="851"/>
      <c r="C2064" s="851"/>
      <c r="D2064" s="851"/>
    </row>
    <row r="2065" spans="2:4" s="819" customFormat="1">
      <c r="B2065" s="851"/>
      <c r="C2065" s="851"/>
      <c r="D2065" s="851"/>
    </row>
    <row r="2066" spans="2:4" s="819" customFormat="1">
      <c r="B2066" s="851"/>
      <c r="C2066" s="851"/>
      <c r="D2066" s="851"/>
    </row>
    <row r="2067" spans="2:4" s="819" customFormat="1">
      <c r="B2067" s="851"/>
      <c r="C2067" s="851"/>
      <c r="D2067" s="851"/>
    </row>
    <row r="2068" spans="2:4" s="819" customFormat="1">
      <c r="B2068" s="851"/>
      <c r="C2068" s="851"/>
      <c r="D2068" s="851"/>
    </row>
    <row r="2069" spans="2:4" s="819" customFormat="1">
      <c r="B2069" s="851"/>
      <c r="C2069" s="851"/>
      <c r="D2069" s="851"/>
    </row>
    <row r="2070" spans="2:4" s="819" customFormat="1">
      <c r="B2070" s="851"/>
      <c r="C2070" s="851"/>
      <c r="D2070" s="851"/>
    </row>
    <row r="2071" spans="2:4" s="819" customFormat="1">
      <c r="B2071" s="851"/>
      <c r="C2071" s="851"/>
      <c r="D2071" s="851"/>
    </row>
    <row r="2072" spans="2:4" s="819" customFormat="1">
      <c r="B2072" s="851"/>
      <c r="C2072" s="851"/>
      <c r="D2072" s="851"/>
    </row>
    <row r="2073" spans="2:4" s="819" customFormat="1">
      <c r="B2073" s="851"/>
      <c r="C2073" s="851"/>
      <c r="D2073" s="851"/>
    </row>
    <row r="2074" spans="2:4" s="819" customFormat="1">
      <c r="B2074" s="851"/>
      <c r="C2074" s="851"/>
      <c r="D2074" s="851"/>
    </row>
    <row r="2075" spans="2:4" s="819" customFormat="1">
      <c r="B2075" s="851"/>
      <c r="C2075" s="851"/>
      <c r="D2075" s="851"/>
    </row>
    <row r="2076" spans="2:4" s="819" customFormat="1">
      <c r="B2076" s="851"/>
      <c r="C2076" s="851"/>
      <c r="D2076" s="851"/>
    </row>
    <row r="2077" spans="2:4" s="819" customFormat="1">
      <c r="B2077" s="851"/>
      <c r="C2077" s="851"/>
      <c r="D2077" s="851"/>
    </row>
    <row r="2078" spans="2:4" s="819" customFormat="1">
      <c r="B2078" s="851"/>
      <c r="C2078" s="851"/>
      <c r="D2078" s="851"/>
    </row>
    <row r="2079" spans="2:4" s="819" customFormat="1">
      <c r="B2079" s="851"/>
      <c r="C2079" s="851"/>
      <c r="D2079" s="851"/>
    </row>
    <row r="2080" spans="2:4" s="819" customFormat="1">
      <c r="B2080" s="851"/>
      <c r="C2080" s="851"/>
      <c r="D2080" s="851"/>
    </row>
    <row r="2081" spans="2:4" s="819" customFormat="1">
      <c r="B2081" s="851"/>
      <c r="C2081" s="851"/>
      <c r="D2081" s="851"/>
    </row>
    <row r="2082" spans="2:4" s="819" customFormat="1">
      <c r="B2082" s="851"/>
      <c r="C2082" s="851"/>
      <c r="D2082" s="851"/>
    </row>
    <row r="2083" spans="2:4" s="819" customFormat="1">
      <c r="B2083" s="851"/>
      <c r="C2083" s="851"/>
      <c r="D2083" s="851"/>
    </row>
    <row r="2084" spans="2:4" s="819" customFormat="1">
      <c r="B2084" s="851"/>
      <c r="C2084" s="851"/>
      <c r="D2084" s="851"/>
    </row>
    <row r="2085" spans="2:4" s="819" customFormat="1">
      <c r="B2085" s="851"/>
      <c r="C2085" s="851"/>
      <c r="D2085" s="851"/>
    </row>
    <row r="2086" spans="2:4" s="819" customFormat="1">
      <c r="B2086" s="851"/>
      <c r="C2086" s="851"/>
      <c r="D2086" s="851"/>
    </row>
    <row r="2087" spans="2:4" s="819" customFormat="1">
      <c r="B2087" s="851"/>
      <c r="C2087" s="851"/>
      <c r="D2087" s="851"/>
    </row>
    <row r="2088" spans="2:4" s="819" customFormat="1">
      <c r="B2088" s="851"/>
      <c r="C2088" s="851"/>
      <c r="D2088" s="851"/>
    </row>
    <row r="2089" spans="2:4" s="819" customFormat="1">
      <c r="B2089" s="851"/>
      <c r="C2089" s="851"/>
      <c r="D2089" s="851"/>
    </row>
    <row r="2090" spans="2:4" s="819" customFormat="1">
      <c r="B2090" s="851"/>
      <c r="C2090" s="851"/>
      <c r="D2090" s="851"/>
    </row>
    <row r="2091" spans="2:4" s="819" customFormat="1">
      <c r="B2091" s="851"/>
      <c r="C2091" s="851"/>
      <c r="D2091" s="851"/>
    </row>
    <row r="2092" spans="2:4" s="819" customFormat="1">
      <c r="B2092" s="851"/>
      <c r="C2092" s="851"/>
      <c r="D2092" s="851"/>
    </row>
    <row r="2093" spans="2:4" s="819" customFormat="1">
      <c r="B2093" s="851"/>
      <c r="C2093" s="851"/>
      <c r="D2093" s="851"/>
    </row>
    <row r="2094" spans="2:4" s="819" customFormat="1">
      <c r="B2094" s="851"/>
      <c r="C2094" s="851"/>
      <c r="D2094" s="851"/>
    </row>
    <row r="2095" spans="2:4" s="819" customFormat="1">
      <c r="B2095" s="851"/>
      <c r="C2095" s="851"/>
      <c r="D2095" s="851"/>
    </row>
    <row r="2096" spans="2:4" s="819" customFormat="1">
      <c r="B2096" s="851"/>
      <c r="C2096" s="851"/>
      <c r="D2096" s="851"/>
    </row>
    <row r="2097" spans="2:4" s="819" customFormat="1">
      <c r="B2097" s="851"/>
      <c r="C2097" s="851"/>
      <c r="D2097" s="851"/>
    </row>
    <row r="2098" spans="2:4" s="819" customFormat="1">
      <c r="B2098" s="851"/>
      <c r="C2098" s="851"/>
      <c r="D2098" s="851"/>
    </row>
    <row r="2099" spans="2:4" s="819" customFormat="1">
      <c r="B2099" s="851"/>
      <c r="C2099" s="851"/>
      <c r="D2099" s="851"/>
    </row>
    <row r="2100" spans="2:4" s="819" customFormat="1">
      <c r="B2100" s="851"/>
      <c r="C2100" s="851"/>
      <c r="D2100" s="851"/>
    </row>
    <row r="2101" spans="2:4" s="819" customFormat="1">
      <c r="B2101" s="851"/>
      <c r="C2101" s="851"/>
      <c r="D2101" s="851"/>
    </row>
    <row r="2102" spans="2:4" s="819" customFormat="1">
      <c r="B2102" s="851"/>
      <c r="C2102" s="851"/>
      <c r="D2102" s="851"/>
    </row>
    <row r="2103" spans="2:4" s="819" customFormat="1">
      <c r="B2103" s="851"/>
      <c r="C2103" s="851"/>
      <c r="D2103" s="851"/>
    </row>
    <row r="2104" spans="2:4" s="819" customFormat="1">
      <c r="B2104" s="851"/>
      <c r="C2104" s="851"/>
      <c r="D2104" s="851"/>
    </row>
    <row r="2105" spans="2:4" s="819" customFormat="1">
      <c r="B2105" s="851"/>
      <c r="C2105" s="851"/>
      <c r="D2105" s="851"/>
    </row>
    <row r="2106" spans="2:4" s="819" customFormat="1">
      <c r="B2106" s="851"/>
      <c r="C2106" s="851"/>
      <c r="D2106" s="851"/>
    </row>
    <row r="2107" spans="2:4" s="819" customFormat="1">
      <c r="B2107" s="851"/>
      <c r="C2107" s="851"/>
      <c r="D2107" s="851"/>
    </row>
    <row r="2108" spans="2:4" s="819" customFormat="1">
      <c r="B2108" s="851"/>
      <c r="C2108" s="851"/>
      <c r="D2108" s="851"/>
    </row>
    <row r="2109" spans="2:4" s="819" customFormat="1">
      <c r="B2109" s="851"/>
      <c r="C2109" s="851"/>
      <c r="D2109" s="851"/>
    </row>
    <row r="2110" spans="2:4" s="819" customFormat="1">
      <c r="B2110" s="851"/>
      <c r="C2110" s="851"/>
      <c r="D2110" s="851"/>
    </row>
    <row r="2111" spans="2:4" s="819" customFormat="1">
      <c r="B2111" s="851"/>
      <c r="C2111" s="851"/>
      <c r="D2111" s="851"/>
    </row>
    <row r="2112" spans="2:4" s="819" customFormat="1">
      <c r="B2112" s="851"/>
      <c r="C2112" s="851"/>
      <c r="D2112" s="851"/>
    </row>
    <row r="2113" spans="2:4" s="819" customFormat="1">
      <c r="B2113" s="851"/>
      <c r="C2113" s="851"/>
      <c r="D2113" s="851"/>
    </row>
    <row r="2114" spans="2:4" s="819" customFormat="1">
      <c r="B2114" s="851"/>
      <c r="C2114" s="851"/>
      <c r="D2114" s="851"/>
    </row>
    <row r="2115" spans="2:4" s="819" customFormat="1">
      <c r="B2115" s="851"/>
      <c r="C2115" s="851"/>
      <c r="D2115" s="851"/>
    </row>
    <row r="2116" spans="2:4" s="819" customFormat="1">
      <c r="B2116" s="851"/>
      <c r="C2116" s="851"/>
      <c r="D2116" s="851"/>
    </row>
    <row r="2117" spans="2:4" s="819" customFormat="1">
      <c r="B2117" s="851"/>
      <c r="C2117" s="851"/>
      <c r="D2117" s="851"/>
    </row>
    <row r="2118" spans="2:4" s="819" customFormat="1">
      <c r="B2118" s="851"/>
      <c r="C2118" s="851"/>
      <c r="D2118" s="851"/>
    </row>
    <row r="2119" spans="2:4" s="819" customFormat="1">
      <c r="B2119" s="851"/>
      <c r="C2119" s="851"/>
      <c r="D2119" s="851"/>
    </row>
    <row r="2120" spans="2:4" s="819" customFormat="1">
      <c r="B2120" s="851"/>
      <c r="C2120" s="851"/>
      <c r="D2120" s="851"/>
    </row>
    <row r="2121" spans="2:4" s="819" customFormat="1">
      <c r="B2121" s="851"/>
      <c r="C2121" s="851"/>
      <c r="D2121" s="851"/>
    </row>
    <row r="2122" spans="2:4" s="819" customFormat="1">
      <c r="B2122" s="851"/>
      <c r="C2122" s="851"/>
      <c r="D2122" s="851"/>
    </row>
    <row r="2123" spans="2:4" s="819" customFormat="1">
      <c r="B2123" s="851"/>
      <c r="C2123" s="851"/>
      <c r="D2123" s="851"/>
    </row>
    <row r="2124" spans="2:4" s="819" customFormat="1">
      <c r="B2124" s="851"/>
      <c r="C2124" s="851"/>
      <c r="D2124" s="851"/>
    </row>
    <row r="2125" spans="2:4" s="819" customFormat="1">
      <c r="B2125" s="851"/>
      <c r="C2125" s="851"/>
      <c r="D2125" s="851"/>
    </row>
    <row r="2126" spans="2:4" s="819" customFormat="1">
      <c r="B2126" s="851"/>
      <c r="C2126" s="851"/>
      <c r="D2126" s="851"/>
    </row>
    <row r="2127" spans="2:4" s="819" customFormat="1">
      <c r="B2127" s="851"/>
      <c r="C2127" s="851"/>
      <c r="D2127" s="851"/>
    </row>
    <row r="2128" spans="2:4" s="819" customFormat="1">
      <c r="B2128" s="851"/>
      <c r="C2128" s="851"/>
      <c r="D2128" s="851"/>
    </row>
    <row r="2129" spans="2:4" s="819" customFormat="1">
      <c r="B2129" s="851"/>
      <c r="C2129" s="851"/>
      <c r="D2129" s="851"/>
    </row>
    <row r="2130" spans="2:4" s="819" customFormat="1">
      <c r="B2130" s="851"/>
      <c r="C2130" s="851"/>
      <c r="D2130" s="851"/>
    </row>
    <row r="2131" spans="2:4" s="819" customFormat="1">
      <c r="B2131" s="851"/>
      <c r="C2131" s="851"/>
      <c r="D2131" s="851"/>
    </row>
    <row r="2132" spans="2:4" s="819" customFormat="1">
      <c r="B2132" s="851"/>
      <c r="C2132" s="851"/>
      <c r="D2132" s="851"/>
    </row>
    <row r="2133" spans="2:4" s="819" customFormat="1">
      <c r="B2133" s="851"/>
      <c r="C2133" s="851"/>
      <c r="D2133" s="851"/>
    </row>
    <row r="2134" spans="2:4" s="819" customFormat="1">
      <c r="B2134" s="851"/>
      <c r="C2134" s="851"/>
      <c r="D2134" s="851"/>
    </row>
    <row r="2135" spans="2:4" s="819" customFormat="1">
      <c r="B2135" s="851"/>
      <c r="C2135" s="851"/>
      <c r="D2135" s="851"/>
    </row>
    <row r="2136" spans="2:4" s="819" customFormat="1">
      <c r="B2136" s="851"/>
      <c r="C2136" s="851"/>
      <c r="D2136" s="851"/>
    </row>
    <row r="2137" spans="2:4" s="819" customFormat="1">
      <c r="B2137" s="851"/>
      <c r="C2137" s="851"/>
      <c r="D2137" s="851"/>
    </row>
    <row r="2138" spans="2:4" s="819" customFormat="1">
      <c r="B2138" s="851"/>
      <c r="C2138" s="851"/>
      <c r="D2138" s="851"/>
    </row>
    <row r="2139" spans="2:4" s="819" customFormat="1">
      <c r="B2139" s="851"/>
      <c r="C2139" s="851"/>
      <c r="D2139" s="851"/>
    </row>
    <row r="2140" spans="2:4" s="819" customFormat="1">
      <c r="B2140" s="851"/>
      <c r="C2140" s="851"/>
      <c r="D2140" s="851"/>
    </row>
    <row r="2141" spans="2:4" s="819" customFormat="1">
      <c r="B2141" s="851"/>
      <c r="C2141" s="851"/>
      <c r="D2141" s="851"/>
    </row>
    <row r="2142" spans="2:4" s="819" customFormat="1">
      <c r="B2142" s="851"/>
      <c r="C2142" s="851"/>
      <c r="D2142" s="851"/>
    </row>
    <row r="2143" spans="2:4" s="819" customFormat="1">
      <c r="B2143" s="851"/>
      <c r="C2143" s="851"/>
      <c r="D2143" s="851"/>
    </row>
    <row r="2144" spans="2:4" s="819" customFormat="1">
      <c r="B2144" s="851"/>
      <c r="C2144" s="851"/>
      <c r="D2144" s="851"/>
    </row>
    <row r="2145" spans="2:4" s="819" customFormat="1">
      <c r="B2145" s="851"/>
      <c r="C2145" s="851"/>
      <c r="D2145" s="851"/>
    </row>
    <row r="2146" spans="2:4" s="819" customFormat="1">
      <c r="B2146" s="851"/>
      <c r="C2146" s="851"/>
      <c r="D2146" s="851"/>
    </row>
    <row r="2147" spans="2:4" s="819" customFormat="1">
      <c r="B2147" s="851"/>
      <c r="C2147" s="851"/>
      <c r="D2147" s="851"/>
    </row>
    <row r="2148" spans="2:4" s="819" customFormat="1">
      <c r="B2148" s="851"/>
      <c r="C2148" s="851"/>
      <c r="D2148" s="851"/>
    </row>
    <row r="2149" spans="2:4" s="819" customFormat="1">
      <c r="B2149" s="851"/>
      <c r="C2149" s="851"/>
      <c r="D2149" s="851"/>
    </row>
    <row r="2150" spans="2:4" s="819" customFormat="1">
      <c r="B2150" s="851"/>
      <c r="C2150" s="851"/>
      <c r="D2150" s="851"/>
    </row>
    <row r="2151" spans="2:4" s="819" customFormat="1">
      <c r="B2151" s="851"/>
      <c r="C2151" s="851"/>
      <c r="D2151" s="851"/>
    </row>
    <row r="2152" spans="2:4" s="819" customFormat="1">
      <c r="B2152" s="851"/>
      <c r="C2152" s="851"/>
      <c r="D2152" s="851"/>
    </row>
    <row r="2153" spans="2:4" s="819" customFormat="1">
      <c r="B2153" s="851"/>
      <c r="C2153" s="851"/>
      <c r="D2153" s="851"/>
    </row>
    <row r="2154" spans="2:4" s="819" customFormat="1">
      <c r="B2154" s="851"/>
      <c r="C2154" s="851"/>
      <c r="D2154" s="851"/>
    </row>
    <row r="2155" spans="2:4" s="819" customFormat="1">
      <c r="B2155" s="851"/>
      <c r="C2155" s="851"/>
      <c r="D2155" s="851"/>
    </row>
    <row r="2156" spans="2:4" s="819" customFormat="1">
      <c r="B2156" s="851"/>
      <c r="C2156" s="851"/>
      <c r="D2156" s="851"/>
    </row>
    <row r="2157" spans="2:4" s="819" customFormat="1">
      <c r="B2157" s="851"/>
      <c r="C2157" s="851"/>
      <c r="D2157" s="851"/>
    </row>
    <row r="2158" spans="2:4" s="819" customFormat="1">
      <c r="B2158" s="851"/>
      <c r="C2158" s="851"/>
      <c r="D2158" s="851"/>
    </row>
    <row r="2159" spans="2:4" s="819" customFormat="1">
      <c r="B2159" s="851"/>
      <c r="C2159" s="851"/>
      <c r="D2159" s="851"/>
    </row>
    <row r="2160" spans="2:4" s="819" customFormat="1">
      <c r="B2160" s="851"/>
      <c r="C2160" s="851"/>
      <c r="D2160" s="851"/>
    </row>
    <row r="2161" spans="2:4" s="819" customFormat="1">
      <c r="B2161" s="851"/>
      <c r="C2161" s="851"/>
      <c r="D2161" s="851"/>
    </row>
    <row r="2162" spans="2:4" s="819" customFormat="1">
      <c r="B2162" s="851"/>
      <c r="C2162" s="851"/>
      <c r="D2162" s="851"/>
    </row>
    <row r="2163" spans="2:4" s="819" customFormat="1">
      <c r="B2163" s="851"/>
      <c r="C2163" s="851"/>
      <c r="D2163" s="851"/>
    </row>
    <row r="2164" spans="2:4" s="819" customFormat="1">
      <c r="B2164" s="851"/>
      <c r="C2164" s="851"/>
      <c r="D2164" s="851"/>
    </row>
    <row r="2165" spans="2:4" s="819" customFormat="1">
      <c r="B2165" s="851"/>
      <c r="C2165" s="851"/>
      <c r="D2165" s="851"/>
    </row>
    <row r="2166" spans="2:4" s="819" customFormat="1">
      <c r="B2166" s="851"/>
      <c r="C2166" s="851"/>
      <c r="D2166" s="851"/>
    </row>
    <row r="2167" spans="2:4" s="819" customFormat="1">
      <c r="B2167" s="851"/>
      <c r="C2167" s="851"/>
      <c r="D2167" s="851"/>
    </row>
    <row r="2168" spans="2:4" s="819" customFormat="1">
      <c r="B2168" s="851"/>
      <c r="C2168" s="851"/>
      <c r="D2168" s="851"/>
    </row>
    <row r="2169" spans="2:4" s="819" customFormat="1">
      <c r="B2169" s="851"/>
      <c r="C2169" s="851"/>
      <c r="D2169" s="851"/>
    </row>
    <row r="2170" spans="2:4" s="819" customFormat="1">
      <c r="B2170" s="851"/>
      <c r="C2170" s="851"/>
      <c r="D2170" s="851"/>
    </row>
    <row r="2171" spans="2:4" s="819" customFormat="1">
      <c r="B2171" s="851"/>
      <c r="C2171" s="851"/>
      <c r="D2171" s="851"/>
    </row>
    <row r="2172" spans="2:4" s="819" customFormat="1">
      <c r="B2172" s="851"/>
      <c r="C2172" s="851"/>
      <c r="D2172" s="851"/>
    </row>
    <row r="2173" spans="2:4" s="819" customFormat="1">
      <c r="B2173" s="851"/>
      <c r="C2173" s="851"/>
      <c r="D2173" s="851"/>
    </row>
    <row r="2174" spans="2:4" s="819" customFormat="1">
      <c r="B2174" s="851"/>
      <c r="C2174" s="851"/>
      <c r="D2174" s="851"/>
    </row>
    <row r="2175" spans="2:4" s="819" customFormat="1">
      <c r="B2175" s="851"/>
      <c r="C2175" s="851"/>
      <c r="D2175" s="851"/>
    </row>
    <row r="2176" spans="2:4" s="819" customFormat="1">
      <c r="B2176" s="851"/>
      <c r="C2176" s="851"/>
      <c r="D2176" s="851"/>
    </row>
    <row r="2177" spans="2:4" s="819" customFormat="1">
      <c r="B2177" s="851"/>
      <c r="C2177" s="851"/>
      <c r="D2177" s="851"/>
    </row>
    <row r="2178" spans="2:4" s="819" customFormat="1">
      <c r="B2178" s="851"/>
      <c r="C2178" s="851"/>
      <c r="D2178" s="851"/>
    </row>
    <row r="2179" spans="2:4" s="819" customFormat="1">
      <c r="B2179" s="851"/>
      <c r="C2179" s="851"/>
      <c r="D2179" s="851"/>
    </row>
    <row r="2180" spans="2:4" s="819" customFormat="1">
      <c r="B2180" s="851"/>
      <c r="C2180" s="851"/>
      <c r="D2180" s="851"/>
    </row>
    <row r="2181" spans="2:4" s="819" customFormat="1">
      <c r="B2181" s="851"/>
      <c r="C2181" s="851"/>
      <c r="D2181" s="851"/>
    </row>
    <row r="2182" spans="2:4" s="819" customFormat="1">
      <c r="B2182" s="851"/>
      <c r="C2182" s="851"/>
      <c r="D2182" s="851"/>
    </row>
    <row r="2183" spans="2:4" s="819" customFormat="1">
      <c r="B2183" s="851"/>
      <c r="C2183" s="851"/>
      <c r="D2183" s="851"/>
    </row>
    <row r="2184" spans="2:4" s="819" customFormat="1">
      <c r="B2184" s="851"/>
      <c r="C2184" s="851"/>
      <c r="D2184" s="851"/>
    </row>
    <row r="2185" spans="2:4" s="819" customFormat="1">
      <c r="B2185" s="851"/>
      <c r="C2185" s="851"/>
      <c r="D2185" s="851"/>
    </row>
    <row r="2186" spans="2:4" s="819" customFormat="1">
      <c r="B2186" s="851"/>
      <c r="C2186" s="851"/>
      <c r="D2186" s="851"/>
    </row>
    <row r="2187" spans="2:4" s="819" customFormat="1">
      <c r="B2187" s="851"/>
      <c r="C2187" s="851"/>
      <c r="D2187" s="851"/>
    </row>
    <row r="2188" spans="2:4" s="819" customFormat="1">
      <c r="B2188" s="851"/>
      <c r="C2188" s="851"/>
      <c r="D2188" s="851"/>
    </row>
    <row r="2189" spans="2:4" s="819" customFormat="1">
      <c r="B2189" s="851"/>
      <c r="C2189" s="851"/>
      <c r="D2189" s="851"/>
    </row>
    <row r="2190" spans="2:4" s="819" customFormat="1">
      <c r="B2190" s="851"/>
      <c r="C2190" s="851"/>
      <c r="D2190" s="851"/>
    </row>
    <row r="2191" spans="2:4" s="819" customFormat="1">
      <c r="B2191" s="851"/>
      <c r="C2191" s="851"/>
      <c r="D2191" s="851"/>
    </row>
    <row r="2192" spans="2:4" s="819" customFormat="1">
      <c r="B2192" s="851"/>
      <c r="C2192" s="851"/>
      <c r="D2192" s="851"/>
    </row>
    <row r="2193" spans="2:4" s="819" customFormat="1">
      <c r="B2193" s="851"/>
      <c r="C2193" s="851"/>
      <c r="D2193" s="851"/>
    </row>
    <row r="2194" spans="2:4" s="819" customFormat="1">
      <c r="B2194" s="851"/>
      <c r="C2194" s="851"/>
      <c r="D2194" s="851"/>
    </row>
    <row r="2195" spans="2:4" s="819" customFormat="1">
      <c r="B2195" s="851"/>
      <c r="C2195" s="851"/>
      <c r="D2195" s="851"/>
    </row>
    <row r="2196" spans="2:4" s="819" customFormat="1">
      <c r="B2196" s="851"/>
      <c r="C2196" s="851"/>
      <c r="D2196" s="851"/>
    </row>
    <row r="2197" spans="2:4" s="819" customFormat="1">
      <c r="B2197" s="851"/>
      <c r="C2197" s="851"/>
      <c r="D2197" s="851"/>
    </row>
    <row r="2198" spans="2:4" s="819" customFormat="1">
      <c r="B2198" s="851"/>
      <c r="C2198" s="851"/>
      <c r="D2198" s="851"/>
    </row>
    <row r="2199" spans="2:4" s="819" customFormat="1">
      <c r="B2199" s="851"/>
      <c r="C2199" s="851"/>
      <c r="D2199" s="851"/>
    </row>
    <row r="2200" spans="2:4" s="819" customFormat="1">
      <c r="B2200" s="851"/>
      <c r="C2200" s="851"/>
      <c r="D2200" s="851"/>
    </row>
    <row r="2201" spans="2:4" s="819" customFormat="1">
      <c r="B2201" s="851"/>
      <c r="C2201" s="851"/>
      <c r="D2201" s="851"/>
    </row>
    <row r="2202" spans="2:4" s="819" customFormat="1">
      <c r="B2202" s="851"/>
      <c r="C2202" s="851"/>
      <c r="D2202" s="851"/>
    </row>
    <row r="2203" spans="2:4" s="819" customFormat="1">
      <c r="B2203" s="851"/>
      <c r="C2203" s="851"/>
      <c r="D2203" s="851"/>
    </row>
    <row r="2204" spans="2:4" s="819" customFormat="1">
      <c r="B2204" s="851"/>
      <c r="C2204" s="851"/>
      <c r="D2204" s="851"/>
    </row>
    <row r="2205" spans="2:4" s="819" customFormat="1">
      <c r="B2205" s="851"/>
      <c r="C2205" s="851"/>
      <c r="D2205" s="851"/>
    </row>
    <row r="2206" spans="2:4" s="819" customFormat="1">
      <c r="B2206" s="851"/>
      <c r="C2206" s="851"/>
      <c r="D2206" s="851"/>
    </row>
    <row r="2207" spans="2:4" s="819" customFormat="1">
      <c r="B2207" s="851"/>
      <c r="C2207" s="851"/>
      <c r="D2207" s="851"/>
    </row>
    <row r="2208" spans="2:4" s="819" customFormat="1">
      <c r="B2208" s="851"/>
      <c r="C2208" s="851"/>
      <c r="D2208" s="851"/>
    </row>
    <row r="2209" spans="2:4" s="819" customFormat="1">
      <c r="B2209" s="851"/>
      <c r="C2209" s="851"/>
      <c r="D2209" s="851"/>
    </row>
    <row r="2210" spans="2:4" s="819" customFormat="1">
      <c r="B2210" s="851"/>
      <c r="C2210" s="851"/>
      <c r="D2210" s="851"/>
    </row>
    <row r="2211" spans="2:4" s="819" customFormat="1">
      <c r="B2211" s="851"/>
      <c r="C2211" s="851"/>
      <c r="D2211" s="851"/>
    </row>
    <row r="2212" spans="2:4" s="819" customFormat="1">
      <c r="B2212" s="851"/>
      <c r="C2212" s="851"/>
      <c r="D2212" s="851"/>
    </row>
    <row r="2213" spans="2:4" s="819" customFormat="1">
      <c r="B2213" s="851"/>
      <c r="C2213" s="851"/>
      <c r="D2213" s="851"/>
    </row>
    <row r="2214" spans="2:4" s="819" customFormat="1">
      <c r="B2214" s="851"/>
      <c r="C2214" s="851"/>
      <c r="D2214" s="851"/>
    </row>
    <row r="2215" spans="2:4" s="819" customFormat="1">
      <c r="B2215" s="851"/>
      <c r="C2215" s="851"/>
      <c r="D2215" s="851"/>
    </row>
    <row r="2216" spans="2:4" s="819" customFormat="1">
      <c r="B2216" s="851"/>
      <c r="C2216" s="851"/>
      <c r="D2216" s="851"/>
    </row>
    <row r="2217" spans="2:4" s="819" customFormat="1">
      <c r="B2217" s="851"/>
      <c r="C2217" s="851"/>
      <c r="D2217" s="851"/>
    </row>
    <row r="2218" spans="2:4" s="819" customFormat="1">
      <c r="B2218" s="851"/>
      <c r="C2218" s="851"/>
      <c r="D2218" s="851"/>
    </row>
    <row r="2219" spans="2:4" s="819" customFormat="1">
      <c r="B2219" s="851"/>
      <c r="C2219" s="851"/>
      <c r="D2219" s="851"/>
    </row>
    <row r="2220" spans="2:4" s="819" customFormat="1">
      <c r="B2220" s="851"/>
      <c r="C2220" s="851"/>
      <c r="D2220" s="851"/>
    </row>
    <row r="2221" spans="2:4" s="819" customFormat="1">
      <c r="B2221" s="851"/>
      <c r="C2221" s="851"/>
      <c r="D2221" s="851"/>
    </row>
    <row r="2222" spans="2:4" s="819" customFormat="1">
      <c r="B2222" s="851"/>
      <c r="C2222" s="851"/>
      <c r="D2222" s="851"/>
    </row>
    <row r="2223" spans="2:4" s="819" customFormat="1">
      <c r="B2223" s="851"/>
      <c r="C2223" s="851"/>
      <c r="D2223" s="851"/>
    </row>
    <row r="2224" spans="2:4" s="819" customFormat="1">
      <c r="B2224" s="851"/>
      <c r="C2224" s="851"/>
      <c r="D2224" s="851"/>
    </row>
    <row r="2225" spans="2:4" s="819" customFormat="1">
      <c r="B2225" s="851"/>
      <c r="C2225" s="851"/>
      <c r="D2225" s="851"/>
    </row>
    <row r="2226" spans="2:4" s="819" customFormat="1">
      <c r="B2226" s="851"/>
      <c r="C2226" s="851"/>
      <c r="D2226" s="851"/>
    </row>
    <row r="2227" spans="2:4" s="819" customFormat="1">
      <c r="B2227" s="851"/>
      <c r="C2227" s="851"/>
      <c r="D2227" s="851"/>
    </row>
    <row r="2228" spans="2:4" s="819" customFormat="1">
      <c r="B2228" s="851"/>
      <c r="C2228" s="851"/>
      <c r="D2228" s="851"/>
    </row>
    <row r="2229" spans="2:4" s="819" customFormat="1">
      <c r="B2229" s="851"/>
      <c r="C2229" s="851"/>
      <c r="D2229" s="851"/>
    </row>
    <row r="2230" spans="2:4" s="819" customFormat="1">
      <c r="B2230" s="851"/>
      <c r="C2230" s="851"/>
      <c r="D2230" s="851"/>
    </row>
    <row r="2231" spans="2:4" s="819" customFormat="1">
      <c r="B2231" s="851"/>
      <c r="C2231" s="851"/>
      <c r="D2231" s="851"/>
    </row>
    <row r="2232" spans="2:4" s="819" customFormat="1">
      <c r="B2232" s="851"/>
      <c r="C2232" s="851"/>
      <c r="D2232" s="851"/>
    </row>
    <row r="2233" spans="2:4" s="819" customFormat="1">
      <c r="B2233" s="851"/>
      <c r="C2233" s="851"/>
      <c r="D2233" s="851"/>
    </row>
    <row r="2234" spans="2:4" s="819" customFormat="1">
      <c r="B2234" s="851"/>
      <c r="C2234" s="851"/>
      <c r="D2234" s="851"/>
    </row>
    <row r="2235" spans="2:4" s="819" customFormat="1">
      <c r="B2235" s="851"/>
      <c r="C2235" s="851"/>
      <c r="D2235" s="851"/>
    </row>
    <row r="2236" spans="2:4" s="819" customFormat="1">
      <c r="B2236" s="851"/>
      <c r="C2236" s="851"/>
      <c r="D2236" s="851"/>
    </row>
    <row r="2237" spans="2:4" s="819" customFormat="1">
      <c r="B2237" s="851"/>
      <c r="C2237" s="851"/>
      <c r="D2237" s="851"/>
    </row>
    <row r="2238" spans="2:4" s="819" customFormat="1">
      <c r="B2238" s="851"/>
      <c r="C2238" s="851"/>
      <c r="D2238" s="851"/>
    </row>
    <row r="2239" spans="2:4" s="819" customFormat="1">
      <c r="B2239" s="851"/>
      <c r="C2239" s="851"/>
      <c r="D2239" s="851"/>
    </row>
    <row r="2240" spans="2:4" s="819" customFormat="1">
      <c r="B2240" s="851"/>
      <c r="C2240" s="851"/>
      <c r="D2240" s="851"/>
    </row>
    <row r="2241" spans="2:4" s="819" customFormat="1">
      <c r="B2241" s="851"/>
      <c r="C2241" s="851"/>
      <c r="D2241" s="851"/>
    </row>
    <row r="2242" spans="2:4" s="819" customFormat="1">
      <c r="B2242" s="851"/>
      <c r="C2242" s="851"/>
      <c r="D2242" s="851"/>
    </row>
    <row r="2243" spans="2:4" s="819" customFormat="1">
      <c r="B2243" s="851"/>
      <c r="C2243" s="851"/>
      <c r="D2243" s="851"/>
    </row>
    <row r="2244" spans="2:4" s="819" customFormat="1">
      <c r="B2244" s="851"/>
      <c r="C2244" s="851"/>
      <c r="D2244" s="851"/>
    </row>
    <row r="2245" spans="2:4" s="819" customFormat="1">
      <c r="B2245" s="851"/>
      <c r="C2245" s="851"/>
      <c r="D2245" s="851"/>
    </row>
    <row r="2246" spans="2:4" s="819" customFormat="1">
      <c r="B2246" s="851"/>
      <c r="C2246" s="851"/>
      <c r="D2246" s="851"/>
    </row>
    <row r="2247" spans="2:4" s="819" customFormat="1">
      <c r="B2247" s="851"/>
      <c r="C2247" s="851"/>
      <c r="D2247" s="851"/>
    </row>
    <row r="2248" spans="2:4" s="819" customFormat="1">
      <c r="B2248" s="851"/>
      <c r="C2248" s="851"/>
      <c r="D2248" s="851"/>
    </row>
    <row r="2249" spans="2:4" s="819" customFormat="1">
      <c r="B2249" s="851"/>
      <c r="C2249" s="851"/>
      <c r="D2249" s="851"/>
    </row>
    <row r="2250" spans="2:4" s="819" customFormat="1">
      <c r="B2250" s="851"/>
      <c r="C2250" s="851"/>
      <c r="D2250" s="851"/>
    </row>
    <row r="2251" spans="2:4" s="819" customFormat="1">
      <c r="B2251" s="851"/>
      <c r="C2251" s="851"/>
      <c r="D2251" s="851"/>
    </row>
    <row r="2252" spans="2:4" s="819" customFormat="1">
      <c r="B2252" s="851"/>
      <c r="C2252" s="851"/>
      <c r="D2252" s="851"/>
    </row>
    <row r="2253" spans="2:4" s="819" customFormat="1">
      <c r="B2253" s="851"/>
      <c r="C2253" s="851"/>
      <c r="D2253" s="851"/>
    </row>
    <row r="2254" spans="2:4" s="819" customFormat="1">
      <c r="B2254" s="851"/>
      <c r="C2254" s="851"/>
      <c r="D2254" s="851"/>
    </row>
    <row r="2255" spans="2:4" s="819" customFormat="1">
      <c r="B2255" s="851"/>
      <c r="C2255" s="851"/>
      <c r="D2255" s="851"/>
    </row>
    <row r="2256" spans="2:4" s="819" customFormat="1">
      <c r="B2256" s="851"/>
      <c r="C2256" s="851"/>
      <c r="D2256" s="851"/>
    </row>
    <row r="2257" spans="2:4" s="819" customFormat="1">
      <c r="B2257" s="851"/>
      <c r="C2257" s="851"/>
      <c r="D2257" s="851"/>
    </row>
    <row r="2258" spans="2:4" s="819" customFormat="1">
      <c r="B2258" s="851"/>
      <c r="C2258" s="851"/>
      <c r="D2258" s="851"/>
    </row>
    <row r="2259" spans="2:4" s="819" customFormat="1">
      <c r="B2259" s="851"/>
      <c r="C2259" s="851"/>
      <c r="D2259" s="851"/>
    </row>
    <row r="2260" spans="2:4" s="819" customFormat="1">
      <c r="B2260" s="851"/>
      <c r="C2260" s="851"/>
      <c r="D2260" s="851"/>
    </row>
    <row r="2261" spans="2:4" s="819" customFormat="1">
      <c r="B2261" s="851"/>
      <c r="C2261" s="851"/>
      <c r="D2261" s="851"/>
    </row>
    <row r="2262" spans="2:4" s="819" customFormat="1">
      <c r="B2262" s="851"/>
      <c r="C2262" s="851"/>
      <c r="D2262" s="851"/>
    </row>
    <row r="2263" spans="2:4" s="819" customFormat="1">
      <c r="B2263" s="851"/>
      <c r="C2263" s="851"/>
      <c r="D2263" s="851"/>
    </row>
    <row r="2264" spans="2:4" s="819" customFormat="1">
      <c r="B2264" s="851"/>
      <c r="C2264" s="851"/>
      <c r="D2264" s="851"/>
    </row>
    <row r="2265" spans="2:4" s="819" customFormat="1">
      <c r="B2265" s="851"/>
      <c r="C2265" s="851"/>
      <c r="D2265" s="851"/>
    </row>
    <row r="2266" spans="2:4" s="819" customFormat="1">
      <c r="B2266" s="851"/>
      <c r="C2266" s="851"/>
      <c r="D2266" s="851"/>
    </row>
    <row r="2267" spans="2:4" s="819" customFormat="1">
      <c r="B2267" s="851"/>
      <c r="C2267" s="851"/>
      <c r="D2267" s="851"/>
    </row>
    <row r="2268" spans="2:4" s="819" customFormat="1">
      <c r="B2268" s="851"/>
      <c r="C2268" s="851"/>
      <c r="D2268" s="851"/>
    </row>
    <row r="2269" spans="2:4" s="819" customFormat="1">
      <c r="B2269" s="851"/>
      <c r="C2269" s="851"/>
      <c r="D2269" s="851"/>
    </row>
    <row r="2270" spans="2:4" s="819" customFormat="1">
      <c r="B2270" s="851"/>
      <c r="C2270" s="851"/>
      <c r="D2270" s="851"/>
    </row>
    <row r="2271" spans="2:4" s="819" customFormat="1">
      <c r="B2271" s="851"/>
      <c r="C2271" s="851"/>
      <c r="D2271" s="851"/>
    </row>
    <row r="2272" spans="2:4" s="819" customFormat="1">
      <c r="B2272" s="851"/>
      <c r="C2272" s="851"/>
      <c r="D2272" s="851"/>
    </row>
    <row r="2273" spans="2:4" s="819" customFormat="1">
      <c r="B2273" s="851"/>
      <c r="C2273" s="851"/>
      <c r="D2273" s="851"/>
    </row>
    <row r="2274" spans="2:4" s="819" customFormat="1">
      <c r="B2274" s="851"/>
      <c r="C2274" s="851"/>
      <c r="D2274" s="851"/>
    </row>
    <row r="2275" spans="2:4" s="819" customFormat="1">
      <c r="B2275" s="851"/>
      <c r="C2275" s="851"/>
      <c r="D2275" s="851"/>
    </row>
    <row r="2276" spans="2:4" s="819" customFormat="1">
      <c r="B2276" s="851"/>
      <c r="C2276" s="851"/>
      <c r="D2276" s="851"/>
    </row>
    <row r="2277" spans="2:4" s="819" customFormat="1">
      <c r="B2277" s="851"/>
      <c r="C2277" s="851"/>
      <c r="D2277" s="851"/>
    </row>
    <row r="2278" spans="2:4" s="819" customFormat="1">
      <c r="B2278" s="851"/>
      <c r="C2278" s="851"/>
      <c r="D2278" s="851"/>
    </row>
    <row r="2279" spans="2:4" s="819" customFormat="1">
      <c r="B2279" s="851"/>
      <c r="C2279" s="851"/>
      <c r="D2279" s="851"/>
    </row>
    <row r="2280" spans="2:4" s="819" customFormat="1">
      <c r="B2280" s="851"/>
      <c r="C2280" s="851"/>
      <c r="D2280" s="851"/>
    </row>
    <row r="2281" spans="2:4" s="819" customFormat="1">
      <c r="B2281" s="851"/>
      <c r="C2281" s="851"/>
      <c r="D2281" s="851"/>
    </row>
    <row r="2282" spans="2:4" s="819" customFormat="1">
      <c r="B2282" s="851"/>
      <c r="C2282" s="851"/>
      <c r="D2282" s="851"/>
    </row>
    <row r="2283" spans="2:4" s="819" customFormat="1">
      <c r="B2283" s="851"/>
      <c r="C2283" s="851"/>
      <c r="D2283" s="851"/>
    </row>
    <row r="2284" spans="2:4" s="819" customFormat="1">
      <c r="B2284" s="851"/>
      <c r="C2284" s="851"/>
      <c r="D2284" s="851"/>
    </row>
    <row r="2285" spans="2:4" s="819" customFormat="1">
      <c r="B2285" s="851"/>
      <c r="C2285" s="851"/>
      <c r="D2285" s="851"/>
    </row>
    <row r="2286" spans="2:4" s="819" customFormat="1">
      <c r="B2286" s="851"/>
      <c r="C2286" s="851"/>
      <c r="D2286" s="851"/>
    </row>
    <row r="2287" spans="2:4" s="819" customFormat="1">
      <c r="B2287" s="851"/>
      <c r="C2287" s="851"/>
      <c r="D2287" s="851"/>
    </row>
    <row r="2288" spans="2:4" s="819" customFormat="1">
      <c r="B2288" s="851"/>
      <c r="C2288" s="851"/>
      <c r="D2288" s="851"/>
    </row>
    <row r="2289" spans="2:4" s="819" customFormat="1">
      <c r="B2289" s="851"/>
      <c r="C2289" s="851"/>
      <c r="D2289" s="851"/>
    </row>
    <row r="2290" spans="2:4" s="819" customFormat="1">
      <c r="B2290" s="851"/>
      <c r="C2290" s="851"/>
      <c r="D2290" s="851"/>
    </row>
    <row r="2291" spans="2:4" s="819" customFormat="1">
      <c r="B2291" s="851"/>
      <c r="C2291" s="851"/>
      <c r="D2291" s="851"/>
    </row>
    <row r="2292" spans="2:4" s="819" customFormat="1">
      <c r="B2292" s="851"/>
      <c r="C2292" s="851"/>
      <c r="D2292" s="851"/>
    </row>
    <row r="2293" spans="2:4" s="819" customFormat="1">
      <c r="B2293" s="851"/>
      <c r="C2293" s="851"/>
      <c r="D2293" s="851"/>
    </row>
    <row r="2294" spans="2:4" s="819" customFormat="1">
      <c r="B2294" s="851"/>
      <c r="C2294" s="851"/>
      <c r="D2294" s="851"/>
    </row>
    <row r="2295" spans="2:4" s="819" customFormat="1">
      <c r="B2295" s="851"/>
      <c r="C2295" s="851"/>
      <c r="D2295" s="851"/>
    </row>
    <row r="2296" spans="2:4" s="819" customFormat="1">
      <c r="B2296" s="851"/>
      <c r="C2296" s="851"/>
      <c r="D2296" s="851"/>
    </row>
    <row r="2297" spans="2:4" s="819" customFormat="1">
      <c r="B2297" s="851"/>
      <c r="C2297" s="851"/>
      <c r="D2297" s="851"/>
    </row>
    <row r="2298" spans="2:4" s="819" customFormat="1">
      <c r="B2298" s="851"/>
      <c r="C2298" s="851"/>
      <c r="D2298" s="851"/>
    </row>
    <row r="2299" spans="2:4" s="819" customFormat="1">
      <c r="B2299" s="851"/>
      <c r="C2299" s="851"/>
      <c r="D2299" s="851"/>
    </row>
    <row r="2300" spans="2:4" s="819" customFormat="1">
      <c r="B2300" s="851"/>
      <c r="C2300" s="851"/>
      <c r="D2300" s="851"/>
    </row>
    <row r="2301" spans="2:4" s="819" customFormat="1">
      <c r="B2301" s="851"/>
      <c r="C2301" s="851"/>
      <c r="D2301" s="851"/>
    </row>
    <row r="2302" spans="2:4" s="819" customFormat="1">
      <c r="B2302" s="851"/>
      <c r="C2302" s="851"/>
      <c r="D2302" s="851"/>
    </row>
    <row r="2303" spans="2:4" s="819" customFormat="1">
      <c r="B2303" s="851"/>
      <c r="C2303" s="851"/>
      <c r="D2303" s="851"/>
    </row>
    <row r="2304" spans="2:4" s="819" customFormat="1">
      <c r="B2304" s="851"/>
      <c r="C2304" s="851"/>
      <c r="D2304" s="851"/>
    </row>
    <row r="2305" spans="2:4" s="819" customFormat="1">
      <c r="B2305" s="851"/>
      <c r="C2305" s="851"/>
      <c r="D2305" s="851"/>
    </row>
    <row r="2306" spans="2:4" s="819" customFormat="1">
      <c r="B2306" s="851"/>
      <c r="C2306" s="851"/>
      <c r="D2306" s="851"/>
    </row>
    <row r="2307" spans="2:4" s="819" customFormat="1">
      <c r="B2307" s="851"/>
      <c r="C2307" s="851"/>
      <c r="D2307" s="851"/>
    </row>
    <row r="2308" spans="2:4" s="819" customFormat="1">
      <c r="B2308" s="851"/>
      <c r="C2308" s="851"/>
      <c r="D2308" s="851"/>
    </row>
    <row r="2309" spans="2:4" s="819" customFormat="1">
      <c r="B2309" s="851"/>
      <c r="C2309" s="851"/>
      <c r="D2309" s="851"/>
    </row>
    <row r="2310" spans="2:4" s="819" customFormat="1">
      <c r="B2310" s="851"/>
      <c r="C2310" s="851"/>
      <c r="D2310" s="851"/>
    </row>
    <row r="2311" spans="2:4" s="819" customFormat="1">
      <c r="B2311" s="851"/>
      <c r="C2311" s="851"/>
      <c r="D2311" s="851"/>
    </row>
    <row r="2312" spans="2:4" s="819" customFormat="1">
      <c r="B2312" s="851"/>
      <c r="C2312" s="851"/>
      <c r="D2312" s="851"/>
    </row>
    <row r="2313" spans="2:4" s="819" customFormat="1">
      <c r="B2313" s="851"/>
      <c r="C2313" s="851"/>
      <c r="D2313" s="851"/>
    </row>
    <row r="2314" spans="2:4" s="819" customFormat="1">
      <c r="B2314" s="851"/>
      <c r="C2314" s="851"/>
      <c r="D2314" s="851"/>
    </row>
    <row r="2315" spans="2:4" s="819" customFormat="1">
      <c r="B2315" s="851"/>
      <c r="C2315" s="851"/>
      <c r="D2315" s="851"/>
    </row>
    <row r="2316" spans="2:4" s="819" customFormat="1">
      <c r="B2316" s="851"/>
      <c r="C2316" s="851"/>
      <c r="D2316" s="851"/>
    </row>
    <row r="2317" spans="2:4" s="819" customFormat="1">
      <c r="B2317" s="851"/>
      <c r="C2317" s="851"/>
      <c r="D2317" s="851"/>
    </row>
    <row r="2318" spans="2:4" s="819" customFormat="1">
      <c r="B2318" s="851"/>
      <c r="C2318" s="851"/>
      <c r="D2318" s="851"/>
    </row>
    <row r="2319" spans="2:4" s="819" customFormat="1">
      <c r="B2319" s="851"/>
      <c r="C2319" s="851"/>
      <c r="D2319" s="851"/>
    </row>
    <row r="2320" spans="2:4" s="819" customFormat="1">
      <c r="B2320" s="851"/>
      <c r="C2320" s="851"/>
      <c r="D2320" s="851"/>
    </row>
    <row r="2321" spans="2:4" s="819" customFormat="1">
      <c r="B2321" s="851"/>
      <c r="C2321" s="851"/>
      <c r="D2321" s="851"/>
    </row>
    <row r="2322" spans="2:4" s="819" customFormat="1">
      <c r="B2322" s="851"/>
      <c r="C2322" s="851"/>
      <c r="D2322" s="851"/>
    </row>
    <row r="2323" spans="2:4" s="819" customFormat="1">
      <c r="B2323" s="851"/>
      <c r="C2323" s="851"/>
      <c r="D2323" s="851"/>
    </row>
    <row r="2324" spans="2:4" s="819" customFormat="1">
      <c r="B2324" s="851"/>
      <c r="C2324" s="851"/>
      <c r="D2324" s="851"/>
    </row>
    <row r="2325" spans="2:4" s="819" customFormat="1">
      <c r="B2325" s="851"/>
      <c r="C2325" s="851"/>
      <c r="D2325" s="851"/>
    </row>
    <row r="2326" spans="2:4" s="819" customFormat="1">
      <c r="B2326" s="851"/>
      <c r="C2326" s="851"/>
      <c r="D2326" s="851"/>
    </row>
    <row r="2327" spans="2:4" s="819" customFormat="1">
      <c r="B2327" s="851"/>
      <c r="C2327" s="851"/>
      <c r="D2327" s="851"/>
    </row>
    <row r="2328" spans="2:4" s="819" customFormat="1">
      <c r="B2328" s="851"/>
      <c r="C2328" s="851"/>
      <c r="D2328" s="851"/>
    </row>
    <row r="2329" spans="2:4" s="819" customFormat="1">
      <c r="B2329" s="851"/>
      <c r="C2329" s="851"/>
      <c r="D2329" s="851"/>
    </row>
    <row r="2330" spans="2:4" s="819" customFormat="1">
      <c r="B2330" s="851"/>
      <c r="C2330" s="851"/>
      <c r="D2330" s="851"/>
    </row>
    <row r="2331" spans="2:4" s="819" customFormat="1">
      <c r="B2331" s="851"/>
      <c r="C2331" s="851"/>
      <c r="D2331" s="851"/>
    </row>
    <row r="2332" spans="2:4" s="819" customFormat="1">
      <c r="B2332" s="851"/>
      <c r="C2332" s="851"/>
      <c r="D2332" s="851"/>
    </row>
    <row r="2333" spans="2:4" s="819" customFormat="1">
      <c r="B2333" s="851"/>
      <c r="C2333" s="851"/>
      <c r="D2333" s="851"/>
    </row>
    <row r="2334" spans="2:4" s="819" customFormat="1">
      <c r="B2334" s="851"/>
      <c r="C2334" s="851"/>
      <c r="D2334" s="851"/>
    </row>
    <row r="2335" spans="2:4" s="819" customFormat="1">
      <c r="B2335" s="851"/>
      <c r="C2335" s="851"/>
      <c r="D2335" s="851"/>
    </row>
    <row r="2336" spans="2:4" s="819" customFormat="1">
      <c r="B2336" s="851"/>
      <c r="C2336" s="851"/>
      <c r="D2336" s="851"/>
    </row>
    <row r="2337" spans="2:4" s="819" customFormat="1">
      <c r="B2337" s="851"/>
      <c r="C2337" s="851"/>
      <c r="D2337" s="851"/>
    </row>
    <row r="2338" spans="2:4" s="819" customFormat="1">
      <c r="B2338" s="851"/>
      <c r="C2338" s="851"/>
      <c r="D2338" s="851"/>
    </row>
    <row r="2339" spans="2:4" s="819" customFormat="1">
      <c r="B2339" s="851"/>
      <c r="C2339" s="851"/>
      <c r="D2339" s="851"/>
    </row>
    <row r="2340" spans="2:4" s="819" customFormat="1">
      <c r="B2340" s="851"/>
      <c r="C2340" s="851"/>
      <c r="D2340" s="851"/>
    </row>
    <row r="2341" spans="2:4" s="819" customFormat="1">
      <c r="B2341" s="851"/>
      <c r="C2341" s="851"/>
      <c r="D2341" s="851"/>
    </row>
    <row r="2342" spans="2:4" s="819" customFormat="1">
      <c r="B2342" s="851"/>
      <c r="C2342" s="851"/>
      <c r="D2342" s="851"/>
    </row>
    <row r="2343" spans="2:4" s="819" customFormat="1">
      <c r="B2343" s="851"/>
      <c r="C2343" s="851"/>
      <c r="D2343" s="851"/>
    </row>
    <row r="2344" spans="2:4" s="819" customFormat="1">
      <c r="B2344" s="851"/>
      <c r="C2344" s="851"/>
      <c r="D2344" s="851"/>
    </row>
    <row r="2345" spans="2:4" s="819" customFormat="1">
      <c r="B2345" s="851"/>
      <c r="C2345" s="851"/>
      <c r="D2345" s="851"/>
    </row>
    <row r="2346" spans="2:4" s="819" customFormat="1">
      <c r="B2346" s="851"/>
      <c r="C2346" s="851"/>
      <c r="D2346" s="851"/>
    </row>
    <row r="2347" spans="2:4" s="819" customFormat="1">
      <c r="B2347" s="851"/>
      <c r="C2347" s="851"/>
      <c r="D2347" s="851"/>
    </row>
    <row r="2348" spans="2:4" s="819" customFormat="1">
      <c r="B2348" s="851"/>
      <c r="C2348" s="851"/>
      <c r="D2348" s="851"/>
    </row>
    <row r="2349" spans="2:4" s="819" customFormat="1">
      <c r="B2349" s="851"/>
      <c r="C2349" s="851"/>
      <c r="D2349" s="851"/>
    </row>
    <row r="2350" spans="2:4" s="819" customFormat="1">
      <c r="B2350" s="851"/>
      <c r="C2350" s="851"/>
      <c r="D2350" s="851"/>
    </row>
    <row r="2351" spans="2:4" s="819" customFormat="1">
      <c r="B2351" s="851"/>
      <c r="C2351" s="851"/>
      <c r="D2351" s="851"/>
    </row>
    <row r="2352" spans="2:4" s="819" customFormat="1">
      <c r="B2352" s="851"/>
      <c r="C2352" s="851"/>
      <c r="D2352" s="851"/>
    </row>
    <row r="2353" spans="2:4" s="819" customFormat="1">
      <c r="B2353" s="851"/>
      <c r="C2353" s="851"/>
      <c r="D2353" s="851"/>
    </row>
    <row r="2354" spans="2:4" s="819" customFormat="1">
      <c r="B2354" s="851"/>
      <c r="C2354" s="851"/>
      <c r="D2354" s="851"/>
    </row>
    <row r="2355" spans="2:4" s="819" customFormat="1">
      <c r="B2355" s="851"/>
      <c r="C2355" s="851"/>
      <c r="D2355" s="851"/>
    </row>
    <row r="2356" spans="2:4" s="819" customFormat="1">
      <c r="B2356" s="851"/>
      <c r="C2356" s="851"/>
      <c r="D2356" s="851"/>
    </row>
    <row r="2357" spans="2:4" s="819" customFormat="1">
      <c r="B2357" s="851"/>
      <c r="C2357" s="851"/>
      <c r="D2357" s="851"/>
    </row>
    <row r="2358" spans="2:4" s="819" customFormat="1">
      <c r="B2358" s="851"/>
      <c r="C2358" s="851"/>
      <c r="D2358" s="851"/>
    </row>
    <row r="2359" spans="2:4" s="819" customFormat="1">
      <c r="B2359" s="851"/>
      <c r="C2359" s="851"/>
      <c r="D2359" s="851"/>
    </row>
    <row r="2360" spans="2:4" s="819" customFormat="1">
      <c r="B2360" s="851"/>
      <c r="C2360" s="851"/>
      <c r="D2360" s="851"/>
    </row>
    <row r="2361" spans="2:4" s="819" customFormat="1">
      <c r="B2361" s="851"/>
      <c r="C2361" s="851"/>
      <c r="D2361" s="851"/>
    </row>
    <row r="2362" spans="2:4" s="819" customFormat="1">
      <c r="B2362" s="851"/>
      <c r="C2362" s="851"/>
      <c r="D2362" s="851"/>
    </row>
    <row r="2363" spans="2:4" s="819" customFormat="1">
      <c r="B2363" s="851"/>
      <c r="C2363" s="851"/>
      <c r="D2363" s="851"/>
    </row>
    <row r="2364" spans="2:4" s="819" customFormat="1">
      <c r="B2364" s="851"/>
      <c r="C2364" s="851"/>
      <c r="D2364" s="851"/>
    </row>
    <row r="2365" spans="2:4" s="819" customFormat="1">
      <c r="B2365" s="851"/>
      <c r="C2365" s="851"/>
      <c r="D2365" s="851"/>
    </row>
    <row r="2366" spans="2:4" s="819" customFormat="1">
      <c r="B2366" s="851"/>
      <c r="C2366" s="851"/>
      <c r="D2366" s="851"/>
    </row>
    <row r="2367" spans="2:4" s="819" customFormat="1">
      <c r="B2367" s="851"/>
      <c r="C2367" s="851"/>
      <c r="D2367" s="851"/>
    </row>
    <row r="2368" spans="2:4" s="819" customFormat="1">
      <c r="B2368" s="851"/>
      <c r="C2368" s="851"/>
      <c r="D2368" s="851"/>
    </row>
    <row r="2369" spans="2:4" s="819" customFormat="1">
      <c r="B2369" s="851"/>
      <c r="C2369" s="851"/>
      <c r="D2369" s="851"/>
    </row>
    <row r="2370" spans="2:4" s="819" customFormat="1">
      <c r="B2370" s="851"/>
      <c r="C2370" s="851"/>
      <c r="D2370" s="851"/>
    </row>
    <row r="2371" spans="2:4" s="819" customFormat="1">
      <c r="B2371" s="851"/>
      <c r="C2371" s="851"/>
      <c r="D2371" s="851"/>
    </row>
    <row r="2372" spans="2:4" s="819" customFormat="1">
      <c r="B2372" s="851"/>
      <c r="C2372" s="851"/>
      <c r="D2372" s="851"/>
    </row>
    <row r="2373" spans="2:4" s="819" customFormat="1">
      <c r="B2373" s="851"/>
      <c r="C2373" s="851"/>
      <c r="D2373" s="851"/>
    </row>
    <row r="2374" spans="2:4" s="819" customFormat="1">
      <c r="B2374" s="851"/>
      <c r="C2374" s="851"/>
      <c r="D2374" s="851"/>
    </row>
    <row r="2375" spans="2:4" s="819" customFormat="1">
      <c r="B2375" s="851"/>
      <c r="C2375" s="851"/>
      <c r="D2375" s="851"/>
    </row>
    <row r="2376" spans="2:4" s="819" customFormat="1">
      <c r="B2376" s="851"/>
      <c r="C2376" s="851"/>
      <c r="D2376" s="851"/>
    </row>
    <row r="2377" spans="2:4" s="819" customFormat="1">
      <c r="B2377" s="851"/>
      <c r="C2377" s="851"/>
      <c r="D2377" s="851"/>
    </row>
    <row r="2378" spans="2:4" s="819" customFormat="1">
      <c r="B2378" s="851"/>
      <c r="C2378" s="851"/>
      <c r="D2378" s="851"/>
    </row>
    <row r="2379" spans="2:4" s="819" customFormat="1">
      <c r="B2379" s="851"/>
      <c r="C2379" s="851"/>
      <c r="D2379" s="851"/>
    </row>
    <row r="2380" spans="2:4" s="819" customFormat="1">
      <c r="B2380" s="851"/>
      <c r="C2380" s="851"/>
      <c r="D2380" s="851"/>
    </row>
    <row r="2381" spans="2:4" s="819" customFormat="1">
      <c r="B2381" s="851"/>
      <c r="C2381" s="851"/>
      <c r="D2381" s="851"/>
    </row>
    <row r="2382" spans="2:4" s="819" customFormat="1">
      <c r="B2382" s="851"/>
      <c r="C2382" s="851"/>
      <c r="D2382" s="851"/>
    </row>
    <row r="2383" spans="2:4" s="819" customFormat="1">
      <c r="B2383" s="851"/>
      <c r="C2383" s="851"/>
      <c r="D2383" s="851"/>
    </row>
    <row r="2384" spans="2:4" s="819" customFormat="1">
      <c r="B2384" s="851"/>
      <c r="C2384" s="851"/>
      <c r="D2384" s="851"/>
    </row>
    <row r="2385" spans="2:4" s="819" customFormat="1">
      <c r="B2385" s="851"/>
      <c r="C2385" s="851"/>
      <c r="D2385" s="851"/>
    </row>
    <row r="2386" spans="2:4" s="819" customFormat="1">
      <c r="B2386" s="851"/>
      <c r="C2386" s="851"/>
      <c r="D2386" s="851"/>
    </row>
    <row r="2387" spans="2:4" s="819" customFormat="1">
      <c r="B2387" s="851"/>
      <c r="C2387" s="851"/>
      <c r="D2387" s="851"/>
    </row>
    <row r="2388" spans="2:4" s="819" customFormat="1">
      <c r="B2388" s="851"/>
      <c r="C2388" s="851"/>
      <c r="D2388" s="851"/>
    </row>
    <row r="2389" spans="2:4" s="819" customFormat="1">
      <c r="B2389" s="851"/>
      <c r="C2389" s="851"/>
      <c r="D2389" s="851"/>
    </row>
    <row r="2390" spans="2:4" s="819" customFormat="1">
      <c r="B2390" s="851"/>
      <c r="C2390" s="851"/>
      <c r="D2390" s="851"/>
    </row>
    <row r="2391" spans="2:4" s="819" customFormat="1">
      <c r="B2391" s="851"/>
      <c r="C2391" s="851"/>
      <c r="D2391" s="851"/>
    </row>
    <row r="2392" spans="2:4" s="819" customFormat="1">
      <c r="B2392" s="851"/>
      <c r="C2392" s="851"/>
      <c r="D2392" s="851"/>
    </row>
    <row r="2393" spans="2:4" s="819" customFormat="1">
      <c r="B2393" s="851"/>
      <c r="C2393" s="851"/>
      <c r="D2393" s="851"/>
    </row>
    <row r="2394" spans="2:4" s="819" customFormat="1">
      <c r="B2394" s="851"/>
      <c r="C2394" s="851"/>
      <c r="D2394" s="851"/>
    </row>
    <row r="2395" spans="2:4" s="819" customFormat="1">
      <c r="B2395" s="851"/>
      <c r="C2395" s="851"/>
      <c r="D2395" s="851"/>
    </row>
    <row r="2396" spans="2:4" s="819" customFormat="1">
      <c r="B2396" s="851"/>
      <c r="C2396" s="851"/>
      <c r="D2396" s="851"/>
    </row>
    <row r="2397" spans="2:4" s="819" customFormat="1">
      <c r="B2397" s="851"/>
      <c r="C2397" s="851"/>
      <c r="D2397" s="851"/>
    </row>
    <row r="2398" spans="2:4" s="819" customFormat="1">
      <c r="B2398" s="851"/>
      <c r="C2398" s="851"/>
      <c r="D2398" s="851"/>
    </row>
    <row r="2399" spans="2:4" s="819" customFormat="1">
      <c r="B2399" s="851"/>
      <c r="C2399" s="851"/>
      <c r="D2399" s="851"/>
    </row>
    <row r="2400" spans="2:4" s="819" customFormat="1">
      <c r="B2400" s="851"/>
      <c r="C2400" s="851"/>
      <c r="D2400" s="851"/>
    </row>
    <row r="2401" spans="2:4" s="819" customFormat="1">
      <c r="B2401" s="851"/>
      <c r="C2401" s="851"/>
      <c r="D2401" s="851"/>
    </row>
    <row r="2402" spans="2:4" s="819" customFormat="1">
      <c r="B2402" s="851"/>
      <c r="C2402" s="851"/>
      <c r="D2402" s="851"/>
    </row>
    <row r="2403" spans="2:4" s="819" customFormat="1">
      <c r="B2403" s="851"/>
      <c r="C2403" s="851"/>
      <c r="D2403" s="851"/>
    </row>
    <row r="2404" spans="2:4" s="819" customFormat="1">
      <c r="B2404" s="851"/>
      <c r="C2404" s="851"/>
      <c r="D2404" s="851"/>
    </row>
    <row r="2405" spans="2:4" s="819" customFormat="1">
      <c r="B2405" s="851"/>
      <c r="C2405" s="851"/>
      <c r="D2405" s="851"/>
    </row>
    <row r="2406" spans="2:4" s="819" customFormat="1">
      <c r="B2406" s="851"/>
      <c r="C2406" s="851"/>
      <c r="D2406" s="851"/>
    </row>
    <row r="2407" spans="2:4" s="819" customFormat="1">
      <c r="B2407" s="851"/>
      <c r="C2407" s="851"/>
      <c r="D2407" s="851"/>
    </row>
    <row r="2408" spans="2:4" s="819" customFormat="1">
      <c r="B2408" s="851"/>
      <c r="C2408" s="851"/>
      <c r="D2408" s="851"/>
    </row>
    <row r="2409" spans="2:4" s="819" customFormat="1">
      <c r="B2409" s="851"/>
      <c r="C2409" s="851"/>
      <c r="D2409" s="851"/>
    </row>
    <row r="2410" spans="2:4" s="819" customFormat="1">
      <c r="B2410" s="851"/>
      <c r="C2410" s="851"/>
      <c r="D2410" s="851"/>
    </row>
    <row r="2411" spans="2:4" s="819" customFormat="1">
      <c r="B2411" s="851"/>
      <c r="C2411" s="851"/>
      <c r="D2411" s="851"/>
    </row>
    <row r="2412" spans="2:4" s="819" customFormat="1">
      <c r="B2412" s="851"/>
      <c r="C2412" s="851"/>
      <c r="D2412" s="851"/>
    </row>
    <row r="2413" spans="2:4" s="819" customFormat="1">
      <c r="B2413" s="851"/>
      <c r="C2413" s="851"/>
      <c r="D2413" s="851"/>
    </row>
    <row r="2414" spans="2:4" s="819" customFormat="1">
      <c r="B2414" s="851"/>
      <c r="C2414" s="851"/>
      <c r="D2414" s="851"/>
    </row>
    <row r="2415" spans="2:4" s="819" customFormat="1">
      <c r="B2415" s="851"/>
      <c r="C2415" s="851"/>
      <c r="D2415" s="851"/>
    </row>
    <row r="2416" spans="2:4" s="819" customFormat="1">
      <c r="B2416" s="851"/>
      <c r="C2416" s="851"/>
      <c r="D2416" s="851"/>
    </row>
    <row r="2417" spans="2:4" s="819" customFormat="1">
      <c r="B2417" s="851"/>
      <c r="C2417" s="851"/>
      <c r="D2417" s="851"/>
    </row>
    <row r="2418" spans="2:4" s="819" customFormat="1">
      <c r="B2418" s="851"/>
      <c r="C2418" s="851"/>
      <c r="D2418" s="851"/>
    </row>
    <row r="2419" spans="2:4" s="819" customFormat="1">
      <c r="B2419" s="851"/>
      <c r="C2419" s="851"/>
      <c r="D2419" s="851"/>
    </row>
    <row r="2420" spans="2:4" s="819" customFormat="1">
      <c r="B2420" s="851"/>
      <c r="C2420" s="851"/>
      <c r="D2420" s="851"/>
    </row>
    <row r="2421" spans="2:4" s="819" customFormat="1">
      <c r="B2421" s="851"/>
      <c r="C2421" s="851"/>
      <c r="D2421" s="851"/>
    </row>
    <row r="2422" spans="2:4" s="819" customFormat="1">
      <c r="B2422" s="851"/>
      <c r="C2422" s="851"/>
      <c r="D2422" s="851"/>
    </row>
    <row r="2423" spans="2:4" s="819" customFormat="1">
      <c r="B2423" s="851"/>
      <c r="C2423" s="851"/>
      <c r="D2423" s="851"/>
    </row>
    <row r="2424" spans="2:4" s="819" customFormat="1">
      <c r="B2424" s="851"/>
      <c r="C2424" s="851"/>
      <c r="D2424" s="851"/>
    </row>
    <row r="2425" spans="2:4" s="819" customFormat="1">
      <c r="B2425" s="851"/>
      <c r="C2425" s="851"/>
      <c r="D2425" s="851"/>
    </row>
    <row r="2426" spans="2:4" s="819" customFormat="1">
      <c r="B2426" s="851"/>
      <c r="C2426" s="851"/>
      <c r="D2426" s="851"/>
    </row>
    <row r="2427" spans="2:4" s="819" customFormat="1">
      <c r="B2427" s="851"/>
      <c r="C2427" s="851"/>
      <c r="D2427" s="851"/>
    </row>
    <row r="2428" spans="2:4" s="819" customFormat="1">
      <c r="B2428" s="851"/>
      <c r="C2428" s="851"/>
      <c r="D2428" s="851"/>
    </row>
    <row r="2429" spans="2:4" s="819" customFormat="1">
      <c r="B2429" s="851"/>
      <c r="C2429" s="851"/>
      <c r="D2429" s="851"/>
    </row>
    <row r="2430" spans="2:4" s="819" customFormat="1">
      <c r="B2430" s="851"/>
      <c r="C2430" s="851"/>
      <c r="D2430" s="851"/>
    </row>
    <row r="2431" spans="2:4" s="819" customFormat="1">
      <c r="B2431" s="851"/>
      <c r="C2431" s="851"/>
      <c r="D2431" s="851"/>
    </row>
    <row r="2432" spans="2:4" s="819" customFormat="1">
      <c r="B2432" s="851"/>
      <c r="C2432" s="851"/>
      <c r="D2432" s="851"/>
    </row>
    <row r="2433" spans="2:4" s="819" customFormat="1">
      <c r="B2433" s="851"/>
      <c r="C2433" s="851"/>
      <c r="D2433" s="851"/>
    </row>
    <row r="2434" spans="2:4" s="819" customFormat="1">
      <c r="B2434" s="851"/>
      <c r="C2434" s="851"/>
      <c r="D2434" s="851"/>
    </row>
    <row r="2435" spans="2:4" s="819" customFormat="1">
      <c r="B2435" s="851"/>
      <c r="C2435" s="851"/>
      <c r="D2435" s="851"/>
    </row>
    <row r="2436" spans="2:4" s="819" customFormat="1">
      <c r="B2436" s="851"/>
      <c r="C2436" s="851"/>
      <c r="D2436" s="851"/>
    </row>
    <row r="2437" spans="2:4" s="819" customFormat="1">
      <c r="B2437" s="851"/>
      <c r="C2437" s="851"/>
      <c r="D2437" s="851"/>
    </row>
    <row r="2438" spans="2:4" s="819" customFormat="1">
      <c r="B2438" s="851"/>
      <c r="C2438" s="851"/>
      <c r="D2438" s="851"/>
    </row>
    <row r="2439" spans="2:4" s="819" customFormat="1">
      <c r="B2439" s="851"/>
      <c r="C2439" s="851"/>
      <c r="D2439" s="851"/>
    </row>
    <row r="2440" spans="2:4" s="819" customFormat="1">
      <c r="B2440" s="851"/>
      <c r="C2440" s="851"/>
      <c r="D2440" s="851"/>
    </row>
    <row r="2441" spans="2:4" s="819" customFormat="1">
      <c r="B2441" s="851"/>
      <c r="C2441" s="851"/>
      <c r="D2441" s="851"/>
    </row>
    <row r="2442" spans="2:4" s="819" customFormat="1">
      <c r="B2442" s="851"/>
      <c r="C2442" s="851"/>
      <c r="D2442" s="851"/>
    </row>
    <row r="2443" spans="2:4" s="819" customFormat="1">
      <c r="B2443" s="851"/>
      <c r="C2443" s="851"/>
      <c r="D2443" s="851"/>
    </row>
    <row r="2444" spans="2:4" s="819" customFormat="1">
      <c r="B2444" s="851"/>
      <c r="C2444" s="851"/>
      <c r="D2444" s="851"/>
    </row>
    <row r="2445" spans="2:4" s="819" customFormat="1">
      <c r="B2445" s="851"/>
      <c r="C2445" s="851"/>
      <c r="D2445" s="851"/>
    </row>
    <row r="2446" spans="2:4" s="819" customFormat="1">
      <c r="B2446" s="851"/>
      <c r="C2446" s="851"/>
      <c r="D2446" s="851"/>
    </row>
    <row r="2447" spans="2:4" s="819" customFormat="1">
      <c r="B2447" s="851"/>
      <c r="C2447" s="851"/>
      <c r="D2447" s="851"/>
    </row>
    <row r="2448" spans="2:4" s="819" customFormat="1">
      <c r="B2448" s="851"/>
      <c r="C2448" s="851"/>
      <c r="D2448" s="851"/>
    </row>
    <row r="2449" spans="2:4" s="819" customFormat="1">
      <c r="B2449" s="851"/>
      <c r="C2449" s="851"/>
      <c r="D2449" s="851"/>
    </row>
    <row r="2450" spans="2:4" s="819" customFormat="1">
      <c r="B2450" s="851"/>
      <c r="C2450" s="851"/>
      <c r="D2450" s="851"/>
    </row>
    <row r="2451" spans="2:4" s="819" customFormat="1">
      <c r="B2451" s="851"/>
      <c r="C2451" s="851"/>
      <c r="D2451" s="851"/>
    </row>
    <row r="2452" spans="2:4" s="819" customFormat="1">
      <c r="B2452" s="851"/>
      <c r="C2452" s="851"/>
      <c r="D2452" s="851"/>
    </row>
    <row r="2453" spans="2:4" s="819" customFormat="1">
      <c r="B2453" s="851"/>
      <c r="C2453" s="851"/>
      <c r="D2453" s="851"/>
    </row>
    <row r="2454" spans="2:4" s="819" customFormat="1">
      <c r="B2454" s="851"/>
      <c r="C2454" s="851"/>
      <c r="D2454" s="851"/>
    </row>
    <row r="2455" spans="2:4" s="819" customFormat="1">
      <c r="B2455" s="851"/>
      <c r="C2455" s="851"/>
      <c r="D2455" s="851"/>
    </row>
    <row r="2456" spans="2:4" s="819" customFormat="1">
      <c r="B2456" s="851"/>
      <c r="C2456" s="851"/>
      <c r="D2456" s="851"/>
    </row>
    <row r="2457" spans="2:4" s="819" customFormat="1">
      <c r="B2457" s="851"/>
      <c r="C2457" s="851"/>
      <c r="D2457" s="851"/>
    </row>
    <row r="2458" spans="2:4" s="819" customFormat="1">
      <c r="B2458" s="851"/>
      <c r="C2458" s="851"/>
      <c r="D2458" s="851"/>
    </row>
    <row r="2459" spans="2:4" s="819" customFormat="1">
      <c r="B2459" s="851"/>
      <c r="C2459" s="851"/>
      <c r="D2459" s="851"/>
    </row>
    <row r="2460" spans="2:4" s="819" customFormat="1">
      <c r="B2460" s="851"/>
      <c r="C2460" s="851"/>
      <c r="D2460" s="851"/>
    </row>
    <row r="2461" spans="2:4" s="819" customFormat="1">
      <c r="B2461" s="851"/>
      <c r="C2461" s="851"/>
      <c r="D2461" s="851"/>
    </row>
    <row r="2462" spans="2:4" s="819" customFormat="1">
      <c r="B2462" s="851"/>
      <c r="C2462" s="851"/>
      <c r="D2462" s="851"/>
    </row>
    <row r="2463" spans="2:4" s="819" customFormat="1">
      <c r="B2463" s="851"/>
      <c r="C2463" s="851"/>
      <c r="D2463" s="851"/>
    </row>
    <row r="2464" spans="2:4" s="819" customFormat="1">
      <c r="B2464" s="851"/>
      <c r="C2464" s="851"/>
      <c r="D2464" s="851"/>
    </row>
    <row r="2465" spans="2:4" s="819" customFormat="1">
      <c r="B2465" s="851"/>
      <c r="C2465" s="851"/>
      <c r="D2465" s="851"/>
    </row>
    <row r="2466" spans="2:4" s="819" customFormat="1">
      <c r="B2466" s="851"/>
      <c r="C2466" s="851"/>
      <c r="D2466" s="851"/>
    </row>
    <row r="2467" spans="2:4" s="819" customFormat="1">
      <c r="B2467" s="851"/>
      <c r="C2467" s="851"/>
      <c r="D2467" s="851"/>
    </row>
    <row r="2468" spans="2:4" s="819" customFormat="1">
      <c r="B2468" s="851"/>
      <c r="C2468" s="851"/>
      <c r="D2468" s="851"/>
    </row>
    <row r="2469" spans="2:4" s="819" customFormat="1">
      <c r="B2469" s="851"/>
      <c r="C2469" s="851"/>
      <c r="D2469" s="851"/>
    </row>
    <row r="2470" spans="2:4" s="819" customFormat="1">
      <c r="B2470" s="851"/>
      <c r="C2470" s="851"/>
      <c r="D2470" s="851"/>
    </row>
    <row r="2471" spans="2:4" s="819" customFormat="1">
      <c r="B2471" s="851"/>
      <c r="C2471" s="851"/>
      <c r="D2471" s="851"/>
    </row>
    <row r="2472" spans="2:4" s="819" customFormat="1">
      <c r="B2472" s="851"/>
      <c r="C2472" s="851"/>
      <c r="D2472" s="851"/>
    </row>
    <row r="2473" spans="2:4" s="819" customFormat="1">
      <c r="B2473" s="851"/>
      <c r="C2473" s="851"/>
      <c r="D2473" s="851"/>
    </row>
    <row r="2474" spans="2:4" s="819" customFormat="1">
      <c r="B2474" s="851"/>
      <c r="C2474" s="851"/>
      <c r="D2474" s="851"/>
    </row>
    <row r="2475" spans="2:4" s="819" customFormat="1">
      <c r="B2475" s="851"/>
      <c r="C2475" s="851"/>
      <c r="D2475" s="851"/>
    </row>
    <row r="2476" spans="2:4" s="819" customFormat="1">
      <c r="B2476" s="851"/>
      <c r="C2476" s="851"/>
      <c r="D2476" s="851"/>
    </row>
    <row r="2477" spans="2:4" s="819" customFormat="1">
      <c r="B2477" s="851"/>
      <c r="C2477" s="851"/>
      <c r="D2477" s="851"/>
    </row>
    <row r="2478" spans="2:4" s="819" customFormat="1">
      <c r="B2478" s="851"/>
      <c r="C2478" s="851"/>
      <c r="D2478" s="851"/>
    </row>
    <row r="2479" spans="2:4" s="819" customFormat="1">
      <c r="B2479" s="851"/>
      <c r="C2479" s="851"/>
      <c r="D2479" s="851"/>
    </row>
    <row r="2480" spans="2:4" s="819" customFormat="1">
      <c r="B2480" s="851"/>
      <c r="C2480" s="851"/>
      <c r="D2480" s="851"/>
    </row>
    <row r="2481" spans="2:4" s="819" customFormat="1">
      <c r="B2481" s="851"/>
      <c r="C2481" s="851"/>
      <c r="D2481" s="851"/>
    </row>
    <row r="2482" spans="2:4" s="819" customFormat="1">
      <c r="B2482" s="851"/>
      <c r="C2482" s="851"/>
      <c r="D2482" s="851"/>
    </row>
    <row r="2483" spans="2:4" s="819" customFormat="1">
      <c r="B2483" s="851"/>
      <c r="C2483" s="851"/>
      <c r="D2483" s="851"/>
    </row>
    <row r="2484" spans="2:4" s="819" customFormat="1">
      <c r="B2484" s="851"/>
      <c r="C2484" s="851"/>
      <c r="D2484" s="851"/>
    </row>
    <row r="2485" spans="2:4" s="819" customFormat="1">
      <c r="B2485" s="851"/>
      <c r="C2485" s="851"/>
      <c r="D2485" s="851"/>
    </row>
    <row r="2486" spans="2:4" s="819" customFormat="1">
      <c r="B2486" s="851"/>
      <c r="C2486" s="851"/>
      <c r="D2486" s="851"/>
    </row>
    <row r="2487" spans="2:4" s="819" customFormat="1">
      <c r="B2487" s="851"/>
      <c r="C2487" s="851"/>
      <c r="D2487" s="851"/>
    </row>
    <row r="2488" spans="2:4" s="819" customFormat="1">
      <c r="B2488" s="851"/>
      <c r="C2488" s="851"/>
      <c r="D2488" s="851"/>
    </row>
    <row r="2489" spans="2:4" s="819" customFormat="1">
      <c r="B2489" s="851"/>
      <c r="C2489" s="851"/>
      <c r="D2489" s="851"/>
    </row>
    <row r="2490" spans="2:4" s="819" customFormat="1">
      <c r="B2490" s="851"/>
      <c r="C2490" s="851"/>
      <c r="D2490" s="851"/>
    </row>
    <row r="2491" spans="2:4" s="819" customFormat="1">
      <c r="B2491" s="851"/>
      <c r="C2491" s="851"/>
      <c r="D2491" s="851"/>
    </row>
    <row r="2492" spans="2:4" s="819" customFormat="1">
      <c r="B2492" s="851"/>
      <c r="C2492" s="851"/>
      <c r="D2492" s="851"/>
    </row>
    <row r="2493" spans="2:4" s="819" customFormat="1">
      <c r="B2493" s="851"/>
      <c r="C2493" s="851"/>
      <c r="D2493" s="851"/>
    </row>
    <row r="2494" spans="2:4" s="819" customFormat="1">
      <c r="B2494" s="851"/>
      <c r="C2494" s="851"/>
      <c r="D2494" s="851"/>
    </row>
    <row r="2495" spans="2:4" s="819" customFormat="1">
      <c r="B2495" s="851"/>
      <c r="C2495" s="851"/>
      <c r="D2495" s="851"/>
    </row>
    <row r="2496" spans="2:4" s="819" customFormat="1">
      <c r="B2496" s="851"/>
      <c r="C2496" s="851"/>
      <c r="D2496" s="851"/>
    </row>
    <row r="2497" spans="2:4" s="819" customFormat="1">
      <c r="B2497" s="851"/>
      <c r="C2497" s="851"/>
      <c r="D2497" s="851"/>
    </row>
    <row r="2498" spans="2:4" s="819" customFormat="1">
      <c r="B2498" s="851"/>
      <c r="C2498" s="851"/>
      <c r="D2498" s="851"/>
    </row>
    <row r="2499" spans="2:4" s="819" customFormat="1">
      <c r="B2499" s="851"/>
      <c r="C2499" s="851"/>
      <c r="D2499" s="851"/>
    </row>
    <row r="2500" spans="2:4" s="819" customFormat="1">
      <c r="B2500" s="851"/>
      <c r="C2500" s="851"/>
      <c r="D2500" s="851"/>
    </row>
    <row r="2501" spans="2:4" s="819" customFormat="1">
      <c r="B2501" s="851"/>
      <c r="C2501" s="851"/>
      <c r="D2501" s="851"/>
    </row>
    <row r="2502" spans="2:4" s="819" customFormat="1">
      <c r="B2502" s="851"/>
      <c r="C2502" s="851"/>
      <c r="D2502" s="851"/>
    </row>
    <row r="2503" spans="2:4" s="819" customFormat="1">
      <c r="B2503" s="851"/>
      <c r="C2503" s="851"/>
      <c r="D2503" s="851"/>
    </row>
    <row r="2504" spans="2:4" s="819" customFormat="1">
      <c r="B2504" s="851"/>
      <c r="C2504" s="851"/>
      <c r="D2504" s="851"/>
    </row>
    <row r="2505" spans="2:4" s="819" customFormat="1">
      <c r="B2505" s="851"/>
      <c r="C2505" s="851"/>
      <c r="D2505" s="851"/>
    </row>
    <row r="2506" spans="2:4" s="819" customFormat="1">
      <c r="B2506" s="851"/>
      <c r="C2506" s="851"/>
      <c r="D2506" s="851"/>
    </row>
    <row r="2507" spans="2:4" s="819" customFormat="1">
      <c r="B2507" s="851"/>
      <c r="C2507" s="851"/>
      <c r="D2507" s="851"/>
    </row>
    <row r="2508" spans="2:4" s="819" customFormat="1">
      <c r="B2508" s="851"/>
      <c r="C2508" s="851"/>
      <c r="D2508" s="851"/>
    </row>
    <row r="2509" spans="2:4" s="819" customFormat="1">
      <c r="B2509" s="851"/>
      <c r="C2509" s="851"/>
      <c r="D2509" s="851"/>
    </row>
    <row r="2510" spans="2:4" s="819" customFormat="1">
      <c r="B2510" s="851"/>
      <c r="C2510" s="851"/>
      <c r="D2510" s="851"/>
    </row>
    <row r="2511" spans="2:4" s="819" customFormat="1">
      <c r="B2511" s="851"/>
      <c r="C2511" s="851"/>
      <c r="D2511" s="851"/>
    </row>
    <row r="2512" spans="2:4" s="819" customFormat="1">
      <c r="B2512" s="851"/>
      <c r="C2512" s="851"/>
      <c r="D2512" s="851"/>
    </row>
    <row r="2513" spans="2:4" s="819" customFormat="1">
      <c r="B2513" s="851"/>
      <c r="C2513" s="851"/>
      <c r="D2513" s="851"/>
    </row>
    <row r="2514" spans="2:4" s="819" customFormat="1">
      <c r="B2514" s="851"/>
      <c r="C2514" s="851"/>
      <c r="D2514" s="851"/>
    </row>
    <row r="2515" spans="2:4" s="819" customFormat="1">
      <c r="B2515" s="851"/>
      <c r="C2515" s="851"/>
      <c r="D2515" s="851"/>
    </row>
    <row r="2516" spans="2:4" s="819" customFormat="1">
      <c r="B2516" s="851"/>
      <c r="C2516" s="851"/>
      <c r="D2516" s="851"/>
    </row>
    <row r="2517" spans="2:4" s="819" customFormat="1">
      <c r="B2517" s="851"/>
      <c r="C2517" s="851"/>
      <c r="D2517" s="851"/>
    </row>
    <row r="2518" spans="2:4" s="819" customFormat="1">
      <c r="B2518" s="851"/>
      <c r="C2518" s="851"/>
      <c r="D2518" s="851"/>
    </row>
    <row r="2519" spans="2:4" s="819" customFormat="1">
      <c r="B2519" s="851"/>
      <c r="C2519" s="851"/>
      <c r="D2519" s="851"/>
    </row>
    <row r="2520" spans="2:4" s="819" customFormat="1">
      <c r="B2520" s="851"/>
      <c r="C2520" s="851"/>
      <c r="D2520" s="851"/>
    </row>
    <row r="2521" spans="2:4" s="819" customFormat="1">
      <c r="B2521" s="851"/>
      <c r="C2521" s="851"/>
      <c r="D2521" s="851"/>
    </row>
    <row r="2522" spans="2:4" s="819" customFormat="1">
      <c r="B2522" s="851"/>
      <c r="C2522" s="851"/>
      <c r="D2522" s="851"/>
    </row>
    <row r="2523" spans="2:4" s="819" customFormat="1">
      <c r="B2523" s="851"/>
      <c r="C2523" s="851"/>
      <c r="D2523" s="851"/>
    </row>
    <row r="2524" spans="2:4" s="819" customFormat="1">
      <c r="B2524" s="851"/>
      <c r="C2524" s="851"/>
      <c r="D2524" s="851"/>
    </row>
    <row r="2525" spans="2:4" s="819" customFormat="1">
      <c r="B2525" s="851"/>
      <c r="C2525" s="851"/>
      <c r="D2525" s="851"/>
    </row>
    <row r="2526" spans="2:4" s="819" customFormat="1">
      <c r="B2526" s="851"/>
      <c r="C2526" s="851"/>
      <c r="D2526" s="851"/>
    </row>
    <row r="2527" spans="2:4" s="819" customFormat="1">
      <c r="B2527" s="851"/>
      <c r="C2527" s="851"/>
      <c r="D2527" s="851"/>
    </row>
    <row r="2528" spans="2:4" s="819" customFormat="1">
      <c r="B2528" s="851"/>
      <c r="C2528" s="851"/>
      <c r="D2528" s="851"/>
    </row>
    <row r="2529" spans="2:4" s="819" customFormat="1">
      <c r="B2529" s="851"/>
      <c r="C2529" s="851"/>
      <c r="D2529" s="851"/>
    </row>
    <row r="2530" spans="2:4" s="819" customFormat="1">
      <c r="B2530" s="851"/>
      <c r="C2530" s="851"/>
      <c r="D2530" s="851"/>
    </row>
    <row r="2531" spans="2:4" s="819" customFormat="1">
      <c r="B2531" s="851"/>
      <c r="C2531" s="851"/>
      <c r="D2531" s="851"/>
    </row>
    <row r="2532" spans="2:4" s="819" customFormat="1">
      <c r="B2532" s="851"/>
      <c r="C2532" s="851"/>
      <c r="D2532" s="851"/>
    </row>
    <row r="2533" spans="2:4" s="819" customFormat="1">
      <c r="B2533" s="851"/>
      <c r="C2533" s="851"/>
      <c r="D2533" s="851"/>
    </row>
    <row r="2534" spans="2:4" s="819" customFormat="1">
      <c r="B2534" s="851"/>
      <c r="C2534" s="851"/>
      <c r="D2534" s="851"/>
    </row>
    <row r="2535" spans="2:4" s="819" customFormat="1">
      <c r="B2535" s="851"/>
      <c r="C2535" s="851"/>
      <c r="D2535" s="851"/>
    </row>
    <row r="2536" spans="2:4" s="819" customFormat="1">
      <c r="B2536" s="851"/>
      <c r="C2536" s="851"/>
      <c r="D2536" s="851"/>
    </row>
    <row r="2537" spans="2:4" s="819" customFormat="1">
      <c r="B2537" s="851"/>
      <c r="C2537" s="851"/>
      <c r="D2537" s="851"/>
    </row>
    <row r="2538" spans="2:4" s="819" customFormat="1">
      <c r="B2538" s="851"/>
      <c r="C2538" s="851"/>
      <c r="D2538" s="851"/>
    </row>
    <row r="2539" spans="2:4" s="819" customFormat="1">
      <c r="B2539" s="851"/>
      <c r="C2539" s="851"/>
      <c r="D2539" s="851"/>
    </row>
    <row r="2540" spans="2:4" s="819" customFormat="1">
      <c r="B2540" s="851"/>
      <c r="C2540" s="851"/>
      <c r="D2540" s="851"/>
    </row>
    <row r="2541" spans="2:4" s="819" customFormat="1">
      <c r="B2541" s="851"/>
      <c r="C2541" s="851"/>
      <c r="D2541" s="851"/>
    </row>
    <row r="2542" spans="2:4" s="819" customFormat="1">
      <c r="B2542" s="851"/>
      <c r="C2542" s="851"/>
      <c r="D2542" s="851"/>
    </row>
    <row r="2543" spans="2:4" s="819" customFormat="1">
      <c r="B2543" s="851"/>
      <c r="C2543" s="851"/>
      <c r="D2543" s="851"/>
    </row>
    <row r="2544" spans="2:4" s="819" customFormat="1">
      <c r="B2544" s="851"/>
      <c r="C2544" s="851"/>
      <c r="D2544" s="851"/>
    </row>
    <row r="2545" spans="2:4" s="819" customFormat="1">
      <c r="B2545" s="851"/>
      <c r="C2545" s="851"/>
      <c r="D2545" s="851"/>
    </row>
    <row r="2546" spans="2:4" s="819" customFormat="1">
      <c r="B2546" s="851"/>
      <c r="C2546" s="851"/>
      <c r="D2546" s="851"/>
    </row>
    <row r="2547" spans="2:4" s="819" customFormat="1">
      <c r="B2547" s="851"/>
      <c r="C2547" s="851"/>
      <c r="D2547" s="851"/>
    </row>
    <row r="2548" spans="2:4" s="819" customFormat="1">
      <c r="B2548" s="851"/>
      <c r="C2548" s="851"/>
      <c r="D2548" s="851"/>
    </row>
    <row r="2549" spans="2:4" s="819" customFormat="1">
      <c r="B2549" s="851"/>
      <c r="C2549" s="851"/>
      <c r="D2549" s="851"/>
    </row>
    <row r="2550" spans="2:4" s="819" customFormat="1">
      <c r="B2550" s="851"/>
      <c r="C2550" s="851"/>
      <c r="D2550" s="851"/>
    </row>
    <row r="2551" spans="2:4" s="819" customFormat="1">
      <c r="B2551" s="851"/>
      <c r="C2551" s="851"/>
      <c r="D2551" s="851"/>
    </row>
    <row r="2552" spans="2:4" s="819" customFormat="1">
      <c r="B2552" s="851"/>
      <c r="C2552" s="851"/>
      <c r="D2552" s="851"/>
    </row>
    <row r="2553" spans="2:4" s="819" customFormat="1">
      <c r="B2553" s="851"/>
      <c r="C2553" s="851"/>
      <c r="D2553" s="851"/>
    </row>
    <row r="2554" spans="2:4" s="819" customFormat="1">
      <c r="B2554" s="851"/>
      <c r="C2554" s="851"/>
      <c r="D2554" s="851"/>
    </row>
    <row r="2555" spans="2:4" s="819" customFormat="1">
      <c r="B2555" s="851"/>
      <c r="C2555" s="851"/>
      <c r="D2555" s="851"/>
    </row>
    <row r="2556" spans="2:4" s="819" customFormat="1">
      <c r="B2556" s="851"/>
      <c r="C2556" s="851"/>
      <c r="D2556" s="851"/>
    </row>
    <row r="2557" spans="2:4" s="819" customFormat="1">
      <c r="B2557" s="851"/>
      <c r="C2557" s="851"/>
      <c r="D2557" s="851"/>
    </row>
    <row r="2558" spans="2:4" s="819" customFormat="1">
      <c r="B2558" s="851"/>
      <c r="C2558" s="851"/>
      <c r="D2558" s="851"/>
    </row>
    <row r="2559" spans="2:4" s="819" customFormat="1">
      <c r="B2559" s="851"/>
      <c r="C2559" s="851"/>
      <c r="D2559" s="851"/>
    </row>
    <row r="2560" spans="2:4" s="819" customFormat="1">
      <c r="B2560" s="851"/>
      <c r="C2560" s="851"/>
      <c r="D2560" s="851"/>
    </row>
    <row r="2561" spans="2:4" s="819" customFormat="1">
      <c r="B2561" s="851"/>
      <c r="C2561" s="851"/>
      <c r="D2561" s="851"/>
    </row>
    <row r="2562" spans="2:4" s="819" customFormat="1">
      <c r="B2562" s="851"/>
      <c r="C2562" s="851"/>
      <c r="D2562" s="851"/>
    </row>
    <row r="2563" spans="2:4" s="819" customFormat="1">
      <c r="B2563" s="851"/>
      <c r="C2563" s="851"/>
      <c r="D2563" s="851"/>
    </row>
    <row r="2564" spans="2:4" s="819" customFormat="1">
      <c r="B2564" s="851"/>
      <c r="C2564" s="851"/>
      <c r="D2564" s="851"/>
    </row>
    <row r="2565" spans="2:4" s="819" customFormat="1">
      <c r="B2565" s="851"/>
      <c r="C2565" s="851"/>
      <c r="D2565" s="851"/>
    </row>
    <row r="2566" spans="2:4" s="819" customFormat="1">
      <c r="B2566" s="851"/>
      <c r="C2566" s="851"/>
      <c r="D2566" s="851"/>
    </row>
    <row r="2567" spans="2:4" s="819" customFormat="1">
      <c r="B2567" s="851"/>
      <c r="C2567" s="851"/>
      <c r="D2567" s="851"/>
    </row>
    <row r="2568" spans="2:4" s="819" customFormat="1">
      <c r="B2568" s="851"/>
      <c r="C2568" s="851"/>
      <c r="D2568" s="851"/>
    </row>
    <row r="2569" spans="2:4" s="819" customFormat="1">
      <c r="B2569" s="851"/>
      <c r="C2569" s="851"/>
      <c r="D2569" s="851"/>
    </row>
    <row r="2570" spans="2:4" s="819" customFormat="1">
      <c r="B2570" s="851"/>
      <c r="C2570" s="851"/>
      <c r="D2570" s="851"/>
    </row>
    <row r="2571" spans="2:4" s="819" customFormat="1">
      <c r="B2571" s="851"/>
      <c r="C2571" s="851"/>
      <c r="D2571" s="851"/>
    </row>
    <row r="2572" spans="2:4" s="819" customFormat="1">
      <c r="B2572" s="851"/>
      <c r="C2572" s="851"/>
      <c r="D2572" s="851"/>
    </row>
    <row r="2573" spans="2:4" s="819" customFormat="1">
      <c r="B2573" s="851"/>
      <c r="C2573" s="851"/>
      <c r="D2573" s="851"/>
    </row>
    <row r="2574" spans="2:4" s="819" customFormat="1">
      <c r="B2574" s="851"/>
      <c r="C2574" s="851"/>
      <c r="D2574" s="851"/>
    </row>
    <row r="2575" spans="2:4" s="819" customFormat="1">
      <c r="B2575" s="851"/>
      <c r="C2575" s="851"/>
      <c r="D2575" s="851"/>
    </row>
    <row r="2576" spans="2:4" s="819" customFormat="1">
      <c r="B2576" s="851"/>
      <c r="C2576" s="851"/>
      <c r="D2576" s="851"/>
    </row>
    <row r="2577" spans="2:4" s="819" customFormat="1">
      <c r="B2577" s="851"/>
      <c r="C2577" s="851"/>
      <c r="D2577" s="851"/>
    </row>
    <row r="2578" spans="2:4" s="819" customFormat="1">
      <c r="B2578" s="851"/>
      <c r="C2578" s="851"/>
      <c r="D2578" s="851"/>
    </row>
    <row r="2579" spans="2:4" s="819" customFormat="1">
      <c r="B2579" s="851"/>
      <c r="C2579" s="851"/>
      <c r="D2579" s="851"/>
    </row>
    <row r="2580" spans="2:4" s="819" customFormat="1">
      <c r="B2580" s="851"/>
      <c r="C2580" s="851"/>
      <c r="D2580" s="851"/>
    </row>
    <row r="2581" spans="2:4" s="819" customFormat="1">
      <c r="B2581" s="851"/>
      <c r="C2581" s="851"/>
      <c r="D2581" s="851"/>
    </row>
    <row r="2582" spans="2:4" s="819" customFormat="1">
      <c r="B2582" s="851"/>
      <c r="C2582" s="851"/>
      <c r="D2582" s="851"/>
    </row>
    <row r="2583" spans="2:4" s="819" customFormat="1">
      <c r="B2583" s="851"/>
      <c r="C2583" s="851"/>
      <c r="D2583" s="851"/>
    </row>
    <row r="2584" spans="2:4" s="819" customFormat="1">
      <c r="B2584" s="851"/>
      <c r="C2584" s="851"/>
      <c r="D2584" s="851"/>
    </row>
    <row r="2585" spans="2:4" s="819" customFormat="1">
      <c r="B2585" s="851"/>
      <c r="C2585" s="851"/>
      <c r="D2585" s="851"/>
    </row>
    <row r="2586" spans="2:4" s="819" customFormat="1">
      <c r="B2586" s="851"/>
      <c r="C2586" s="851"/>
      <c r="D2586" s="851"/>
    </row>
    <row r="2587" spans="2:4" s="819" customFormat="1">
      <c r="B2587" s="851"/>
      <c r="C2587" s="851"/>
      <c r="D2587" s="851"/>
    </row>
    <row r="2588" spans="2:4" s="819" customFormat="1">
      <c r="B2588" s="851"/>
      <c r="C2588" s="851"/>
      <c r="D2588" s="851"/>
    </row>
    <row r="2589" spans="2:4" s="819" customFormat="1">
      <c r="B2589" s="851"/>
      <c r="C2589" s="851"/>
      <c r="D2589" s="851"/>
    </row>
    <row r="2590" spans="2:4" s="819" customFormat="1">
      <c r="B2590" s="851"/>
      <c r="C2590" s="851"/>
      <c r="D2590" s="851"/>
    </row>
    <row r="2591" spans="2:4" s="819" customFormat="1">
      <c r="B2591" s="851"/>
      <c r="C2591" s="851"/>
      <c r="D2591" s="851"/>
    </row>
    <row r="2592" spans="2:4" s="819" customFormat="1">
      <c r="B2592" s="851"/>
      <c r="C2592" s="851"/>
      <c r="D2592" s="851"/>
    </row>
    <row r="2593" spans="2:4" s="819" customFormat="1">
      <c r="B2593" s="851"/>
      <c r="C2593" s="851"/>
      <c r="D2593" s="851"/>
    </row>
    <row r="2594" spans="2:4" s="819" customFormat="1">
      <c r="B2594" s="851"/>
      <c r="C2594" s="851"/>
      <c r="D2594" s="851"/>
    </row>
    <row r="2595" spans="2:4" s="819" customFormat="1">
      <c r="B2595" s="851"/>
      <c r="C2595" s="851"/>
      <c r="D2595" s="851"/>
    </row>
    <row r="2596" spans="2:4" s="819" customFormat="1">
      <c r="B2596" s="851"/>
      <c r="C2596" s="851"/>
      <c r="D2596" s="851"/>
    </row>
    <row r="2597" spans="2:4" s="819" customFormat="1">
      <c r="B2597" s="851"/>
      <c r="C2597" s="851"/>
      <c r="D2597" s="851"/>
    </row>
    <row r="2598" spans="2:4" s="819" customFormat="1">
      <c r="B2598" s="851"/>
      <c r="C2598" s="851"/>
      <c r="D2598" s="851"/>
    </row>
    <row r="2599" spans="2:4" s="819" customFormat="1">
      <c r="B2599" s="851"/>
      <c r="C2599" s="851"/>
      <c r="D2599" s="851"/>
    </row>
    <row r="2600" spans="2:4" s="819" customFormat="1">
      <c r="B2600" s="851"/>
      <c r="C2600" s="851"/>
      <c r="D2600" s="851"/>
    </row>
    <row r="2601" spans="2:4" s="819" customFormat="1">
      <c r="B2601" s="851"/>
      <c r="C2601" s="851"/>
      <c r="D2601" s="851"/>
    </row>
    <row r="2602" spans="2:4" s="819" customFormat="1">
      <c r="B2602" s="851"/>
      <c r="C2602" s="851"/>
      <c r="D2602" s="851"/>
    </row>
    <row r="2603" spans="2:4" s="819" customFormat="1">
      <c r="B2603" s="851"/>
      <c r="C2603" s="851"/>
      <c r="D2603" s="851"/>
    </row>
    <row r="2604" spans="2:4" s="819" customFormat="1">
      <c r="B2604" s="851"/>
      <c r="C2604" s="851"/>
      <c r="D2604" s="851"/>
    </row>
    <row r="2605" spans="2:4" s="819" customFormat="1">
      <c r="B2605" s="851"/>
      <c r="C2605" s="851"/>
      <c r="D2605" s="851"/>
    </row>
    <row r="2606" spans="2:4" s="819" customFormat="1">
      <c r="B2606" s="851"/>
      <c r="C2606" s="851"/>
      <c r="D2606" s="851"/>
    </row>
    <row r="2607" spans="2:4" s="819" customFormat="1">
      <c r="B2607" s="851"/>
      <c r="C2607" s="851"/>
      <c r="D2607" s="851"/>
    </row>
    <row r="2608" spans="2:4" s="819" customFormat="1">
      <c r="B2608" s="851"/>
      <c r="C2608" s="851"/>
      <c r="D2608" s="851"/>
    </row>
    <row r="2609" spans="2:4" s="819" customFormat="1">
      <c r="B2609" s="851"/>
      <c r="C2609" s="851"/>
      <c r="D2609" s="851"/>
    </row>
    <row r="2610" spans="2:4" s="819" customFormat="1">
      <c r="B2610" s="851"/>
      <c r="C2610" s="851"/>
      <c r="D2610" s="851"/>
    </row>
    <row r="2611" spans="2:4" s="819" customFormat="1">
      <c r="B2611" s="851"/>
      <c r="C2611" s="851"/>
      <c r="D2611" s="851"/>
    </row>
    <row r="2612" spans="2:4" s="819" customFormat="1">
      <c r="B2612" s="851"/>
      <c r="C2612" s="851"/>
      <c r="D2612" s="851"/>
    </row>
    <row r="2613" spans="2:4" s="819" customFormat="1">
      <c r="B2613" s="851"/>
      <c r="C2613" s="851"/>
      <c r="D2613" s="851"/>
    </row>
    <row r="2614" spans="2:4" s="819" customFormat="1">
      <c r="B2614" s="851"/>
      <c r="C2614" s="851"/>
      <c r="D2614" s="851"/>
    </row>
    <row r="2615" spans="2:4" s="819" customFormat="1">
      <c r="B2615" s="851"/>
      <c r="C2615" s="851"/>
      <c r="D2615" s="851"/>
    </row>
    <row r="2616" spans="2:4" s="819" customFormat="1">
      <c r="B2616" s="851"/>
      <c r="C2616" s="851"/>
      <c r="D2616" s="851"/>
    </row>
    <row r="2617" spans="2:4" s="819" customFormat="1">
      <c r="B2617" s="851"/>
      <c r="C2617" s="851"/>
      <c r="D2617" s="851"/>
    </row>
    <row r="2618" spans="2:4" s="819" customFormat="1">
      <c r="B2618" s="851"/>
      <c r="C2618" s="851"/>
      <c r="D2618" s="851"/>
    </row>
    <row r="2619" spans="2:4" s="819" customFormat="1">
      <c r="B2619" s="851"/>
      <c r="C2619" s="851"/>
      <c r="D2619" s="851"/>
    </row>
    <row r="2620" spans="2:4" s="819" customFormat="1">
      <c r="B2620" s="851"/>
      <c r="C2620" s="851"/>
      <c r="D2620" s="851"/>
    </row>
    <row r="2621" spans="2:4" s="819" customFormat="1">
      <c r="B2621" s="851"/>
      <c r="C2621" s="851"/>
      <c r="D2621" s="851"/>
    </row>
    <row r="2622" spans="2:4" s="819" customFormat="1">
      <c r="B2622" s="851"/>
      <c r="C2622" s="851"/>
      <c r="D2622" s="851"/>
    </row>
    <row r="2623" spans="2:4" s="819" customFormat="1">
      <c r="B2623" s="851"/>
      <c r="C2623" s="851"/>
      <c r="D2623" s="851"/>
    </row>
    <row r="2624" spans="2:4" s="819" customFormat="1">
      <c r="B2624" s="851"/>
      <c r="C2624" s="851"/>
      <c r="D2624" s="851"/>
    </row>
    <row r="2625" spans="2:4" s="819" customFormat="1">
      <c r="B2625" s="851"/>
      <c r="C2625" s="851"/>
      <c r="D2625" s="851"/>
    </row>
    <row r="2626" spans="2:4" s="819" customFormat="1">
      <c r="B2626" s="851"/>
      <c r="C2626" s="851"/>
      <c r="D2626" s="851"/>
    </row>
    <row r="2627" spans="2:4" s="819" customFormat="1">
      <c r="B2627" s="851"/>
      <c r="C2627" s="851"/>
      <c r="D2627" s="851"/>
    </row>
    <row r="2628" spans="2:4" s="819" customFormat="1">
      <c r="B2628" s="851"/>
      <c r="C2628" s="851"/>
      <c r="D2628" s="851"/>
    </row>
    <row r="2629" spans="2:4" s="819" customFormat="1">
      <c r="B2629" s="851"/>
      <c r="C2629" s="851"/>
      <c r="D2629" s="851"/>
    </row>
    <row r="2630" spans="2:4" s="819" customFormat="1">
      <c r="B2630" s="851"/>
      <c r="C2630" s="851"/>
      <c r="D2630" s="851"/>
    </row>
    <row r="2631" spans="2:4" s="819" customFormat="1">
      <c r="B2631" s="851"/>
      <c r="C2631" s="851"/>
      <c r="D2631" s="851"/>
    </row>
    <row r="2632" spans="2:4" s="819" customFormat="1">
      <c r="B2632" s="851"/>
      <c r="C2632" s="851"/>
      <c r="D2632" s="851"/>
    </row>
    <row r="2633" spans="2:4" s="819" customFormat="1">
      <c r="B2633" s="851"/>
      <c r="C2633" s="851"/>
      <c r="D2633" s="851"/>
    </row>
    <row r="2634" spans="2:4" s="819" customFormat="1">
      <c r="B2634" s="851"/>
      <c r="C2634" s="851"/>
      <c r="D2634" s="851"/>
    </row>
    <row r="2635" spans="2:4" s="819" customFormat="1">
      <c r="B2635" s="851"/>
      <c r="C2635" s="851"/>
      <c r="D2635" s="851"/>
    </row>
    <row r="2636" spans="2:4" s="819" customFormat="1">
      <c r="B2636" s="851"/>
      <c r="C2636" s="851"/>
      <c r="D2636" s="851"/>
    </row>
    <row r="2637" spans="2:4" s="819" customFormat="1">
      <c r="B2637" s="851"/>
      <c r="C2637" s="851"/>
      <c r="D2637" s="851"/>
    </row>
    <row r="2638" spans="2:4" s="819" customFormat="1">
      <c r="B2638" s="851"/>
      <c r="C2638" s="851"/>
      <c r="D2638" s="851"/>
    </row>
    <row r="2639" spans="2:4" s="819" customFormat="1">
      <c r="B2639" s="851"/>
      <c r="C2639" s="851"/>
      <c r="D2639" s="851"/>
    </row>
    <row r="2640" spans="2:4" s="819" customFormat="1">
      <c r="B2640" s="851"/>
      <c r="C2640" s="851"/>
      <c r="D2640" s="851"/>
    </row>
    <row r="2641" spans="2:4" s="819" customFormat="1">
      <c r="B2641" s="851"/>
      <c r="C2641" s="851"/>
      <c r="D2641" s="851"/>
    </row>
    <row r="2642" spans="2:4" s="819" customFormat="1">
      <c r="B2642" s="851"/>
      <c r="C2642" s="851"/>
      <c r="D2642" s="851"/>
    </row>
    <row r="2643" spans="2:4" s="819" customFormat="1">
      <c r="B2643" s="851"/>
      <c r="C2643" s="851"/>
      <c r="D2643" s="851"/>
    </row>
    <row r="2644" spans="2:4" s="819" customFormat="1">
      <c r="B2644" s="851"/>
      <c r="C2644" s="851"/>
      <c r="D2644" s="851"/>
    </row>
    <row r="2645" spans="2:4" s="819" customFormat="1">
      <c r="B2645" s="851"/>
      <c r="C2645" s="851"/>
      <c r="D2645" s="851"/>
    </row>
    <row r="2646" spans="2:4" s="819" customFormat="1">
      <c r="B2646" s="851"/>
      <c r="C2646" s="851"/>
      <c r="D2646" s="851"/>
    </row>
    <row r="2647" spans="2:4" s="819" customFormat="1">
      <c r="B2647" s="851"/>
      <c r="C2647" s="851"/>
      <c r="D2647" s="851"/>
    </row>
    <row r="2648" spans="2:4" s="819" customFormat="1">
      <c r="B2648" s="851"/>
      <c r="C2648" s="851"/>
      <c r="D2648" s="851"/>
    </row>
    <row r="2649" spans="2:4" s="819" customFormat="1">
      <c r="B2649" s="851"/>
      <c r="C2649" s="851"/>
      <c r="D2649" s="851"/>
    </row>
    <row r="2650" spans="2:4" s="819" customFormat="1">
      <c r="B2650" s="851"/>
      <c r="C2650" s="851"/>
      <c r="D2650" s="851"/>
    </row>
    <row r="2651" spans="2:4" s="819" customFormat="1">
      <c r="B2651" s="851"/>
      <c r="C2651" s="851"/>
      <c r="D2651" s="851"/>
    </row>
    <row r="2652" spans="2:4" s="819" customFormat="1">
      <c r="B2652" s="851"/>
      <c r="C2652" s="851"/>
      <c r="D2652" s="851"/>
    </row>
    <row r="2653" spans="2:4" s="819" customFormat="1">
      <c r="B2653" s="851"/>
      <c r="C2653" s="851"/>
      <c r="D2653" s="851"/>
    </row>
    <row r="2654" spans="2:4" s="819" customFormat="1">
      <c r="B2654" s="851"/>
      <c r="C2654" s="851"/>
      <c r="D2654" s="851"/>
    </row>
    <row r="2655" spans="2:4" s="819" customFormat="1">
      <c r="B2655" s="851"/>
      <c r="C2655" s="851"/>
      <c r="D2655" s="851"/>
    </row>
    <row r="2656" spans="2:4" s="819" customFormat="1">
      <c r="B2656" s="851"/>
      <c r="C2656" s="851"/>
      <c r="D2656" s="851"/>
    </row>
    <row r="2657" spans="2:4" s="819" customFormat="1">
      <c r="B2657" s="851"/>
      <c r="C2657" s="851"/>
      <c r="D2657" s="851"/>
    </row>
    <row r="2658" spans="2:4" s="819" customFormat="1">
      <c r="B2658" s="851"/>
      <c r="C2658" s="851"/>
      <c r="D2658" s="851"/>
    </row>
    <row r="2659" spans="2:4" s="819" customFormat="1">
      <c r="B2659" s="851"/>
      <c r="C2659" s="851"/>
      <c r="D2659" s="851"/>
    </row>
    <row r="2660" spans="2:4" s="819" customFormat="1">
      <c r="B2660" s="851"/>
      <c r="C2660" s="851"/>
      <c r="D2660" s="851"/>
    </row>
    <row r="2661" spans="2:4" s="819" customFormat="1">
      <c r="B2661" s="851"/>
      <c r="C2661" s="851"/>
      <c r="D2661" s="851"/>
    </row>
    <row r="2662" spans="2:4" s="819" customFormat="1">
      <c r="B2662" s="851"/>
      <c r="C2662" s="851"/>
      <c r="D2662" s="851"/>
    </row>
    <row r="2663" spans="2:4" s="819" customFormat="1">
      <c r="B2663" s="851"/>
      <c r="C2663" s="851"/>
      <c r="D2663" s="851"/>
    </row>
    <row r="2664" spans="2:4" s="819" customFormat="1">
      <c r="B2664" s="851"/>
      <c r="C2664" s="851"/>
      <c r="D2664" s="851"/>
    </row>
    <row r="2665" spans="2:4" s="819" customFormat="1">
      <c r="B2665" s="851"/>
      <c r="C2665" s="851"/>
      <c r="D2665" s="851"/>
    </row>
    <row r="2666" spans="2:4" s="819" customFormat="1">
      <c r="B2666" s="851"/>
      <c r="C2666" s="851"/>
      <c r="D2666" s="851"/>
    </row>
    <row r="2667" spans="2:4" s="819" customFormat="1">
      <c r="B2667" s="851"/>
      <c r="C2667" s="851"/>
      <c r="D2667" s="851"/>
    </row>
    <row r="2668" spans="2:4" s="819" customFormat="1">
      <c r="B2668" s="851"/>
      <c r="C2668" s="851"/>
      <c r="D2668" s="851"/>
    </row>
    <row r="2669" spans="2:4" s="819" customFormat="1">
      <c r="B2669" s="851"/>
      <c r="C2669" s="851"/>
      <c r="D2669" s="851"/>
    </row>
    <row r="2670" spans="2:4" s="819" customFormat="1">
      <c r="B2670" s="851"/>
      <c r="C2670" s="851"/>
      <c r="D2670" s="851"/>
    </row>
    <row r="2671" spans="2:4" s="819" customFormat="1">
      <c r="B2671" s="851"/>
      <c r="C2671" s="851"/>
      <c r="D2671" s="851"/>
    </row>
    <row r="2672" spans="2:4" s="819" customFormat="1">
      <c r="B2672" s="851"/>
      <c r="C2672" s="851"/>
      <c r="D2672" s="851"/>
    </row>
    <row r="2673" spans="2:4" s="819" customFormat="1">
      <c r="B2673" s="851"/>
      <c r="C2673" s="851"/>
      <c r="D2673" s="851"/>
    </row>
    <row r="2674" spans="2:4" s="819" customFormat="1">
      <c r="B2674" s="851"/>
      <c r="C2674" s="851"/>
      <c r="D2674" s="851"/>
    </row>
    <row r="2675" spans="2:4" s="819" customFormat="1">
      <c r="B2675" s="851"/>
      <c r="C2675" s="851"/>
      <c r="D2675" s="851"/>
    </row>
    <row r="2676" spans="2:4" s="819" customFormat="1">
      <c r="B2676" s="851"/>
      <c r="C2676" s="851"/>
      <c r="D2676" s="851"/>
    </row>
    <row r="2677" spans="2:4" s="819" customFormat="1">
      <c r="B2677" s="851"/>
      <c r="C2677" s="851"/>
      <c r="D2677" s="851"/>
    </row>
    <row r="2678" spans="2:4" s="819" customFormat="1">
      <c r="B2678" s="851"/>
      <c r="C2678" s="851"/>
      <c r="D2678" s="851"/>
    </row>
    <row r="2679" spans="2:4" s="819" customFormat="1">
      <c r="B2679" s="851"/>
      <c r="C2679" s="851"/>
      <c r="D2679" s="851"/>
    </row>
    <row r="2680" spans="2:4" s="819" customFormat="1">
      <c r="B2680" s="851"/>
      <c r="C2680" s="851"/>
      <c r="D2680" s="851"/>
    </row>
    <row r="2681" spans="2:4" s="819" customFormat="1">
      <c r="B2681" s="851"/>
      <c r="C2681" s="851"/>
      <c r="D2681" s="851"/>
    </row>
    <row r="2682" spans="2:4" s="819" customFormat="1">
      <c r="B2682" s="851"/>
      <c r="C2682" s="851"/>
      <c r="D2682" s="851"/>
    </row>
    <row r="2683" spans="2:4" s="819" customFormat="1">
      <c r="B2683" s="851"/>
      <c r="C2683" s="851"/>
      <c r="D2683" s="851"/>
    </row>
    <row r="2684" spans="2:4" s="819" customFormat="1">
      <c r="B2684" s="851"/>
      <c r="C2684" s="851"/>
      <c r="D2684" s="851"/>
    </row>
    <row r="2685" spans="2:4" s="819" customFormat="1">
      <c r="B2685" s="851"/>
      <c r="C2685" s="851"/>
      <c r="D2685" s="851"/>
    </row>
    <row r="2686" spans="2:4" s="819" customFormat="1">
      <c r="B2686" s="851"/>
      <c r="C2686" s="851"/>
      <c r="D2686" s="851"/>
    </row>
    <row r="2687" spans="2:4" s="819" customFormat="1">
      <c r="B2687" s="851"/>
      <c r="C2687" s="851"/>
      <c r="D2687" s="851"/>
    </row>
    <row r="2688" spans="2:4" s="819" customFormat="1">
      <c r="B2688" s="851"/>
      <c r="C2688" s="851"/>
      <c r="D2688" s="851"/>
    </row>
    <row r="2689" spans="2:4" s="819" customFormat="1">
      <c r="B2689" s="851"/>
      <c r="C2689" s="851"/>
      <c r="D2689" s="851"/>
    </row>
    <row r="2690" spans="2:4" s="819" customFormat="1">
      <c r="B2690" s="851"/>
      <c r="C2690" s="851"/>
      <c r="D2690" s="851"/>
    </row>
    <row r="2691" spans="2:4" s="819" customFormat="1">
      <c r="B2691" s="851"/>
      <c r="C2691" s="851"/>
      <c r="D2691" s="851"/>
    </row>
    <row r="2692" spans="2:4" s="819" customFormat="1">
      <c r="B2692" s="851"/>
      <c r="C2692" s="851"/>
      <c r="D2692" s="851"/>
    </row>
    <row r="2693" spans="2:4" s="819" customFormat="1">
      <c r="B2693" s="851"/>
      <c r="C2693" s="851"/>
      <c r="D2693" s="851"/>
    </row>
    <row r="2694" spans="2:4" s="819" customFormat="1">
      <c r="B2694" s="851"/>
      <c r="C2694" s="851"/>
      <c r="D2694" s="851"/>
    </row>
    <row r="2695" spans="2:4" s="819" customFormat="1">
      <c r="B2695" s="851"/>
      <c r="C2695" s="851"/>
      <c r="D2695" s="851"/>
    </row>
    <row r="2696" spans="2:4" s="819" customFormat="1">
      <c r="B2696" s="851"/>
      <c r="C2696" s="851"/>
      <c r="D2696" s="851"/>
    </row>
    <row r="2697" spans="2:4" s="819" customFormat="1">
      <c r="B2697" s="851"/>
      <c r="C2697" s="851"/>
      <c r="D2697" s="851"/>
    </row>
    <row r="2698" spans="2:4" s="819" customFormat="1">
      <c r="B2698" s="851"/>
      <c r="C2698" s="851"/>
      <c r="D2698" s="851"/>
    </row>
    <row r="2699" spans="2:4" s="819" customFormat="1">
      <c r="B2699" s="851"/>
      <c r="C2699" s="851"/>
      <c r="D2699" s="851"/>
    </row>
    <row r="2700" spans="2:4" s="819" customFormat="1">
      <c r="B2700" s="851"/>
      <c r="C2700" s="851"/>
      <c r="D2700" s="851"/>
    </row>
    <row r="2701" spans="2:4" s="819" customFormat="1">
      <c r="B2701" s="851"/>
      <c r="C2701" s="851"/>
      <c r="D2701" s="851"/>
    </row>
    <row r="2702" spans="2:4" s="819" customFormat="1">
      <c r="B2702" s="851"/>
      <c r="C2702" s="851"/>
      <c r="D2702" s="851"/>
    </row>
    <row r="2703" spans="2:4" s="819" customFormat="1">
      <c r="B2703" s="851"/>
      <c r="C2703" s="851"/>
      <c r="D2703" s="851"/>
    </row>
    <row r="2704" spans="2:4" s="819" customFormat="1">
      <c r="B2704" s="851"/>
      <c r="C2704" s="851"/>
      <c r="D2704" s="851"/>
    </row>
    <row r="2705" spans="2:4" s="819" customFormat="1">
      <c r="B2705" s="851"/>
      <c r="C2705" s="851"/>
      <c r="D2705" s="851"/>
    </row>
    <row r="2706" spans="2:4" s="819" customFormat="1">
      <c r="B2706" s="851"/>
      <c r="C2706" s="851"/>
      <c r="D2706" s="851"/>
    </row>
    <row r="2707" spans="2:4" s="819" customFormat="1">
      <c r="B2707" s="851"/>
      <c r="C2707" s="851"/>
      <c r="D2707" s="851"/>
    </row>
    <row r="2708" spans="2:4" s="819" customFormat="1">
      <c r="B2708" s="851"/>
      <c r="C2708" s="851"/>
      <c r="D2708" s="851"/>
    </row>
    <row r="2709" spans="2:4" s="819" customFormat="1">
      <c r="B2709" s="851"/>
      <c r="C2709" s="851"/>
      <c r="D2709" s="851"/>
    </row>
    <row r="2710" spans="2:4" s="819" customFormat="1">
      <c r="B2710" s="851"/>
      <c r="C2710" s="851"/>
      <c r="D2710" s="851"/>
    </row>
    <row r="2711" spans="2:4" s="819" customFormat="1">
      <c r="B2711" s="851"/>
      <c r="C2711" s="851"/>
      <c r="D2711" s="851"/>
    </row>
    <row r="2712" spans="2:4" s="819" customFormat="1">
      <c r="B2712" s="851"/>
      <c r="C2712" s="851"/>
      <c r="D2712" s="851"/>
    </row>
    <row r="2713" spans="2:4" s="819" customFormat="1">
      <c r="B2713" s="851"/>
      <c r="C2713" s="851"/>
      <c r="D2713" s="851"/>
    </row>
    <row r="2714" spans="2:4" s="819" customFormat="1">
      <c r="B2714" s="851"/>
      <c r="C2714" s="851"/>
      <c r="D2714" s="851"/>
    </row>
    <row r="2715" spans="2:4" s="819" customFormat="1">
      <c r="B2715" s="851"/>
      <c r="C2715" s="851"/>
      <c r="D2715" s="851"/>
    </row>
    <row r="2716" spans="2:4" s="819" customFormat="1">
      <c r="B2716" s="851"/>
      <c r="C2716" s="851"/>
      <c r="D2716" s="851"/>
    </row>
    <row r="2717" spans="2:4" s="819" customFormat="1">
      <c r="B2717" s="851"/>
      <c r="C2717" s="851"/>
      <c r="D2717" s="851"/>
    </row>
    <row r="2718" spans="2:4" s="819" customFormat="1">
      <c r="B2718" s="851"/>
      <c r="C2718" s="851"/>
      <c r="D2718" s="851"/>
    </row>
    <row r="2719" spans="2:4" s="819" customFormat="1">
      <c r="B2719" s="851"/>
      <c r="C2719" s="851"/>
      <c r="D2719" s="851"/>
    </row>
    <row r="2720" spans="2:4" s="819" customFormat="1">
      <c r="B2720" s="851"/>
      <c r="C2720" s="851"/>
      <c r="D2720" s="851"/>
    </row>
    <row r="2721" spans="2:4" s="819" customFormat="1">
      <c r="B2721" s="851"/>
      <c r="C2721" s="851"/>
      <c r="D2721" s="851"/>
    </row>
    <row r="2722" spans="2:4" s="819" customFormat="1">
      <c r="B2722" s="851"/>
      <c r="C2722" s="851"/>
      <c r="D2722" s="851"/>
    </row>
    <row r="2723" spans="2:4" s="819" customFormat="1">
      <c r="B2723" s="851"/>
      <c r="C2723" s="851"/>
      <c r="D2723" s="851"/>
    </row>
    <row r="2724" spans="2:4" s="819" customFormat="1">
      <c r="B2724" s="851"/>
      <c r="C2724" s="851"/>
      <c r="D2724" s="851"/>
    </row>
    <row r="2725" spans="2:4" s="819" customFormat="1">
      <c r="B2725" s="851"/>
      <c r="C2725" s="851"/>
      <c r="D2725" s="851"/>
    </row>
    <row r="2726" spans="2:4" s="819" customFormat="1">
      <c r="B2726" s="851"/>
      <c r="C2726" s="851"/>
      <c r="D2726" s="851"/>
    </row>
    <row r="2727" spans="2:4" s="819" customFormat="1">
      <c r="B2727" s="851"/>
      <c r="C2727" s="851"/>
      <c r="D2727" s="851"/>
    </row>
    <row r="2728" spans="2:4" s="819" customFormat="1">
      <c r="B2728" s="851"/>
      <c r="C2728" s="851"/>
      <c r="D2728" s="851"/>
    </row>
    <row r="2729" spans="2:4" s="819" customFormat="1">
      <c r="B2729" s="851"/>
      <c r="C2729" s="851"/>
      <c r="D2729" s="851"/>
    </row>
    <row r="2730" spans="2:4" s="819" customFormat="1">
      <c r="B2730" s="851"/>
      <c r="C2730" s="851"/>
      <c r="D2730" s="851"/>
    </row>
    <row r="2731" spans="2:4" s="819" customFormat="1">
      <c r="B2731" s="851"/>
      <c r="C2731" s="851"/>
      <c r="D2731" s="851"/>
    </row>
    <row r="2732" spans="2:4" s="819" customFormat="1">
      <c r="B2732" s="851"/>
      <c r="C2732" s="851"/>
      <c r="D2732" s="851"/>
    </row>
    <row r="2733" spans="2:4" s="819" customFormat="1">
      <c r="B2733" s="851"/>
      <c r="C2733" s="851"/>
      <c r="D2733" s="851"/>
    </row>
    <row r="2734" spans="2:4" s="819" customFormat="1">
      <c r="B2734" s="851"/>
      <c r="C2734" s="851"/>
      <c r="D2734" s="851"/>
    </row>
    <row r="2735" spans="2:4" s="819" customFormat="1">
      <c r="B2735" s="851"/>
      <c r="C2735" s="851"/>
      <c r="D2735" s="851"/>
    </row>
    <row r="2736" spans="2:4" s="819" customFormat="1">
      <c r="B2736" s="851"/>
      <c r="C2736" s="851"/>
      <c r="D2736" s="851"/>
    </row>
    <row r="2737" spans="2:4" s="819" customFormat="1">
      <c r="B2737" s="851"/>
      <c r="C2737" s="851"/>
      <c r="D2737" s="851"/>
    </row>
    <row r="2738" spans="2:4" s="819" customFormat="1">
      <c r="B2738" s="851"/>
      <c r="C2738" s="851"/>
      <c r="D2738" s="851"/>
    </row>
    <row r="2739" spans="2:4" s="819" customFormat="1">
      <c r="B2739" s="851"/>
      <c r="C2739" s="851"/>
      <c r="D2739" s="851"/>
    </row>
    <row r="2740" spans="2:4" s="819" customFormat="1">
      <c r="B2740" s="851"/>
      <c r="C2740" s="851"/>
      <c r="D2740" s="851"/>
    </row>
    <row r="2741" spans="2:4" s="819" customFormat="1">
      <c r="B2741" s="851"/>
      <c r="C2741" s="851"/>
      <c r="D2741" s="851"/>
    </row>
    <row r="2742" spans="2:4" s="819" customFormat="1">
      <c r="B2742" s="851"/>
      <c r="C2742" s="851"/>
      <c r="D2742" s="851"/>
    </row>
    <row r="2743" spans="2:4" s="819" customFormat="1">
      <c r="B2743" s="851"/>
      <c r="C2743" s="851"/>
      <c r="D2743" s="851"/>
    </row>
    <row r="2744" spans="2:4" s="819" customFormat="1">
      <c r="B2744" s="851"/>
      <c r="C2744" s="851"/>
      <c r="D2744" s="851"/>
    </row>
    <row r="2745" spans="2:4" s="819" customFormat="1">
      <c r="B2745" s="851"/>
      <c r="C2745" s="851"/>
      <c r="D2745" s="851"/>
    </row>
    <row r="2746" spans="2:4" s="819" customFormat="1">
      <c r="B2746" s="851"/>
      <c r="C2746" s="851"/>
      <c r="D2746" s="851"/>
    </row>
    <row r="2747" spans="2:4" s="819" customFormat="1">
      <c r="B2747" s="851"/>
      <c r="C2747" s="851"/>
      <c r="D2747" s="851"/>
    </row>
    <row r="2748" spans="2:4" s="819" customFormat="1">
      <c r="B2748" s="851"/>
      <c r="C2748" s="851"/>
      <c r="D2748" s="851"/>
    </row>
    <row r="2749" spans="2:4" s="819" customFormat="1">
      <c r="B2749" s="851"/>
      <c r="C2749" s="851"/>
      <c r="D2749" s="851"/>
    </row>
    <row r="2750" spans="2:4" s="819" customFormat="1">
      <c r="B2750" s="851"/>
      <c r="C2750" s="851"/>
      <c r="D2750" s="851"/>
    </row>
    <row r="2751" spans="2:4" s="819" customFormat="1">
      <c r="B2751" s="851"/>
      <c r="C2751" s="851"/>
      <c r="D2751" s="851"/>
    </row>
    <row r="2752" spans="2:4" s="819" customFormat="1">
      <c r="B2752" s="851"/>
      <c r="C2752" s="851"/>
      <c r="D2752" s="851"/>
    </row>
    <row r="2753" spans="2:4" s="819" customFormat="1">
      <c r="B2753" s="851"/>
      <c r="C2753" s="851"/>
      <c r="D2753" s="851"/>
    </row>
    <row r="2754" spans="2:4" s="819" customFormat="1">
      <c r="B2754" s="851"/>
      <c r="C2754" s="851"/>
      <c r="D2754" s="851"/>
    </row>
    <row r="2755" spans="2:4" s="819" customFormat="1">
      <c r="B2755" s="851"/>
      <c r="C2755" s="851"/>
      <c r="D2755" s="851"/>
    </row>
    <row r="2756" spans="2:4" s="819" customFormat="1">
      <c r="B2756" s="851"/>
      <c r="C2756" s="851"/>
      <c r="D2756" s="851"/>
    </row>
    <row r="2757" spans="2:4" s="819" customFormat="1">
      <c r="B2757" s="851"/>
      <c r="C2757" s="851"/>
      <c r="D2757" s="851"/>
    </row>
    <row r="2758" spans="2:4" s="819" customFormat="1">
      <c r="B2758" s="851"/>
      <c r="C2758" s="851"/>
      <c r="D2758" s="851"/>
    </row>
    <row r="2759" spans="2:4" s="819" customFormat="1">
      <c r="B2759" s="851"/>
      <c r="C2759" s="851"/>
      <c r="D2759" s="851"/>
    </row>
    <row r="2760" spans="2:4" s="819" customFormat="1">
      <c r="B2760" s="851"/>
      <c r="C2760" s="851"/>
      <c r="D2760" s="851"/>
    </row>
    <row r="2761" spans="2:4" s="819" customFormat="1">
      <c r="B2761" s="851"/>
      <c r="C2761" s="851"/>
      <c r="D2761" s="851"/>
    </row>
    <row r="2762" spans="2:4" s="819" customFormat="1">
      <c r="B2762" s="851"/>
      <c r="C2762" s="851"/>
      <c r="D2762" s="851"/>
    </row>
    <row r="2763" spans="2:4" s="819" customFormat="1">
      <c r="B2763" s="851"/>
      <c r="C2763" s="851"/>
      <c r="D2763" s="851"/>
    </row>
    <row r="2764" spans="2:4" s="819" customFormat="1">
      <c r="B2764" s="851"/>
      <c r="C2764" s="851"/>
      <c r="D2764" s="851"/>
    </row>
    <row r="2765" spans="2:4" s="819" customFormat="1">
      <c r="B2765" s="851"/>
      <c r="C2765" s="851"/>
      <c r="D2765" s="851"/>
    </row>
    <row r="2766" spans="2:4" s="819" customFormat="1">
      <c r="B2766" s="851"/>
      <c r="C2766" s="851"/>
      <c r="D2766" s="851"/>
    </row>
    <row r="2767" spans="2:4" s="819" customFormat="1">
      <c r="B2767" s="851"/>
      <c r="C2767" s="851"/>
      <c r="D2767" s="851"/>
    </row>
    <row r="2768" spans="2:4" s="819" customFormat="1">
      <c r="B2768" s="851"/>
      <c r="C2768" s="851"/>
      <c r="D2768" s="851"/>
    </row>
    <row r="2769" spans="2:4" s="819" customFormat="1">
      <c r="B2769" s="851"/>
      <c r="C2769" s="851"/>
      <c r="D2769" s="851"/>
    </row>
    <row r="2770" spans="2:4" s="819" customFormat="1">
      <c r="B2770" s="851"/>
      <c r="C2770" s="851"/>
      <c r="D2770" s="851"/>
    </row>
    <row r="2771" spans="2:4" s="819" customFormat="1">
      <c r="B2771" s="851"/>
      <c r="C2771" s="851"/>
      <c r="D2771" s="851"/>
    </row>
    <row r="2772" spans="2:4" s="819" customFormat="1">
      <c r="B2772" s="851"/>
      <c r="C2772" s="851"/>
      <c r="D2772" s="851"/>
    </row>
    <row r="2773" spans="2:4" s="819" customFormat="1">
      <c r="B2773" s="851"/>
      <c r="C2773" s="851"/>
      <c r="D2773" s="851"/>
    </row>
    <row r="2774" spans="2:4" s="819" customFormat="1">
      <c r="B2774" s="851"/>
      <c r="C2774" s="851"/>
      <c r="D2774" s="851"/>
    </row>
    <row r="2775" spans="2:4" s="819" customFormat="1">
      <c r="B2775" s="851"/>
      <c r="C2775" s="851"/>
      <c r="D2775" s="851"/>
    </row>
    <row r="2776" spans="2:4" s="819" customFormat="1">
      <c r="B2776" s="851"/>
      <c r="C2776" s="851"/>
      <c r="D2776" s="851"/>
    </row>
    <row r="2777" spans="2:4" s="819" customFormat="1">
      <c r="B2777" s="851"/>
      <c r="C2777" s="851"/>
      <c r="D2777" s="851"/>
    </row>
    <row r="2778" spans="2:4" s="819" customFormat="1">
      <c r="B2778" s="851"/>
      <c r="C2778" s="851"/>
      <c r="D2778" s="851"/>
    </row>
    <row r="2779" spans="2:4" s="819" customFormat="1">
      <c r="B2779" s="851"/>
      <c r="C2779" s="851"/>
      <c r="D2779" s="851"/>
    </row>
    <row r="2780" spans="2:4" s="819" customFormat="1">
      <c r="B2780" s="851"/>
      <c r="C2780" s="851"/>
      <c r="D2780" s="851"/>
    </row>
    <row r="2781" spans="2:4" s="819" customFormat="1">
      <c r="B2781" s="851"/>
      <c r="C2781" s="851"/>
      <c r="D2781" s="851"/>
    </row>
    <row r="2782" spans="2:4" s="819" customFormat="1">
      <c r="B2782" s="851"/>
      <c r="C2782" s="851"/>
      <c r="D2782" s="851"/>
    </row>
    <row r="2783" spans="2:4" s="819" customFormat="1">
      <c r="B2783" s="851"/>
      <c r="C2783" s="851"/>
      <c r="D2783" s="851"/>
    </row>
    <row r="2784" spans="2:4" s="819" customFormat="1">
      <c r="B2784" s="851"/>
      <c r="C2784" s="851"/>
      <c r="D2784" s="851"/>
    </row>
    <row r="2785" spans="2:4" s="819" customFormat="1">
      <c r="B2785" s="851"/>
      <c r="C2785" s="851"/>
      <c r="D2785" s="851"/>
    </row>
    <row r="2786" spans="2:4" s="819" customFormat="1">
      <c r="B2786" s="851"/>
      <c r="C2786" s="851"/>
      <c r="D2786" s="851"/>
    </row>
    <row r="2787" spans="2:4" s="819" customFormat="1">
      <c r="B2787" s="851"/>
      <c r="C2787" s="851"/>
      <c r="D2787" s="851"/>
    </row>
    <row r="2788" spans="2:4" s="819" customFormat="1">
      <c r="B2788" s="851"/>
      <c r="C2788" s="851"/>
      <c r="D2788" s="851"/>
    </row>
    <row r="2789" spans="2:4" s="819" customFormat="1">
      <c r="B2789" s="851"/>
      <c r="C2789" s="851"/>
      <c r="D2789" s="851"/>
    </row>
    <row r="2790" spans="2:4" s="819" customFormat="1">
      <c r="B2790" s="851"/>
      <c r="C2790" s="851"/>
      <c r="D2790" s="851"/>
    </row>
    <row r="2791" spans="2:4" s="819" customFormat="1">
      <c r="B2791" s="851"/>
      <c r="C2791" s="851"/>
      <c r="D2791" s="851"/>
    </row>
    <row r="2792" spans="2:4" s="819" customFormat="1">
      <c r="B2792" s="851"/>
      <c r="C2792" s="851"/>
      <c r="D2792" s="851"/>
    </row>
    <row r="2793" spans="2:4" s="819" customFormat="1">
      <c r="B2793" s="851"/>
      <c r="C2793" s="851"/>
      <c r="D2793" s="851"/>
    </row>
    <row r="2794" spans="2:4" s="819" customFormat="1">
      <c r="B2794" s="851"/>
      <c r="C2794" s="851"/>
      <c r="D2794" s="851"/>
    </row>
    <row r="2795" spans="2:4" s="819" customFormat="1">
      <c r="B2795" s="851"/>
      <c r="C2795" s="851"/>
      <c r="D2795" s="851"/>
    </row>
    <row r="2796" spans="2:4" s="819" customFormat="1">
      <c r="B2796" s="851"/>
      <c r="C2796" s="851"/>
      <c r="D2796" s="851"/>
    </row>
    <row r="2797" spans="2:4" s="819" customFormat="1">
      <c r="B2797" s="851"/>
      <c r="C2797" s="851"/>
      <c r="D2797" s="851"/>
    </row>
    <row r="2798" spans="2:4" s="819" customFormat="1">
      <c r="B2798" s="851"/>
      <c r="C2798" s="851"/>
      <c r="D2798" s="851"/>
    </row>
    <row r="2799" spans="2:4" s="819" customFormat="1">
      <c r="B2799" s="851"/>
      <c r="C2799" s="851"/>
      <c r="D2799" s="851"/>
    </row>
    <row r="2800" spans="2:4" s="819" customFormat="1">
      <c r="B2800" s="851"/>
      <c r="C2800" s="851"/>
      <c r="D2800" s="851"/>
    </row>
    <row r="2801" spans="2:4" s="819" customFormat="1">
      <c r="B2801" s="851"/>
      <c r="C2801" s="851"/>
      <c r="D2801" s="851"/>
    </row>
    <row r="2802" spans="2:4" s="819" customFormat="1">
      <c r="B2802" s="851"/>
      <c r="C2802" s="851"/>
      <c r="D2802" s="851"/>
    </row>
    <row r="2803" spans="2:4" s="819" customFormat="1">
      <c r="B2803" s="851"/>
      <c r="C2803" s="851"/>
      <c r="D2803" s="851"/>
    </row>
    <row r="2804" spans="2:4" s="819" customFormat="1">
      <c r="B2804" s="851"/>
      <c r="C2804" s="851"/>
      <c r="D2804" s="851"/>
    </row>
    <row r="2805" spans="2:4" s="819" customFormat="1">
      <c r="B2805" s="851"/>
      <c r="C2805" s="851"/>
      <c r="D2805" s="851"/>
    </row>
    <row r="2806" spans="2:4" s="819" customFormat="1">
      <c r="B2806" s="851"/>
      <c r="C2806" s="851"/>
      <c r="D2806" s="851"/>
    </row>
    <row r="2807" spans="2:4" s="819" customFormat="1">
      <c r="B2807" s="851"/>
      <c r="C2807" s="851"/>
      <c r="D2807" s="851"/>
    </row>
    <row r="2808" spans="2:4" s="819" customFormat="1">
      <c r="B2808" s="851"/>
      <c r="C2808" s="851"/>
      <c r="D2808" s="851"/>
    </row>
    <row r="2809" spans="2:4" s="819" customFormat="1">
      <c r="B2809" s="851"/>
      <c r="C2809" s="851"/>
      <c r="D2809" s="851"/>
    </row>
    <row r="2810" spans="2:4" s="819" customFormat="1">
      <c r="B2810" s="851"/>
      <c r="C2810" s="851"/>
      <c r="D2810" s="851"/>
    </row>
    <row r="2811" spans="2:4" s="819" customFormat="1">
      <c r="B2811" s="851"/>
      <c r="C2811" s="851"/>
      <c r="D2811" s="851"/>
    </row>
    <row r="2812" spans="2:4" s="819" customFormat="1">
      <c r="B2812" s="851"/>
      <c r="C2812" s="851"/>
      <c r="D2812" s="851"/>
    </row>
    <row r="2813" spans="2:4" s="819" customFormat="1">
      <c r="B2813" s="851"/>
      <c r="C2813" s="851"/>
      <c r="D2813" s="851"/>
    </row>
    <row r="2814" spans="2:4" s="819" customFormat="1">
      <c r="B2814" s="851"/>
      <c r="C2814" s="851"/>
      <c r="D2814" s="851"/>
    </row>
    <row r="2815" spans="2:4" s="819" customFormat="1">
      <c r="B2815" s="851"/>
      <c r="C2815" s="851"/>
      <c r="D2815" s="851"/>
    </row>
    <row r="2816" spans="2:4" s="819" customFormat="1">
      <c r="B2816" s="851"/>
      <c r="C2816" s="851"/>
      <c r="D2816" s="851"/>
    </row>
    <row r="2817" spans="2:4" s="819" customFormat="1">
      <c r="B2817" s="851"/>
      <c r="C2817" s="851"/>
      <c r="D2817" s="851"/>
    </row>
    <row r="2818" spans="2:4" s="819" customFormat="1">
      <c r="B2818" s="851"/>
      <c r="C2818" s="851"/>
      <c r="D2818" s="851"/>
    </row>
    <row r="2819" spans="2:4" s="819" customFormat="1">
      <c r="B2819" s="851"/>
      <c r="C2819" s="851"/>
      <c r="D2819" s="851"/>
    </row>
    <row r="2820" spans="2:4" s="819" customFormat="1">
      <c r="B2820" s="851"/>
      <c r="C2820" s="851"/>
      <c r="D2820" s="851"/>
    </row>
    <row r="2821" spans="2:4" s="819" customFormat="1">
      <c r="B2821" s="851"/>
      <c r="C2821" s="851"/>
      <c r="D2821" s="851"/>
    </row>
    <row r="2822" spans="2:4" s="819" customFormat="1">
      <c r="B2822" s="851"/>
      <c r="C2822" s="851"/>
      <c r="D2822" s="851"/>
    </row>
    <row r="2823" spans="2:4" s="819" customFormat="1">
      <c r="B2823" s="851"/>
      <c r="C2823" s="851"/>
      <c r="D2823" s="851"/>
    </row>
    <row r="2824" spans="2:4" s="819" customFormat="1">
      <c r="B2824" s="851"/>
      <c r="C2824" s="851"/>
      <c r="D2824" s="851"/>
    </row>
    <row r="2825" spans="2:4" s="819" customFormat="1">
      <c r="B2825" s="851"/>
      <c r="C2825" s="851"/>
      <c r="D2825" s="851"/>
    </row>
    <row r="2826" spans="2:4" s="819" customFormat="1">
      <c r="B2826" s="851"/>
      <c r="C2826" s="851"/>
      <c r="D2826" s="851"/>
    </row>
    <row r="2827" spans="2:4" s="819" customFormat="1">
      <c r="B2827" s="851"/>
      <c r="C2827" s="851"/>
      <c r="D2827" s="851"/>
    </row>
    <row r="2828" spans="2:4" s="819" customFormat="1">
      <c r="B2828" s="851"/>
      <c r="C2828" s="851"/>
      <c r="D2828" s="851"/>
    </row>
    <row r="2829" spans="2:4" s="819" customFormat="1">
      <c r="B2829" s="851"/>
      <c r="C2829" s="851"/>
      <c r="D2829" s="851"/>
    </row>
    <row r="2830" spans="2:4" s="819" customFormat="1">
      <c r="B2830" s="851"/>
      <c r="C2830" s="851"/>
      <c r="D2830" s="851"/>
    </row>
    <row r="2831" spans="2:4" s="819" customFormat="1">
      <c r="B2831" s="851"/>
      <c r="C2831" s="851"/>
      <c r="D2831" s="851"/>
    </row>
    <row r="2832" spans="2:4" s="819" customFormat="1">
      <c r="B2832" s="851"/>
      <c r="C2832" s="851"/>
      <c r="D2832" s="851"/>
    </row>
    <row r="2833" spans="2:4" s="819" customFormat="1">
      <c r="B2833" s="851"/>
      <c r="C2833" s="851"/>
      <c r="D2833" s="851"/>
    </row>
    <row r="2834" spans="2:4" s="819" customFormat="1">
      <c r="B2834" s="851"/>
      <c r="C2834" s="851"/>
      <c r="D2834" s="851"/>
    </row>
    <row r="2835" spans="2:4" s="819" customFormat="1">
      <c r="B2835" s="851"/>
      <c r="C2835" s="851"/>
      <c r="D2835" s="851"/>
    </row>
    <row r="2836" spans="2:4" s="819" customFormat="1">
      <c r="B2836" s="851"/>
      <c r="C2836" s="851"/>
      <c r="D2836" s="851"/>
    </row>
    <row r="2837" spans="2:4" s="819" customFormat="1">
      <c r="B2837" s="851"/>
      <c r="C2837" s="851"/>
      <c r="D2837" s="851"/>
    </row>
    <row r="2838" spans="2:4" s="819" customFormat="1">
      <c r="B2838" s="851"/>
      <c r="C2838" s="851"/>
      <c r="D2838" s="851"/>
    </row>
    <row r="2839" spans="2:4" s="819" customFormat="1">
      <c r="B2839" s="851"/>
      <c r="C2839" s="851"/>
      <c r="D2839" s="851"/>
    </row>
    <row r="2840" spans="2:4" s="819" customFormat="1">
      <c r="B2840" s="851"/>
      <c r="C2840" s="851"/>
      <c r="D2840" s="851"/>
    </row>
    <row r="2841" spans="2:4" s="819" customFormat="1">
      <c r="B2841" s="851"/>
      <c r="C2841" s="851"/>
      <c r="D2841" s="851"/>
    </row>
    <row r="2842" spans="2:4" s="819" customFormat="1">
      <c r="B2842" s="851"/>
      <c r="C2842" s="851"/>
      <c r="D2842" s="851"/>
    </row>
    <row r="2843" spans="2:4" s="819" customFormat="1">
      <c r="B2843" s="851"/>
      <c r="C2843" s="851"/>
      <c r="D2843" s="851"/>
    </row>
    <row r="2844" spans="2:4" s="819" customFormat="1">
      <c r="B2844" s="851"/>
      <c r="C2844" s="851"/>
      <c r="D2844" s="851"/>
    </row>
    <row r="2845" spans="2:4" s="819" customFormat="1">
      <c r="B2845" s="851"/>
      <c r="C2845" s="851"/>
      <c r="D2845" s="851"/>
    </row>
    <row r="2846" spans="2:4" s="819" customFormat="1">
      <c r="B2846" s="851"/>
      <c r="C2846" s="851"/>
      <c r="D2846" s="851"/>
    </row>
    <row r="2847" spans="2:4" s="819" customFormat="1">
      <c r="B2847" s="851"/>
      <c r="C2847" s="851"/>
      <c r="D2847" s="851"/>
    </row>
    <row r="2848" spans="2:4" s="819" customFormat="1">
      <c r="B2848" s="851"/>
      <c r="C2848" s="851"/>
      <c r="D2848" s="851"/>
    </row>
    <row r="2849" spans="2:4" s="819" customFormat="1">
      <c r="B2849" s="851"/>
      <c r="C2849" s="851"/>
      <c r="D2849" s="851"/>
    </row>
    <row r="2850" spans="2:4" s="819" customFormat="1">
      <c r="B2850" s="851"/>
      <c r="C2850" s="851"/>
      <c r="D2850" s="851"/>
    </row>
    <row r="2851" spans="2:4" s="819" customFormat="1">
      <c r="B2851" s="851"/>
      <c r="C2851" s="851"/>
      <c r="D2851" s="851"/>
    </row>
    <row r="2852" spans="2:4" s="819" customFormat="1">
      <c r="B2852" s="851"/>
      <c r="C2852" s="851"/>
      <c r="D2852" s="851"/>
    </row>
    <row r="2853" spans="2:4" s="819" customFormat="1">
      <c r="B2853" s="851"/>
      <c r="C2853" s="851"/>
      <c r="D2853" s="851"/>
    </row>
    <row r="2854" spans="2:4" s="819" customFormat="1">
      <c r="B2854" s="851"/>
      <c r="C2854" s="851"/>
      <c r="D2854" s="851"/>
    </row>
    <row r="2855" spans="2:4" s="819" customFormat="1">
      <c r="B2855" s="851"/>
      <c r="C2855" s="851"/>
      <c r="D2855" s="851"/>
    </row>
    <row r="2856" spans="2:4" s="819" customFormat="1">
      <c r="B2856" s="851"/>
      <c r="C2856" s="851"/>
      <c r="D2856" s="851"/>
    </row>
    <row r="2857" spans="2:4" s="819" customFormat="1">
      <c r="B2857" s="851"/>
      <c r="C2857" s="851"/>
      <c r="D2857" s="851"/>
    </row>
    <row r="2858" spans="2:4" s="819" customFormat="1">
      <c r="B2858" s="851"/>
      <c r="C2858" s="851"/>
      <c r="D2858" s="851"/>
    </row>
    <row r="2859" spans="2:4" s="819" customFormat="1">
      <c r="B2859" s="851"/>
      <c r="C2859" s="851"/>
      <c r="D2859" s="851"/>
    </row>
    <row r="2860" spans="2:4" s="819" customFormat="1">
      <c r="B2860" s="851"/>
      <c r="C2860" s="851"/>
      <c r="D2860" s="851"/>
    </row>
    <row r="2861" spans="2:4" s="819" customFormat="1">
      <c r="B2861" s="851"/>
      <c r="C2861" s="851"/>
      <c r="D2861" s="851"/>
    </row>
    <row r="2862" spans="2:4" s="819" customFormat="1">
      <c r="B2862" s="851"/>
      <c r="C2862" s="851"/>
      <c r="D2862" s="851"/>
    </row>
    <row r="2863" spans="2:4" s="819" customFormat="1">
      <c r="B2863" s="851"/>
      <c r="C2863" s="851"/>
      <c r="D2863" s="851"/>
    </row>
    <row r="2864" spans="2:4" s="819" customFormat="1">
      <c r="B2864" s="851"/>
      <c r="C2864" s="851"/>
      <c r="D2864" s="851"/>
    </row>
    <row r="2865" spans="2:4" s="819" customFormat="1">
      <c r="B2865" s="851"/>
      <c r="C2865" s="851"/>
      <c r="D2865" s="851"/>
    </row>
    <row r="2866" spans="2:4" s="819" customFormat="1">
      <c r="B2866" s="851"/>
      <c r="C2866" s="851"/>
      <c r="D2866" s="851"/>
    </row>
    <row r="2867" spans="2:4" s="819" customFormat="1">
      <c r="B2867" s="851"/>
      <c r="C2867" s="851"/>
      <c r="D2867" s="851"/>
    </row>
    <row r="2868" spans="2:4" s="819" customFormat="1">
      <c r="B2868" s="851"/>
      <c r="C2868" s="851"/>
      <c r="D2868" s="851"/>
    </row>
    <row r="2869" spans="2:4" s="819" customFormat="1">
      <c r="B2869" s="851"/>
      <c r="C2869" s="851"/>
      <c r="D2869" s="851"/>
    </row>
    <row r="2870" spans="2:4" s="819" customFormat="1">
      <c r="B2870" s="851"/>
      <c r="C2870" s="851"/>
      <c r="D2870" s="851"/>
    </row>
    <row r="2871" spans="2:4" s="819" customFormat="1">
      <c r="B2871" s="851"/>
      <c r="C2871" s="851"/>
      <c r="D2871" s="851"/>
    </row>
    <row r="2872" spans="2:4" s="819" customFormat="1">
      <c r="B2872" s="851"/>
      <c r="C2872" s="851"/>
      <c r="D2872" s="851"/>
    </row>
    <row r="2873" spans="2:4" s="819" customFormat="1">
      <c r="B2873" s="851"/>
      <c r="C2873" s="851"/>
      <c r="D2873" s="851"/>
    </row>
    <row r="2874" spans="2:4" s="819" customFormat="1">
      <c r="B2874" s="851"/>
      <c r="C2874" s="851"/>
      <c r="D2874" s="851"/>
    </row>
    <row r="2875" spans="2:4" s="819" customFormat="1">
      <c r="B2875" s="851"/>
      <c r="C2875" s="851"/>
      <c r="D2875" s="851"/>
    </row>
    <row r="2876" spans="2:4" s="819" customFormat="1">
      <c r="B2876" s="851"/>
      <c r="C2876" s="851"/>
      <c r="D2876" s="851"/>
    </row>
    <row r="2877" spans="2:4" s="819" customFormat="1">
      <c r="B2877" s="851"/>
      <c r="C2877" s="851"/>
      <c r="D2877" s="851"/>
    </row>
    <row r="2878" spans="2:4" s="819" customFormat="1">
      <c r="B2878" s="851"/>
      <c r="C2878" s="851"/>
      <c r="D2878" s="851"/>
    </row>
    <row r="2879" spans="2:4" s="819" customFormat="1">
      <c r="B2879" s="851"/>
      <c r="C2879" s="851"/>
      <c r="D2879" s="851"/>
    </row>
    <row r="2880" spans="2:4" s="819" customFormat="1">
      <c r="B2880" s="851"/>
      <c r="C2880" s="851"/>
      <c r="D2880" s="851"/>
    </row>
    <row r="2881" spans="2:4" s="819" customFormat="1">
      <c r="B2881" s="851"/>
      <c r="C2881" s="851"/>
      <c r="D2881" s="851"/>
    </row>
    <row r="2882" spans="2:4" s="819" customFormat="1">
      <c r="B2882" s="851"/>
      <c r="C2882" s="851"/>
      <c r="D2882" s="851"/>
    </row>
    <row r="2883" spans="2:4" s="819" customFormat="1">
      <c r="B2883" s="851"/>
      <c r="C2883" s="851"/>
      <c r="D2883" s="851"/>
    </row>
    <row r="2884" spans="2:4" s="819" customFormat="1">
      <c r="B2884" s="851"/>
      <c r="C2884" s="851"/>
      <c r="D2884" s="851"/>
    </row>
    <row r="2885" spans="2:4" s="819" customFormat="1">
      <c r="B2885" s="851"/>
      <c r="C2885" s="851"/>
      <c r="D2885" s="851"/>
    </row>
    <row r="2886" spans="2:4" s="819" customFormat="1">
      <c r="B2886" s="851"/>
      <c r="C2886" s="851"/>
      <c r="D2886" s="851"/>
    </row>
    <row r="2887" spans="2:4" s="819" customFormat="1">
      <c r="B2887" s="851"/>
      <c r="C2887" s="851"/>
      <c r="D2887" s="851"/>
    </row>
    <row r="2888" spans="2:4" s="819" customFormat="1">
      <c r="B2888" s="851"/>
      <c r="C2888" s="851"/>
      <c r="D2888" s="851"/>
    </row>
    <row r="2889" spans="2:4" s="819" customFormat="1">
      <c r="B2889" s="851"/>
      <c r="C2889" s="851"/>
      <c r="D2889" s="851"/>
    </row>
    <row r="2890" spans="2:4" s="819" customFormat="1">
      <c r="B2890" s="851"/>
      <c r="C2890" s="851"/>
      <c r="D2890" s="851"/>
    </row>
    <row r="2891" spans="2:4" s="819" customFormat="1">
      <c r="B2891" s="851"/>
      <c r="C2891" s="851"/>
      <c r="D2891" s="851"/>
    </row>
    <row r="2892" spans="2:4" s="819" customFormat="1">
      <c r="B2892" s="851"/>
      <c r="C2892" s="851"/>
      <c r="D2892" s="851"/>
    </row>
    <row r="2893" spans="2:4" s="819" customFormat="1">
      <c r="B2893" s="851"/>
      <c r="C2893" s="851"/>
      <c r="D2893" s="851"/>
    </row>
    <row r="2894" spans="2:4" s="819" customFormat="1">
      <c r="B2894" s="851"/>
      <c r="C2894" s="851"/>
      <c r="D2894" s="851"/>
    </row>
    <row r="2895" spans="2:4" s="819" customFormat="1">
      <c r="B2895" s="851"/>
      <c r="C2895" s="851"/>
      <c r="D2895" s="851"/>
    </row>
    <row r="2896" spans="2:4" s="819" customFormat="1">
      <c r="B2896" s="851"/>
      <c r="C2896" s="851"/>
      <c r="D2896" s="851"/>
    </row>
    <row r="2897" spans="2:4" s="819" customFormat="1">
      <c r="B2897" s="851"/>
      <c r="C2897" s="851"/>
      <c r="D2897" s="851"/>
    </row>
    <row r="2898" spans="2:4" s="819" customFormat="1">
      <c r="B2898" s="851"/>
      <c r="C2898" s="851"/>
      <c r="D2898" s="851"/>
    </row>
    <row r="2899" spans="2:4" s="819" customFormat="1">
      <c r="B2899" s="851"/>
      <c r="C2899" s="851"/>
      <c r="D2899" s="851"/>
    </row>
    <row r="2900" spans="2:4" s="819" customFormat="1">
      <c r="B2900" s="851"/>
      <c r="C2900" s="851"/>
      <c r="D2900" s="851"/>
    </row>
    <row r="2901" spans="2:4" s="819" customFormat="1">
      <c r="B2901" s="851"/>
      <c r="C2901" s="851"/>
      <c r="D2901" s="851"/>
    </row>
    <row r="2902" spans="2:4" s="819" customFormat="1">
      <c r="B2902" s="851"/>
      <c r="C2902" s="851"/>
      <c r="D2902" s="851"/>
    </row>
    <row r="2903" spans="2:4" s="819" customFormat="1">
      <c r="B2903" s="851"/>
      <c r="C2903" s="851"/>
      <c r="D2903" s="851"/>
    </row>
    <row r="2904" spans="2:4" s="819" customFormat="1">
      <c r="B2904" s="851"/>
      <c r="C2904" s="851"/>
      <c r="D2904" s="851"/>
    </row>
    <row r="2905" spans="2:4" s="819" customFormat="1">
      <c r="B2905" s="851"/>
      <c r="C2905" s="851"/>
      <c r="D2905" s="851"/>
    </row>
    <row r="2906" spans="2:4" s="819" customFormat="1">
      <c r="B2906" s="851"/>
      <c r="C2906" s="851"/>
      <c r="D2906" s="851"/>
    </row>
    <row r="2907" spans="2:4" s="819" customFormat="1">
      <c r="B2907" s="851"/>
      <c r="C2907" s="851"/>
      <c r="D2907" s="851"/>
    </row>
    <row r="2908" spans="2:4" s="819" customFormat="1">
      <c r="B2908" s="851"/>
      <c r="C2908" s="851"/>
      <c r="D2908" s="851"/>
    </row>
    <row r="2909" spans="2:4" s="819" customFormat="1">
      <c r="B2909" s="851"/>
      <c r="C2909" s="851"/>
      <c r="D2909" s="851"/>
    </row>
    <row r="2910" spans="2:4" s="819" customFormat="1">
      <c r="B2910" s="851"/>
      <c r="C2910" s="851"/>
      <c r="D2910" s="851"/>
    </row>
    <row r="2911" spans="2:4" s="819" customFormat="1">
      <c r="B2911" s="851"/>
      <c r="C2911" s="851"/>
      <c r="D2911" s="851"/>
    </row>
    <row r="2912" spans="2:4" s="819" customFormat="1">
      <c r="B2912" s="851"/>
      <c r="C2912" s="851"/>
      <c r="D2912" s="851"/>
    </row>
    <row r="2913" spans="2:4" s="819" customFormat="1">
      <c r="B2913" s="851"/>
      <c r="C2913" s="851"/>
      <c r="D2913" s="851"/>
    </row>
    <row r="2914" spans="2:4" s="819" customFormat="1">
      <c r="B2914" s="851"/>
      <c r="C2914" s="851"/>
      <c r="D2914" s="851"/>
    </row>
    <row r="2915" spans="2:4" s="819" customFormat="1">
      <c r="B2915" s="851"/>
      <c r="C2915" s="851"/>
      <c r="D2915" s="851"/>
    </row>
    <row r="2916" spans="2:4" s="819" customFormat="1">
      <c r="B2916" s="851"/>
      <c r="C2916" s="851"/>
      <c r="D2916" s="851"/>
    </row>
    <row r="2917" spans="2:4" s="819" customFormat="1">
      <c r="B2917" s="851"/>
      <c r="C2917" s="851"/>
      <c r="D2917" s="851"/>
    </row>
    <row r="2918" spans="2:4" s="819" customFormat="1">
      <c r="B2918" s="851"/>
      <c r="C2918" s="851"/>
      <c r="D2918" s="851"/>
    </row>
    <row r="2919" spans="2:4" s="819" customFormat="1">
      <c r="B2919" s="851"/>
      <c r="C2919" s="851"/>
      <c r="D2919" s="851"/>
    </row>
    <row r="2920" spans="2:4" s="819" customFormat="1">
      <c r="B2920" s="851"/>
      <c r="C2920" s="851"/>
      <c r="D2920" s="851"/>
    </row>
    <row r="2921" spans="2:4" s="819" customFormat="1">
      <c r="B2921" s="851"/>
      <c r="C2921" s="851"/>
      <c r="D2921" s="851"/>
    </row>
    <row r="2922" spans="2:4" s="819" customFormat="1">
      <c r="B2922" s="851"/>
      <c r="C2922" s="851"/>
      <c r="D2922" s="851"/>
    </row>
    <row r="2923" spans="2:4" s="819" customFormat="1">
      <c r="B2923" s="851"/>
      <c r="C2923" s="851"/>
      <c r="D2923" s="851"/>
    </row>
    <row r="2924" spans="2:4" s="819" customFormat="1">
      <c r="B2924" s="851"/>
      <c r="C2924" s="851"/>
      <c r="D2924" s="851"/>
    </row>
    <row r="2925" spans="2:4" s="819" customFormat="1">
      <c r="B2925" s="851"/>
      <c r="C2925" s="851"/>
      <c r="D2925" s="851"/>
    </row>
    <row r="2926" spans="2:4" s="819" customFormat="1">
      <c r="B2926" s="851"/>
      <c r="C2926" s="851"/>
      <c r="D2926" s="851"/>
    </row>
    <row r="2927" spans="2:4" s="819" customFormat="1">
      <c r="B2927" s="851"/>
      <c r="C2927" s="851"/>
      <c r="D2927" s="851"/>
    </row>
    <row r="2928" spans="2:4" s="819" customFormat="1">
      <c r="B2928" s="851"/>
      <c r="C2928" s="851"/>
      <c r="D2928" s="851"/>
    </row>
    <row r="2929" spans="2:4" s="819" customFormat="1">
      <c r="B2929" s="851"/>
      <c r="C2929" s="851"/>
      <c r="D2929" s="851"/>
    </row>
    <row r="2930" spans="2:4" s="819" customFormat="1">
      <c r="B2930" s="851"/>
      <c r="C2930" s="851"/>
      <c r="D2930" s="851"/>
    </row>
    <row r="2931" spans="2:4" s="819" customFormat="1">
      <c r="B2931" s="851"/>
      <c r="C2931" s="851"/>
      <c r="D2931" s="851"/>
    </row>
    <row r="2932" spans="2:4" s="819" customFormat="1">
      <c r="B2932" s="851"/>
      <c r="C2932" s="851"/>
      <c r="D2932" s="851"/>
    </row>
    <row r="2933" spans="2:4" s="819" customFormat="1">
      <c r="B2933" s="851"/>
      <c r="C2933" s="851"/>
      <c r="D2933" s="851"/>
    </row>
    <row r="2934" spans="2:4" s="819" customFormat="1">
      <c r="B2934" s="851"/>
      <c r="C2934" s="851"/>
      <c r="D2934" s="851"/>
    </row>
    <row r="2935" spans="2:4" s="819" customFormat="1">
      <c r="B2935" s="851"/>
      <c r="C2935" s="851"/>
      <c r="D2935" s="851"/>
    </row>
    <row r="2936" spans="2:4" s="819" customFormat="1">
      <c r="B2936" s="851"/>
      <c r="C2936" s="851"/>
      <c r="D2936" s="851"/>
    </row>
    <row r="2937" spans="2:4" s="819" customFormat="1">
      <c r="B2937" s="851"/>
      <c r="C2937" s="851"/>
      <c r="D2937" s="851"/>
    </row>
    <row r="2938" spans="2:4" s="819" customFormat="1">
      <c r="B2938" s="851"/>
      <c r="C2938" s="851"/>
      <c r="D2938" s="851"/>
    </row>
    <row r="2939" spans="2:4" s="819" customFormat="1">
      <c r="B2939" s="851"/>
      <c r="C2939" s="851"/>
      <c r="D2939" s="851"/>
    </row>
    <row r="2940" spans="2:4" s="819" customFormat="1">
      <c r="B2940" s="851"/>
      <c r="C2940" s="851"/>
      <c r="D2940" s="851"/>
    </row>
    <row r="2941" spans="2:4" s="819" customFormat="1">
      <c r="B2941" s="851"/>
      <c r="C2941" s="851"/>
      <c r="D2941" s="851"/>
    </row>
    <row r="2942" spans="2:4" s="819" customFormat="1">
      <c r="B2942" s="851"/>
      <c r="C2942" s="851"/>
      <c r="D2942" s="851"/>
    </row>
    <row r="2943" spans="2:4" s="819" customFormat="1">
      <c r="B2943" s="851"/>
      <c r="C2943" s="851"/>
      <c r="D2943" s="851"/>
    </row>
    <row r="2944" spans="2:4" s="819" customFormat="1">
      <c r="B2944" s="851"/>
      <c r="C2944" s="851"/>
      <c r="D2944" s="851"/>
    </row>
    <row r="2945" spans="2:4" s="819" customFormat="1">
      <c r="B2945" s="851"/>
      <c r="C2945" s="851"/>
      <c r="D2945" s="851"/>
    </row>
    <row r="2946" spans="2:4" s="819" customFormat="1">
      <c r="B2946" s="851"/>
      <c r="C2946" s="851"/>
      <c r="D2946" s="851"/>
    </row>
    <row r="2947" spans="2:4" s="819" customFormat="1">
      <c r="B2947" s="851"/>
      <c r="C2947" s="851"/>
      <c r="D2947" s="851"/>
    </row>
    <row r="2948" spans="2:4" s="819" customFormat="1">
      <c r="B2948" s="851"/>
      <c r="C2948" s="851"/>
      <c r="D2948" s="851"/>
    </row>
    <row r="2949" spans="2:4" s="819" customFormat="1">
      <c r="B2949" s="851"/>
      <c r="C2949" s="851"/>
      <c r="D2949" s="851"/>
    </row>
    <row r="2950" spans="2:4" s="819" customFormat="1">
      <c r="B2950" s="851"/>
      <c r="C2950" s="851"/>
      <c r="D2950" s="851"/>
    </row>
    <row r="2951" spans="2:4" s="819" customFormat="1">
      <c r="B2951" s="851"/>
      <c r="C2951" s="851"/>
      <c r="D2951" s="851"/>
    </row>
    <row r="2952" spans="2:4" s="819" customFormat="1">
      <c r="B2952" s="851"/>
      <c r="C2952" s="851"/>
      <c r="D2952" s="851"/>
    </row>
    <row r="2953" spans="2:4" s="819" customFormat="1">
      <c r="B2953" s="851"/>
      <c r="C2953" s="851"/>
      <c r="D2953" s="851"/>
    </row>
    <row r="2954" spans="2:4" s="819" customFormat="1">
      <c r="B2954" s="851"/>
      <c r="C2954" s="851"/>
      <c r="D2954" s="851"/>
    </row>
    <row r="2955" spans="2:4" s="819" customFormat="1">
      <c r="B2955" s="851"/>
      <c r="C2955" s="851"/>
      <c r="D2955" s="851"/>
    </row>
    <row r="2956" spans="2:4" s="819" customFormat="1">
      <c r="B2956" s="851"/>
      <c r="C2956" s="851"/>
      <c r="D2956" s="851"/>
    </row>
    <row r="2957" spans="2:4" s="819" customFormat="1">
      <c r="B2957" s="851"/>
      <c r="C2957" s="851"/>
      <c r="D2957" s="851"/>
    </row>
    <row r="2958" spans="2:4" s="819" customFormat="1">
      <c r="B2958" s="851"/>
      <c r="C2958" s="851"/>
      <c r="D2958" s="851"/>
    </row>
    <row r="2959" spans="2:4" s="819" customFormat="1">
      <c r="B2959" s="851"/>
      <c r="C2959" s="851"/>
      <c r="D2959" s="851"/>
    </row>
    <row r="2960" spans="2:4" s="819" customFormat="1">
      <c r="B2960" s="851"/>
      <c r="C2960" s="851"/>
      <c r="D2960" s="851"/>
    </row>
    <row r="2961" spans="2:4" s="819" customFormat="1">
      <c r="B2961" s="851"/>
      <c r="C2961" s="851"/>
      <c r="D2961" s="851"/>
    </row>
    <row r="2962" spans="2:4" s="819" customFormat="1">
      <c r="B2962" s="851"/>
      <c r="C2962" s="851"/>
      <c r="D2962" s="851"/>
    </row>
    <row r="2963" spans="2:4" s="819" customFormat="1">
      <c r="B2963" s="851"/>
      <c r="C2963" s="851"/>
      <c r="D2963" s="851"/>
    </row>
    <row r="2964" spans="2:4" s="819" customFormat="1">
      <c r="B2964" s="851"/>
      <c r="C2964" s="851"/>
      <c r="D2964" s="851"/>
    </row>
    <row r="2965" spans="2:4" s="819" customFormat="1">
      <c r="B2965" s="851"/>
      <c r="C2965" s="851"/>
      <c r="D2965" s="851"/>
    </row>
    <row r="2966" spans="2:4" s="819" customFormat="1">
      <c r="B2966" s="851"/>
      <c r="C2966" s="851"/>
      <c r="D2966" s="851"/>
    </row>
    <row r="2967" spans="2:4" s="819" customFormat="1">
      <c r="B2967" s="851"/>
      <c r="C2967" s="851"/>
      <c r="D2967" s="851"/>
    </row>
    <row r="2968" spans="2:4" s="819" customFormat="1">
      <c r="B2968" s="851"/>
      <c r="C2968" s="851"/>
      <c r="D2968" s="851"/>
    </row>
    <row r="2969" spans="2:4" s="819" customFormat="1">
      <c r="B2969" s="851"/>
      <c r="C2969" s="851"/>
      <c r="D2969" s="851"/>
    </row>
    <row r="2970" spans="2:4" s="819" customFormat="1">
      <c r="B2970" s="851"/>
      <c r="C2970" s="851"/>
      <c r="D2970" s="851"/>
    </row>
    <row r="2971" spans="2:4" s="819" customFormat="1">
      <c r="B2971" s="851"/>
      <c r="C2971" s="851"/>
      <c r="D2971" s="851"/>
    </row>
    <row r="2972" spans="2:4" s="819" customFormat="1">
      <c r="B2972" s="851"/>
      <c r="C2972" s="851"/>
      <c r="D2972" s="851"/>
    </row>
    <row r="2973" spans="2:4" s="819" customFormat="1">
      <c r="B2973" s="851"/>
      <c r="C2973" s="851"/>
      <c r="D2973" s="851"/>
    </row>
    <row r="2974" spans="2:4" s="819" customFormat="1">
      <c r="B2974" s="851"/>
      <c r="C2974" s="851"/>
      <c r="D2974" s="851"/>
    </row>
    <row r="2975" spans="2:4" s="819" customFormat="1">
      <c r="B2975" s="851"/>
      <c r="C2975" s="851"/>
      <c r="D2975" s="851"/>
    </row>
    <row r="2976" spans="2:4" s="819" customFormat="1">
      <c r="B2976" s="851"/>
      <c r="C2976" s="851"/>
      <c r="D2976" s="851"/>
    </row>
    <row r="2977" spans="2:4" s="819" customFormat="1">
      <c r="B2977" s="851"/>
      <c r="C2977" s="851"/>
      <c r="D2977" s="851"/>
    </row>
    <row r="2978" spans="2:4" s="819" customFormat="1">
      <c r="B2978" s="851"/>
      <c r="C2978" s="851"/>
      <c r="D2978" s="851"/>
    </row>
    <row r="2979" spans="2:4" s="819" customFormat="1">
      <c r="B2979" s="851"/>
      <c r="C2979" s="851"/>
      <c r="D2979" s="851"/>
    </row>
    <row r="2980" spans="2:4" s="819" customFormat="1">
      <c r="B2980" s="851"/>
      <c r="C2980" s="851"/>
      <c r="D2980" s="851"/>
    </row>
    <row r="2981" spans="2:4" s="819" customFormat="1">
      <c r="B2981" s="851"/>
      <c r="C2981" s="851"/>
      <c r="D2981" s="851"/>
    </row>
    <row r="2982" spans="2:4" s="819" customFormat="1">
      <c r="B2982" s="851"/>
      <c r="C2982" s="851"/>
      <c r="D2982" s="851"/>
    </row>
    <row r="2983" spans="2:4" s="819" customFormat="1">
      <c r="B2983" s="851"/>
      <c r="C2983" s="851"/>
      <c r="D2983" s="851"/>
    </row>
    <row r="2984" spans="2:4" s="819" customFormat="1">
      <c r="B2984" s="851"/>
      <c r="C2984" s="851"/>
      <c r="D2984" s="851"/>
    </row>
    <row r="2985" spans="2:4" s="819" customFormat="1">
      <c r="B2985" s="851"/>
      <c r="C2985" s="851"/>
      <c r="D2985" s="851"/>
    </row>
    <row r="2986" spans="2:4" s="819" customFormat="1">
      <c r="B2986" s="851"/>
      <c r="C2986" s="851"/>
      <c r="D2986" s="851"/>
    </row>
    <row r="2987" spans="2:4" s="819" customFormat="1">
      <c r="B2987" s="851"/>
      <c r="C2987" s="851"/>
      <c r="D2987" s="851"/>
    </row>
    <row r="2988" spans="2:4" s="819" customFormat="1">
      <c r="B2988" s="851"/>
      <c r="C2988" s="851"/>
      <c r="D2988" s="851"/>
    </row>
    <row r="2989" spans="2:4" s="819" customFormat="1">
      <c r="B2989" s="851"/>
      <c r="C2989" s="851"/>
      <c r="D2989" s="851"/>
    </row>
    <row r="2990" spans="2:4" s="819" customFormat="1">
      <c r="B2990" s="851"/>
      <c r="C2990" s="851"/>
      <c r="D2990" s="851"/>
    </row>
    <row r="2991" spans="2:4" s="819" customFormat="1">
      <c r="B2991" s="851"/>
      <c r="C2991" s="851"/>
      <c r="D2991" s="851"/>
    </row>
    <row r="2992" spans="2:4" s="819" customFormat="1">
      <c r="B2992" s="851"/>
      <c r="C2992" s="851"/>
      <c r="D2992" s="851"/>
    </row>
    <row r="2993" spans="2:4" s="819" customFormat="1">
      <c r="B2993" s="851"/>
      <c r="C2993" s="851"/>
      <c r="D2993" s="851"/>
    </row>
    <row r="2994" spans="2:4" s="819" customFormat="1">
      <c r="B2994" s="851"/>
      <c r="C2994" s="851"/>
      <c r="D2994" s="851"/>
    </row>
    <row r="2995" spans="2:4" s="819" customFormat="1">
      <c r="B2995" s="851"/>
      <c r="C2995" s="851"/>
      <c r="D2995" s="851"/>
    </row>
    <row r="2996" spans="2:4" s="819" customFormat="1">
      <c r="B2996" s="851"/>
      <c r="C2996" s="851"/>
      <c r="D2996" s="851"/>
    </row>
    <row r="2997" spans="2:4" s="819" customFormat="1">
      <c r="B2997" s="851"/>
      <c r="C2997" s="851"/>
      <c r="D2997" s="851"/>
    </row>
    <row r="2998" spans="2:4" s="819" customFormat="1">
      <c r="B2998" s="851"/>
      <c r="C2998" s="851"/>
      <c r="D2998" s="851"/>
    </row>
    <row r="2999" spans="2:4" s="819" customFormat="1">
      <c r="B2999" s="851"/>
      <c r="C2999" s="851"/>
      <c r="D2999" s="851"/>
    </row>
    <row r="3000" spans="2:4" s="819" customFormat="1">
      <c r="B3000" s="851"/>
      <c r="C3000" s="851"/>
      <c r="D3000" s="851"/>
    </row>
    <row r="3001" spans="2:4" s="819" customFormat="1">
      <c r="B3001" s="851"/>
      <c r="C3001" s="851"/>
      <c r="D3001" s="851"/>
    </row>
    <row r="3002" spans="2:4" s="819" customFormat="1">
      <c r="B3002" s="851"/>
      <c r="C3002" s="851"/>
      <c r="D3002" s="851"/>
    </row>
    <row r="3003" spans="2:4" s="819" customFormat="1">
      <c r="B3003" s="851"/>
      <c r="C3003" s="851"/>
      <c r="D3003" s="851"/>
    </row>
    <row r="3004" spans="2:4" s="819" customFormat="1">
      <c r="B3004" s="851"/>
      <c r="C3004" s="851"/>
      <c r="D3004" s="851"/>
    </row>
    <row r="3005" spans="2:4" s="819" customFormat="1">
      <c r="B3005" s="851"/>
      <c r="C3005" s="851"/>
      <c r="D3005" s="851"/>
    </row>
    <row r="3006" spans="2:4" s="819" customFormat="1">
      <c r="B3006" s="851"/>
      <c r="C3006" s="851"/>
      <c r="D3006" s="851"/>
    </row>
    <row r="3007" spans="2:4" s="819" customFormat="1">
      <c r="B3007" s="851"/>
      <c r="C3007" s="851"/>
      <c r="D3007" s="851"/>
    </row>
    <row r="3008" spans="2:4" s="819" customFormat="1">
      <c r="B3008" s="851"/>
      <c r="C3008" s="851"/>
      <c r="D3008" s="851"/>
    </row>
    <row r="3009" spans="2:4" s="819" customFormat="1">
      <c r="B3009" s="851"/>
      <c r="C3009" s="851"/>
      <c r="D3009" s="851"/>
    </row>
    <row r="3010" spans="2:4" s="819" customFormat="1">
      <c r="B3010" s="851"/>
      <c r="C3010" s="851"/>
      <c r="D3010" s="851"/>
    </row>
    <row r="3011" spans="2:4" s="819" customFormat="1">
      <c r="B3011" s="851"/>
      <c r="C3011" s="851"/>
      <c r="D3011" s="851"/>
    </row>
    <row r="3012" spans="2:4" s="819" customFormat="1">
      <c r="B3012" s="851"/>
      <c r="C3012" s="851"/>
      <c r="D3012" s="851"/>
    </row>
    <row r="3013" spans="2:4" s="819" customFormat="1">
      <c r="B3013" s="851"/>
      <c r="C3013" s="851"/>
      <c r="D3013" s="851"/>
    </row>
    <row r="3014" spans="2:4" s="819" customFormat="1">
      <c r="B3014" s="851"/>
      <c r="C3014" s="851"/>
      <c r="D3014" s="851"/>
    </row>
    <row r="3015" spans="2:4" s="819" customFormat="1">
      <c r="B3015" s="851"/>
      <c r="C3015" s="851"/>
      <c r="D3015" s="851"/>
    </row>
    <row r="3016" spans="2:4" s="819" customFormat="1">
      <c r="B3016" s="851"/>
      <c r="C3016" s="851"/>
      <c r="D3016" s="851"/>
    </row>
    <row r="3017" spans="2:4" s="819" customFormat="1">
      <c r="B3017" s="851"/>
      <c r="C3017" s="851"/>
      <c r="D3017" s="851"/>
    </row>
    <row r="3018" spans="2:4" s="819" customFormat="1">
      <c r="B3018" s="851"/>
      <c r="C3018" s="851"/>
      <c r="D3018" s="851"/>
    </row>
    <row r="3019" spans="2:4" s="819" customFormat="1">
      <c r="B3019" s="851"/>
      <c r="C3019" s="851"/>
      <c r="D3019" s="851"/>
    </row>
    <row r="3020" spans="2:4" s="819" customFormat="1">
      <c r="B3020" s="851"/>
      <c r="C3020" s="851"/>
      <c r="D3020" s="851"/>
    </row>
    <row r="3021" spans="2:4" s="819" customFormat="1">
      <c r="B3021" s="851"/>
      <c r="C3021" s="851"/>
      <c r="D3021" s="851"/>
    </row>
    <row r="3022" spans="2:4" s="819" customFormat="1">
      <c r="B3022" s="851"/>
      <c r="C3022" s="851"/>
      <c r="D3022" s="851"/>
    </row>
    <row r="3023" spans="2:4" s="819" customFormat="1">
      <c r="B3023" s="851"/>
      <c r="C3023" s="851"/>
      <c r="D3023" s="851"/>
    </row>
    <row r="3024" spans="2:4" s="819" customFormat="1">
      <c r="B3024" s="851"/>
      <c r="C3024" s="851"/>
      <c r="D3024" s="851"/>
    </row>
    <row r="3025" spans="2:4" s="819" customFormat="1">
      <c r="B3025" s="851"/>
      <c r="C3025" s="851"/>
      <c r="D3025" s="851"/>
    </row>
    <row r="3026" spans="2:4" s="819" customFormat="1">
      <c r="B3026" s="851"/>
      <c r="C3026" s="851"/>
      <c r="D3026" s="851"/>
    </row>
    <row r="3027" spans="2:4" s="819" customFormat="1">
      <c r="B3027" s="851"/>
      <c r="C3027" s="851"/>
      <c r="D3027" s="851"/>
    </row>
    <row r="3028" spans="2:4" s="819" customFormat="1">
      <c r="B3028" s="851"/>
      <c r="C3028" s="851"/>
      <c r="D3028" s="851"/>
    </row>
    <row r="3029" spans="2:4" s="819" customFormat="1">
      <c r="B3029" s="851"/>
      <c r="C3029" s="851"/>
      <c r="D3029" s="851"/>
    </row>
    <row r="3030" spans="2:4" s="819" customFormat="1">
      <c r="B3030" s="851"/>
      <c r="C3030" s="851"/>
      <c r="D3030" s="851"/>
    </row>
    <row r="3031" spans="2:4" s="819" customFormat="1">
      <c r="B3031" s="851"/>
      <c r="C3031" s="851"/>
      <c r="D3031" s="851"/>
    </row>
    <row r="3032" spans="2:4" s="819" customFormat="1">
      <c r="B3032" s="851"/>
      <c r="C3032" s="851"/>
      <c r="D3032" s="851"/>
    </row>
    <row r="3033" spans="2:4" s="819" customFormat="1">
      <c r="B3033" s="851"/>
      <c r="C3033" s="851"/>
      <c r="D3033" s="851"/>
    </row>
    <row r="3034" spans="2:4" s="819" customFormat="1">
      <c r="B3034" s="851"/>
      <c r="C3034" s="851"/>
      <c r="D3034" s="851"/>
    </row>
    <row r="3035" spans="2:4" s="819" customFormat="1">
      <c r="B3035" s="851"/>
      <c r="C3035" s="851"/>
      <c r="D3035" s="851"/>
    </row>
    <row r="3036" spans="2:4" s="819" customFormat="1">
      <c r="B3036" s="851"/>
      <c r="C3036" s="851"/>
      <c r="D3036" s="851"/>
    </row>
    <row r="3037" spans="2:4" s="819" customFormat="1">
      <c r="B3037" s="851"/>
      <c r="C3037" s="851"/>
      <c r="D3037" s="851"/>
    </row>
    <row r="3038" spans="2:4" s="819" customFormat="1">
      <c r="B3038" s="851"/>
      <c r="C3038" s="851"/>
      <c r="D3038" s="851"/>
    </row>
    <row r="3039" spans="2:4" s="819" customFormat="1">
      <c r="B3039" s="851"/>
      <c r="C3039" s="851"/>
      <c r="D3039" s="851"/>
    </row>
    <row r="3040" spans="2:4" s="819" customFormat="1">
      <c r="B3040" s="851"/>
      <c r="C3040" s="851"/>
      <c r="D3040" s="851"/>
    </row>
    <row r="3041" spans="2:4" s="819" customFormat="1">
      <c r="B3041" s="851"/>
      <c r="C3041" s="851"/>
      <c r="D3041" s="851"/>
    </row>
    <row r="3042" spans="2:4" s="819" customFormat="1">
      <c r="B3042" s="851"/>
      <c r="C3042" s="851"/>
      <c r="D3042" s="851"/>
    </row>
    <row r="3043" spans="2:4" s="819" customFormat="1">
      <c r="B3043" s="851"/>
      <c r="C3043" s="851"/>
      <c r="D3043" s="851"/>
    </row>
    <row r="3044" spans="2:4" s="819" customFormat="1">
      <c r="B3044" s="851"/>
      <c r="C3044" s="851"/>
      <c r="D3044" s="851"/>
    </row>
    <row r="3045" spans="2:4" s="819" customFormat="1">
      <c r="B3045" s="851"/>
      <c r="C3045" s="851"/>
      <c r="D3045" s="851"/>
    </row>
    <row r="3046" spans="2:4" s="819" customFormat="1">
      <c r="B3046" s="851"/>
      <c r="C3046" s="851"/>
      <c r="D3046" s="851"/>
    </row>
    <row r="3047" spans="2:4" s="819" customFormat="1">
      <c r="B3047" s="851"/>
      <c r="C3047" s="851"/>
      <c r="D3047" s="851"/>
    </row>
    <row r="3048" spans="2:4" s="819" customFormat="1">
      <c r="B3048" s="851"/>
      <c r="C3048" s="851"/>
      <c r="D3048" s="851"/>
    </row>
    <row r="3049" spans="2:4" s="819" customFormat="1">
      <c r="B3049" s="851"/>
      <c r="C3049" s="851"/>
      <c r="D3049" s="851"/>
    </row>
    <row r="3050" spans="2:4" s="819" customFormat="1">
      <c r="B3050" s="851"/>
      <c r="C3050" s="851"/>
      <c r="D3050" s="851"/>
    </row>
    <row r="3051" spans="2:4" s="819" customFormat="1">
      <c r="B3051" s="851"/>
      <c r="C3051" s="851"/>
      <c r="D3051" s="851"/>
    </row>
    <row r="3052" spans="2:4" s="819" customFormat="1">
      <c r="B3052" s="851"/>
      <c r="C3052" s="851"/>
      <c r="D3052" s="851"/>
    </row>
    <row r="3053" spans="2:4" s="819" customFormat="1">
      <c r="B3053" s="851"/>
      <c r="C3053" s="851"/>
      <c r="D3053" s="851"/>
    </row>
    <row r="3054" spans="2:4" s="819" customFormat="1">
      <c r="B3054" s="851"/>
      <c r="C3054" s="851"/>
      <c r="D3054" s="851"/>
    </row>
    <row r="3055" spans="2:4" s="819" customFormat="1">
      <c r="B3055" s="851"/>
      <c r="C3055" s="851"/>
      <c r="D3055" s="851"/>
    </row>
    <row r="3056" spans="2:4" s="819" customFormat="1">
      <c r="B3056" s="851"/>
      <c r="C3056" s="851"/>
      <c r="D3056" s="851"/>
    </row>
    <row r="3057" spans="2:4" s="819" customFormat="1">
      <c r="B3057" s="851"/>
      <c r="C3057" s="851"/>
      <c r="D3057" s="851"/>
    </row>
    <row r="3058" spans="2:4" s="819" customFormat="1">
      <c r="B3058" s="851"/>
      <c r="C3058" s="851"/>
      <c r="D3058" s="851"/>
    </row>
    <row r="3059" spans="2:4" s="819" customFormat="1">
      <c r="B3059" s="851"/>
      <c r="C3059" s="851"/>
      <c r="D3059" s="851"/>
    </row>
    <row r="3060" spans="2:4" s="819" customFormat="1">
      <c r="B3060" s="851"/>
      <c r="C3060" s="851"/>
      <c r="D3060" s="851"/>
    </row>
    <row r="3061" spans="2:4" s="819" customFormat="1">
      <c r="B3061" s="851"/>
      <c r="C3061" s="851"/>
      <c r="D3061" s="851"/>
    </row>
    <row r="3062" spans="2:4" s="819" customFormat="1">
      <c r="B3062" s="851"/>
      <c r="C3062" s="851"/>
      <c r="D3062" s="851"/>
    </row>
    <row r="3063" spans="2:4" s="819" customFormat="1">
      <c r="B3063" s="851"/>
      <c r="C3063" s="851"/>
      <c r="D3063" s="851"/>
    </row>
    <row r="3064" spans="2:4" s="819" customFormat="1">
      <c r="B3064" s="851"/>
      <c r="C3064" s="851"/>
      <c r="D3064" s="851"/>
    </row>
    <row r="3065" spans="2:4" s="819" customFormat="1">
      <c r="B3065" s="851"/>
      <c r="C3065" s="851"/>
      <c r="D3065" s="851"/>
    </row>
    <row r="3066" spans="2:4" s="819" customFormat="1">
      <c r="B3066" s="851"/>
      <c r="C3066" s="851"/>
      <c r="D3066" s="851"/>
    </row>
    <row r="3067" spans="2:4" s="819" customFormat="1">
      <c r="B3067" s="851"/>
      <c r="C3067" s="851"/>
      <c r="D3067" s="851"/>
    </row>
    <row r="3068" spans="2:4" s="819" customFormat="1">
      <c r="B3068" s="851"/>
      <c r="C3068" s="851"/>
      <c r="D3068" s="851"/>
    </row>
    <row r="3069" spans="2:4" s="819" customFormat="1">
      <c r="B3069" s="851"/>
      <c r="C3069" s="851"/>
      <c r="D3069" s="851"/>
    </row>
    <row r="3070" spans="2:4" s="819" customFormat="1">
      <c r="B3070" s="851"/>
      <c r="C3070" s="851"/>
      <c r="D3070" s="851"/>
    </row>
    <row r="3071" spans="2:4" s="819" customFormat="1">
      <c r="B3071" s="851"/>
      <c r="C3071" s="851"/>
      <c r="D3071" s="851"/>
    </row>
    <row r="3072" spans="2:4" s="819" customFormat="1">
      <c r="B3072" s="851"/>
      <c r="C3072" s="851"/>
      <c r="D3072" s="851"/>
    </row>
    <row r="3073" spans="2:4" s="819" customFormat="1">
      <c r="B3073" s="851"/>
      <c r="C3073" s="851"/>
      <c r="D3073" s="851"/>
    </row>
    <row r="3074" spans="2:4" s="819" customFormat="1">
      <c r="B3074" s="851"/>
      <c r="C3074" s="851"/>
      <c r="D3074" s="851"/>
    </row>
    <row r="3075" spans="2:4" s="819" customFormat="1">
      <c r="B3075" s="851"/>
      <c r="C3075" s="851"/>
      <c r="D3075" s="851"/>
    </row>
    <row r="3076" spans="2:4" s="819" customFormat="1">
      <c r="B3076" s="851"/>
      <c r="C3076" s="851"/>
      <c r="D3076" s="851"/>
    </row>
    <row r="3077" spans="2:4" s="819" customFormat="1">
      <c r="B3077" s="851"/>
      <c r="C3077" s="851"/>
      <c r="D3077" s="851"/>
    </row>
    <row r="3078" spans="2:4" s="819" customFormat="1">
      <c r="B3078" s="851"/>
      <c r="C3078" s="851"/>
      <c r="D3078" s="851"/>
    </row>
    <row r="3079" spans="2:4" s="819" customFormat="1">
      <c r="B3079" s="851"/>
      <c r="C3079" s="851"/>
      <c r="D3079" s="851"/>
    </row>
    <row r="3080" spans="2:4" s="819" customFormat="1">
      <c r="B3080" s="851"/>
      <c r="C3080" s="851"/>
      <c r="D3080" s="851"/>
    </row>
    <row r="3081" spans="2:4" s="819" customFormat="1">
      <c r="B3081" s="851"/>
      <c r="C3081" s="851"/>
      <c r="D3081" s="851"/>
    </row>
    <row r="3082" spans="2:4" s="819" customFormat="1">
      <c r="B3082" s="851"/>
      <c r="C3082" s="851"/>
      <c r="D3082" s="851"/>
    </row>
    <row r="3083" spans="2:4" s="819" customFormat="1">
      <c r="B3083" s="851"/>
      <c r="C3083" s="851"/>
      <c r="D3083" s="851"/>
    </row>
    <row r="3084" spans="2:4" s="819" customFormat="1">
      <c r="B3084" s="851"/>
      <c r="C3084" s="851"/>
      <c r="D3084" s="851"/>
    </row>
    <row r="3085" spans="2:4" s="819" customFormat="1">
      <c r="B3085" s="851"/>
      <c r="C3085" s="851"/>
      <c r="D3085" s="851"/>
    </row>
    <row r="3086" spans="2:4" s="819" customFormat="1">
      <c r="B3086" s="851"/>
      <c r="C3086" s="851"/>
      <c r="D3086" s="851"/>
    </row>
    <row r="3087" spans="2:4" s="819" customFormat="1">
      <c r="B3087" s="851"/>
      <c r="C3087" s="851"/>
      <c r="D3087" s="851"/>
    </row>
    <row r="3088" spans="2:4" s="819" customFormat="1">
      <c r="B3088" s="851"/>
      <c r="C3088" s="851"/>
      <c r="D3088" s="851"/>
    </row>
    <row r="3089" spans="2:4" s="819" customFormat="1">
      <c r="B3089" s="851"/>
      <c r="C3089" s="851"/>
      <c r="D3089" s="851"/>
    </row>
    <row r="3090" spans="2:4" s="819" customFormat="1">
      <c r="B3090" s="851"/>
      <c r="C3090" s="851"/>
      <c r="D3090" s="851"/>
    </row>
    <row r="3091" spans="2:4" s="819" customFormat="1">
      <c r="B3091" s="851"/>
      <c r="C3091" s="851"/>
      <c r="D3091" s="851"/>
    </row>
    <row r="3092" spans="2:4" s="819" customFormat="1">
      <c r="B3092" s="851"/>
      <c r="C3092" s="851"/>
      <c r="D3092" s="851"/>
    </row>
    <row r="3093" spans="2:4" s="819" customFormat="1">
      <c r="B3093" s="851"/>
      <c r="C3093" s="851"/>
      <c r="D3093" s="851"/>
    </row>
    <row r="3094" spans="2:4" s="819" customFormat="1">
      <c r="B3094" s="851"/>
      <c r="C3094" s="851"/>
      <c r="D3094" s="851"/>
    </row>
    <row r="3095" spans="2:4" s="819" customFormat="1">
      <c r="B3095" s="851"/>
      <c r="C3095" s="851"/>
      <c r="D3095" s="851"/>
    </row>
    <row r="3096" spans="2:4" s="819" customFormat="1">
      <c r="B3096" s="851"/>
      <c r="C3096" s="851"/>
      <c r="D3096" s="851"/>
    </row>
    <row r="3097" spans="2:4" s="819" customFormat="1">
      <c r="B3097" s="851"/>
      <c r="C3097" s="851"/>
      <c r="D3097" s="851"/>
    </row>
    <row r="3098" spans="2:4" s="819" customFormat="1">
      <c r="B3098" s="851"/>
      <c r="C3098" s="851"/>
      <c r="D3098" s="851"/>
    </row>
    <row r="3099" spans="2:4" s="819" customFormat="1">
      <c r="B3099" s="851"/>
      <c r="C3099" s="851"/>
      <c r="D3099" s="851"/>
    </row>
    <row r="3100" spans="2:4" s="819" customFormat="1">
      <c r="B3100" s="851"/>
      <c r="C3100" s="851"/>
      <c r="D3100" s="851"/>
    </row>
    <row r="3101" spans="2:4" s="819" customFormat="1">
      <c r="B3101" s="851"/>
      <c r="C3101" s="851"/>
      <c r="D3101" s="851"/>
    </row>
    <row r="3102" spans="2:4" s="819" customFormat="1">
      <c r="B3102" s="851"/>
      <c r="C3102" s="851"/>
      <c r="D3102" s="851"/>
    </row>
    <row r="3103" spans="2:4" s="819" customFormat="1">
      <c r="B3103" s="851"/>
      <c r="C3103" s="851"/>
      <c r="D3103" s="851"/>
    </row>
    <row r="3104" spans="2:4" s="819" customFormat="1">
      <c r="B3104" s="851"/>
      <c r="C3104" s="851"/>
      <c r="D3104" s="851"/>
    </row>
    <row r="3105" spans="2:4" s="819" customFormat="1">
      <c r="B3105" s="851"/>
      <c r="C3105" s="851"/>
      <c r="D3105" s="851"/>
    </row>
    <row r="3106" spans="2:4" s="819" customFormat="1">
      <c r="B3106" s="851"/>
      <c r="C3106" s="851"/>
      <c r="D3106" s="851"/>
    </row>
    <row r="3107" spans="2:4" s="819" customFormat="1">
      <c r="B3107" s="851"/>
      <c r="C3107" s="851"/>
      <c r="D3107" s="851"/>
    </row>
    <row r="3108" spans="2:4" s="819" customFormat="1">
      <c r="B3108" s="851"/>
      <c r="C3108" s="851"/>
      <c r="D3108" s="851"/>
    </row>
    <row r="3109" spans="2:4" s="819" customFormat="1">
      <c r="B3109" s="851"/>
      <c r="C3109" s="851"/>
      <c r="D3109" s="851"/>
    </row>
    <row r="3110" spans="2:4" s="819" customFormat="1">
      <c r="B3110" s="851"/>
      <c r="C3110" s="851"/>
      <c r="D3110" s="851"/>
    </row>
    <row r="3111" spans="2:4" s="819" customFormat="1">
      <c r="B3111" s="851"/>
      <c r="C3111" s="851"/>
      <c r="D3111" s="851"/>
    </row>
    <row r="3112" spans="2:4" s="819" customFormat="1">
      <c r="B3112" s="851"/>
      <c r="C3112" s="851"/>
      <c r="D3112" s="851"/>
    </row>
    <row r="3113" spans="2:4" s="819" customFormat="1">
      <c r="B3113" s="851"/>
      <c r="C3113" s="851"/>
      <c r="D3113" s="851"/>
    </row>
    <row r="3114" spans="2:4" s="819" customFormat="1">
      <c r="B3114" s="851"/>
      <c r="C3114" s="851"/>
      <c r="D3114" s="851"/>
    </row>
    <row r="3115" spans="2:4" s="819" customFormat="1">
      <c r="B3115" s="851"/>
      <c r="C3115" s="851"/>
      <c r="D3115" s="851"/>
    </row>
    <row r="3116" spans="2:4" s="819" customFormat="1">
      <c r="B3116" s="851"/>
      <c r="C3116" s="851"/>
      <c r="D3116" s="851"/>
    </row>
    <row r="3117" spans="2:4" s="819" customFormat="1">
      <c r="B3117" s="851"/>
      <c r="C3117" s="851"/>
      <c r="D3117" s="851"/>
    </row>
    <row r="3118" spans="2:4" s="819" customFormat="1">
      <c r="B3118" s="851"/>
      <c r="C3118" s="851"/>
      <c r="D3118" s="851"/>
    </row>
    <row r="3119" spans="2:4" s="819" customFormat="1">
      <c r="B3119" s="851"/>
      <c r="C3119" s="851"/>
      <c r="D3119" s="851"/>
    </row>
    <row r="3120" spans="2:4" s="819" customFormat="1">
      <c r="B3120" s="851"/>
      <c r="C3120" s="851"/>
      <c r="D3120" s="851"/>
    </row>
    <row r="3121" spans="2:4" s="819" customFormat="1">
      <c r="B3121" s="851"/>
      <c r="C3121" s="851"/>
      <c r="D3121" s="851"/>
    </row>
    <row r="3122" spans="2:4" s="819" customFormat="1">
      <c r="B3122" s="851"/>
      <c r="C3122" s="851"/>
      <c r="D3122" s="851"/>
    </row>
    <row r="3123" spans="2:4" s="819" customFormat="1">
      <c r="B3123" s="851"/>
      <c r="C3123" s="851"/>
      <c r="D3123" s="851"/>
    </row>
    <row r="3124" spans="2:4" s="819" customFormat="1">
      <c r="B3124" s="851"/>
      <c r="C3124" s="851"/>
      <c r="D3124" s="851"/>
    </row>
    <row r="3125" spans="2:4" s="819" customFormat="1">
      <c r="B3125" s="851"/>
      <c r="C3125" s="851"/>
      <c r="D3125" s="851"/>
    </row>
    <row r="3126" spans="2:4" s="819" customFormat="1">
      <c r="B3126" s="851"/>
      <c r="C3126" s="851"/>
      <c r="D3126" s="851"/>
    </row>
    <row r="3127" spans="2:4" s="819" customFormat="1">
      <c r="B3127" s="851"/>
      <c r="C3127" s="851"/>
      <c r="D3127" s="851"/>
    </row>
    <row r="3128" spans="2:4" s="819" customFormat="1">
      <c r="B3128" s="851"/>
      <c r="C3128" s="851"/>
      <c r="D3128" s="851"/>
    </row>
    <row r="3129" spans="2:4" s="819" customFormat="1">
      <c r="B3129" s="851"/>
      <c r="C3129" s="851"/>
      <c r="D3129" s="851"/>
    </row>
    <row r="3130" spans="2:4" s="819" customFormat="1">
      <c r="B3130" s="851"/>
      <c r="C3130" s="851"/>
      <c r="D3130" s="851"/>
    </row>
    <row r="3131" spans="2:4" s="819" customFormat="1">
      <c r="B3131" s="851"/>
      <c r="C3131" s="851"/>
      <c r="D3131" s="851"/>
    </row>
    <row r="3132" spans="2:4" s="819" customFormat="1">
      <c r="B3132" s="851"/>
      <c r="C3132" s="851"/>
      <c r="D3132" s="851"/>
    </row>
    <row r="3133" spans="2:4" s="819" customFormat="1">
      <c r="B3133" s="851"/>
      <c r="C3133" s="851"/>
      <c r="D3133" s="851"/>
    </row>
    <row r="3134" spans="2:4" s="819" customFormat="1">
      <c r="B3134" s="851"/>
      <c r="C3134" s="851"/>
      <c r="D3134" s="851"/>
    </row>
    <row r="3135" spans="2:4" s="819" customFormat="1">
      <c r="B3135" s="851"/>
      <c r="C3135" s="851"/>
      <c r="D3135" s="851"/>
    </row>
    <row r="3136" spans="2:4" s="819" customFormat="1">
      <c r="B3136" s="851"/>
      <c r="C3136" s="851"/>
      <c r="D3136" s="851"/>
    </row>
    <row r="3137" spans="2:4" s="819" customFormat="1">
      <c r="B3137" s="851"/>
      <c r="C3137" s="851"/>
      <c r="D3137" s="851"/>
    </row>
    <row r="3138" spans="2:4" s="819" customFormat="1">
      <c r="B3138" s="851"/>
      <c r="C3138" s="851"/>
      <c r="D3138" s="851"/>
    </row>
    <row r="3139" spans="2:4" s="819" customFormat="1">
      <c r="B3139" s="851"/>
      <c r="C3139" s="851"/>
      <c r="D3139" s="851"/>
    </row>
    <row r="3140" spans="2:4" s="819" customFormat="1">
      <c r="B3140" s="851"/>
      <c r="C3140" s="851"/>
      <c r="D3140" s="851"/>
    </row>
    <row r="3141" spans="2:4" s="819" customFormat="1">
      <c r="B3141" s="851"/>
      <c r="C3141" s="851"/>
      <c r="D3141" s="851"/>
    </row>
    <row r="3142" spans="2:4" s="819" customFormat="1">
      <c r="B3142" s="851"/>
      <c r="C3142" s="851"/>
      <c r="D3142" s="851"/>
    </row>
    <row r="3143" spans="2:4" s="819" customFormat="1">
      <c r="B3143" s="851"/>
      <c r="C3143" s="851"/>
      <c r="D3143" s="851"/>
    </row>
    <row r="3144" spans="2:4" s="819" customFormat="1">
      <c r="B3144" s="851"/>
      <c r="C3144" s="851"/>
      <c r="D3144" s="851"/>
    </row>
    <row r="3145" spans="2:4" s="819" customFormat="1">
      <c r="B3145" s="851"/>
      <c r="C3145" s="851"/>
      <c r="D3145" s="851"/>
    </row>
    <row r="3146" spans="2:4" s="819" customFormat="1">
      <c r="B3146" s="851"/>
      <c r="C3146" s="851"/>
      <c r="D3146" s="851"/>
    </row>
    <row r="3147" spans="2:4" s="819" customFormat="1">
      <c r="B3147" s="851"/>
      <c r="C3147" s="851"/>
      <c r="D3147" s="851"/>
    </row>
    <row r="3148" spans="2:4" s="819" customFormat="1">
      <c r="B3148" s="851"/>
      <c r="C3148" s="851"/>
      <c r="D3148" s="851"/>
    </row>
    <row r="3149" spans="2:4" s="819" customFormat="1">
      <c r="B3149" s="851"/>
      <c r="C3149" s="851"/>
      <c r="D3149" s="851"/>
    </row>
    <row r="3150" spans="2:4" s="819" customFormat="1">
      <c r="B3150" s="851"/>
      <c r="C3150" s="851"/>
      <c r="D3150" s="851"/>
    </row>
    <row r="3151" spans="2:4" s="819" customFormat="1">
      <c r="B3151" s="851"/>
      <c r="C3151" s="851"/>
      <c r="D3151" s="851"/>
    </row>
    <row r="3152" spans="2:4" s="819" customFormat="1">
      <c r="B3152" s="851"/>
      <c r="C3152" s="851"/>
      <c r="D3152" s="851"/>
    </row>
    <row r="3153" spans="2:4" s="819" customFormat="1">
      <c r="B3153" s="851"/>
      <c r="C3153" s="851"/>
      <c r="D3153" s="851"/>
    </row>
    <row r="3154" spans="2:4" s="819" customFormat="1">
      <c r="B3154" s="851"/>
      <c r="C3154" s="851"/>
      <c r="D3154" s="851"/>
    </row>
    <row r="3155" spans="2:4" s="819" customFormat="1">
      <c r="B3155" s="851"/>
      <c r="C3155" s="851"/>
      <c r="D3155" s="851"/>
    </row>
    <row r="3156" spans="2:4" s="819" customFormat="1">
      <c r="B3156" s="851"/>
      <c r="C3156" s="851"/>
      <c r="D3156" s="851"/>
    </row>
    <row r="3157" spans="2:4" s="819" customFormat="1">
      <c r="B3157" s="851"/>
      <c r="C3157" s="851"/>
      <c r="D3157" s="851"/>
    </row>
    <row r="3158" spans="2:4" s="819" customFormat="1">
      <c r="B3158" s="851"/>
      <c r="C3158" s="851"/>
      <c r="D3158" s="851"/>
    </row>
    <row r="3159" spans="2:4" s="819" customFormat="1">
      <c r="B3159" s="851"/>
      <c r="C3159" s="851"/>
      <c r="D3159" s="851"/>
    </row>
    <row r="3160" spans="2:4" s="819" customFormat="1">
      <c r="B3160" s="851"/>
      <c r="C3160" s="851"/>
      <c r="D3160" s="851"/>
    </row>
    <row r="3161" spans="2:4" s="819" customFormat="1">
      <c r="B3161" s="851"/>
      <c r="C3161" s="851"/>
      <c r="D3161" s="851"/>
    </row>
    <row r="3162" spans="2:4" s="819" customFormat="1">
      <c r="B3162" s="851"/>
      <c r="C3162" s="851"/>
      <c r="D3162" s="851"/>
    </row>
    <row r="3163" spans="2:4" s="819" customFormat="1">
      <c r="B3163" s="851"/>
      <c r="C3163" s="851"/>
      <c r="D3163" s="851"/>
    </row>
    <row r="3164" spans="2:4" s="819" customFormat="1">
      <c r="B3164" s="851"/>
      <c r="C3164" s="851"/>
      <c r="D3164" s="851"/>
    </row>
    <row r="3165" spans="2:4" s="819" customFormat="1">
      <c r="B3165" s="851"/>
      <c r="C3165" s="851"/>
      <c r="D3165" s="851"/>
    </row>
    <row r="3166" spans="2:4" s="819" customFormat="1">
      <c r="B3166" s="851"/>
      <c r="C3166" s="851"/>
      <c r="D3166" s="851"/>
    </row>
    <row r="3167" spans="2:4" s="819" customFormat="1">
      <c r="B3167" s="851"/>
      <c r="C3167" s="851"/>
      <c r="D3167" s="851"/>
    </row>
    <row r="3168" spans="2:4" s="819" customFormat="1">
      <c r="B3168" s="851"/>
      <c r="C3168" s="851"/>
      <c r="D3168" s="851"/>
    </row>
    <row r="3169" spans="2:4" s="819" customFormat="1">
      <c r="B3169" s="851"/>
      <c r="C3169" s="851"/>
      <c r="D3169" s="851"/>
    </row>
    <row r="3170" spans="2:4" s="819" customFormat="1">
      <c r="B3170" s="851"/>
      <c r="C3170" s="851"/>
      <c r="D3170" s="851"/>
    </row>
    <row r="3171" spans="2:4" s="819" customFormat="1">
      <c r="B3171" s="851"/>
      <c r="C3171" s="851"/>
      <c r="D3171" s="851"/>
    </row>
    <row r="3172" spans="2:4" s="819" customFormat="1">
      <c r="B3172" s="851"/>
      <c r="C3172" s="851"/>
      <c r="D3172" s="851"/>
    </row>
    <row r="3173" spans="2:4" s="819" customFormat="1">
      <c r="B3173" s="851"/>
      <c r="C3173" s="851"/>
      <c r="D3173" s="851"/>
    </row>
    <row r="3174" spans="2:4" s="819" customFormat="1">
      <c r="B3174" s="851"/>
      <c r="C3174" s="851"/>
      <c r="D3174" s="851"/>
    </row>
    <row r="3175" spans="2:4" s="819" customFormat="1">
      <c r="B3175" s="851"/>
      <c r="C3175" s="851"/>
      <c r="D3175" s="851"/>
    </row>
    <row r="3176" spans="2:4" s="819" customFormat="1">
      <c r="B3176" s="851"/>
      <c r="C3176" s="851"/>
      <c r="D3176" s="851"/>
    </row>
    <row r="3177" spans="2:4" s="819" customFormat="1">
      <c r="B3177" s="851"/>
      <c r="C3177" s="851"/>
      <c r="D3177" s="851"/>
    </row>
    <row r="3178" spans="2:4" s="819" customFormat="1">
      <c r="B3178" s="851"/>
      <c r="C3178" s="851"/>
      <c r="D3178" s="851"/>
    </row>
    <row r="3179" spans="2:4" s="819" customFormat="1">
      <c r="B3179" s="851"/>
      <c r="C3179" s="851"/>
      <c r="D3179" s="851"/>
    </row>
    <row r="3180" spans="2:4" s="819" customFormat="1">
      <c r="B3180" s="851"/>
      <c r="C3180" s="851"/>
      <c r="D3180" s="851"/>
    </row>
    <row r="3181" spans="2:4" s="819" customFormat="1">
      <c r="B3181" s="851"/>
      <c r="C3181" s="851"/>
      <c r="D3181" s="851"/>
    </row>
    <row r="3182" spans="2:4" s="819" customFormat="1">
      <c r="B3182" s="851"/>
      <c r="C3182" s="851"/>
      <c r="D3182" s="851"/>
    </row>
    <row r="3183" spans="2:4" s="819" customFormat="1">
      <c r="B3183" s="851"/>
      <c r="C3183" s="851"/>
      <c r="D3183" s="851"/>
    </row>
    <row r="3184" spans="2:4" s="819" customFormat="1">
      <c r="B3184" s="851"/>
      <c r="C3184" s="851"/>
      <c r="D3184" s="851"/>
    </row>
    <row r="3185" spans="2:4" s="819" customFormat="1">
      <c r="B3185" s="851"/>
      <c r="C3185" s="851"/>
      <c r="D3185" s="851"/>
    </row>
    <row r="3186" spans="2:4" s="819" customFormat="1">
      <c r="B3186" s="851"/>
      <c r="C3186" s="851"/>
      <c r="D3186" s="851"/>
    </row>
    <row r="3187" spans="2:4" s="819" customFormat="1">
      <c r="B3187" s="851"/>
      <c r="C3187" s="851"/>
      <c r="D3187" s="851"/>
    </row>
    <row r="3188" spans="2:4" s="819" customFormat="1">
      <c r="B3188" s="851"/>
      <c r="C3188" s="851"/>
      <c r="D3188" s="851"/>
    </row>
    <row r="3189" spans="2:4" s="819" customFormat="1">
      <c r="B3189" s="851"/>
      <c r="C3189" s="851"/>
      <c r="D3189" s="851"/>
    </row>
    <row r="3190" spans="2:4" s="819" customFormat="1">
      <c r="B3190" s="851"/>
      <c r="C3190" s="851"/>
      <c r="D3190" s="851"/>
    </row>
    <row r="3191" spans="2:4" s="819" customFormat="1">
      <c r="B3191" s="851"/>
      <c r="C3191" s="851"/>
      <c r="D3191" s="851"/>
    </row>
    <row r="3192" spans="2:4" s="819" customFormat="1">
      <c r="B3192" s="851"/>
      <c r="C3192" s="851"/>
      <c r="D3192" s="851"/>
    </row>
    <row r="3193" spans="2:4" s="819" customFormat="1">
      <c r="B3193" s="851"/>
      <c r="C3193" s="851"/>
      <c r="D3193" s="851"/>
    </row>
    <row r="3194" spans="2:4" s="819" customFormat="1">
      <c r="B3194" s="851"/>
      <c r="C3194" s="851"/>
      <c r="D3194" s="851"/>
    </row>
    <row r="3195" spans="2:4" s="819" customFormat="1">
      <c r="B3195" s="851"/>
      <c r="C3195" s="851"/>
      <c r="D3195" s="851"/>
    </row>
    <row r="3196" spans="2:4" s="819" customFormat="1">
      <c r="B3196" s="851"/>
      <c r="C3196" s="851"/>
      <c r="D3196" s="851"/>
    </row>
    <row r="3197" spans="2:4" s="819" customFormat="1">
      <c r="B3197" s="851"/>
      <c r="C3197" s="851"/>
      <c r="D3197" s="851"/>
    </row>
    <row r="3198" spans="2:4" s="819" customFormat="1">
      <c r="B3198" s="851"/>
      <c r="C3198" s="851"/>
      <c r="D3198" s="851"/>
    </row>
    <row r="3199" spans="2:4" s="819" customFormat="1">
      <c r="B3199" s="851"/>
      <c r="C3199" s="851"/>
      <c r="D3199" s="851"/>
    </row>
    <row r="3200" spans="2:4" s="819" customFormat="1">
      <c r="B3200" s="851"/>
      <c r="C3200" s="851"/>
      <c r="D3200" s="851"/>
    </row>
    <row r="3201" spans="2:4" s="819" customFormat="1">
      <c r="B3201" s="851"/>
      <c r="C3201" s="851"/>
      <c r="D3201" s="851"/>
    </row>
    <row r="3202" spans="2:4" s="819" customFormat="1">
      <c r="B3202" s="851"/>
      <c r="C3202" s="851"/>
      <c r="D3202" s="851"/>
    </row>
    <row r="3203" spans="2:4" s="819" customFormat="1">
      <c r="B3203" s="851"/>
      <c r="C3203" s="851"/>
      <c r="D3203" s="851"/>
    </row>
    <row r="3204" spans="2:4" s="819" customFormat="1">
      <c r="B3204" s="851"/>
      <c r="C3204" s="851"/>
      <c r="D3204" s="851"/>
    </row>
    <row r="3205" spans="2:4" s="819" customFormat="1">
      <c r="B3205" s="851"/>
      <c r="C3205" s="851"/>
      <c r="D3205" s="851"/>
    </row>
    <row r="3206" spans="2:4" s="819" customFormat="1">
      <c r="B3206" s="851"/>
      <c r="C3206" s="851"/>
      <c r="D3206" s="851"/>
    </row>
    <row r="3207" spans="2:4" s="819" customFormat="1">
      <c r="B3207" s="851"/>
      <c r="C3207" s="851"/>
      <c r="D3207" s="851"/>
    </row>
    <row r="3208" spans="2:4" s="819" customFormat="1">
      <c r="B3208" s="851"/>
      <c r="C3208" s="851"/>
      <c r="D3208" s="851"/>
    </row>
    <row r="3209" spans="2:4" s="819" customFormat="1">
      <c r="B3209" s="851"/>
      <c r="C3209" s="851"/>
      <c r="D3209" s="851"/>
    </row>
    <row r="3210" spans="2:4" s="819" customFormat="1">
      <c r="B3210" s="851"/>
      <c r="C3210" s="851"/>
      <c r="D3210" s="851"/>
    </row>
    <row r="3211" spans="2:4" s="819" customFormat="1">
      <c r="B3211" s="851"/>
      <c r="C3211" s="851"/>
      <c r="D3211" s="851"/>
    </row>
    <row r="3212" spans="2:4" s="819" customFormat="1">
      <c r="B3212" s="851"/>
      <c r="C3212" s="851"/>
      <c r="D3212" s="851"/>
    </row>
    <row r="3213" spans="2:4" s="819" customFormat="1">
      <c r="B3213" s="851"/>
      <c r="C3213" s="851"/>
      <c r="D3213" s="851"/>
    </row>
    <row r="3214" spans="2:4" s="819" customFormat="1">
      <c r="B3214" s="851"/>
      <c r="C3214" s="851"/>
      <c r="D3214" s="851"/>
    </row>
    <row r="3215" spans="2:4" s="819" customFormat="1">
      <c r="B3215" s="851"/>
      <c r="C3215" s="851"/>
      <c r="D3215" s="851"/>
    </row>
    <row r="3216" spans="2:4" s="819" customFormat="1">
      <c r="B3216" s="851"/>
      <c r="C3216" s="851"/>
      <c r="D3216" s="851"/>
    </row>
    <row r="3217" spans="2:4" s="819" customFormat="1">
      <c r="B3217" s="851"/>
      <c r="C3217" s="851"/>
      <c r="D3217" s="851"/>
    </row>
    <row r="3218" spans="2:4" s="819" customFormat="1">
      <c r="B3218" s="851"/>
      <c r="C3218" s="851"/>
      <c r="D3218" s="851"/>
    </row>
    <row r="3219" spans="2:4" s="819" customFormat="1">
      <c r="B3219" s="851"/>
      <c r="C3219" s="851"/>
      <c r="D3219" s="851"/>
    </row>
    <row r="3220" spans="2:4" s="819" customFormat="1">
      <c r="B3220" s="851"/>
      <c r="C3220" s="851"/>
      <c r="D3220" s="851"/>
    </row>
    <row r="3221" spans="2:4" s="819" customFormat="1">
      <c r="B3221" s="851"/>
      <c r="C3221" s="851"/>
      <c r="D3221" s="851"/>
    </row>
    <row r="3222" spans="2:4" s="819" customFormat="1">
      <c r="B3222" s="851"/>
      <c r="C3222" s="851"/>
      <c r="D3222" s="851"/>
    </row>
    <row r="3223" spans="2:4" s="819" customFormat="1">
      <c r="B3223" s="851"/>
      <c r="C3223" s="851"/>
      <c r="D3223" s="851"/>
    </row>
    <row r="3224" spans="2:4" s="819" customFormat="1">
      <c r="B3224" s="851"/>
      <c r="C3224" s="851"/>
      <c r="D3224" s="851"/>
    </row>
    <row r="3225" spans="2:4" s="819" customFormat="1">
      <c r="B3225" s="851"/>
      <c r="C3225" s="851"/>
      <c r="D3225" s="851"/>
    </row>
    <row r="3226" spans="2:4" s="819" customFormat="1">
      <c r="B3226" s="851"/>
      <c r="C3226" s="851"/>
      <c r="D3226" s="851"/>
    </row>
    <row r="3227" spans="2:4" s="819" customFormat="1">
      <c r="B3227" s="851"/>
      <c r="C3227" s="851"/>
      <c r="D3227" s="851"/>
    </row>
    <row r="3228" spans="2:4" s="819" customFormat="1">
      <c r="B3228" s="851"/>
      <c r="C3228" s="851"/>
      <c r="D3228" s="851"/>
    </row>
    <row r="3229" spans="2:4" s="819" customFormat="1">
      <c r="B3229" s="851"/>
      <c r="C3229" s="851"/>
      <c r="D3229" s="851"/>
    </row>
    <row r="3230" spans="2:4" s="819" customFormat="1">
      <c r="B3230" s="851"/>
      <c r="C3230" s="851"/>
      <c r="D3230" s="851"/>
    </row>
    <row r="3231" spans="2:4" s="819" customFormat="1">
      <c r="B3231" s="851"/>
      <c r="C3231" s="851"/>
      <c r="D3231" s="851"/>
    </row>
    <row r="3232" spans="2:4" s="819" customFormat="1">
      <c r="B3232" s="851"/>
      <c r="C3232" s="851"/>
      <c r="D3232" s="851"/>
    </row>
    <row r="3233" spans="2:4" s="819" customFormat="1">
      <c r="B3233" s="851"/>
      <c r="C3233" s="851"/>
      <c r="D3233" s="851"/>
    </row>
    <row r="3234" spans="2:4" s="819" customFormat="1">
      <c r="B3234" s="851"/>
      <c r="C3234" s="851"/>
      <c r="D3234" s="851"/>
    </row>
    <row r="3235" spans="2:4" s="819" customFormat="1">
      <c r="B3235" s="851"/>
      <c r="C3235" s="851"/>
      <c r="D3235" s="851"/>
    </row>
    <row r="3236" spans="2:4" s="819" customFormat="1">
      <c r="B3236" s="851"/>
      <c r="C3236" s="851"/>
      <c r="D3236" s="851"/>
    </row>
    <row r="3237" spans="2:4" s="819" customFormat="1">
      <c r="B3237" s="851"/>
      <c r="C3237" s="851"/>
      <c r="D3237" s="851"/>
    </row>
    <row r="3238" spans="2:4" s="819" customFormat="1">
      <c r="B3238" s="851"/>
      <c r="C3238" s="851"/>
      <c r="D3238" s="851"/>
    </row>
    <row r="3239" spans="2:4" s="819" customFormat="1">
      <c r="B3239" s="851"/>
      <c r="C3239" s="851"/>
      <c r="D3239" s="851"/>
    </row>
    <row r="3240" spans="2:4" s="819" customFormat="1">
      <c r="B3240" s="851"/>
      <c r="C3240" s="851"/>
      <c r="D3240" s="851"/>
    </row>
    <row r="3241" spans="2:4" s="819" customFormat="1">
      <c r="B3241" s="851"/>
      <c r="C3241" s="851"/>
      <c r="D3241" s="851"/>
    </row>
    <row r="3242" spans="2:4" s="819" customFormat="1">
      <c r="B3242" s="851"/>
      <c r="C3242" s="851"/>
      <c r="D3242" s="851"/>
    </row>
    <row r="3243" spans="2:4" s="819" customFormat="1">
      <c r="B3243" s="851"/>
      <c r="C3243" s="851"/>
      <c r="D3243" s="851"/>
    </row>
    <row r="3244" spans="2:4" s="819" customFormat="1">
      <c r="B3244" s="851"/>
      <c r="C3244" s="851"/>
      <c r="D3244" s="851"/>
    </row>
    <row r="3245" spans="2:4" s="819" customFormat="1">
      <c r="B3245" s="851"/>
      <c r="C3245" s="851"/>
      <c r="D3245" s="851"/>
    </row>
    <row r="3246" spans="2:4" s="819" customFormat="1">
      <c r="B3246" s="851"/>
      <c r="C3246" s="851"/>
      <c r="D3246" s="851"/>
    </row>
    <row r="3247" spans="2:4" s="819" customFormat="1">
      <c r="B3247" s="851"/>
      <c r="C3247" s="851"/>
      <c r="D3247" s="851"/>
    </row>
    <row r="3248" spans="2:4" s="819" customFormat="1">
      <c r="B3248" s="851"/>
      <c r="C3248" s="851"/>
      <c r="D3248" s="851"/>
    </row>
    <row r="3249" spans="2:4" s="819" customFormat="1">
      <c r="B3249" s="851"/>
      <c r="C3249" s="851"/>
      <c r="D3249" s="851"/>
    </row>
    <row r="3250" spans="2:4" s="819" customFormat="1">
      <c r="B3250" s="851"/>
      <c r="C3250" s="851"/>
      <c r="D3250" s="851"/>
    </row>
    <row r="3251" spans="2:4" s="819" customFormat="1">
      <c r="B3251" s="851"/>
      <c r="C3251" s="851"/>
      <c r="D3251" s="851"/>
    </row>
    <row r="3252" spans="2:4" s="819" customFormat="1">
      <c r="B3252" s="851"/>
      <c r="C3252" s="851"/>
      <c r="D3252" s="851"/>
    </row>
    <row r="3253" spans="2:4" s="819" customFormat="1">
      <c r="B3253" s="851"/>
      <c r="C3253" s="851"/>
      <c r="D3253" s="851"/>
    </row>
    <row r="3254" spans="2:4" s="819" customFormat="1">
      <c r="B3254" s="851"/>
      <c r="C3254" s="851"/>
      <c r="D3254" s="851"/>
    </row>
    <row r="3255" spans="2:4" s="819" customFormat="1">
      <c r="B3255" s="851"/>
      <c r="C3255" s="851"/>
      <c r="D3255" s="851"/>
    </row>
    <row r="3256" spans="2:4" s="819" customFormat="1">
      <c r="B3256" s="851"/>
      <c r="C3256" s="851"/>
      <c r="D3256" s="851"/>
    </row>
    <row r="3257" spans="2:4" s="819" customFormat="1">
      <c r="B3257" s="851"/>
      <c r="C3257" s="851"/>
      <c r="D3257" s="851"/>
    </row>
    <row r="3258" spans="2:4" s="819" customFormat="1">
      <c r="B3258" s="851"/>
      <c r="C3258" s="851"/>
      <c r="D3258" s="851"/>
    </row>
    <row r="3259" spans="2:4" s="819" customFormat="1">
      <c r="B3259" s="851"/>
      <c r="C3259" s="851"/>
      <c r="D3259" s="851"/>
    </row>
    <row r="3260" spans="2:4" s="819" customFormat="1">
      <c r="B3260" s="851"/>
      <c r="C3260" s="851"/>
      <c r="D3260" s="851"/>
    </row>
    <row r="3261" spans="2:4" s="819" customFormat="1">
      <c r="B3261" s="851"/>
      <c r="C3261" s="851"/>
      <c r="D3261" s="851"/>
    </row>
    <row r="3262" spans="2:4" s="819" customFormat="1">
      <c r="B3262" s="851"/>
      <c r="C3262" s="851"/>
      <c r="D3262" s="851"/>
    </row>
    <row r="3263" spans="2:4" s="819" customFormat="1">
      <c r="B3263" s="851"/>
      <c r="C3263" s="851"/>
      <c r="D3263" s="851"/>
    </row>
    <row r="3264" spans="2:4" s="819" customFormat="1">
      <c r="B3264" s="851"/>
      <c r="C3264" s="851"/>
      <c r="D3264" s="851"/>
    </row>
    <row r="3265" spans="2:4" s="819" customFormat="1">
      <c r="B3265" s="851"/>
      <c r="C3265" s="851"/>
      <c r="D3265" s="851"/>
    </row>
    <row r="3266" spans="2:4" s="819" customFormat="1">
      <c r="B3266" s="851"/>
      <c r="C3266" s="851"/>
      <c r="D3266" s="851"/>
    </row>
    <row r="3267" spans="2:4" s="819" customFormat="1">
      <c r="B3267" s="851"/>
      <c r="C3267" s="851"/>
      <c r="D3267" s="851"/>
    </row>
    <row r="3268" spans="2:4" s="819" customFormat="1">
      <c r="B3268" s="851"/>
      <c r="C3268" s="851"/>
      <c r="D3268" s="851"/>
    </row>
    <row r="3269" spans="2:4" s="819" customFormat="1">
      <c r="B3269" s="851"/>
      <c r="C3269" s="851"/>
      <c r="D3269" s="851"/>
    </row>
    <row r="3270" spans="2:4" s="819" customFormat="1">
      <c r="B3270" s="851"/>
      <c r="C3270" s="851"/>
      <c r="D3270" s="851"/>
    </row>
    <row r="3271" spans="2:4" s="819" customFormat="1">
      <c r="B3271" s="851"/>
      <c r="C3271" s="851"/>
      <c r="D3271" s="851"/>
    </row>
    <row r="3272" spans="2:4" s="819" customFormat="1">
      <c r="B3272" s="851"/>
      <c r="C3272" s="851"/>
      <c r="D3272" s="851"/>
    </row>
    <row r="3273" spans="2:4" s="819" customFormat="1">
      <c r="B3273" s="851"/>
      <c r="C3273" s="851"/>
      <c r="D3273" s="851"/>
    </row>
    <row r="3274" spans="2:4" s="819" customFormat="1">
      <c r="B3274" s="851"/>
      <c r="C3274" s="851"/>
      <c r="D3274" s="851"/>
    </row>
    <row r="3275" spans="2:4" s="819" customFormat="1">
      <c r="B3275" s="851"/>
      <c r="C3275" s="851"/>
      <c r="D3275" s="851"/>
    </row>
    <row r="3276" spans="2:4" s="819" customFormat="1">
      <c r="B3276" s="851"/>
      <c r="C3276" s="851"/>
      <c r="D3276" s="851"/>
    </row>
    <row r="3277" spans="2:4" s="819" customFormat="1">
      <c r="B3277" s="851"/>
      <c r="C3277" s="851"/>
      <c r="D3277" s="851"/>
    </row>
    <row r="3278" spans="2:4" s="819" customFormat="1">
      <c r="B3278" s="851"/>
      <c r="C3278" s="851"/>
      <c r="D3278" s="851"/>
    </row>
    <row r="3279" spans="2:4" s="819" customFormat="1">
      <c r="B3279" s="851"/>
      <c r="C3279" s="851"/>
      <c r="D3279" s="851"/>
    </row>
    <row r="3280" spans="2:4" s="819" customFormat="1">
      <c r="B3280" s="851"/>
      <c r="C3280" s="851"/>
      <c r="D3280" s="851"/>
    </row>
    <row r="3281" spans="2:4" s="819" customFormat="1">
      <c r="B3281" s="851"/>
      <c r="C3281" s="851"/>
      <c r="D3281" s="851"/>
    </row>
    <row r="3282" spans="2:4" s="819" customFormat="1">
      <c r="B3282" s="851"/>
      <c r="C3282" s="851"/>
      <c r="D3282" s="851"/>
    </row>
    <row r="3283" spans="2:4" s="819" customFormat="1">
      <c r="B3283" s="851"/>
      <c r="C3283" s="851"/>
      <c r="D3283" s="851"/>
    </row>
    <row r="3284" spans="2:4" s="819" customFormat="1">
      <c r="B3284" s="851"/>
      <c r="C3284" s="851"/>
      <c r="D3284" s="851"/>
    </row>
    <row r="3285" spans="2:4" s="819" customFormat="1">
      <c r="B3285" s="851"/>
      <c r="C3285" s="851"/>
      <c r="D3285" s="851"/>
    </row>
    <row r="3286" spans="2:4" s="819" customFormat="1">
      <c r="B3286" s="851"/>
      <c r="C3286" s="851"/>
      <c r="D3286" s="851"/>
    </row>
    <row r="3287" spans="2:4" s="819" customFormat="1">
      <c r="B3287" s="851"/>
      <c r="C3287" s="851"/>
      <c r="D3287" s="851"/>
    </row>
    <row r="3288" spans="2:4" s="819" customFormat="1">
      <c r="B3288" s="851"/>
      <c r="C3288" s="851"/>
      <c r="D3288" s="851"/>
    </row>
    <row r="3289" spans="2:4" s="819" customFormat="1">
      <c r="B3289" s="851"/>
      <c r="C3289" s="851"/>
      <c r="D3289" s="851"/>
    </row>
    <row r="3290" spans="2:4" s="819" customFormat="1">
      <c r="B3290" s="851"/>
      <c r="C3290" s="851"/>
      <c r="D3290" s="851"/>
    </row>
    <row r="3291" spans="2:4" s="819" customFormat="1">
      <c r="B3291" s="851"/>
      <c r="C3291" s="851"/>
      <c r="D3291" s="851"/>
    </row>
    <row r="3292" spans="2:4" s="819" customFormat="1">
      <c r="B3292" s="851"/>
      <c r="C3292" s="851"/>
      <c r="D3292" s="851"/>
    </row>
    <row r="3293" spans="2:4" s="819" customFormat="1">
      <c r="B3293" s="851"/>
      <c r="C3293" s="851"/>
      <c r="D3293" s="851"/>
    </row>
    <row r="3294" spans="2:4" s="819" customFormat="1">
      <c r="B3294" s="851"/>
      <c r="C3294" s="851"/>
      <c r="D3294" s="851"/>
    </row>
    <row r="3295" spans="2:4" s="819" customFormat="1">
      <c r="B3295" s="851"/>
      <c r="C3295" s="851"/>
      <c r="D3295" s="851"/>
    </row>
    <row r="3296" spans="2:4" s="819" customFormat="1">
      <c r="B3296" s="851"/>
      <c r="C3296" s="851"/>
      <c r="D3296" s="851"/>
    </row>
    <row r="3297" spans="2:4" s="819" customFormat="1">
      <c r="B3297" s="851"/>
      <c r="C3297" s="851"/>
      <c r="D3297" s="851"/>
    </row>
    <row r="3298" spans="2:4" s="819" customFormat="1">
      <c r="B3298" s="851"/>
      <c r="C3298" s="851"/>
      <c r="D3298" s="851"/>
    </row>
    <row r="3299" spans="2:4" s="819" customFormat="1">
      <c r="B3299" s="851"/>
      <c r="C3299" s="851"/>
      <c r="D3299" s="851"/>
    </row>
    <row r="3300" spans="2:4" s="819" customFormat="1">
      <c r="B3300" s="851"/>
      <c r="C3300" s="851"/>
      <c r="D3300" s="851"/>
    </row>
    <row r="3301" spans="2:4" s="819" customFormat="1">
      <c r="B3301" s="851"/>
      <c r="C3301" s="851"/>
      <c r="D3301" s="851"/>
    </row>
    <row r="3302" spans="2:4" s="819" customFormat="1">
      <c r="B3302" s="851"/>
      <c r="C3302" s="851"/>
      <c r="D3302" s="851"/>
    </row>
    <row r="3303" spans="2:4" s="819" customFormat="1">
      <c r="B3303" s="851"/>
      <c r="C3303" s="851"/>
      <c r="D3303" s="851"/>
    </row>
    <row r="3304" spans="2:4" s="819" customFormat="1">
      <c r="B3304" s="851"/>
      <c r="C3304" s="851"/>
      <c r="D3304" s="851"/>
    </row>
    <row r="3305" spans="2:4" s="819" customFormat="1">
      <c r="B3305" s="851"/>
      <c r="C3305" s="851"/>
      <c r="D3305" s="851"/>
    </row>
    <row r="3306" spans="2:4" s="819" customFormat="1">
      <c r="B3306" s="851"/>
      <c r="C3306" s="851"/>
      <c r="D3306" s="851"/>
    </row>
    <row r="3307" spans="2:4" s="819" customFormat="1">
      <c r="B3307" s="851"/>
      <c r="C3307" s="851"/>
      <c r="D3307" s="851"/>
    </row>
    <row r="3308" spans="2:4" s="819" customFormat="1">
      <c r="B3308" s="851"/>
      <c r="C3308" s="851"/>
      <c r="D3308" s="851"/>
    </row>
    <row r="3309" spans="2:4" s="819" customFormat="1">
      <c r="B3309" s="851"/>
      <c r="C3309" s="851"/>
      <c r="D3309" s="851"/>
    </row>
    <row r="3310" spans="2:4" s="819" customFormat="1">
      <c r="B3310" s="851"/>
      <c r="C3310" s="851"/>
      <c r="D3310" s="851"/>
    </row>
    <row r="3311" spans="2:4" s="819" customFormat="1">
      <c r="B3311" s="851"/>
      <c r="C3311" s="851"/>
      <c r="D3311" s="851"/>
    </row>
    <row r="3312" spans="2:4" s="819" customFormat="1">
      <c r="B3312" s="851"/>
      <c r="C3312" s="851"/>
      <c r="D3312" s="851"/>
    </row>
    <row r="3313" spans="2:4" s="819" customFormat="1">
      <c r="B3313" s="851"/>
      <c r="C3313" s="851"/>
      <c r="D3313" s="851"/>
    </row>
    <row r="3314" spans="2:4" s="819" customFormat="1">
      <c r="B3314" s="851"/>
      <c r="C3314" s="851"/>
      <c r="D3314" s="851"/>
    </row>
    <row r="3315" spans="2:4" s="819" customFormat="1">
      <c r="B3315" s="851"/>
      <c r="C3315" s="851"/>
      <c r="D3315" s="851"/>
    </row>
    <row r="3316" spans="2:4" s="819" customFormat="1">
      <c r="B3316" s="851"/>
      <c r="C3316" s="851"/>
      <c r="D3316" s="851"/>
    </row>
    <row r="3317" spans="2:4" s="819" customFormat="1">
      <c r="B3317" s="851"/>
      <c r="C3317" s="851"/>
      <c r="D3317" s="851"/>
    </row>
    <row r="3318" spans="2:4" s="819" customFormat="1">
      <c r="B3318" s="851"/>
      <c r="C3318" s="851"/>
      <c r="D3318" s="851"/>
    </row>
    <row r="3319" spans="2:4" s="819" customFormat="1">
      <c r="B3319" s="851"/>
      <c r="C3319" s="851"/>
      <c r="D3319" s="851"/>
    </row>
    <row r="3320" spans="2:4" s="819" customFormat="1">
      <c r="B3320" s="851"/>
      <c r="C3320" s="851"/>
      <c r="D3320" s="851"/>
    </row>
    <row r="3321" spans="2:4" s="819" customFormat="1">
      <c r="B3321" s="851"/>
      <c r="C3321" s="851"/>
      <c r="D3321" s="851"/>
    </row>
    <row r="3322" spans="2:4" s="819" customFormat="1">
      <c r="B3322" s="851"/>
      <c r="C3322" s="851"/>
      <c r="D3322" s="851"/>
    </row>
    <row r="3323" spans="2:4" s="819" customFormat="1">
      <c r="B3323" s="851"/>
      <c r="C3323" s="851"/>
      <c r="D3323" s="851"/>
    </row>
    <row r="3324" spans="2:4" s="819" customFormat="1">
      <c r="B3324" s="851"/>
      <c r="C3324" s="851"/>
      <c r="D3324" s="851"/>
    </row>
    <row r="3325" spans="2:4" s="819" customFormat="1">
      <c r="B3325" s="851"/>
      <c r="C3325" s="851"/>
      <c r="D3325" s="851"/>
    </row>
    <row r="3326" spans="2:4" s="819" customFormat="1">
      <c r="B3326" s="851"/>
      <c r="C3326" s="851"/>
      <c r="D3326" s="851"/>
    </row>
    <row r="3327" spans="2:4" s="819" customFormat="1">
      <c r="B3327" s="851"/>
      <c r="C3327" s="851"/>
      <c r="D3327" s="851"/>
    </row>
    <row r="3328" spans="2:4" s="819" customFormat="1">
      <c r="B3328" s="851"/>
      <c r="C3328" s="851"/>
      <c r="D3328" s="851"/>
    </row>
    <row r="3329" spans="2:4" s="819" customFormat="1">
      <c r="B3329" s="851"/>
      <c r="C3329" s="851"/>
      <c r="D3329" s="851"/>
    </row>
    <row r="3330" spans="2:4" s="819" customFormat="1">
      <c r="B3330" s="851"/>
      <c r="C3330" s="851"/>
      <c r="D3330" s="851"/>
    </row>
    <row r="3331" spans="2:4" s="819" customFormat="1">
      <c r="B3331" s="851"/>
      <c r="C3331" s="851"/>
      <c r="D3331" s="851"/>
    </row>
    <row r="3332" spans="2:4" s="819" customFormat="1">
      <c r="B3332" s="851"/>
      <c r="C3332" s="851"/>
      <c r="D3332" s="851"/>
    </row>
    <row r="3333" spans="2:4" s="819" customFormat="1">
      <c r="B3333" s="851"/>
      <c r="C3333" s="851"/>
      <c r="D3333" s="851"/>
    </row>
    <row r="3334" spans="2:4" s="819" customFormat="1">
      <c r="B3334" s="851"/>
      <c r="C3334" s="851"/>
      <c r="D3334" s="851"/>
    </row>
    <row r="3335" spans="2:4" s="819" customFormat="1">
      <c r="B3335" s="851"/>
      <c r="C3335" s="851"/>
      <c r="D3335" s="851"/>
    </row>
    <row r="3336" spans="2:4" s="819" customFormat="1">
      <c r="B3336" s="851"/>
      <c r="C3336" s="851"/>
      <c r="D3336" s="851"/>
    </row>
    <row r="3337" spans="2:4" s="819" customFormat="1">
      <c r="B3337" s="851"/>
      <c r="C3337" s="851"/>
      <c r="D3337" s="851"/>
    </row>
    <row r="3338" spans="2:4" s="819" customFormat="1">
      <c r="B3338" s="851"/>
      <c r="C3338" s="851"/>
      <c r="D3338" s="851"/>
    </row>
    <row r="3339" spans="2:4" s="819" customFormat="1">
      <c r="B3339" s="851"/>
      <c r="C3339" s="851"/>
      <c r="D3339" s="851"/>
    </row>
    <row r="3340" spans="2:4" s="819" customFormat="1">
      <c r="B3340" s="851"/>
      <c r="C3340" s="851"/>
      <c r="D3340" s="851"/>
    </row>
    <row r="3341" spans="2:4" s="819" customFormat="1">
      <c r="B3341" s="851"/>
      <c r="C3341" s="851"/>
      <c r="D3341" s="851"/>
    </row>
    <row r="3342" spans="2:4" s="819" customFormat="1">
      <c r="B3342" s="851"/>
      <c r="C3342" s="851"/>
      <c r="D3342" s="851"/>
    </row>
    <row r="3343" spans="2:4" s="819" customFormat="1">
      <c r="B3343" s="851"/>
      <c r="C3343" s="851"/>
      <c r="D3343" s="851"/>
    </row>
    <row r="3344" spans="2:4" s="819" customFormat="1">
      <c r="B3344" s="851"/>
      <c r="C3344" s="851"/>
      <c r="D3344" s="851"/>
    </row>
    <row r="3345" spans="2:4" s="819" customFormat="1">
      <c r="B3345" s="851"/>
      <c r="C3345" s="851"/>
      <c r="D3345" s="851"/>
    </row>
    <row r="3346" spans="2:4" s="819" customFormat="1">
      <c r="B3346" s="851"/>
      <c r="C3346" s="851"/>
      <c r="D3346" s="851"/>
    </row>
    <row r="3347" spans="2:4" s="819" customFormat="1">
      <c r="B3347" s="851"/>
      <c r="C3347" s="851"/>
      <c r="D3347" s="851"/>
    </row>
    <row r="3348" spans="2:4" s="819" customFormat="1">
      <c r="B3348" s="851"/>
      <c r="C3348" s="851"/>
      <c r="D3348" s="851"/>
    </row>
    <row r="3349" spans="2:4" s="819" customFormat="1">
      <c r="B3349" s="851"/>
      <c r="C3349" s="851"/>
      <c r="D3349" s="851"/>
    </row>
    <row r="3350" spans="2:4" s="819" customFormat="1">
      <c r="B3350" s="851"/>
      <c r="C3350" s="851"/>
      <c r="D3350" s="851"/>
    </row>
    <row r="3351" spans="2:4" s="819" customFormat="1">
      <c r="B3351" s="851"/>
      <c r="C3351" s="851"/>
      <c r="D3351" s="851"/>
    </row>
    <row r="3352" spans="2:4" s="819" customFormat="1">
      <c r="B3352" s="851"/>
      <c r="C3352" s="851"/>
      <c r="D3352" s="851"/>
    </row>
  </sheetData>
  <sheetProtection selectLockedCells="1"/>
  <mergeCells count="8">
    <mergeCell ref="B5:G5"/>
    <mergeCell ref="J8:O8"/>
    <mergeCell ref="P8:T8"/>
    <mergeCell ref="V8:V9"/>
    <mergeCell ref="B8:B9"/>
    <mergeCell ref="C8:C9"/>
    <mergeCell ref="D8:D9"/>
    <mergeCell ref="H8:I8"/>
  </mergeCells>
  <phoneticPr fontId="11" type="noConversion"/>
  <conditionalFormatting sqref="C31:C32">
    <cfRule type="colorScale" priority="5">
      <colorScale>
        <cfvo type="min" val="0"/>
        <cfvo type="percentile" val="50"/>
        <cfvo type="max" val="0"/>
        <color rgb="FFF8696B"/>
        <color rgb="FFFFEB84"/>
        <color rgb="FF63BE7B"/>
      </colorScale>
    </cfRule>
  </conditionalFormatting>
  <conditionalFormatting sqref="C32:C33">
    <cfRule type="colorScale" priority="4">
      <colorScale>
        <cfvo type="min" val="0"/>
        <cfvo type="percentile" val="50"/>
        <cfvo type="max" val="0"/>
        <color rgb="FFF8696B"/>
        <color rgb="FFFFEB84"/>
        <color rgb="FF63BE7B"/>
      </colorScale>
    </cfRule>
  </conditionalFormatting>
  <conditionalFormatting sqref="C27:C28">
    <cfRule type="colorScale" priority="3">
      <colorScale>
        <cfvo type="min" val="0"/>
        <cfvo type="percentile" val="50"/>
        <cfvo type="max" val="0"/>
        <color rgb="FFF8696B"/>
        <color rgb="FFFFEB84"/>
        <color rgb="FF63BE7B"/>
      </colorScale>
    </cfRule>
  </conditionalFormatting>
  <conditionalFormatting sqref="C28:C29">
    <cfRule type="colorScale" priority="2">
      <colorScale>
        <cfvo type="min" val="0"/>
        <cfvo type="percentile" val="50"/>
        <cfvo type="max" val="0"/>
        <color rgb="FFF8696B"/>
        <color rgb="FFFFEB84"/>
        <color rgb="FF63BE7B"/>
      </colorScale>
    </cfRule>
  </conditionalFormatting>
  <conditionalFormatting sqref="C28">
    <cfRule type="colorScale" priority="1">
      <colorScale>
        <cfvo type="min" val="0"/>
        <cfvo type="percentile" val="50"/>
        <cfvo type="max" val="0"/>
        <color rgb="FFF8696B"/>
        <color rgb="FFFFEB84"/>
        <color rgb="FF63BE7B"/>
      </colorScale>
    </cfRule>
  </conditionalFormatting>
  <dataValidations count="1">
    <dataValidation type="decimal" allowBlank="1" showInputMessage="1" showErrorMessage="1" sqref="I46:U1048576 H10:J15 J16:J22 H6:H8 I1:U9 H46:H64356 H16:I45 K10:U45 J24:J45 E1:H4 E6:G64356">
      <formula1>-999999999999999000000</formula1>
      <formula2>9.99999999999999E+29</formula2>
    </dataValidation>
  </dataValidations>
  <hyperlinks>
    <hyperlink ref="A1" location="Index!A1" display="Index sheet"/>
  </hyperlinks>
  <printOptions horizontalCentered="1"/>
  <pageMargins left="0.5" right="0.25" top="0.5" bottom="0.5" header="0.25" footer="0.25"/>
  <pageSetup paperSize="9" scale="60" pageOrder="overThenDown" orientation="landscape" blackAndWhite="1" r:id="rId1"/>
  <headerFooter alignWithMargins="0"/>
</worksheet>
</file>

<file path=xl/worksheets/sheet16.xml><?xml version="1.0" encoding="utf-8"?>
<worksheet xmlns="http://schemas.openxmlformats.org/spreadsheetml/2006/main" xmlns:r="http://schemas.openxmlformats.org/officeDocument/2006/relationships">
  <sheetPr codeName="Sheet13">
    <pageSetUpPr fitToPage="1"/>
  </sheetPr>
  <dimension ref="A1:J46"/>
  <sheetViews>
    <sheetView showWhiteSpace="0" view="pageBreakPreview" zoomScaleSheetLayoutView="100" workbookViewId="0">
      <selection activeCell="M64" sqref="M64"/>
    </sheetView>
  </sheetViews>
  <sheetFormatPr defaultRowHeight="12.75"/>
  <cols>
    <col min="1" max="1" width="9.140625" style="121"/>
    <col min="2" max="2" width="0" style="121" hidden="1" customWidth="1"/>
    <col min="3" max="3" width="10.140625" style="121" customWidth="1"/>
    <col min="4" max="4" width="28.42578125" style="121" bestFit="1" customWidth="1"/>
    <col min="5" max="5" width="10.7109375" style="121" customWidth="1"/>
    <col min="6" max="7" width="12.7109375" style="382" customWidth="1"/>
    <col min="8" max="8" width="15.42578125" style="382" customWidth="1"/>
    <col min="9" max="9" width="16.140625" style="382" customWidth="1"/>
    <col min="10" max="10" width="20.7109375" style="424" customWidth="1"/>
    <col min="11" max="16384" width="9.140625" style="121"/>
  </cols>
  <sheetData>
    <row r="1" spans="1:10">
      <c r="A1" s="371" t="s">
        <v>396</v>
      </c>
    </row>
    <row r="2" spans="1:10" hidden="1"/>
    <row r="3" spans="1:10">
      <c r="C3" s="305" t="s">
        <v>270</v>
      </c>
      <c r="D3" s="305" t="s">
        <v>420</v>
      </c>
      <c r="E3" s="453"/>
    </row>
    <row r="4" spans="1:10">
      <c r="C4" s="305"/>
      <c r="D4" s="305"/>
      <c r="E4" s="453"/>
    </row>
    <row r="5" spans="1:10">
      <c r="C5" s="789"/>
      <c r="D5" s="1841" t="s">
        <v>557</v>
      </c>
      <c r="E5" s="1841"/>
      <c r="F5" s="1841"/>
      <c r="G5" s="1841"/>
      <c r="H5" s="1841"/>
      <c r="I5" s="1841"/>
      <c r="J5" s="1842"/>
    </row>
    <row r="6" spans="1:10">
      <c r="C6" s="790"/>
      <c r="D6" s="791"/>
      <c r="E6" s="791"/>
      <c r="F6" s="791"/>
      <c r="G6" s="791"/>
      <c r="H6" s="791"/>
      <c r="I6" s="791"/>
      <c r="J6" s="792"/>
    </row>
    <row r="7" spans="1:10">
      <c r="C7" s="793"/>
      <c r="D7" s="375"/>
      <c r="E7" s="375"/>
      <c r="F7" s="375"/>
      <c r="G7" s="375"/>
      <c r="H7" s="375"/>
      <c r="I7" s="375"/>
      <c r="J7" s="375"/>
    </row>
    <row r="8" spans="1:10">
      <c r="C8" s="793"/>
      <c r="D8" s="375"/>
      <c r="E8" s="375"/>
      <c r="F8" s="375"/>
      <c r="G8" s="375"/>
      <c r="H8" s="375"/>
      <c r="I8" s="375"/>
      <c r="J8" s="375"/>
    </row>
    <row r="9" spans="1:10" ht="13.5" hidden="1" thickBot="1">
      <c r="A9" s="305"/>
      <c r="B9" s="305"/>
      <c r="C9" s="305" t="s">
        <v>645</v>
      </c>
    </row>
    <row r="10" spans="1:10" ht="45.75" hidden="1" customHeight="1">
      <c r="C10" s="267" t="s">
        <v>231</v>
      </c>
      <c r="D10" s="268" t="s">
        <v>265</v>
      </c>
      <c r="E10" s="268" t="s">
        <v>59</v>
      </c>
      <c r="F10" s="1512" t="s">
        <v>266</v>
      </c>
      <c r="G10" s="1512" t="s">
        <v>267</v>
      </c>
      <c r="H10" s="1512" t="s">
        <v>388</v>
      </c>
      <c r="I10" s="1512" t="s">
        <v>389</v>
      </c>
      <c r="J10" s="1513" t="s">
        <v>365</v>
      </c>
    </row>
    <row r="11" spans="1:10" hidden="1">
      <c r="C11" s="794">
        <v>1</v>
      </c>
      <c r="D11" s="795" t="s">
        <v>336</v>
      </c>
      <c r="E11" s="796"/>
      <c r="F11" s="797">
        <f>SUM(F12:F15)</f>
        <v>0</v>
      </c>
      <c r="G11" s="797">
        <f>SUM(G12:G15)</f>
        <v>0</v>
      </c>
      <c r="H11" s="797">
        <f>IF(F11=0,0,I11/F11*10)</f>
        <v>0</v>
      </c>
      <c r="I11" s="797">
        <f>SUM(I12:I15)</f>
        <v>0</v>
      </c>
      <c r="J11" s="798"/>
    </row>
    <row r="12" spans="1:10" hidden="1">
      <c r="B12" s="121">
        <v>1003</v>
      </c>
      <c r="C12" s="799" t="s">
        <v>63</v>
      </c>
      <c r="D12" s="800" t="s">
        <v>337</v>
      </c>
      <c r="E12" s="796"/>
      <c r="F12" s="801"/>
      <c r="G12" s="801"/>
      <c r="H12" s="802"/>
      <c r="I12" s="802"/>
      <c r="J12" s="798"/>
    </row>
    <row r="13" spans="1:10" hidden="1">
      <c r="B13" s="121">
        <v>1001</v>
      </c>
      <c r="C13" s="799" t="s">
        <v>66</v>
      </c>
      <c r="D13" s="800" t="s">
        <v>338</v>
      </c>
      <c r="E13" s="723"/>
      <c r="F13" s="802"/>
      <c r="G13" s="802"/>
      <c r="H13" s="802"/>
      <c r="I13" s="802"/>
      <c r="J13" s="798"/>
    </row>
    <row r="14" spans="1:10" hidden="1">
      <c r="B14" s="121">
        <v>1004</v>
      </c>
      <c r="C14" s="799" t="s">
        <v>69</v>
      </c>
      <c r="D14" s="800" t="s">
        <v>339</v>
      </c>
      <c r="E14" s="723"/>
      <c r="F14" s="802"/>
      <c r="G14" s="802"/>
      <c r="H14" s="802"/>
      <c r="I14" s="802"/>
      <c r="J14" s="798"/>
    </row>
    <row r="15" spans="1:10" hidden="1">
      <c r="B15" s="121">
        <v>1002</v>
      </c>
      <c r="C15" s="799" t="s">
        <v>72</v>
      </c>
      <c r="D15" s="800" t="s">
        <v>340</v>
      </c>
      <c r="E15" s="723"/>
      <c r="F15" s="802"/>
      <c r="G15" s="802"/>
      <c r="H15" s="802"/>
      <c r="I15" s="802"/>
      <c r="J15" s="798"/>
    </row>
    <row r="16" spans="1:10" ht="25.5" hidden="1">
      <c r="C16" s="803">
        <v>2</v>
      </c>
      <c r="D16" s="804" t="s">
        <v>504</v>
      </c>
      <c r="E16" s="723"/>
      <c r="F16" s="805">
        <f>SUM(F17:F19)</f>
        <v>0</v>
      </c>
      <c r="G16" s="805">
        <f>SUM(G17:G19)</f>
        <v>0</v>
      </c>
      <c r="H16" s="797">
        <f>IF(F16=0,0,I16/F16*10)</f>
        <v>0</v>
      </c>
      <c r="I16" s="805">
        <f>SUM(I17:I19)</f>
        <v>0</v>
      </c>
      <c r="J16" s="798"/>
    </row>
    <row r="17" spans="1:10" hidden="1">
      <c r="C17" s="799" t="s">
        <v>63</v>
      </c>
      <c r="D17" s="806" t="s">
        <v>563</v>
      </c>
      <c r="E17" s="723"/>
      <c r="F17" s="802"/>
      <c r="G17" s="802"/>
      <c r="H17" s="802"/>
      <c r="I17" s="802"/>
      <c r="J17" s="798"/>
    </row>
    <row r="18" spans="1:10" hidden="1">
      <c r="C18" s="799" t="s">
        <v>66</v>
      </c>
      <c r="D18" s="806" t="s">
        <v>564</v>
      </c>
      <c r="E18" s="723"/>
      <c r="F18" s="802"/>
      <c r="G18" s="802"/>
      <c r="H18" s="802"/>
      <c r="I18" s="802"/>
      <c r="J18" s="798"/>
    </row>
    <row r="19" spans="1:10" hidden="1">
      <c r="C19" s="799" t="s">
        <v>69</v>
      </c>
      <c r="D19" s="806" t="s">
        <v>565</v>
      </c>
      <c r="E19" s="723"/>
      <c r="F19" s="802"/>
      <c r="G19" s="802"/>
      <c r="H19" s="802"/>
      <c r="I19" s="802"/>
      <c r="J19" s="798"/>
    </row>
    <row r="20" spans="1:10" ht="13.5" hidden="1" thickBot="1">
      <c r="C20" s="317" t="s">
        <v>98</v>
      </c>
      <c r="D20" s="786"/>
      <c r="E20" s="786"/>
      <c r="F20" s="807">
        <f>SUM(F16,F11)</f>
        <v>0</v>
      </c>
      <c r="G20" s="807">
        <f>SUM(G16,G11)</f>
        <v>0</v>
      </c>
      <c r="H20" s="438"/>
      <c r="I20" s="807">
        <f>SUM(I16,I11)</f>
        <v>0</v>
      </c>
      <c r="J20" s="808"/>
    </row>
    <row r="21" spans="1:10" ht="13.5" thickBot="1">
      <c r="A21" s="305"/>
      <c r="B21" s="305"/>
      <c r="C21" s="305" t="str">
        <f>Notes!$C$5</f>
        <v>Base Year</v>
      </c>
    </row>
    <row r="22" spans="1:10" ht="45.75" customHeight="1">
      <c r="C22" s="267" t="s">
        <v>231</v>
      </c>
      <c r="D22" s="268" t="s">
        <v>265</v>
      </c>
      <c r="E22" s="1514" t="s">
        <v>59</v>
      </c>
      <c r="F22" s="1512" t="s">
        <v>266</v>
      </c>
      <c r="G22" s="1512" t="s">
        <v>267</v>
      </c>
      <c r="H22" s="1512" t="s">
        <v>388</v>
      </c>
      <c r="I22" s="1512" t="s">
        <v>389</v>
      </c>
      <c r="J22" s="1513" t="s">
        <v>365</v>
      </c>
    </row>
    <row r="23" spans="1:10">
      <c r="C23" s="794">
        <v>1</v>
      </c>
      <c r="D23" s="795" t="s">
        <v>336</v>
      </c>
      <c r="E23" s="796"/>
      <c r="F23" s="797">
        <f>SUM(F24:F27)</f>
        <v>0</v>
      </c>
      <c r="G23" s="797">
        <f>SUM(G24:G27)</f>
        <v>0</v>
      </c>
      <c r="H23" s="797">
        <f>IF(F23=0,0,I23/F23*10)</f>
        <v>0</v>
      </c>
      <c r="I23" s="797">
        <f>SUM(I24:I27)</f>
        <v>0</v>
      </c>
      <c r="J23" s="798"/>
    </row>
    <row r="24" spans="1:10">
      <c r="B24" s="121">
        <v>1003</v>
      </c>
      <c r="C24" s="799" t="s">
        <v>63</v>
      </c>
      <c r="D24" s="800" t="s">
        <v>337</v>
      </c>
      <c r="E24" s="796"/>
      <c r="F24" s="801"/>
      <c r="G24" s="801"/>
      <c r="H24" s="802"/>
      <c r="I24" s="802"/>
      <c r="J24" s="798"/>
    </row>
    <row r="25" spans="1:10">
      <c r="B25" s="121">
        <v>1001</v>
      </c>
      <c r="C25" s="799" t="s">
        <v>66</v>
      </c>
      <c r="D25" s="800" t="s">
        <v>338</v>
      </c>
      <c r="E25" s="723"/>
      <c r="F25" s="802"/>
      <c r="G25" s="802"/>
      <c r="H25" s="802"/>
      <c r="I25" s="802"/>
      <c r="J25" s="798"/>
    </row>
    <row r="26" spans="1:10">
      <c r="B26" s="121">
        <v>1004</v>
      </c>
      <c r="C26" s="799" t="s">
        <v>69</v>
      </c>
      <c r="D26" s="800" t="s">
        <v>339</v>
      </c>
      <c r="E26" s="723"/>
      <c r="F26" s="802"/>
      <c r="G26" s="802"/>
      <c r="H26" s="802"/>
      <c r="I26" s="802"/>
      <c r="J26" s="798"/>
    </row>
    <row r="27" spans="1:10">
      <c r="B27" s="121">
        <v>1002</v>
      </c>
      <c r="C27" s="799" t="s">
        <v>72</v>
      </c>
      <c r="D27" s="800" t="s">
        <v>340</v>
      </c>
      <c r="E27" s="723"/>
      <c r="F27" s="802"/>
      <c r="G27" s="802"/>
      <c r="H27" s="802"/>
      <c r="I27" s="802"/>
      <c r="J27" s="798"/>
    </row>
    <row r="28" spans="1:10" ht="25.5">
      <c r="C28" s="803">
        <v>2</v>
      </c>
      <c r="D28" s="804" t="s">
        <v>504</v>
      </c>
      <c r="E28" s="723"/>
      <c r="F28" s="805">
        <f>SUM(F29:F31)</f>
        <v>0</v>
      </c>
      <c r="G28" s="805">
        <f>SUM(G29:G31)</f>
        <v>0</v>
      </c>
      <c r="H28" s="797">
        <f>IF(F28=0,0,I28/F28*10)</f>
        <v>0</v>
      </c>
      <c r="I28" s="805">
        <f>SUM(I29:I31)</f>
        <v>0</v>
      </c>
      <c r="J28" s="798"/>
    </row>
    <row r="29" spans="1:10">
      <c r="C29" s="799" t="s">
        <v>63</v>
      </c>
      <c r="D29" s="806" t="s">
        <v>563</v>
      </c>
      <c r="E29" s="723"/>
      <c r="F29" s="802"/>
      <c r="G29" s="802"/>
      <c r="H29" s="802"/>
      <c r="I29" s="802"/>
      <c r="J29" s="798"/>
    </row>
    <row r="30" spans="1:10">
      <c r="C30" s="799" t="s">
        <v>66</v>
      </c>
      <c r="D30" s="806" t="s">
        <v>564</v>
      </c>
      <c r="E30" s="723"/>
      <c r="F30" s="802"/>
      <c r="G30" s="802"/>
      <c r="H30" s="802"/>
      <c r="I30" s="802"/>
      <c r="J30" s="798"/>
    </row>
    <row r="31" spans="1:10">
      <c r="C31" s="799" t="s">
        <v>69</v>
      </c>
      <c r="D31" s="806" t="s">
        <v>565</v>
      </c>
      <c r="E31" s="723"/>
      <c r="F31" s="802"/>
      <c r="G31" s="802"/>
      <c r="H31" s="802"/>
      <c r="I31" s="802"/>
      <c r="J31" s="798"/>
    </row>
    <row r="32" spans="1:10" ht="13.5" thickBot="1">
      <c r="C32" s="317" t="s">
        <v>98</v>
      </c>
      <c r="D32" s="786"/>
      <c r="E32" s="786"/>
      <c r="F32" s="807">
        <f>SUM(F28,F23)</f>
        <v>0</v>
      </c>
      <c r="G32" s="807">
        <f>SUM(G28,G23)</f>
        <v>0</v>
      </c>
      <c r="H32" s="438"/>
      <c r="I32" s="807">
        <f>SUM(I28,I23)</f>
        <v>0</v>
      </c>
      <c r="J32" s="808"/>
    </row>
    <row r="33" spans="1:10">
      <c r="D33" s="443"/>
    </row>
    <row r="34" spans="1:10" ht="13.5" thickBot="1">
      <c r="A34" s="305" t="s">
        <v>422</v>
      </c>
      <c r="C34" s="372" t="str">
        <f>Notes!$C$6</f>
        <v>FY 2024-25</v>
      </c>
      <c r="D34" s="443"/>
    </row>
    <row r="35" spans="1:10" ht="38.25">
      <c r="C35" s="267" t="s">
        <v>231</v>
      </c>
      <c r="D35" s="268" t="s">
        <v>265</v>
      </c>
      <c r="E35" s="1514" t="s">
        <v>59</v>
      </c>
      <c r="F35" s="1512" t="s">
        <v>266</v>
      </c>
      <c r="G35" s="1512" t="s">
        <v>267</v>
      </c>
      <c r="H35" s="1512" t="s">
        <v>388</v>
      </c>
      <c r="I35" s="1512" t="s">
        <v>389</v>
      </c>
      <c r="J35" s="1513" t="s">
        <v>365</v>
      </c>
    </row>
    <row r="36" spans="1:10">
      <c r="C36" s="794">
        <v>1</v>
      </c>
      <c r="D36" s="795" t="s">
        <v>336</v>
      </c>
      <c r="E36" s="796"/>
      <c r="F36" s="797">
        <f>SUM(F37:F40)</f>
        <v>0</v>
      </c>
      <c r="G36" s="797">
        <f>SUM(G37:G40)</f>
        <v>0</v>
      </c>
      <c r="H36" s="797">
        <f>IF(F36=0,0,I36/F36*10)</f>
        <v>0</v>
      </c>
      <c r="I36" s="797">
        <f>SUM(I37:I40)</f>
        <v>0</v>
      </c>
      <c r="J36" s="798"/>
    </row>
    <row r="37" spans="1:10">
      <c r="B37" s="121">
        <v>1003</v>
      </c>
      <c r="C37" s="799" t="s">
        <v>63</v>
      </c>
      <c r="D37" s="800" t="s">
        <v>337</v>
      </c>
      <c r="E37" s="796"/>
      <c r="F37" s="801"/>
      <c r="G37" s="801"/>
      <c r="H37" s="802"/>
      <c r="I37" s="802"/>
      <c r="J37" s="798"/>
    </row>
    <row r="38" spans="1:10">
      <c r="B38" s="121">
        <v>1001</v>
      </c>
      <c r="C38" s="799" t="s">
        <v>66</v>
      </c>
      <c r="D38" s="800" t="s">
        <v>338</v>
      </c>
      <c r="E38" s="723"/>
      <c r="F38" s="802"/>
      <c r="G38" s="802"/>
      <c r="H38" s="802"/>
      <c r="I38" s="802"/>
      <c r="J38" s="798"/>
    </row>
    <row r="39" spans="1:10">
      <c r="B39" s="121">
        <v>1004</v>
      </c>
      <c r="C39" s="799" t="s">
        <v>69</v>
      </c>
      <c r="D39" s="800" t="s">
        <v>339</v>
      </c>
      <c r="E39" s="723"/>
      <c r="F39" s="802"/>
      <c r="G39" s="802"/>
      <c r="H39" s="802"/>
      <c r="I39" s="802"/>
      <c r="J39" s="798"/>
    </row>
    <row r="40" spans="1:10">
      <c r="B40" s="121">
        <v>1002</v>
      </c>
      <c r="C40" s="799" t="s">
        <v>72</v>
      </c>
      <c r="D40" s="800" t="s">
        <v>340</v>
      </c>
      <c r="E40" s="723"/>
      <c r="F40" s="802"/>
      <c r="G40" s="802"/>
      <c r="H40" s="802"/>
      <c r="I40" s="802"/>
      <c r="J40" s="798"/>
    </row>
    <row r="41" spans="1:10" ht="25.5">
      <c r="C41" s="803">
        <v>2</v>
      </c>
      <c r="D41" s="804" t="s">
        <v>504</v>
      </c>
      <c r="E41" s="723"/>
      <c r="F41" s="805">
        <f>SUM(F42:F44)</f>
        <v>0</v>
      </c>
      <c r="G41" s="805">
        <f>SUM(G42:G44)</f>
        <v>0</v>
      </c>
      <c r="H41" s="797">
        <f>IF(F41=0,0,I41/F41*10)</f>
        <v>0</v>
      </c>
      <c r="I41" s="805">
        <f>SUM(I42:I44)</f>
        <v>0</v>
      </c>
      <c r="J41" s="798"/>
    </row>
    <row r="42" spans="1:10">
      <c r="C42" s="799" t="s">
        <v>63</v>
      </c>
      <c r="D42" s="806" t="s">
        <v>563</v>
      </c>
      <c r="E42" s="723"/>
      <c r="F42" s="802"/>
      <c r="G42" s="802"/>
      <c r="H42" s="802"/>
      <c r="I42" s="802"/>
      <c r="J42" s="798"/>
    </row>
    <row r="43" spans="1:10">
      <c r="C43" s="799" t="s">
        <v>66</v>
      </c>
      <c r="D43" s="806" t="s">
        <v>564</v>
      </c>
      <c r="E43" s="723"/>
      <c r="F43" s="802"/>
      <c r="G43" s="802"/>
      <c r="H43" s="802"/>
      <c r="I43" s="802"/>
      <c r="J43" s="798"/>
    </row>
    <row r="44" spans="1:10">
      <c r="C44" s="799" t="s">
        <v>69</v>
      </c>
      <c r="D44" s="806" t="s">
        <v>565</v>
      </c>
      <c r="E44" s="723"/>
      <c r="F44" s="802"/>
      <c r="G44" s="802"/>
      <c r="H44" s="802"/>
      <c r="I44" s="802"/>
      <c r="J44" s="798"/>
    </row>
    <row r="45" spans="1:10" ht="13.5" thickBot="1">
      <c r="C45" s="317" t="s">
        <v>98</v>
      </c>
      <c r="D45" s="786"/>
      <c r="E45" s="786"/>
      <c r="F45" s="807">
        <f>SUM(F41,F36)</f>
        <v>0</v>
      </c>
      <c r="G45" s="807">
        <f>SUM(G41,G36)</f>
        <v>0</v>
      </c>
      <c r="H45" s="438"/>
      <c r="I45" s="807">
        <f>SUM(I41,I36)</f>
        <v>0</v>
      </c>
      <c r="J45" s="808"/>
    </row>
    <row r="46" spans="1:10">
      <c r="D46" s="443"/>
    </row>
  </sheetData>
  <mergeCells count="1">
    <mergeCell ref="D5:J5"/>
  </mergeCells>
  <phoneticPr fontId="11" type="noConversion"/>
  <dataValidations count="1">
    <dataValidation type="decimal" allowBlank="1" showInputMessage="1" showErrorMessage="1" sqref="H42:H65339 H37:H40 H29:H35 H24:H27 F1:I4 I6:I65339 F6:G65339 H6:H10 H17:H22 H12:H15">
      <formula1>-9999999999999990000</formula1>
      <formula2>9.99999999999999E+30</formula2>
    </dataValidation>
  </dataValidations>
  <hyperlinks>
    <hyperlink ref="A1" location="Index!A1" display="Index sheet"/>
  </hyperlinks>
  <printOptions horizontalCentered="1"/>
  <pageMargins left="0.5" right="0.5" top="0.5" bottom="0.5" header="0.5" footer="0.5"/>
  <pageSetup paperSize="9" orientation="landscape" blackAndWhite="1" r:id="rId1"/>
  <headerFooter alignWithMargins="0"/>
  <rowBreaks count="1" manualBreakCount="1">
    <brk id="45" min="2" max="9" man="1"/>
  </rowBreaks>
</worksheet>
</file>

<file path=xl/worksheets/sheet17.xml><?xml version="1.0" encoding="utf-8"?>
<worksheet xmlns="http://schemas.openxmlformats.org/spreadsheetml/2006/main" xmlns:r="http://schemas.openxmlformats.org/officeDocument/2006/relationships">
  <sheetPr codeName="Sheet14"/>
  <dimension ref="A1:J29"/>
  <sheetViews>
    <sheetView view="pageBreakPreview" topLeftCell="A6" zoomScaleSheetLayoutView="100" workbookViewId="0">
      <selection activeCell="P37" sqref="P37"/>
    </sheetView>
  </sheetViews>
  <sheetFormatPr defaultRowHeight="12.75"/>
  <cols>
    <col min="1" max="1" width="6.5703125" style="121" customWidth="1"/>
    <col min="2" max="2" width="0" style="121" hidden="1" customWidth="1"/>
    <col min="3" max="3" width="10.85546875" style="121" customWidth="1"/>
    <col min="4" max="4" width="18.42578125" style="121" customWidth="1"/>
    <col min="5" max="5" width="12.28515625" style="121" customWidth="1"/>
    <col min="6" max="6" width="14.7109375" style="382" customWidth="1"/>
    <col min="7" max="7" width="15.28515625" style="382" bestFit="1" customWidth="1"/>
    <col min="8" max="8" width="16.7109375" style="382" customWidth="1"/>
    <col min="9" max="10" width="11.5703125" style="121" customWidth="1"/>
    <col min="11" max="16384" width="9.140625" style="121"/>
  </cols>
  <sheetData>
    <row r="1" spans="1:10">
      <c r="A1" s="371" t="s">
        <v>396</v>
      </c>
    </row>
    <row r="3" spans="1:10">
      <c r="C3" s="305" t="s">
        <v>327</v>
      </c>
      <c r="D3" s="454" t="s">
        <v>269</v>
      </c>
      <c r="E3" s="453"/>
    </row>
    <row r="4" spans="1:10">
      <c r="C4" s="305"/>
      <c r="D4" s="454"/>
      <c r="E4" s="453"/>
    </row>
    <row r="5" spans="1:10" ht="11.25" customHeight="1">
      <c r="C5" s="775" t="s">
        <v>1001</v>
      </c>
      <c r="D5" s="776"/>
      <c r="E5" s="776"/>
      <c r="F5" s="776"/>
      <c r="G5" s="776"/>
      <c r="H5" s="776"/>
      <c r="I5" s="777"/>
      <c r="J5" s="778"/>
    </row>
    <row r="6" spans="1:10">
      <c r="C6" s="779"/>
      <c r="D6" s="780"/>
      <c r="E6" s="780"/>
      <c r="F6" s="780"/>
      <c r="G6" s="780"/>
      <c r="H6" s="780"/>
      <c r="I6" s="781"/>
      <c r="J6" s="778"/>
    </row>
    <row r="7" spans="1:10" hidden="1">
      <c r="C7" s="375"/>
      <c r="D7" s="375"/>
      <c r="E7" s="375"/>
      <c r="F7" s="375"/>
      <c r="G7" s="375"/>
      <c r="H7" s="375"/>
      <c r="I7" s="375"/>
      <c r="J7" s="375"/>
    </row>
    <row r="8" spans="1:10" ht="12.75" hidden="1" customHeight="1" thickBot="1">
      <c r="C8" s="305" t="s">
        <v>645</v>
      </c>
    </row>
    <row r="9" spans="1:10" ht="22.5" hidden="1" customHeight="1">
      <c r="C9" s="267" t="s">
        <v>231</v>
      </c>
      <c r="D9" s="268" t="s">
        <v>265</v>
      </c>
      <c r="E9" s="268" t="s">
        <v>59</v>
      </c>
      <c r="F9" s="782" t="s">
        <v>266</v>
      </c>
      <c r="G9" s="782" t="s">
        <v>267</v>
      </c>
      <c r="H9" s="782" t="s">
        <v>268</v>
      </c>
      <c r="I9" s="269" t="s">
        <v>365</v>
      </c>
    </row>
    <row r="10" spans="1:10" s="304" customFormat="1" ht="19.5" hidden="1" customHeight="1">
      <c r="B10" s="304">
        <v>1003</v>
      </c>
      <c r="C10" s="761">
        <v>1</v>
      </c>
      <c r="D10" s="275" t="s">
        <v>337</v>
      </c>
      <c r="E10" s="729"/>
      <c r="F10" s="783"/>
      <c r="G10" s="783"/>
      <c r="H10" s="784">
        <f>IF($F10= 0,0,$G10/$F10*10)</f>
        <v>0</v>
      </c>
      <c r="I10" s="737"/>
    </row>
    <row r="11" spans="1:10" s="304" customFormat="1" ht="19.5" hidden="1" customHeight="1">
      <c r="B11" s="304">
        <v>1001</v>
      </c>
      <c r="C11" s="761">
        <v>2</v>
      </c>
      <c r="D11" s="275" t="s">
        <v>338</v>
      </c>
      <c r="E11" s="275"/>
      <c r="F11" s="785"/>
      <c r="G11" s="785"/>
      <c r="H11" s="784">
        <f>IF($F11= 0,0,#REF!/$F11*10)</f>
        <v>0</v>
      </c>
      <c r="I11" s="737"/>
    </row>
    <row r="12" spans="1:10" s="304" customFormat="1" ht="19.5" hidden="1" customHeight="1">
      <c r="B12" s="304">
        <v>1002</v>
      </c>
      <c r="C12" s="761">
        <v>3</v>
      </c>
      <c r="D12" s="275" t="s">
        <v>340</v>
      </c>
      <c r="E12" s="275"/>
      <c r="F12" s="437"/>
      <c r="G12" s="437"/>
      <c r="H12" s="784">
        <f>IF($F12= 0,0,$G12/$F12*10)</f>
        <v>0</v>
      </c>
      <c r="I12" s="737"/>
    </row>
    <row r="13" spans="1:10" ht="24" hidden="1" customHeight="1" thickBot="1">
      <c r="C13" s="317" t="s">
        <v>98</v>
      </c>
      <c r="D13" s="786"/>
      <c r="E13" s="786"/>
      <c r="F13" s="438">
        <f>SUM(F10:F12)</f>
        <v>0</v>
      </c>
      <c r="G13" s="438">
        <f>SUM(G10:G12)</f>
        <v>0</v>
      </c>
      <c r="H13" s="438">
        <f>IF($F13= 0,0,$G13/$F13*10)</f>
        <v>0</v>
      </c>
      <c r="I13" s="749"/>
    </row>
    <row r="14" spans="1:10" ht="15" hidden="1" customHeight="1">
      <c r="C14" s="375"/>
      <c r="D14" s="375"/>
      <c r="E14" s="375"/>
      <c r="F14" s="375"/>
      <c r="G14" s="375"/>
      <c r="H14" s="375"/>
      <c r="I14" s="375"/>
      <c r="J14" s="375"/>
    </row>
    <row r="15" spans="1:10" ht="15" customHeight="1">
      <c r="C15" s="375"/>
      <c r="D15" s="375"/>
      <c r="E15" s="375"/>
      <c r="F15" s="375"/>
      <c r="G15" s="375"/>
      <c r="H15" s="375"/>
      <c r="I15" s="375"/>
      <c r="J15" s="375"/>
    </row>
    <row r="16" spans="1:10" ht="15" customHeight="1" thickBot="1">
      <c r="A16" s="121" t="s">
        <v>577</v>
      </c>
      <c r="C16" s="305" t="str">
        <f>Notes!$C$5</f>
        <v>Base Year</v>
      </c>
    </row>
    <row r="17" spans="1:9" ht="22.5" customHeight="1">
      <c r="C17" s="267" t="s">
        <v>231</v>
      </c>
      <c r="D17" s="268" t="s">
        <v>265</v>
      </c>
      <c r="E17" s="268" t="s">
        <v>59</v>
      </c>
      <c r="F17" s="782" t="s">
        <v>266</v>
      </c>
      <c r="G17" s="782" t="s">
        <v>267</v>
      </c>
      <c r="H17" s="782" t="s">
        <v>268</v>
      </c>
      <c r="I17" s="269" t="s">
        <v>365</v>
      </c>
    </row>
    <row r="18" spans="1:9" s="304" customFormat="1" ht="19.5" customHeight="1">
      <c r="B18" s="304">
        <v>1003</v>
      </c>
      <c r="C18" s="761">
        <v>1</v>
      </c>
      <c r="D18" s="275" t="s">
        <v>337</v>
      </c>
      <c r="E18" s="729"/>
      <c r="F18" s="783"/>
      <c r="G18" s="783"/>
      <c r="H18" s="784">
        <f>IF($F18= 0,0,$G18/$F18*10)</f>
        <v>0</v>
      </c>
      <c r="I18" s="737"/>
    </row>
    <row r="19" spans="1:9" s="304" customFormat="1" ht="19.5" customHeight="1">
      <c r="B19" s="304">
        <v>1001</v>
      </c>
      <c r="C19" s="761">
        <v>2</v>
      </c>
      <c r="D19" s="275" t="s">
        <v>338</v>
      </c>
      <c r="E19" s="275"/>
      <c r="F19" s="785">
        <f>'1.4| PP Cost-Reg'!J294</f>
        <v>400.07274091496572</v>
      </c>
      <c r="G19" s="785">
        <f>'1.4| PP Cost-Reg'!P294</f>
        <v>222.60669329557214</v>
      </c>
      <c r="H19" s="784">
        <f>IF($F19= 0,0,$G19/$F19*10)</f>
        <v>5.5641554779881028</v>
      </c>
      <c r="I19" s="737"/>
    </row>
    <row r="20" spans="1:9" s="304" customFormat="1" ht="19.5" customHeight="1">
      <c r="B20" s="304">
        <v>1004</v>
      </c>
      <c r="C20" s="761">
        <v>3</v>
      </c>
      <c r="D20" s="275" t="s">
        <v>340</v>
      </c>
      <c r="E20" s="275"/>
      <c r="F20" s="437"/>
      <c r="G20" s="437"/>
      <c r="H20" s="784">
        <f>IF($F20= 0,0,$G20/$F20*10)</f>
        <v>0</v>
      </c>
      <c r="I20" s="737"/>
    </row>
    <row r="21" spans="1:9" ht="24" customHeight="1" thickBot="1">
      <c r="C21" s="317" t="s">
        <v>98</v>
      </c>
      <c r="D21" s="786"/>
      <c r="E21" s="786"/>
      <c r="F21" s="438">
        <f>SUM(F18:F20)</f>
        <v>400.07274091496572</v>
      </c>
      <c r="G21" s="438">
        <f>SUM(G18:G20)</f>
        <v>222.60669329557214</v>
      </c>
      <c r="H21" s="438">
        <f>IF($F21= 0,0,$G21/$F21*10)</f>
        <v>5.5641554779881028</v>
      </c>
      <c r="I21" s="749"/>
    </row>
    <row r="22" spans="1:9" ht="15" customHeight="1"/>
    <row r="23" spans="1:9" ht="15" customHeight="1"/>
    <row r="24" spans="1:9" ht="13.5" thickBot="1">
      <c r="A24" s="305" t="s">
        <v>60</v>
      </c>
      <c r="C24" s="305" t="str">
        <f>Notes!$C$6</f>
        <v>FY 2024-25</v>
      </c>
    </row>
    <row r="25" spans="1:9" ht="28.5" customHeight="1">
      <c r="C25" s="267" t="s">
        <v>231</v>
      </c>
      <c r="D25" s="268" t="s">
        <v>265</v>
      </c>
      <c r="E25" s="268" t="s">
        <v>59</v>
      </c>
      <c r="F25" s="782" t="s">
        <v>266</v>
      </c>
      <c r="G25" s="782" t="s">
        <v>267</v>
      </c>
      <c r="H25" s="782" t="s">
        <v>268</v>
      </c>
      <c r="I25" s="269" t="s">
        <v>365</v>
      </c>
    </row>
    <row r="26" spans="1:9" s="304" customFormat="1" ht="19.5" customHeight="1">
      <c r="B26" s="304">
        <v>1003</v>
      </c>
      <c r="C26" s="761">
        <v>1</v>
      </c>
      <c r="D26" s="275" t="s">
        <v>337</v>
      </c>
      <c r="E26" s="729"/>
      <c r="F26" s="783"/>
      <c r="G26" s="783"/>
      <c r="H26" s="784">
        <f>IF($F26= 0,0,$G26/$F26*10)</f>
        <v>0</v>
      </c>
      <c r="I26" s="737"/>
    </row>
    <row r="27" spans="1:9" s="304" customFormat="1" ht="19.5" customHeight="1">
      <c r="B27" s="304">
        <v>1001</v>
      </c>
      <c r="C27" s="761">
        <v>2</v>
      </c>
      <c r="D27" s="275" t="s">
        <v>338</v>
      </c>
      <c r="E27" s="275"/>
      <c r="F27" s="783"/>
      <c r="G27" s="783"/>
      <c r="H27" s="784">
        <f t="shared" ref="H27:H29" si="0">IF($F27= 0,0,$G27/$F27*10)</f>
        <v>0</v>
      </c>
      <c r="I27" s="737"/>
    </row>
    <row r="28" spans="1:9" s="304" customFormat="1" ht="19.5" customHeight="1">
      <c r="B28" s="304">
        <v>1002</v>
      </c>
      <c r="C28" s="761">
        <v>3</v>
      </c>
      <c r="D28" s="275" t="s">
        <v>340</v>
      </c>
      <c r="E28" s="275"/>
      <c r="F28" s="787"/>
      <c r="G28" s="788"/>
      <c r="H28" s="784">
        <f t="shared" si="0"/>
        <v>0</v>
      </c>
      <c r="I28" s="737"/>
    </row>
    <row r="29" spans="1:9" ht="17.25" customHeight="1" thickBot="1">
      <c r="C29" s="317" t="s">
        <v>98</v>
      </c>
      <c r="D29" s="786"/>
      <c r="E29" s="786"/>
      <c r="F29" s="438">
        <f>SUM(F26:F28)</f>
        <v>0</v>
      </c>
      <c r="G29" s="438">
        <f>SUM(G26:G28)</f>
        <v>0</v>
      </c>
      <c r="H29" s="438">
        <f t="shared" si="0"/>
        <v>0</v>
      </c>
      <c r="I29" s="749"/>
    </row>
  </sheetData>
  <phoneticPr fontId="11" type="noConversion"/>
  <dataValidations count="1">
    <dataValidation type="decimal" allowBlank="1" showInputMessage="1" showErrorMessage="1" sqref="H21:H25 H8:H9 F8:G10 F12:G13 H16:H17 F16:G18 F20:G27 H13 F29:H29">
      <formula1>0</formula1>
      <formula2>9.99999999999999E+30</formula2>
    </dataValidation>
  </dataValidations>
  <hyperlinks>
    <hyperlink ref="A1" location="Index!A1" display="Index sheet"/>
  </hyperlinks>
  <printOptions horizontalCentered="1"/>
  <pageMargins left="0.5" right="0.5" top="0.5" bottom="0.5" header="0.5" footer="0.5"/>
  <pageSetup paperSize="9" scale="86" fitToHeight="2" orientation="landscape" blackAndWhite="1" r:id="rId1"/>
  <headerFooter alignWithMargins="0"/>
</worksheet>
</file>

<file path=xl/worksheets/sheet18.xml><?xml version="1.0" encoding="utf-8"?>
<worksheet xmlns="http://schemas.openxmlformats.org/spreadsheetml/2006/main" xmlns:r="http://schemas.openxmlformats.org/officeDocument/2006/relationships">
  <sheetPr codeName="Sheet15"/>
  <dimension ref="A1:L27"/>
  <sheetViews>
    <sheetView showWhiteSpace="0" view="pageBreakPreview" zoomScale="130" zoomScaleSheetLayoutView="130" zoomScalePageLayoutView="154" workbookViewId="0">
      <selection activeCell="C18" sqref="C18:G18"/>
    </sheetView>
  </sheetViews>
  <sheetFormatPr defaultRowHeight="12.75"/>
  <cols>
    <col min="1" max="1" width="9.140625" style="1511"/>
    <col min="2" max="2" width="0" style="1511" hidden="1" customWidth="1"/>
    <col min="3" max="3" width="8.140625" style="1511" customWidth="1"/>
    <col min="4" max="4" width="26.5703125" style="1511" customWidth="1"/>
    <col min="5" max="5" width="8.42578125" style="1511" customWidth="1"/>
    <col min="6" max="6" width="12.140625" style="1511" hidden="1" customWidth="1"/>
    <col min="7" max="7" width="10.7109375" style="1511" customWidth="1"/>
    <col min="8" max="9" width="12" style="758" customWidth="1"/>
    <col min="10" max="11" width="10.7109375" style="758" customWidth="1"/>
    <col min="12" max="12" width="10.7109375" style="1511" customWidth="1"/>
    <col min="13" max="16384" width="9.140625" style="1511"/>
  </cols>
  <sheetData>
    <row r="1" spans="1:12">
      <c r="A1" s="371" t="s">
        <v>397</v>
      </c>
    </row>
    <row r="3" spans="1:12" ht="18.75" customHeight="1">
      <c r="C3" s="386" t="s">
        <v>77</v>
      </c>
      <c r="D3" s="1843" t="s">
        <v>76</v>
      </c>
      <c r="E3" s="1843"/>
      <c r="F3" s="1516"/>
      <c r="G3" s="1516"/>
    </row>
    <row r="4" spans="1:12">
      <c r="C4" s="1520"/>
      <c r="D4" s="1517"/>
      <c r="E4" s="1517"/>
      <c r="F4" s="1517"/>
      <c r="G4" s="1517"/>
    </row>
    <row r="5" spans="1:12" ht="13.5" thickBot="1">
      <c r="J5" s="427"/>
      <c r="K5" s="427"/>
    </row>
    <row r="6" spans="1:12" ht="31.5" customHeight="1">
      <c r="C6" s="1844" t="s">
        <v>58</v>
      </c>
      <c r="D6" s="1839"/>
      <c r="E6" s="1839" t="s">
        <v>59</v>
      </c>
      <c r="F6" s="1514"/>
      <c r="G6" s="1514"/>
      <c r="H6" s="1846" t="s">
        <v>840</v>
      </c>
      <c r="I6" s="1847"/>
      <c r="J6" s="1847"/>
      <c r="K6" s="1847"/>
      <c r="L6" s="1848"/>
    </row>
    <row r="7" spans="1:12" ht="27.75" customHeight="1">
      <c r="C7" s="1845"/>
      <c r="D7" s="1710"/>
      <c r="E7" s="1710"/>
      <c r="F7" s="1504" t="s">
        <v>645</v>
      </c>
      <c r="G7" s="1515" t="str">
        <f>Notes!$C$5</f>
        <v>Base Year</v>
      </c>
      <c r="H7" s="1515" t="str">
        <f>Notes!$C$6</f>
        <v>FY 2024-25</v>
      </c>
      <c r="I7" s="1515" t="str">
        <f>Notes!$C$7</f>
        <v>FY 2025-26</v>
      </c>
      <c r="J7" s="1515" t="str">
        <f>Notes!$C$8</f>
        <v>FY 2026-27</v>
      </c>
      <c r="K7" s="759" t="str">
        <f>Notes!$C$9</f>
        <v>FY 2027-28</v>
      </c>
      <c r="L7" s="760" t="str">
        <f>Notes!$C$10</f>
        <v>FY 2028-29</v>
      </c>
    </row>
    <row r="8" spans="1:12" ht="20.100000000000001" customHeight="1">
      <c r="B8" s="1511">
        <v>10001</v>
      </c>
      <c r="C8" s="761" t="s">
        <v>63</v>
      </c>
      <c r="D8" s="271" t="s">
        <v>130</v>
      </c>
      <c r="E8" s="379"/>
      <c r="F8" s="272">
        <v>2260.1060000000002</v>
      </c>
      <c r="G8" s="762">
        <f t="shared" ref="G8" si="0">F11</f>
        <v>2555.7860000000001</v>
      </c>
      <c r="H8" s="762">
        <f>G11</f>
        <v>2845.7860000000001</v>
      </c>
      <c r="I8" s="762"/>
      <c r="J8" s="762"/>
      <c r="K8" s="762"/>
      <c r="L8" s="763"/>
    </row>
    <row r="9" spans="1:12" ht="20.100000000000001" customHeight="1">
      <c r="B9" s="1511">
        <v>10002</v>
      </c>
      <c r="C9" s="761" t="s">
        <v>66</v>
      </c>
      <c r="D9" s="271" t="s">
        <v>131</v>
      </c>
      <c r="E9" s="379"/>
      <c r="F9" s="379">
        <v>365.25</v>
      </c>
      <c r="G9" s="1050">
        <v>370</v>
      </c>
      <c r="H9" s="1050">
        <f>G9*1.1</f>
        <v>407.00000000000006</v>
      </c>
      <c r="I9" s="272"/>
      <c r="J9" s="272"/>
      <c r="K9" s="272"/>
      <c r="L9" s="273"/>
    </row>
    <row r="10" spans="1:12" ht="20.100000000000001" customHeight="1">
      <c r="B10" s="1511">
        <v>10003</v>
      </c>
      <c r="C10" s="761" t="s">
        <v>69</v>
      </c>
      <c r="D10" s="271" t="s">
        <v>132</v>
      </c>
      <c r="E10" s="379"/>
      <c r="F10" s="379">
        <v>69.569999999999993</v>
      </c>
      <c r="G10" s="1050">
        <v>80</v>
      </c>
      <c r="H10" s="1050">
        <f>G10*1.1</f>
        <v>88</v>
      </c>
      <c r="I10" s="272"/>
      <c r="J10" s="272"/>
      <c r="K10" s="272"/>
      <c r="L10" s="273"/>
    </row>
    <row r="11" spans="1:12" ht="20.100000000000001" customHeight="1">
      <c r="B11" s="1511">
        <v>10004</v>
      </c>
      <c r="C11" s="761" t="s">
        <v>72</v>
      </c>
      <c r="D11" s="271" t="s">
        <v>133</v>
      </c>
      <c r="E11" s="379"/>
      <c r="F11" s="310">
        <f t="shared" ref="F11:H11" si="1">F8+F9-F10</f>
        <v>2555.7860000000001</v>
      </c>
      <c r="G11" s="310">
        <f t="shared" si="1"/>
        <v>2845.7860000000001</v>
      </c>
      <c r="H11" s="310">
        <f t="shared" si="1"/>
        <v>3164.7860000000001</v>
      </c>
      <c r="I11" s="310"/>
      <c r="J11" s="310"/>
      <c r="K11" s="310"/>
      <c r="L11" s="311"/>
    </row>
    <row r="12" spans="1:12" ht="20.100000000000001" customHeight="1">
      <c r="B12" s="1511">
        <v>10005</v>
      </c>
      <c r="C12" s="761" t="s">
        <v>73</v>
      </c>
      <c r="D12" s="271" t="s">
        <v>134</v>
      </c>
      <c r="E12" s="379"/>
      <c r="F12" s="310">
        <f t="shared" ref="F12:H12" si="2">(F8+F11)/2</f>
        <v>2407.9459999999999</v>
      </c>
      <c r="G12" s="310">
        <f t="shared" si="2"/>
        <v>2700.7860000000001</v>
      </c>
      <c r="H12" s="310">
        <f t="shared" si="2"/>
        <v>3005.2860000000001</v>
      </c>
      <c r="I12" s="310"/>
      <c r="J12" s="310"/>
      <c r="K12" s="310"/>
      <c r="L12" s="311"/>
    </row>
    <row r="13" spans="1:12" ht="20.100000000000001" customHeight="1">
      <c r="B13" s="1511">
        <v>10006</v>
      </c>
      <c r="C13" s="761" t="s">
        <v>75</v>
      </c>
      <c r="D13" s="271" t="s">
        <v>1000</v>
      </c>
      <c r="E13" s="379"/>
      <c r="F13" s="379">
        <v>5.35</v>
      </c>
      <c r="G13" s="764">
        <v>6.5</v>
      </c>
      <c r="H13" s="764">
        <v>6.5</v>
      </c>
      <c r="I13" s="764"/>
      <c r="J13" s="764"/>
      <c r="K13" s="764"/>
      <c r="L13" s="765"/>
    </row>
    <row r="14" spans="1:12" ht="20.100000000000001" customHeight="1" thickBot="1">
      <c r="B14" s="1511">
        <v>10007</v>
      </c>
      <c r="C14" s="766" t="s">
        <v>78</v>
      </c>
      <c r="D14" s="767" t="s">
        <v>135</v>
      </c>
      <c r="E14" s="460"/>
      <c r="F14" s="280">
        <f>(F12*F13)/100</f>
        <v>128.82511099999999</v>
      </c>
      <c r="G14" s="280">
        <f>(G12*G13)/100</f>
        <v>175.55109000000002</v>
      </c>
      <c r="H14" s="280">
        <f>(H12*H13)/100</f>
        <v>195.34359000000001</v>
      </c>
      <c r="I14" s="280">
        <f t="shared" ref="I14:J14" si="3">(I12*I13)/100</f>
        <v>0</v>
      </c>
      <c r="J14" s="280">
        <f t="shared" si="3"/>
        <v>0</v>
      </c>
      <c r="K14" s="280">
        <f t="shared" ref="K14:L14" si="4">(K12*K13)/100</f>
        <v>0</v>
      </c>
      <c r="L14" s="281">
        <f t="shared" si="4"/>
        <v>0</v>
      </c>
    </row>
    <row r="15" spans="1:12">
      <c r="C15" s="435"/>
      <c r="E15" s="435"/>
      <c r="F15" s="435"/>
      <c r="G15" s="435"/>
    </row>
    <row r="16" spans="1:12" ht="24" customHeight="1">
      <c r="C16" s="768" t="s">
        <v>371</v>
      </c>
      <c r="D16" s="1849" t="s">
        <v>558</v>
      </c>
      <c r="E16" s="1850"/>
      <c r="F16" s="1850"/>
      <c r="G16" s="1850"/>
      <c r="H16" s="1850"/>
      <c r="I16" s="1049"/>
      <c r="J16" s="769"/>
      <c r="K16" s="769"/>
      <c r="L16" s="770"/>
    </row>
    <row r="17" spans="3:12" ht="16.5" customHeight="1">
      <c r="C17" s="771"/>
      <c r="D17" s="1851"/>
      <c r="E17" s="1852"/>
      <c r="F17" s="1852"/>
      <c r="G17" s="1852"/>
      <c r="H17" s="1852"/>
      <c r="I17" s="772"/>
      <c r="J17" s="772"/>
      <c r="K17" s="772"/>
      <c r="L17" s="773"/>
    </row>
    <row r="19" spans="3:12" ht="17.25" customHeight="1">
      <c r="C19" s="1520" t="s">
        <v>582</v>
      </c>
    </row>
    <row r="20" spans="3:12" ht="26.25" customHeight="1">
      <c r="C20" s="379" t="s">
        <v>84</v>
      </c>
      <c r="D20" s="271" t="s">
        <v>1000</v>
      </c>
      <c r="E20" s="379"/>
      <c r="F20" s="379">
        <f t="shared" ref="F20" si="5">F13</f>
        <v>5.35</v>
      </c>
      <c r="G20" s="307">
        <f t="shared" ref="G20:L20" si="6">G13</f>
        <v>6.5</v>
      </c>
      <c r="H20" s="307">
        <f t="shared" si="6"/>
        <v>6.5</v>
      </c>
      <c r="I20" s="379">
        <f t="shared" si="6"/>
        <v>0</v>
      </c>
      <c r="J20" s="379">
        <f t="shared" si="6"/>
        <v>0</v>
      </c>
      <c r="K20" s="379">
        <f t="shared" si="6"/>
        <v>0</v>
      </c>
      <c r="L20" s="307">
        <f t="shared" si="6"/>
        <v>0</v>
      </c>
    </row>
    <row r="21" spans="3:12" ht="26.25" customHeight="1">
      <c r="C21" s="774" t="s">
        <v>85</v>
      </c>
      <c r="D21" s="716" t="s">
        <v>135</v>
      </c>
      <c r="E21" s="379"/>
      <c r="F21" s="528">
        <f t="shared" ref="F21" si="7">(F12*F20)/100</f>
        <v>128.82511099999999</v>
      </c>
      <c r="G21" s="528">
        <f t="shared" ref="G21:L21" si="8">(G12*G20)/100</f>
        <v>175.55109000000002</v>
      </c>
      <c r="H21" s="528">
        <f t="shared" si="8"/>
        <v>195.34359000000001</v>
      </c>
      <c r="I21" s="528">
        <f t="shared" si="8"/>
        <v>0</v>
      </c>
      <c r="J21" s="528">
        <f t="shared" si="8"/>
        <v>0</v>
      </c>
      <c r="K21" s="528">
        <f t="shared" si="8"/>
        <v>0</v>
      </c>
      <c r="L21" s="528">
        <f t="shared" si="8"/>
        <v>0</v>
      </c>
    </row>
    <row r="22" spans="3:12" ht="14.1" customHeight="1"/>
    <row r="23" spans="3:12" ht="14.1" customHeight="1"/>
    <row r="24" spans="3:12" ht="14.1" customHeight="1"/>
    <row r="25" spans="3:12" ht="14.1" customHeight="1"/>
    <row r="26" spans="3:12" ht="14.1" customHeight="1"/>
    <row r="27" spans="3:12" ht="14.1" customHeight="1"/>
  </sheetData>
  <mergeCells count="5">
    <mergeCell ref="D3:E3"/>
    <mergeCell ref="C6:D7"/>
    <mergeCell ref="E6:E7"/>
    <mergeCell ref="H6:L6"/>
    <mergeCell ref="D16:H17"/>
  </mergeCells>
  <phoneticPr fontId="11" type="noConversion"/>
  <dataValidations count="1">
    <dataValidation type="decimal" allowBlank="1" showInputMessage="1" showErrorMessage="1" sqref="K11:L12 F8:G8 F20:L21 J13:L14 F14:G14 H13:H14 K8:L8 I11:I14 H8:J10">
      <formula1>0</formula1>
      <formula2>9.99999999999999E+27</formula2>
    </dataValidation>
  </dataValidations>
  <hyperlinks>
    <hyperlink ref="A1" location="Index!A1" display="Index Sheet"/>
  </hyperlinks>
  <printOptions horizontalCentered="1"/>
  <pageMargins left="0.5" right="0.5" top="0.75" bottom="0.5" header="0.25" footer="0.25"/>
  <pageSetup paperSize="9" scale="113" orientation="landscape" blackAndWhite="1" r:id="rId1"/>
  <headerFooter alignWithMargins="0"/>
</worksheet>
</file>

<file path=xl/worksheets/sheet19.xml><?xml version="1.0" encoding="utf-8"?>
<worksheet xmlns="http://schemas.openxmlformats.org/spreadsheetml/2006/main" xmlns:r="http://schemas.openxmlformats.org/officeDocument/2006/relationships">
  <sheetPr codeName="Sheet16"/>
  <dimension ref="A1:L9"/>
  <sheetViews>
    <sheetView zoomScaleSheetLayoutView="100" workbookViewId="0">
      <selection activeCell="C18" sqref="C18:G18"/>
    </sheetView>
  </sheetViews>
  <sheetFormatPr defaultRowHeight="12.75"/>
  <cols>
    <col min="1" max="1" width="9.140625" style="121"/>
    <col min="2" max="2" width="0" style="121" hidden="1" customWidth="1"/>
    <col min="3" max="3" width="8.7109375" style="121" bestFit="1" customWidth="1"/>
    <col min="4" max="4" width="19.42578125" style="121" bestFit="1" customWidth="1"/>
    <col min="5" max="5" width="10.85546875" style="121" bestFit="1" customWidth="1"/>
    <col min="6" max="6" width="11.28515625" style="121" hidden="1" customWidth="1"/>
    <col min="7" max="7" width="9.42578125" style="121" bestFit="1" customWidth="1"/>
    <col min="8" max="8" width="11.85546875" style="382" customWidth="1"/>
    <col min="9" max="9" width="11" style="382" bestFit="1" customWidth="1"/>
    <col min="10" max="10" width="11.42578125" style="382" customWidth="1"/>
    <col min="11" max="11" width="10.7109375" style="382" customWidth="1"/>
    <col min="12" max="12" width="10.85546875" style="121" customWidth="1"/>
    <col min="13" max="13" width="9.140625" style="121" customWidth="1"/>
    <col min="14" max="16384" width="9.140625" style="121"/>
  </cols>
  <sheetData>
    <row r="1" spans="1:12">
      <c r="A1" s="371" t="s">
        <v>397</v>
      </c>
    </row>
    <row r="3" spans="1:12" ht="19.5" customHeight="1">
      <c r="C3" s="386" t="s">
        <v>80</v>
      </c>
      <c r="D3" s="752" t="s">
        <v>136</v>
      </c>
      <c r="E3" s="453"/>
      <c r="F3" s="453"/>
      <c r="G3" s="453"/>
    </row>
    <row r="4" spans="1:12">
      <c r="C4" s="305"/>
      <c r="D4" s="372"/>
      <c r="E4" s="453"/>
      <c r="F4" s="453"/>
      <c r="G4" s="453"/>
    </row>
    <row r="5" spans="1:12" ht="24" customHeight="1" thickBot="1">
      <c r="I5" s="430"/>
      <c r="J5" s="650" t="s">
        <v>367</v>
      </c>
      <c r="K5" s="427"/>
    </row>
    <row r="6" spans="1:12" ht="29.25" customHeight="1">
      <c r="C6" s="1844" t="s">
        <v>200</v>
      </c>
      <c r="D6" s="1839"/>
      <c r="E6" s="1853" t="s">
        <v>59</v>
      </c>
      <c r="F6" s="376"/>
      <c r="G6" s="376"/>
      <c r="H6" s="1855" t="s">
        <v>840</v>
      </c>
      <c r="I6" s="1855"/>
      <c r="J6" s="1855"/>
      <c r="K6" s="1855"/>
      <c r="L6" s="1856"/>
    </row>
    <row r="7" spans="1:12" ht="36.75" customHeight="1">
      <c r="C7" s="1845"/>
      <c r="D7" s="1710"/>
      <c r="E7" s="1854"/>
      <c r="F7" s="1077" t="s">
        <v>629</v>
      </c>
      <c r="G7" s="753" t="str">
        <f>Notes!$C$5</f>
        <v>Base Year</v>
      </c>
      <c r="H7" s="711" t="str">
        <f>Notes!$C$6</f>
        <v>FY 2024-25</v>
      </c>
      <c r="I7" s="711" t="str">
        <f>Notes!$C$7</f>
        <v>FY 2025-26</v>
      </c>
      <c r="J7" s="711" t="str">
        <f>Notes!$C$8</f>
        <v>FY 2026-27</v>
      </c>
      <c r="K7" s="711" t="str">
        <f>Notes!$C$9</f>
        <v>FY 2027-28</v>
      </c>
      <c r="L7" s="712" t="str">
        <f>Notes!$C$10</f>
        <v>FY 2028-29</v>
      </c>
    </row>
    <row r="8" spans="1:12" ht="38.25" customHeight="1" thickBot="1">
      <c r="B8" s="121">
        <v>20001</v>
      </c>
      <c r="C8" s="754" t="s">
        <v>63</v>
      </c>
      <c r="D8" s="531" t="s">
        <v>137</v>
      </c>
      <c r="E8" s="460"/>
      <c r="F8" s="460">
        <v>13.35</v>
      </c>
      <c r="G8" s="755">
        <v>26.48</v>
      </c>
      <c r="H8" s="756">
        <v>19.239999999999998</v>
      </c>
      <c r="I8" s="756"/>
      <c r="J8" s="756"/>
      <c r="K8" s="756"/>
      <c r="L8" s="757"/>
    </row>
    <row r="9" spans="1:12">
      <c r="L9" s="435"/>
    </row>
  </sheetData>
  <mergeCells count="3">
    <mergeCell ref="C6:D7"/>
    <mergeCell ref="E6:E7"/>
    <mergeCell ref="H6:L6"/>
  </mergeCells>
  <phoneticPr fontId="11" type="noConversion"/>
  <dataValidations count="1">
    <dataValidation type="decimal" allowBlank="1" showInputMessage="1" showErrorMessage="1" sqref="H1:L5 H8:L65536">
      <formula1>-9.99999999999999E+25</formula1>
      <formula2>999999999999999000</formula2>
    </dataValidation>
  </dataValidations>
  <hyperlinks>
    <hyperlink ref="A1" location="Index!A1" display="Index Sheet"/>
  </hyperlinks>
  <printOptions horizontalCentered="1"/>
  <pageMargins left="0.51181102362204722" right="0.51181102362204722" top="0.51181102362204722" bottom="0.51181102362204722" header="0.19685039370078741" footer="0.19685039370078741"/>
  <pageSetup paperSize="9" scale="120" orientation="landscape" blackAndWhite="1" r:id="rId1"/>
  <headerFooter alignWithMargins="0"/>
</worksheet>
</file>

<file path=xl/worksheets/sheet20.xml><?xml version="1.0" encoding="utf-8"?>
<worksheet xmlns="http://schemas.openxmlformats.org/spreadsheetml/2006/main" xmlns:r="http://schemas.openxmlformats.org/officeDocument/2006/relationships">
  <sheetPr codeName="Sheet17"/>
  <dimension ref="A1:W22"/>
  <sheetViews>
    <sheetView view="pageBreakPreview" zoomScale="110" zoomScaleSheetLayoutView="110" workbookViewId="0">
      <selection activeCell="G13" sqref="G13"/>
    </sheetView>
  </sheetViews>
  <sheetFormatPr defaultRowHeight="12.75"/>
  <cols>
    <col min="1" max="1" width="4.28515625" style="121" customWidth="1"/>
    <col min="2" max="2" width="5.140625" style="121" customWidth="1"/>
    <col min="3" max="3" width="11" style="121" customWidth="1"/>
    <col min="4" max="4" width="34.42578125" style="121" customWidth="1"/>
    <col min="5" max="5" width="7.7109375" style="121" customWidth="1"/>
    <col min="6" max="6" width="11.7109375" style="121" hidden="1" customWidth="1"/>
    <col min="7" max="7" width="10" style="121" customWidth="1"/>
    <col min="8" max="12" width="11.42578125" style="382" customWidth="1"/>
    <col min="13" max="18" width="15.7109375" style="121" hidden="1" customWidth="1"/>
    <col min="19" max="22" width="9.140625" style="121"/>
    <col min="23" max="23" width="20.140625" style="121" customWidth="1"/>
    <col min="24" max="16384" width="9.140625" style="121"/>
  </cols>
  <sheetData>
    <row r="1" spans="1:23">
      <c r="A1" s="371" t="s">
        <v>396</v>
      </c>
    </row>
    <row r="2" spans="1:23" ht="4.5" customHeight="1"/>
    <row r="3" spans="1:23" ht="21" customHeight="1">
      <c r="C3" s="305" t="s">
        <v>83</v>
      </c>
      <c r="D3" s="1861" t="s">
        <v>196</v>
      </c>
      <c r="E3" s="1861"/>
      <c r="F3" s="372"/>
      <c r="G3" s="372"/>
    </row>
    <row r="4" spans="1:23" ht="9" customHeight="1">
      <c r="C4" s="305"/>
      <c r="D4" s="372"/>
      <c r="E4" s="372"/>
      <c r="F4" s="372"/>
      <c r="G4" s="372"/>
    </row>
    <row r="5" spans="1:23" ht="13.5" customHeight="1" thickBot="1">
      <c r="J5" s="427"/>
      <c r="L5" s="427"/>
    </row>
    <row r="6" spans="1:23" ht="18" customHeight="1">
      <c r="C6" s="1844" t="s">
        <v>199</v>
      </c>
      <c r="D6" s="1839" t="s">
        <v>200</v>
      </c>
      <c r="E6" s="1839" t="s">
        <v>59</v>
      </c>
      <c r="F6" s="1846" t="s">
        <v>367</v>
      </c>
      <c r="G6" s="1847"/>
      <c r="H6" s="1847"/>
      <c r="I6" s="1847"/>
      <c r="J6" s="1847"/>
      <c r="K6" s="1847"/>
      <c r="L6" s="1848"/>
      <c r="M6" s="1860" t="s">
        <v>365</v>
      </c>
      <c r="N6" s="1860"/>
      <c r="O6" s="1860"/>
      <c r="P6" s="1860"/>
      <c r="Q6" s="1860"/>
      <c r="R6" s="1860"/>
    </row>
    <row r="7" spans="1:23" ht="35.25" customHeight="1" thickBot="1">
      <c r="C7" s="1845"/>
      <c r="D7" s="1710"/>
      <c r="E7" s="1710"/>
      <c r="F7" s="389" t="s">
        <v>645</v>
      </c>
      <c r="G7" s="711" t="str">
        <f>Notes!$C$5</f>
        <v>Base Year</v>
      </c>
      <c r="H7" s="711" t="str">
        <f>Notes!$C$6</f>
        <v>FY 2024-25</v>
      </c>
      <c r="I7" s="711" t="str">
        <f>Notes!$C$7</f>
        <v>FY 2025-26</v>
      </c>
      <c r="J7" s="711" t="str">
        <f>Notes!$C$8</f>
        <v>FY 2026-27</v>
      </c>
      <c r="K7" s="711" t="str">
        <f>Notes!$C$9</f>
        <v>FY 2027-28</v>
      </c>
      <c r="L7" s="712" t="str">
        <f>Notes!$C$10</f>
        <v>FY 2028-29</v>
      </c>
      <c r="M7" s="724" t="str">
        <f>Notes!$C$5</f>
        <v>Base Year</v>
      </c>
      <c r="N7" s="725" t="str">
        <f>Notes!$C$7</f>
        <v>FY 2025-26</v>
      </c>
      <c r="O7" s="725" t="str">
        <f>Notes!$C$8</f>
        <v>FY 2026-27</v>
      </c>
      <c r="P7" s="725" t="str">
        <f>Notes!$C$9</f>
        <v>FY 2027-28</v>
      </c>
      <c r="Q7" s="725" t="str">
        <f>Notes!$C$10</f>
        <v>FY 2028-29</v>
      </c>
      <c r="R7" s="726" t="e">
        <f>Notes!#REF!</f>
        <v>#REF!</v>
      </c>
    </row>
    <row r="8" spans="1:23" ht="22.5" customHeight="1">
      <c r="C8" s="727">
        <v>1</v>
      </c>
      <c r="D8" s="728" t="s">
        <v>710</v>
      </c>
      <c r="E8" s="729"/>
      <c r="F8" s="729">
        <f>3.89+4.3+3.67+4.3</f>
        <v>16.16</v>
      </c>
      <c r="G8" s="272">
        <f>3.18+4.3+4.3+3.01</f>
        <v>14.790000000000001</v>
      </c>
      <c r="H8" s="741">
        <f>6.19+8.6</f>
        <v>14.79</v>
      </c>
      <c r="I8" s="731"/>
      <c r="J8" s="731"/>
      <c r="K8" s="272"/>
      <c r="L8" s="273"/>
      <c r="M8" s="380"/>
      <c r="N8" s="380">
        <v>26.575594538999997</v>
      </c>
      <c r="O8" s="380"/>
      <c r="P8" s="732"/>
      <c r="Q8" s="733"/>
      <c r="R8" s="734"/>
      <c r="T8" s="382"/>
      <c r="V8" s="382"/>
      <c r="W8" s="382"/>
    </row>
    <row r="9" spans="1:23" s="304" customFormat="1" ht="22.5" customHeight="1">
      <c r="C9" s="727">
        <v>2</v>
      </c>
      <c r="D9" s="735" t="s">
        <v>709</v>
      </c>
      <c r="E9" s="729"/>
      <c r="F9" s="729">
        <f>9.38+9.97</f>
        <v>19.350000000000001</v>
      </c>
      <c r="G9" s="729">
        <f>2.85+3.32+2.72+3.32</f>
        <v>12.21</v>
      </c>
      <c r="H9" s="741">
        <f>5.31+6.65+3.32</f>
        <v>15.280000000000001</v>
      </c>
      <c r="I9" s="731"/>
      <c r="J9" s="731"/>
      <c r="K9" s="272"/>
      <c r="L9" s="273"/>
      <c r="M9" s="378"/>
      <c r="N9" s="378"/>
      <c r="O9" s="378"/>
      <c r="P9" s="736"/>
      <c r="Q9" s="275"/>
      <c r="R9" s="737"/>
    </row>
    <row r="10" spans="1:23" s="304" customFormat="1" ht="21" customHeight="1">
      <c r="C10" s="727">
        <v>3</v>
      </c>
      <c r="D10" s="728" t="s">
        <v>658</v>
      </c>
      <c r="E10" s="729"/>
      <c r="F10" s="729">
        <f>1.62+2.68</f>
        <v>4.3000000000000007</v>
      </c>
      <c r="G10" s="729">
        <f>0.44+0.92+0.43+0.86</f>
        <v>2.65</v>
      </c>
      <c r="H10" s="741">
        <f>0.84+1.79</f>
        <v>2.63</v>
      </c>
      <c r="I10" s="272"/>
      <c r="J10" s="731"/>
      <c r="K10" s="272"/>
      <c r="L10" s="273"/>
      <c r="M10" s="378"/>
      <c r="N10" s="378"/>
      <c r="O10" s="378"/>
      <c r="P10" s="736"/>
      <c r="Q10" s="275"/>
      <c r="R10" s="737"/>
    </row>
    <row r="11" spans="1:23" s="304" customFormat="1" ht="34.5" customHeight="1">
      <c r="C11" s="727">
        <v>4</v>
      </c>
      <c r="D11" s="728" t="s">
        <v>946</v>
      </c>
      <c r="E11" s="729"/>
      <c r="F11" s="730">
        <v>7.8647999999999998</v>
      </c>
      <c r="G11" s="729">
        <v>10</v>
      </c>
      <c r="H11" s="1051">
        <v>10</v>
      </c>
      <c r="I11" s="731"/>
      <c r="J11" s="731"/>
      <c r="K11" s="272"/>
      <c r="L11" s="273"/>
      <c r="M11" s="378"/>
      <c r="N11" s="378"/>
      <c r="O11" s="378"/>
      <c r="P11" s="736"/>
      <c r="Q11" s="275"/>
      <c r="R11" s="738"/>
    </row>
    <row r="12" spans="1:23" s="304" customFormat="1" ht="19.5" customHeight="1">
      <c r="C12" s="727">
        <v>5</v>
      </c>
      <c r="D12" s="740" t="s">
        <v>960</v>
      </c>
      <c r="E12" s="729"/>
      <c r="F12" s="729">
        <v>1</v>
      </c>
      <c r="G12" s="729">
        <v>1</v>
      </c>
      <c r="H12" s="741"/>
      <c r="I12" s="731"/>
      <c r="J12" s="272"/>
      <c r="K12" s="272"/>
      <c r="L12" s="273"/>
      <c r="M12" s="378"/>
      <c r="N12" s="378"/>
      <c r="O12" s="378"/>
      <c r="P12" s="736"/>
      <c r="Q12" s="275"/>
      <c r="R12" s="738"/>
      <c r="T12" s="739"/>
    </row>
    <row r="13" spans="1:23" s="304" customFormat="1" ht="37.5" customHeight="1">
      <c r="C13" s="727">
        <v>6</v>
      </c>
      <c r="D13" s="745" t="s">
        <v>1055</v>
      </c>
      <c r="E13" s="729"/>
      <c r="F13" s="729"/>
      <c r="G13" s="729"/>
      <c r="H13" s="741">
        <v>47.54</v>
      </c>
      <c r="I13" s="456"/>
      <c r="J13" s="456"/>
      <c r="K13" s="272"/>
      <c r="L13" s="273"/>
      <c r="M13" s="378"/>
      <c r="N13" s="378">
        <v>1815</v>
      </c>
      <c r="O13" s="378">
        <f>10.25+0.22+0.53</f>
        <v>11</v>
      </c>
      <c r="P13" s="736"/>
      <c r="Q13" s="275"/>
      <c r="R13" s="738"/>
    </row>
    <row r="14" spans="1:23" ht="30.75" hidden="1" customHeight="1">
      <c r="C14" s="727"/>
      <c r="D14" s="745"/>
      <c r="E14" s="729"/>
      <c r="F14" s="729"/>
      <c r="G14" s="729"/>
      <c r="H14" s="730"/>
      <c r="I14" s="456"/>
      <c r="J14" s="272"/>
      <c r="K14" s="272"/>
      <c r="L14" s="273"/>
      <c r="M14" s="380"/>
      <c r="N14" s="380">
        <v>1801.07</v>
      </c>
      <c r="O14" s="742"/>
      <c r="P14" s="732"/>
      <c r="Q14" s="743"/>
      <c r="R14" s="744"/>
    </row>
    <row r="15" spans="1:23" ht="32.25" hidden="1" customHeight="1">
      <c r="C15" s="727"/>
      <c r="D15" s="745"/>
      <c r="E15" s="729"/>
      <c r="F15" s="729"/>
      <c r="G15" s="729"/>
      <c r="H15" s="730"/>
      <c r="I15" s="731"/>
      <c r="J15" s="272"/>
      <c r="K15" s="272"/>
      <c r="L15" s="273"/>
      <c r="M15" s="380"/>
      <c r="N15" s="380"/>
      <c r="O15" s="742"/>
      <c r="P15" s="732"/>
      <c r="Q15" s="743"/>
      <c r="R15" s="744"/>
    </row>
    <row r="16" spans="1:23" ht="22.5" customHeight="1" thickBot="1">
      <c r="C16" s="669"/>
      <c r="D16" s="318" t="s">
        <v>98</v>
      </c>
      <c r="E16" s="746"/>
      <c r="F16" s="280">
        <f t="shared" ref="F16:L16" si="0">SUM(F8:F15)</f>
        <v>48.674800000000005</v>
      </c>
      <c r="G16" s="280">
        <f t="shared" si="0"/>
        <v>40.65</v>
      </c>
      <c r="H16" s="280">
        <f t="shared" si="0"/>
        <v>90.240000000000009</v>
      </c>
      <c r="I16" s="280">
        <f t="shared" si="0"/>
        <v>0</v>
      </c>
      <c r="J16" s="280">
        <f t="shared" si="0"/>
        <v>0</v>
      </c>
      <c r="K16" s="280">
        <f t="shared" si="0"/>
        <v>0</v>
      </c>
      <c r="L16" s="281">
        <f t="shared" si="0"/>
        <v>0</v>
      </c>
      <c r="M16" s="381"/>
      <c r="N16" s="381"/>
      <c r="O16" s="381"/>
      <c r="P16" s="747"/>
      <c r="Q16" s="748"/>
      <c r="R16" s="749"/>
    </row>
    <row r="17" spans="3:20" ht="32.25" customHeight="1">
      <c r="C17" s="1857" t="s">
        <v>1056</v>
      </c>
      <c r="D17" s="1858"/>
      <c r="E17" s="1858"/>
      <c r="F17" s="1858"/>
      <c r="G17" s="1858"/>
      <c r="H17" s="1859"/>
      <c r="I17" s="750"/>
      <c r="J17" s="750"/>
      <c r="K17" s="750"/>
      <c r="L17" s="750"/>
      <c r="M17" s="428"/>
      <c r="N17" s="428"/>
      <c r="O17" s="428"/>
      <c r="P17" s="428"/>
      <c r="Q17" s="455"/>
      <c r="R17" s="455"/>
    </row>
    <row r="18" spans="3:20" ht="17.25" customHeight="1">
      <c r="T18" s="382"/>
    </row>
    <row r="19" spans="3:20" ht="17.25" customHeight="1"/>
    <row r="20" spans="3:20" ht="17.25" customHeight="1">
      <c r="G20" s="751"/>
    </row>
    <row r="21" spans="3:20" ht="17.25" customHeight="1"/>
    <row r="22" spans="3:20" ht="17.25" customHeight="1"/>
  </sheetData>
  <mergeCells count="7">
    <mergeCell ref="C17:H17"/>
    <mergeCell ref="M6:R6"/>
    <mergeCell ref="D3:E3"/>
    <mergeCell ref="E6:E7"/>
    <mergeCell ref="C6:C7"/>
    <mergeCell ref="D6:D7"/>
    <mergeCell ref="F6:L6"/>
  </mergeCells>
  <phoneticPr fontId="11" type="noConversion"/>
  <dataValidations count="1">
    <dataValidation type="decimal" allowBlank="1" showInputMessage="1" showErrorMessage="1" sqref="H18:H65529 H8:H16 I8:L65529 F16:G16 H1:L5">
      <formula1>-99999999999999900000</formula1>
      <formula2>9.99999999999999E+27</formula2>
    </dataValidation>
  </dataValidations>
  <hyperlinks>
    <hyperlink ref="A1" location="Index!A1" display="Index sheet"/>
  </hyperlinks>
  <printOptions horizontalCentered="1"/>
  <pageMargins left="0.51181102362204722" right="0.51181102362204722" top="0.98425196850393704" bottom="0.51181102362204722" header="0.51181102362204722" footer="0.51181102362204722"/>
  <pageSetup paperSize="9" orientation="landscape" blackAndWhite="1" r:id="rId1"/>
  <headerFooter alignWithMargins="0"/>
</worksheet>
</file>

<file path=xl/worksheets/sheet21.xml><?xml version="1.0" encoding="utf-8"?>
<worksheet xmlns="http://schemas.openxmlformats.org/spreadsheetml/2006/main" xmlns:r="http://schemas.openxmlformats.org/officeDocument/2006/relationships">
  <dimension ref="A1:J14"/>
  <sheetViews>
    <sheetView view="pageBreakPreview" zoomScaleSheetLayoutView="100" workbookViewId="0">
      <selection activeCell="P16" sqref="P16"/>
    </sheetView>
  </sheetViews>
  <sheetFormatPr defaultRowHeight="12.75"/>
  <cols>
    <col min="1" max="1" width="1.42578125" style="121" customWidth="1"/>
    <col min="2" max="2" width="0" style="121" hidden="1" customWidth="1"/>
    <col min="3" max="3" width="20.140625" style="121" customWidth="1"/>
    <col min="4" max="4" width="8.7109375" style="121" customWidth="1"/>
    <col min="5" max="5" width="14.42578125" style="382" customWidth="1"/>
    <col min="6" max="6" width="14.5703125" style="382" customWidth="1"/>
    <col min="7" max="7" width="11.85546875" style="382" customWidth="1"/>
    <col min="8" max="8" width="15.85546875" style="382" customWidth="1"/>
    <col min="9" max="9" width="12.7109375" style="382" customWidth="1"/>
    <col min="10" max="10" width="9.140625" style="382" customWidth="1"/>
    <col min="11" max="16384" width="9.140625" style="121"/>
  </cols>
  <sheetData>
    <row r="1" spans="1:10">
      <c r="A1" s="371" t="s">
        <v>396</v>
      </c>
      <c r="D1" s="453"/>
    </row>
    <row r="2" spans="1:10">
      <c r="D2" s="453"/>
    </row>
    <row r="3" spans="1:10" ht="17.25" customHeight="1">
      <c r="C3" s="305" t="s">
        <v>158</v>
      </c>
      <c r="D3" s="1709"/>
      <c r="E3" s="1709"/>
      <c r="F3" s="1709"/>
      <c r="G3" s="1709"/>
      <c r="H3" s="1709"/>
      <c r="I3" s="1709"/>
      <c r="J3" s="1709"/>
    </row>
    <row r="4" spans="1:10" hidden="1">
      <c r="C4" s="305"/>
      <c r="D4" s="305"/>
      <c r="E4" s="710"/>
      <c r="F4" s="710"/>
      <c r="G4" s="710"/>
      <c r="H4" s="710"/>
      <c r="I4" s="710"/>
      <c r="J4" s="710"/>
    </row>
    <row r="5" spans="1:10" ht="21" customHeight="1" thickBot="1">
      <c r="C5" s="305" t="s">
        <v>679</v>
      </c>
    </row>
    <row r="6" spans="1:10" ht="27" customHeight="1">
      <c r="C6" s="1844" t="s">
        <v>205</v>
      </c>
      <c r="D6" s="1839" t="s">
        <v>140</v>
      </c>
      <c r="E6" s="1834" t="str">
        <f>[3]Notes!$C$5</f>
        <v>Base Year</v>
      </c>
      <c r="F6" s="1834"/>
      <c r="G6" s="1834"/>
      <c r="H6" s="1834" t="str">
        <f>Notes!C6</f>
        <v>FY 2024-25</v>
      </c>
      <c r="I6" s="1834"/>
      <c r="J6" s="1834"/>
    </row>
    <row r="7" spans="1:10" ht="45" customHeight="1">
      <c r="C7" s="1845"/>
      <c r="D7" s="1710"/>
      <c r="E7" s="711" t="s">
        <v>411</v>
      </c>
      <c r="F7" s="711" t="s">
        <v>141</v>
      </c>
      <c r="G7" s="711" t="s">
        <v>208</v>
      </c>
      <c r="H7" s="711" t="s">
        <v>411</v>
      </c>
      <c r="I7" s="711" t="s">
        <v>141</v>
      </c>
      <c r="J7" s="711" t="s">
        <v>208</v>
      </c>
    </row>
    <row r="8" spans="1:10" ht="33.75" customHeight="1">
      <c r="B8" s="121">
        <v>10074</v>
      </c>
      <c r="C8" s="713" t="s">
        <v>598</v>
      </c>
      <c r="D8" s="714"/>
      <c r="E8" s="714"/>
      <c r="F8" s="714"/>
      <c r="G8" s="715"/>
      <c r="H8" s="715"/>
      <c r="I8" s="715"/>
      <c r="J8" s="715"/>
    </row>
    <row r="9" spans="1:10" ht="26.25" customHeight="1">
      <c r="C9" s="667" t="s">
        <v>669</v>
      </c>
      <c r="D9" s="716"/>
      <c r="E9" s="717">
        <v>11315.1867</v>
      </c>
      <c r="F9" s="717">
        <f>'3|Sales Forecast'!Q131</f>
        <v>14056.292960023889</v>
      </c>
      <c r="G9" s="718">
        <f t="shared" ref="G9:G14" si="0">E9/F9*10</f>
        <v>8.049908131667717</v>
      </c>
      <c r="H9" s="717">
        <v>11086.159777914294</v>
      </c>
      <c r="I9" s="717">
        <f>'3|Sales Forecast'!Q247</f>
        <v>15013.560002225222</v>
      </c>
      <c r="J9" s="718">
        <f t="shared" ref="J9:J13" si="1">H9/I9*10</f>
        <v>7.3840979596252776</v>
      </c>
    </row>
    <row r="10" spans="1:10" ht="33.75" customHeight="1">
      <c r="C10" s="713" t="s">
        <v>601</v>
      </c>
      <c r="D10" s="714"/>
      <c r="E10" s="714"/>
      <c r="F10" s="714"/>
      <c r="G10" s="715"/>
      <c r="H10" s="714"/>
      <c r="I10" s="715"/>
      <c r="J10" s="715"/>
    </row>
    <row r="11" spans="1:10" ht="23.25" customHeight="1">
      <c r="C11" s="667" t="s">
        <v>670</v>
      </c>
      <c r="D11" s="716"/>
      <c r="E11" s="717">
        <v>1880.7367999999999</v>
      </c>
      <c r="F11" s="717">
        <f>'3|Sales Forecast'!Q134</f>
        <v>2431.0484893631965</v>
      </c>
      <c r="G11" s="718">
        <f t="shared" si="0"/>
        <v>7.7363195684042125</v>
      </c>
      <c r="H11" s="717">
        <v>1844.3406942078989</v>
      </c>
      <c r="I11" s="717">
        <f>'3|Sales Forecast'!Q250</f>
        <v>2586.1665978626543</v>
      </c>
      <c r="J11" s="718">
        <f t="shared" si="1"/>
        <v>7.1315618094060929</v>
      </c>
    </row>
    <row r="12" spans="1:10" ht="23.25" customHeight="1">
      <c r="C12" s="667" t="s">
        <v>711</v>
      </c>
      <c r="D12" s="716"/>
      <c r="E12" s="717">
        <v>2072.8031000000001</v>
      </c>
      <c r="F12" s="717">
        <f>'3|Sales Forecast'!Q160</f>
        <v>2769.580545430485</v>
      </c>
      <c r="G12" s="718">
        <f t="shared" si="0"/>
        <v>7.4841769935880942</v>
      </c>
      <c r="H12" s="717">
        <v>2106.6846102964314</v>
      </c>
      <c r="I12" s="717">
        <f>'3|Sales Forecast'!Q276</f>
        <v>3057.6853324092576</v>
      </c>
      <c r="J12" s="718">
        <f t="shared" si="1"/>
        <v>6.8898018640672243</v>
      </c>
    </row>
    <row r="13" spans="1:10" ht="33.75" customHeight="1">
      <c r="B13" s="121">
        <v>10146</v>
      </c>
      <c r="C13" s="667" t="s">
        <v>672</v>
      </c>
      <c r="D13" s="716"/>
      <c r="E13" s="717">
        <v>6249.8657999999996</v>
      </c>
      <c r="F13" s="717">
        <f>'3|Sales Forecast'!Q184+'3|Sales Forecast'!Q209</f>
        <v>8607.4040805635814</v>
      </c>
      <c r="G13" s="718">
        <f t="shared" si="0"/>
        <v>7.2610345018108893</v>
      </c>
      <c r="H13" s="717">
        <v>6124.6749175813766</v>
      </c>
      <c r="I13" s="717">
        <f>'3|Sales Forecast'!Q300+'3|Sales Forecast'!Q325</f>
        <v>9196.647038822779</v>
      </c>
      <c r="J13" s="718">
        <f t="shared" si="1"/>
        <v>6.6596824818073781</v>
      </c>
    </row>
    <row r="14" spans="1:10" ht="36.75" customHeight="1" thickBot="1">
      <c r="C14" s="719" t="s">
        <v>674</v>
      </c>
      <c r="D14" s="720"/>
      <c r="E14" s="1063">
        <f>E9+E11+E12+E13</f>
        <v>21518.592400000001</v>
      </c>
      <c r="F14" s="1063">
        <f>F9+F11+F12+F13</f>
        <v>27864.326075381156</v>
      </c>
      <c r="G14" s="722">
        <f t="shared" si="0"/>
        <v>7.7226315618708705</v>
      </c>
      <c r="H14" s="721">
        <f t="shared" ref="H14:I14" si="2">H9+H11+H12+H13</f>
        <v>21161.86</v>
      </c>
      <c r="I14" s="721">
        <f t="shared" si="2"/>
        <v>29854.058971319915</v>
      </c>
      <c r="J14" s="722">
        <f>H14/I14*10</f>
        <v>7.0884364569419844</v>
      </c>
    </row>
  </sheetData>
  <mergeCells count="5">
    <mergeCell ref="C6:C7"/>
    <mergeCell ref="D6:D7"/>
    <mergeCell ref="H6:J6"/>
    <mergeCell ref="E6:G6"/>
    <mergeCell ref="D3:J3"/>
  </mergeCells>
  <dataValidations count="1">
    <dataValidation type="decimal" allowBlank="1" showInputMessage="1" showErrorMessage="1" sqref="F9:G13 I9:J13 E4:J5 E1:J2 E14:J65536 E7:J8">
      <formula1>-9.99999999999999E+22</formula1>
      <formula2>9.99999999999999E+28</formula2>
    </dataValidation>
  </dataValidations>
  <hyperlinks>
    <hyperlink ref="A1" location="Index!A1" display="Index sheet"/>
  </hyperlinks>
  <printOptions horizontalCentered="1"/>
  <pageMargins left="0.5" right="0.5" top="2" bottom="0.5" header="0" footer="0"/>
  <pageSetup paperSize="9" scale="80" orientation="landscape" blackAndWhite="1" r:id="rId1"/>
  <headerFooter alignWithMargins="0"/>
</worksheet>
</file>

<file path=xl/worksheets/sheet22.xml><?xml version="1.0" encoding="utf-8"?>
<worksheet xmlns="http://schemas.openxmlformats.org/spreadsheetml/2006/main" xmlns:r="http://schemas.openxmlformats.org/officeDocument/2006/relationships">
  <sheetPr codeName="Sheet20"/>
  <dimension ref="A1:R977"/>
  <sheetViews>
    <sheetView view="pageBreakPreview" topLeftCell="A326" zoomScale="70" zoomScaleSheetLayoutView="70" workbookViewId="0">
      <selection activeCell="T351" sqref="T351:T352"/>
    </sheetView>
  </sheetViews>
  <sheetFormatPr defaultRowHeight="12.75"/>
  <cols>
    <col min="1" max="1" width="6.7109375" style="304" customWidth="1"/>
    <col min="2" max="2" width="9.140625" style="304" hidden="1" customWidth="1"/>
    <col min="3" max="3" width="49.85546875" style="304" customWidth="1"/>
    <col min="4" max="4" width="9.28515625" style="304" customWidth="1"/>
    <col min="5" max="5" width="10.5703125" style="649" bestFit="1" customWidth="1"/>
    <col min="6" max="6" width="9.7109375" style="649" customWidth="1"/>
    <col min="7" max="9" width="10.5703125" style="649" bestFit="1" customWidth="1"/>
    <col min="10" max="10" width="11.5703125" style="649" bestFit="1" customWidth="1"/>
    <col min="11" max="11" width="10.5703125" style="649" bestFit="1" customWidth="1"/>
    <col min="12" max="12" width="10.7109375" style="649" bestFit="1" customWidth="1"/>
    <col min="13" max="13" width="10.28515625" style="649" customWidth="1"/>
    <col min="14" max="16" width="10.5703125" style="649" bestFit="1" customWidth="1"/>
    <col min="17" max="17" width="12" style="649" customWidth="1"/>
    <col min="18" max="18" width="20.7109375" style="375" customWidth="1"/>
    <col min="19" max="16384" width="9.140625" style="304"/>
  </cols>
  <sheetData>
    <row r="1" spans="1:18">
      <c r="A1" s="648" t="s">
        <v>396</v>
      </c>
    </row>
    <row r="2" spans="1:18">
      <c r="E2" s="650"/>
    </row>
    <row r="3" spans="1:18" hidden="1">
      <c r="C3" s="386" t="s">
        <v>171</v>
      </c>
      <c r="D3" s="386" t="s">
        <v>172</v>
      </c>
      <c r="E3" s="650"/>
      <c r="F3" s="650"/>
      <c r="G3" s="650"/>
      <c r="H3" s="650"/>
    </row>
    <row r="4" spans="1:18" hidden="1">
      <c r="C4" s="386"/>
      <c r="D4" s="386"/>
      <c r="E4" s="650"/>
      <c r="F4" s="650"/>
      <c r="G4" s="650"/>
      <c r="H4" s="650"/>
    </row>
    <row r="5" spans="1:18" ht="13.5" hidden="1" thickBot="1">
      <c r="C5" s="386" t="s">
        <v>645</v>
      </c>
      <c r="D5" s="386"/>
      <c r="P5" s="650"/>
    </row>
    <row r="6" spans="1:18" ht="18" hidden="1" customHeight="1">
      <c r="C6" s="651" t="s">
        <v>673</v>
      </c>
      <c r="D6" s="652" t="s">
        <v>93</v>
      </c>
      <c r="E6" s="652" t="s">
        <v>146</v>
      </c>
      <c r="F6" s="652" t="s">
        <v>147</v>
      </c>
      <c r="G6" s="652" t="s">
        <v>148</v>
      </c>
      <c r="H6" s="652" t="s">
        <v>149</v>
      </c>
      <c r="I6" s="652" t="s">
        <v>150</v>
      </c>
      <c r="J6" s="652" t="s">
        <v>151</v>
      </c>
      <c r="K6" s="652" t="s">
        <v>152</v>
      </c>
      <c r="L6" s="652" t="s">
        <v>153</v>
      </c>
      <c r="M6" s="652" t="s">
        <v>154</v>
      </c>
      <c r="N6" s="652" t="s">
        <v>155</v>
      </c>
      <c r="O6" s="652" t="s">
        <v>156</v>
      </c>
      <c r="P6" s="652" t="s">
        <v>157</v>
      </c>
      <c r="Q6" s="653" t="s">
        <v>98</v>
      </c>
      <c r="R6" s="390" t="s">
        <v>365</v>
      </c>
    </row>
    <row r="7" spans="1:18" ht="18" hidden="1" customHeight="1">
      <c r="C7" s="393" t="s">
        <v>598</v>
      </c>
      <c r="D7" s="654"/>
      <c r="E7" s="654"/>
      <c r="F7" s="654"/>
      <c r="G7" s="654"/>
      <c r="H7" s="654"/>
      <c r="I7" s="654"/>
      <c r="J7" s="654"/>
      <c r="K7" s="654"/>
      <c r="L7" s="654"/>
      <c r="M7" s="654"/>
      <c r="N7" s="654"/>
      <c r="O7" s="654"/>
      <c r="P7" s="654"/>
      <c r="Q7" s="655"/>
      <c r="R7" s="656"/>
    </row>
    <row r="8" spans="1:18" ht="18" hidden="1" customHeight="1">
      <c r="C8" s="657" t="s">
        <v>591</v>
      </c>
      <c r="D8" s="271"/>
      <c r="E8" s="307">
        <f>[4]DISCOM!BL7</f>
        <v>658.89448000000016</v>
      </c>
      <c r="F8" s="307">
        <f>[4]DISCOM!BM7</f>
        <v>639.31528100000003</v>
      </c>
      <c r="G8" s="307">
        <f>[4]DISCOM!BN7</f>
        <v>750.13436000000013</v>
      </c>
      <c r="H8" s="307">
        <f>[4]DISCOM!BO7</f>
        <v>623.536789</v>
      </c>
      <c r="I8" s="307">
        <f>[4]DISCOM!BP7</f>
        <v>587.92854799999998</v>
      </c>
      <c r="J8" s="307">
        <f>[4]DISCOM!BQ7</f>
        <v>613.76679499999989</v>
      </c>
      <c r="K8" s="307">
        <f>[4]DISCOM!BR7</f>
        <v>575.48857299999997</v>
      </c>
      <c r="L8" s="307">
        <f>[4]DISCOM!BS7</f>
        <v>528.14961499999993</v>
      </c>
      <c r="M8" s="307">
        <f>[4]DISCOM!BT7</f>
        <v>455.90042699999998</v>
      </c>
      <c r="N8" s="307">
        <f>[4]DISCOM!BU7</f>
        <v>444.35370799999993</v>
      </c>
      <c r="O8" s="307">
        <f>[4]DISCOM!BV7</f>
        <v>435.53972000000005</v>
      </c>
      <c r="P8" s="307">
        <f>[4]DISCOM!BW7</f>
        <v>463.06177700000001</v>
      </c>
      <c r="Q8" s="436">
        <f t="shared" ref="Q8:Q15" si="0">SUM(E8:P8)</f>
        <v>6776.070072999999</v>
      </c>
    </row>
    <row r="9" spans="1:18" ht="18" hidden="1" customHeight="1">
      <c r="C9" s="657" t="s">
        <v>599</v>
      </c>
      <c r="D9" s="271"/>
      <c r="E9" s="307">
        <f>[4]DISCOM!BL14</f>
        <v>114.76874199999999</v>
      </c>
      <c r="F9" s="307">
        <f>[4]DISCOM!BM14</f>
        <v>113.418736</v>
      </c>
      <c r="G9" s="307">
        <f>[4]DISCOM!BN14</f>
        <v>129.06611100000003</v>
      </c>
      <c r="H9" s="307">
        <f>[4]DISCOM!BO14</f>
        <v>108.49319200000001</v>
      </c>
      <c r="I9" s="307">
        <f>[4]DISCOM!BP14</f>
        <v>104.70450500000001</v>
      </c>
      <c r="J9" s="307">
        <f>[4]DISCOM!BQ14</f>
        <v>107.10589400000001</v>
      </c>
      <c r="K9" s="307">
        <f>[4]DISCOM!BR14</f>
        <v>104.77226299999998</v>
      </c>
      <c r="L9" s="307">
        <f>[4]DISCOM!BS14</f>
        <v>102.532196</v>
      </c>
      <c r="M9" s="307">
        <f>[4]DISCOM!BT14</f>
        <v>96.137555000000006</v>
      </c>
      <c r="N9" s="307">
        <f>[4]DISCOM!BU14</f>
        <v>97.428939</v>
      </c>
      <c r="O9" s="307">
        <f>[4]DISCOM!BV14</f>
        <v>93.53061799999999</v>
      </c>
      <c r="P9" s="307">
        <f>[4]DISCOM!BW14</f>
        <v>97.914456000000001</v>
      </c>
      <c r="Q9" s="436">
        <f t="shared" si="0"/>
        <v>1269.8732070000001</v>
      </c>
    </row>
    <row r="10" spans="1:18" ht="18" hidden="1" customHeight="1">
      <c r="C10" s="657" t="s">
        <v>596</v>
      </c>
      <c r="D10" s="271"/>
      <c r="E10" s="307">
        <f>[4]DISCOM!BL26</f>
        <v>44.477603999999999</v>
      </c>
      <c r="F10" s="307">
        <f>[4]DISCOM!BM26</f>
        <v>40.882266999999999</v>
      </c>
      <c r="G10" s="307">
        <f>[4]DISCOM!BN26</f>
        <v>42.212146999999995</v>
      </c>
      <c r="H10" s="307">
        <f>[4]DISCOM!BO26</f>
        <v>38.633285000000001</v>
      </c>
      <c r="I10" s="307">
        <f>[4]DISCOM!BP26</f>
        <v>32.098905999999992</v>
      </c>
      <c r="J10" s="307">
        <f>[4]DISCOM!BQ26</f>
        <v>30.440436000000002</v>
      </c>
      <c r="K10" s="307">
        <f>[4]DISCOM!BR26</f>
        <v>32.039209999999997</v>
      </c>
      <c r="L10" s="307">
        <f>[4]DISCOM!BS26</f>
        <v>31.649812999999998</v>
      </c>
      <c r="M10" s="307">
        <f>[4]DISCOM!BT26</f>
        <v>33.09717899999999</v>
      </c>
      <c r="N10" s="307">
        <f>[4]DISCOM!BU26</f>
        <v>42.119952000000005</v>
      </c>
      <c r="O10" s="307">
        <f>[4]DISCOM!BV26</f>
        <v>43.4955</v>
      </c>
      <c r="P10" s="307">
        <f>[4]DISCOM!BW26</f>
        <v>41.580531999999998</v>
      </c>
      <c r="Q10" s="436">
        <f t="shared" si="0"/>
        <v>452.726831</v>
      </c>
    </row>
    <row r="11" spans="1:18" ht="18" hidden="1" customHeight="1">
      <c r="C11" s="274" t="s">
        <v>632</v>
      </c>
      <c r="D11" s="271"/>
      <c r="E11" s="307">
        <f>[4]DISCOM!BL30</f>
        <v>39.685834</v>
      </c>
      <c r="F11" s="307">
        <f>[4]DISCOM!BM30</f>
        <v>37.486518000000004</v>
      </c>
      <c r="G11" s="307">
        <f>[4]DISCOM!BN30</f>
        <v>32.825241000000005</v>
      </c>
      <c r="H11" s="307">
        <f>[4]DISCOM!BO30</f>
        <v>31.994168999999996</v>
      </c>
      <c r="I11" s="307">
        <f>[4]DISCOM!BP30</f>
        <v>33.523875000000004</v>
      </c>
      <c r="J11" s="307">
        <f>[4]DISCOM!BQ30</f>
        <v>34.368269000000005</v>
      </c>
      <c r="K11" s="307">
        <f>[4]DISCOM!BR30</f>
        <v>35.410398000000001</v>
      </c>
      <c r="L11" s="307">
        <f>[4]DISCOM!BS30</f>
        <v>37.262312000000001</v>
      </c>
      <c r="M11" s="307">
        <f>[4]DISCOM!BT30</f>
        <v>37.237223</v>
      </c>
      <c r="N11" s="307">
        <f>[4]DISCOM!BU30</f>
        <v>37.319724999999998</v>
      </c>
      <c r="O11" s="307">
        <f>[4]DISCOM!BV30</f>
        <v>37.704922000000003</v>
      </c>
      <c r="P11" s="307">
        <f>[4]DISCOM!BW30</f>
        <v>36.820977999999997</v>
      </c>
      <c r="Q11" s="436">
        <f t="shared" si="0"/>
        <v>431.63946400000009</v>
      </c>
    </row>
    <row r="12" spans="1:18" ht="18" hidden="1" customHeight="1">
      <c r="C12" s="657" t="s">
        <v>597</v>
      </c>
      <c r="D12" s="271"/>
      <c r="E12" s="307">
        <f>E13+E14</f>
        <v>428.12299146135075</v>
      </c>
      <c r="F12" s="307">
        <f t="shared" ref="F12:P12" si="1">F13+F14</f>
        <v>377.5640786204836</v>
      </c>
      <c r="G12" s="307">
        <f t="shared" si="1"/>
        <v>295.96379825376084</v>
      </c>
      <c r="H12" s="307">
        <f t="shared" si="1"/>
        <v>215.53516283914453</v>
      </c>
      <c r="I12" s="307">
        <f t="shared" si="1"/>
        <v>301.98702582227259</v>
      </c>
      <c r="J12" s="307">
        <f t="shared" si="1"/>
        <v>266.13795899999997</v>
      </c>
      <c r="K12" s="307">
        <f t="shared" si="1"/>
        <v>262.99020499999995</v>
      </c>
      <c r="L12" s="307">
        <f t="shared" si="1"/>
        <v>310.62920138409675</v>
      </c>
      <c r="M12" s="307">
        <f t="shared" si="1"/>
        <v>306.05970299999996</v>
      </c>
      <c r="N12" s="307">
        <f t="shared" si="1"/>
        <v>402.81301600000006</v>
      </c>
      <c r="O12" s="307">
        <f t="shared" si="1"/>
        <v>396.51876000000004</v>
      </c>
      <c r="P12" s="307">
        <f t="shared" si="1"/>
        <v>367.71042600000004</v>
      </c>
      <c r="Q12" s="436">
        <f t="shared" si="0"/>
        <v>3932.0323273811086</v>
      </c>
    </row>
    <row r="13" spans="1:18" ht="18" hidden="1" customHeight="1">
      <c r="C13" s="274" t="s">
        <v>392</v>
      </c>
      <c r="D13" s="271"/>
      <c r="E13" s="307">
        <f>[4]DISCOM!BL44+[4]DISCOM!BL43+[4]DISCOM!BL38+[4]DISCOM!BL40</f>
        <v>207.70631299999999</v>
      </c>
      <c r="F13" s="307">
        <f>[4]DISCOM!BM44+[4]DISCOM!BM43+[4]DISCOM!BM38+[4]DISCOM!BM40</f>
        <v>190.47274500000003</v>
      </c>
      <c r="G13" s="307">
        <f>[4]DISCOM!BN44+[4]DISCOM!BN43+[4]DISCOM!BN38+[4]DISCOM!BN40</f>
        <v>148.779798</v>
      </c>
      <c r="H13" s="307">
        <f>[4]DISCOM!BO44+[4]DISCOM!BO43+[4]DISCOM!BO38+[4]DISCOM!BO40</f>
        <v>127.68463</v>
      </c>
      <c r="I13" s="307">
        <f>[4]DISCOM!BP44+[4]DISCOM!BP43+[4]DISCOM!BP38+[4]DISCOM!BP40</f>
        <v>119.71517599999997</v>
      </c>
      <c r="J13" s="307">
        <f>[4]DISCOM!BQ44+[4]DISCOM!BQ43+[4]DISCOM!BQ38+[4]DISCOM!BQ40</f>
        <v>138.52591999999996</v>
      </c>
      <c r="K13" s="307">
        <f>[4]DISCOM!BR44+[4]DISCOM!BR43+[4]DISCOM!BR38+[4]DISCOM!BR40</f>
        <v>164.22522399999997</v>
      </c>
      <c r="L13" s="307">
        <f>[4]DISCOM!BS44+[4]DISCOM!BS43+[4]DISCOM!BS38+[4]DISCOM!BS40</f>
        <v>168.50983200000002</v>
      </c>
      <c r="M13" s="307">
        <f>[4]DISCOM!BT44+[4]DISCOM!BT43+[4]DISCOM!BT38+[4]DISCOM!BT40</f>
        <v>159.26599099999993</v>
      </c>
      <c r="N13" s="307">
        <f>[4]DISCOM!BU44+[4]DISCOM!BU43+[4]DISCOM!BU38+[4]DISCOM!BU40</f>
        <v>151.17405700000003</v>
      </c>
      <c r="O13" s="307">
        <f>[4]DISCOM!BV44+[4]DISCOM!BV43+[4]DISCOM!BV38+[4]DISCOM!BV40</f>
        <v>165.53885300000002</v>
      </c>
      <c r="P13" s="307">
        <f>[4]DISCOM!BW44+[4]DISCOM!BW43+[4]DISCOM!BW38+[4]DISCOM!BW40</f>
        <v>166.68471500000004</v>
      </c>
      <c r="Q13" s="436">
        <f t="shared" si="0"/>
        <v>1908.2832539999999</v>
      </c>
    </row>
    <row r="14" spans="1:18" ht="18" hidden="1" customHeight="1">
      <c r="C14" s="274" t="s">
        <v>1107</v>
      </c>
      <c r="D14" s="271"/>
      <c r="E14" s="307">
        <f>[4]DISCOM!BL37-[4]DISCOM!BL38-[4]DISCOM!BL43-[4]DISCOM!BL40</f>
        <v>220.41667846135076</v>
      </c>
      <c r="F14" s="307">
        <f>[4]DISCOM!BM37-[4]DISCOM!BM38-[4]DISCOM!BM43-[4]DISCOM!BM40</f>
        <v>187.09133362048357</v>
      </c>
      <c r="G14" s="307">
        <f>[4]DISCOM!BN37-[4]DISCOM!BN38-[4]DISCOM!BN43-[4]DISCOM!BN40</f>
        <v>147.18400025376087</v>
      </c>
      <c r="H14" s="307">
        <f>[4]DISCOM!BO37-[4]DISCOM!BO38-[4]DISCOM!BO43-[4]DISCOM!BO40</f>
        <v>87.850532839144535</v>
      </c>
      <c r="I14" s="307">
        <f>[4]DISCOM!BP37-[4]DISCOM!BP38-[4]DISCOM!BP43-[4]DISCOM!BP40</f>
        <v>182.2718498222726</v>
      </c>
      <c r="J14" s="307">
        <f>[4]DISCOM!BQ37-[4]DISCOM!BQ38-[4]DISCOM!BQ43-[4]DISCOM!BQ40</f>
        <v>127.612039</v>
      </c>
      <c r="K14" s="307">
        <f>[4]DISCOM!BR37-[4]DISCOM!BR38-[4]DISCOM!BR43-[4]DISCOM!BR40</f>
        <v>98.764981000000006</v>
      </c>
      <c r="L14" s="307">
        <f>[4]DISCOM!BS37-[4]DISCOM!BS38-[4]DISCOM!BS43-[4]DISCOM!BS40</f>
        <v>142.11936938409673</v>
      </c>
      <c r="M14" s="307">
        <f>[4]DISCOM!BT37-[4]DISCOM!BT38-[4]DISCOM!BT43-[4]DISCOM!BT40</f>
        <v>146.79371200000003</v>
      </c>
      <c r="N14" s="307">
        <f>[4]DISCOM!BU37-[4]DISCOM!BU38-[4]DISCOM!BU43-[4]DISCOM!BU40</f>
        <v>251.638959</v>
      </c>
      <c r="O14" s="307">
        <f>[4]DISCOM!BV37-[4]DISCOM!BV38-[4]DISCOM!BV43-[4]DISCOM!BV40</f>
        <v>230.979907</v>
      </c>
      <c r="P14" s="307">
        <f>[4]DISCOM!BW37-[4]DISCOM!BW38-[4]DISCOM!BW43-[4]DISCOM!BW40</f>
        <v>201.025711</v>
      </c>
      <c r="Q14" s="436">
        <f t="shared" si="0"/>
        <v>2023.7490733811085</v>
      </c>
    </row>
    <row r="15" spans="1:18" ht="18" hidden="1" customHeight="1">
      <c r="C15" s="658" t="s">
        <v>600</v>
      </c>
      <c r="D15" s="271"/>
      <c r="E15" s="659">
        <f t="shared" ref="E15:P15" si="2">E8+E9+E10+E11+E12</f>
        <v>1285.9496514613509</v>
      </c>
      <c r="F15" s="659">
        <f t="shared" si="2"/>
        <v>1208.6668806204837</v>
      </c>
      <c r="G15" s="659">
        <f t="shared" si="2"/>
        <v>1250.2016572537609</v>
      </c>
      <c r="H15" s="659">
        <f t="shared" si="2"/>
        <v>1018.1925978391445</v>
      </c>
      <c r="I15" s="659">
        <f t="shared" si="2"/>
        <v>1060.2428598222725</v>
      </c>
      <c r="J15" s="659">
        <f t="shared" si="2"/>
        <v>1051.8193529999999</v>
      </c>
      <c r="K15" s="659">
        <f t="shared" si="2"/>
        <v>1010.7006489999999</v>
      </c>
      <c r="L15" s="659">
        <f t="shared" si="2"/>
        <v>1010.2231373840966</v>
      </c>
      <c r="M15" s="659">
        <f t="shared" si="2"/>
        <v>928.43208699999991</v>
      </c>
      <c r="N15" s="659">
        <f t="shared" si="2"/>
        <v>1024.0353399999999</v>
      </c>
      <c r="O15" s="659">
        <f t="shared" si="2"/>
        <v>1006.78952</v>
      </c>
      <c r="P15" s="659">
        <f t="shared" si="2"/>
        <v>1007.0881689999999</v>
      </c>
      <c r="Q15" s="660">
        <f t="shared" si="0"/>
        <v>12862.341902381109</v>
      </c>
    </row>
    <row r="16" spans="1:18" ht="18" hidden="1" customHeight="1">
      <c r="C16" s="392"/>
      <c r="D16" s="271"/>
      <c r="E16" s="307"/>
      <c r="F16" s="307"/>
      <c r="G16" s="307"/>
      <c r="H16" s="307"/>
      <c r="I16" s="307"/>
      <c r="J16" s="307"/>
      <c r="K16" s="307"/>
      <c r="L16" s="307"/>
      <c r="M16" s="307"/>
      <c r="N16" s="307"/>
      <c r="O16" s="307"/>
      <c r="P16" s="307"/>
      <c r="Q16" s="661"/>
    </row>
    <row r="17" spans="3:17" ht="18" hidden="1" customHeight="1">
      <c r="C17" s="658" t="s">
        <v>601</v>
      </c>
      <c r="D17" s="271"/>
      <c r="E17" s="659"/>
      <c r="F17" s="659"/>
      <c r="G17" s="659"/>
      <c r="H17" s="659"/>
      <c r="I17" s="659"/>
      <c r="J17" s="659"/>
      <c r="K17" s="659"/>
      <c r="L17" s="659"/>
      <c r="M17" s="659"/>
      <c r="N17" s="659"/>
      <c r="O17" s="659"/>
      <c r="P17" s="659"/>
      <c r="Q17" s="660"/>
    </row>
    <row r="18" spans="3:17" ht="18" hidden="1" customHeight="1">
      <c r="C18" s="662" t="s">
        <v>602</v>
      </c>
      <c r="D18" s="663"/>
      <c r="E18" s="663">
        <f t="shared" ref="E18:P18" si="3">E19+E20+E27+E35+E39+E42</f>
        <v>175.61066978804999</v>
      </c>
      <c r="F18" s="663">
        <f t="shared" si="3"/>
        <v>186.15782888115001</v>
      </c>
      <c r="G18" s="663">
        <f t="shared" si="3"/>
        <v>196.24718958049002</v>
      </c>
      <c r="H18" s="663">
        <f t="shared" si="3"/>
        <v>184.75738467168</v>
      </c>
      <c r="I18" s="663">
        <f t="shared" si="3"/>
        <v>191.29442263829</v>
      </c>
      <c r="J18" s="663">
        <f t="shared" si="3"/>
        <v>183.70136165884</v>
      </c>
      <c r="K18" s="663">
        <f t="shared" si="3"/>
        <v>176.87335288207001</v>
      </c>
      <c r="L18" s="663">
        <f t="shared" si="3"/>
        <v>176.55484706777003</v>
      </c>
      <c r="M18" s="663">
        <f t="shared" si="3"/>
        <v>191.56646455981004</v>
      </c>
      <c r="N18" s="663">
        <f t="shared" si="3"/>
        <v>183.72199751014003</v>
      </c>
      <c r="O18" s="663">
        <f t="shared" si="3"/>
        <v>178.07464276173002</v>
      </c>
      <c r="P18" s="663">
        <f t="shared" si="3"/>
        <v>197.29874917344998</v>
      </c>
      <c r="Q18" s="664">
        <f t="shared" ref="Q18:Q27" si="4">SUM(E18:P18)</f>
        <v>2221.85891117347</v>
      </c>
    </row>
    <row r="19" spans="3:17" ht="18" hidden="1" customHeight="1">
      <c r="C19" s="274" t="s">
        <v>633</v>
      </c>
      <c r="D19" s="271"/>
      <c r="E19" s="307">
        <f>[4]DISCOM!BL53</f>
        <v>2.0625930407499999</v>
      </c>
      <c r="F19" s="307">
        <f>[4]DISCOM!BM53</f>
        <v>2.2899606443899998</v>
      </c>
      <c r="G19" s="307">
        <f>[4]DISCOM!BN53</f>
        <v>2.1508864575899995</v>
      </c>
      <c r="H19" s="307">
        <f>[4]DISCOM!BO53</f>
        <v>1.8631754013700004</v>
      </c>
      <c r="I19" s="307">
        <f>[4]DISCOM!BP53</f>
        <v>1.9637657293799997</v>
      </c>
      <c r="J19" s="307">
        <f>[4]DISCOM!BQ53</f>
        <v>1.8275659852800001</v>
      </c>
      <c r="K19" s="307">
        <f>[4]DISCOM!BR53</f>
        <v>1.6988251434000001</v>
      </c>
      <c r="L19" s="307">
        <f>[4]DISCOM!BS53</f>
        <v>1.45747340774</v>
      </c>
      <c r="M19" s="307">
        <f>[4]DISCOM!BT53</f>
        <v>1.41053864805</v>
      </c>
      <c r="N19" s="307">
        <f>[4]DISCOM!BU53</f>
        <v>1.3661222221500005</v>
      </c>
      <c r="O19" s="307">
        <f>[4]DISCOM!BV53</f>
        <v>1.2269291368300002</v>
      </c>
      <c r="P19" s="307">
        <f>[4]DISCOM!BW53</f>
        <v>1.7514879512699999</v>
      </c>
      <c r="Q19" s="660">
        <f t="shared" si="4"/>
        <v>21.069323768200004</v>
      </c>
    </row>
    <row r="20" spans="3:17" ht="18" hidden="1" customHeight="1">
      <c r="C20" s="658" t="s">
        <v>634</v>
      </c>
      <c r="D20" s="271"/>
      <c r="E20" s="659">
        <f>E21+E22+E23+E24+E25+E26</f>
        <v>48.993167869999994</v>
      </c>
      <c r="F20" s="659">
        <f t="shared" ref="F20:P20" si="5">F21+F22+F23+F24+F25+F26</f>
        <v>50.356263770300004</v>
      </c>
      <c r="G20" s="659">
        <f t="shared" si="5"/>
        <v>50.317044883000008</v>
      </c>
      <c r="H20" s="659">
        <f t="shared" si="5"/>
        <v>46.922915314999997</v>
      </c>
      <c r="I20" s="659">
        <f t="shared" si="5"/>
        <v>50.135191681999991</v>
      </c>
      <c r="J20" s="659">
        <f t="shared" si="5"/>
        <v>46.99391932000001</v>
      </c>
      <c r="K20" s="659">
        <f t="shared" si="5"/>
        <v>44.476472350999998</v>
      </c>
      <c r="L20" s="659">
        <f t="shared" si="5"/>
        <v>41.409652947999994</v>
      </c>
      <c r="M20" s="659">
        <f t="shared" si="5"/>
        <v>43.512482582000004</v>
      </c>
      <c r="N20" s="659">
        <f t="shared" si="5"/>
        <v>41.267609344</v>
      </c>
      <c r="O20" s="659">
        <f t="shared" si="5"/>
        <v>41.323979016999992</v>
      </c>
      <c r="P20" s="659">
        <f t="shared" si="5"/>
        <v>48.120958100999999</v>
      </c>
      <c r="Q20" s="660">
        <f t="shared" si="4"/>
        <v>553.82965718330001</v>
      </c>
    </row>
    <row r="21" spans="3:17" ht="18" hidden="1" customHeight="1">
      <c r="C21" s="665" t="s">
        <v>986</v>
      </c>
      <c r="D21" s="271"/>
      <c r="E21" s="307">
        <f>[4]DISCOM!BL55</f>
        <v>41.001211566333332</v>
      </c>
      <c r="F21" s="307">
        <f>[4]DISCOM!BM55</f>
        <v>41.821252020633338</v>
      </c>
      <c r="G21" s="307">
        <f>[4]DISCOM!BN55</f>
        <v>38.638792294000012</v>
      </c>
      <c r="H21" s="307">
        <f>[4]DISCOM!BO55</f>
        <v>36.380749258999998</v>
      </c>
      <c r="I21" s="307">
        <f>[4]DISCOM!BP55</f>
        <v>38.076106395999993</v>
      </c>
      <c r="J21" s="307">
        <f>[4]DISCOM!BQ55</f>
        <v>36.713210784000005</v>
      </c>
      <c r="K21" s="307">
        <f>[4]DISCOM!BR55</f>
        <v>34.468159755999999</v>
      </c>
      <c r="L21" s="307">
        <f>[4]DISCOM!BS55</f>
        <v>32.126801376999992</v>
      </c>
      <c r="M21" s="307">
        <f>[4]DISCOM!BT55</f>
        <v>32.904422847000006</v>
      </c>
      <c r="N21" s="307">
        <f>[4]DISCOM!BU55</f>
        <v>31.299549416000005</v>
      </c>
      <c r="O21" s="307">
        <f>[4]DISCOM!BV55</f>
        <v>31.090238855999996</v>
      </c>
      <c r="P21" s="307">
        <f>[4]DISCOM!BW55</f>
        <v>36.823672306999995</v>
      </c>
      <c r="Q21" s="660">
        <f t="shared" si="4"/>
        <v>431.34416687896669</v>
      </c>
    </row>
    <row r="22" spans="3:17" ht="18" hidden="1" customHeight="1">
      <c r="C22" s="665" t="s">
        <v>697</v>
      </c>
      <c r="D22" s="271"/>
      <c r="E22" s="307">
        <f>[4]DISCOM!BL56</f>
        <v>6.7729036666666662</v>
      </c>
      <c r="F22" s="307">
        <f>[4]DISCOM!BM56</f>
        <v>7.0026176666666657</v>
      </c>
      <c r="G22" s="307">
        <f>[4]DISCOM!BN56</f>
        <v>10.463232499999998</v>
      </c>
      <c r="H22" s="307">
        <f>[4]DISCOM!BO56</f>
        <v>9.8974925000000002</v>
      </c>
      <c r="I22" s="307">
        <f>[4]DISCOM!BP56</f>
        <v>10.447559</v>
      </c>
      <c r="J22" s="307">
        <f>[4]DISCOM!BQ56</f>
        <v>9.7735230000000008</v>
      </c>
      <c r="K22" s="307">
        <f>[4]DISCOM!BR56</f>
        <v>9.4549005000000008</v>
      </c>
      <c r="L22" s="307">
        <f>[4]DISCOM!BS56</f>
        <v>8.7643389999999997</v>
      </c>
      <c r="M22" s="307">
        <f>[4]DISCOM!BT56</f>
        <v>9.4992739999999998</v>
      </c>
      <c r="N22" s="307">
        <f>[4]DISCOM!BU56</f>
        <v>9.2998480000000008</v>
      </c>
      <c r="O22" s="307">
        <f>[4]DISCOM!BV56</f>
        <v>9.0177315</v>
      </c>
      <c r="P22" s="307">
        <f>[4]DISCOM!BW56</f>
        <v>10.230420499999999</v>
      </c>
      <c r="Q22" s="660">
        <f t="shared" si="4"/>
        <v>110.62384183333332</v>
      </c>
    </row>
    <row r="23" spans="3:17" ht="18" hidden="1" customHeight="1">
      <c r="C23" s="665" t="s">
        <v>987</v>
      </c>
      <c r="D23" s="271"/>
      <c r="E23" s="307">
        <f>[4]DISCOM!BL57</f>
        <v>1.2169526370000001</v>
      </c>
      <c r="F23" s="307">
        <f>[4]DISCOM!BM57</f>
        <v>1.5309940830000002</v>
      </c>
      <c r="G23" s="307">
        <f>[4]DISCOM!BN57</f>
        <v>1.2138200889999999</v>
      </c>
      <c r="H23" s="307">
        <f>[4]DISCOM!BO57</f>
        <v>0.64367355600000009</v>
      </c>
      <c r="I23" s="307">
        <f>[4]DISCOM!BP57</f>
        <v>1.610726286</v>
      </c>
      <c r="J23" s="307">
        <f>[4]DISCOM!BQ57</f>
        <v>0.50558553599999989</v>
      </c>
      <c r="K23" s="307">
        <f>[4]DISCOM!BR57</f>
        <v>0.55251209499999998</v>
      </c>
      <c r="L23" s="307">
        <f>[4]DISCOM!BS57</f>
        <v>0.51761257100000002</v>
      </c>
      <c r="M23" s="307">
        <f>[4]DISCOM!BT57</f>
        <v>1.1081857349999999</v>
      </c>
      <c r="N23" s="307">
        <f>[4]DISCOM!BU57</f>
        <v>0.66711192799999997</v>
      </c>
      <c r="O23" s="307">
        <f>[4]DISCOM!BV57</f>
        <v>1.2150086609999999</v>
      </c>
      <c r="P23" s="307">
        <f>[4]DISCOM!BW57</f>
        <v>1.065365294</v>
      </c>
      <c r="Q23" s="660">
        <f t="shared" si="4"/>
        <v>11.847548471000001</v>
      </c>
    </row>
    <row r="24" spans="3:17" ht="18" hidden="1" customHeight="1">
      <c r="C24" s="665" t="s">
        <v>683</v>
      </c>
      <c r="D24" s="271"/>
      <c r="E24" s="307">
        <f>[4]DISCOM!BL58</f>
        <v>2.0999999999999999E-3</v>
      </c>
      <c r="F24" s="307">
        <f>[4]DISCOM!BM58</f>
        <v>1.4E-3</v>
      </c>
      <c r="G24" s="307">
        <f>[4]DISCOM!BN58</f>
        <v>1.1999999999999999E-3</v>
      </c>
      <c r="H24" s="307">
        <f>[4]DISCOM!BO58</f>
        <v>1E-3</v>
      </c>
      <c r="I24" s="307">
        <f>[4]DISCOM!BP58</f>
        <v>7.9999999999999993E-4</v>
      </c>
      <c r="J24" s="307">
        <f>[4]DISCOM!BQ58</f>
        <v>1.5999999999999999E-3</v>
      </c>
      <c r="K24" s="307">
        <f>[4]DISCOM!BR58</f>
        <v>8.9999999999999998E-4</v>
      </c>
      <c r="L24" s="307">
        <f>[4]DISCOM!BS58</f>
        <v>8.9999999999999998E-4</v>
      </c>
      <c r="M24" s="307">
        <f>[4]DISCOM!BT58</f>
        <v>5.9999999999999995E-4</v>
      </c>
      <c r="N24" s="307">
        <f>[4]DISCOM!BU58</f>
        <v>1.1000000000000001E-3</v>
      </c>
      <c r="O24" s="307">
        <f>[4]DISCOM!BV58</f>
        <v>1E-3</v>
      </c>
      <c r="P24" s="307">
        <f>[4]DISCOM!BW58</f>
        <v>1.5E-3</v>
      </c>
      <c r="Q24" s="660">
        <f t="shared" si="4"/>
        <v>1.41E-2</v>
      </c>
    </row>
    <row r="25" spans="3:17" ht="18" hidden="1" customHeight="1">
      <c r="C25" s="665" t="s">
        <v>684</v>
      </c>
      <c r="D25" s="271"/>
      <c r="E25" s="307">
        <f>[4]DISCOM!BL59</f>
        <v>0</v>
      </c>
      <c r="F25" s="307">
        <f>[4]DISCOM!BM59</f>
        <v>0</v>
      </c>
      <c r="G25" s="307">
        <f>[4]DISCOM!BN59</f>
        <v>0</v>
      </c>
      <c r="H25" s="307">
        <f>[4]DISCOM!BO59</f>
        <v>0</v>
      </c>
      <c r="I25" s="307">
        <f>[4]DISCOM!BP59</f>
        <v>0</v>
      </c>
      <c r="J25" s="307">
        <f>[4]DISCOM!BQ59</f>
        <v>0</v>
      </c>
      <c r="K25" s="307">
        <f>[4]DISCOM!BR59</f>
        <v>0</v>
      </c>
      <c r="L25" s="307">
        <f>[4]DISCOM!BS59</f>
        <v>0</v>
      </c>
      <c r="M25" s="307">
        <f>[4]DISCOM!BT59</f>
        <v>0</v>
      </c>
      <c r="N25" s="307">
        <f>[4]DISCOM!BU59</f>
        <v>0</v>
      </c>
      <c r="O25" s="307">
        <f>[4]DISCOM!BV59</f>
        <v>0</v>
      </c>
      <c r="P25" s="307">
        <f>[4]DISCOM!BW59</f>
        <v>0</v>
      </c>
      <c r="Q25" s="660">
        <f t="shared" si="4"/>
        <v>0</v>
      </c>
    </row>
    <row r="26" spans="3:17" ht="18" hidden="1" customHeight="1">
      <c r="C26" s="665" t="s">
        <v>685</v>
      </c>
      <c r="D26" s="271"/>
      <c r="E26" s="307">
        <f>[4]DISCOM!BL60</f>
        <v>0</v>
      </c>
      <c r="F26" s="307">
        <f>[4]DISCOM!BM60</f>
        <v>0</v>
      </c>
      <c r="G26" s="307">
        <f>[4]DISCOM!BN60</f>
        <v>0</v>
      </c>
      <c r="H26" s="307">
        <f>[4]DISCOM!BO60</f>
        <v>0</v>
      </c>
      <c r="I26" s="307">
        <f>[4]DISCOM!BP60</f>
        <v>0</v>
      </c>
      <c r="J26" s="307">
        <f>[4]DISCOM!BQ60</f>
        <v>0</v>
      </c>
      <c r="K26" s="307">
        <f>[4]DISCOM!BR60</f>
        <v>0</v>
      </c>
      <c r="L26" s="307">
        <f>[4]DISCOM!BS60</f>
        <v>0</v>
      </c>
      <c r="M26" s="307">
        <f>[4]DISCOM!BT60</f>
        <v>0</v>
      </c>
      <c r="N26" s="307">
        <f>[4]DISCOM!BU60</f>
        <v>0</v>
      </c>
      <c r="O26" s="307">
        <f>[4]DISCOM!BV60</f>
        <v>0</v>
      </c>
      <c r="P26" s="307">
        <f>[4]DISCOM!BW60</f>
        <v>0</v>
      </c>
      <c r="Q26" s="660">
        <f t="shared" si="4"/>
        <v>0</v>
      </c>
    </row>
    <row r="27" spans="3:17" ht="18" hidden="1" customHeight="1">
      <c r="C27" s="658" t="s">
        <v>635</v>
      </c>
      <c r="D27" s="271"/>
      <c r="E27" s="659">
        <f t="shared" ref="E27:P27" si="6">E31+E29+E30+E32+E33+E34</f>
        <v>109.70217546730001</v>
      </c>
      <c r="F27" s="659">
        <f t="shared" si="6"/>
        <v>120.42294998945999</v>
      </c>
      <c r="G27" s="659">
        <f t="shared" si="6"/>
        <v>130.8434135439</v>
      </c>
      <c r="H27" s="659">
        <f t="shared" si="6"/>
        <v>123.01601506731002</v>
      </c>
      <c r="I27" s="659">
        <f t="shared" si="6"/>
        <v>123.87048454691001</v>
      </c>
      <c r="J27" s="659">
        <f t="shared" si="6"/>
        <v>119.44409646356</v>
      </c>
      <c r="K27" s="659">
        <f t="shared" si="6"/>
        <v>114.95833427767001</v>
      </c>
      <c r="L27" s="659">
        <f t="shared" si="6"/>
        <v>118.40275832803002</v>
      </c>
      <c r="M27" s="659">
        <f t="shared" si="6"/>
        <v>132.16370008376001</v>
      </c>
      <c r="N27" s="659">
        <f t="shared" si="6"/>
        <v>126.01704424399</v>
      </c>
      <c r="O27" s="659">
        <f t="shared" si="6"/>
        <v>120.82841434390001</v>
      </c>
      <c r="P27" s="659">
        <f t="shared" si="6"/>
        <v>131.32430399518</v>
      </c>
      <c r="Q27" s="660">
        <f t="shared" si="4"/>
        <v>1470.9936903509702</v>
      </c>
    </row>
    <row r="28" spans="3:17" ht="18" hidden="1" customHeight="1">
      <c r="C28" s="658" t="s">
        <v>699</v>
      </c>
      <c r="D28" s="271"/>
      <c r="E28" s="659"/>
      <c r="F28" s="659"/>
      <c r="G28" s="659"/>
      <c r="H28" s="659"/>
      <c r="I28" s="659"/>
      <c r="J28" s="659"/>
      <c r="K28" s="659"/>
      <c r="L28" s="659"/>
      <c r="M28" s="659"/>
      <c r="N28" s="659"/>
      <c r="O28" s="659"/>
      <c r="P28" s="659"/>
      <c r="Q28" s="660"/>
    </row>
    <row r="29" spans="3:17" ht="18" hidden="1" customHeight="1">
      <c r="C29" s="665" t="s">
        <v>914</v>
      </c>
      <c r="D29" s="271"/>
      <c r="E29" s="307">
        <v>33.945449499999995</v>
      </c>
      <c r="F29" s="307">
        <v>38.520592999999998</v>
      </c>
      <c r="G29" s="307">
        <v>48.494570499999995</v>
      </c>
      <c r="H29" s="307">
        <v>40.044023500000002</v>
      </c>
      <c r="I29" s="307">
        <v>39.297189000000003</v>
      </c>
      <c r="J29" s="307">
        <v>38.641436999999996</v>
      </c>
      <c r="K29" s="307">
        <v>36.343324000000003</v>
      </c>
      <c r="L29" s="307">
        <v>37.584572000000001</v>
      </c>
      <c r="M29" s="307">
        <v>41.903116000000004</v>
      </c>
      <c r="N29" s="307">
        <v>40.216352999999998</v>
      </c>
      <c r="O29" s="307">
        <v>38.427176500000002</v>
      </c>
      <c r="P29" s="307">
        <v>40.924236499999999</v>
      </c>
      <c r="Q29" s="660">
        <f t="shared" ref="Q29:Q30" si="7">SUM(E29:P29)</f>
        <v>474.34204049999994</v>
      </c>
    </row>
    <row r="30" spans="3:17" ht="18" hidden="1" customHeight="1">
      <c r="C30" s="665" t="s">
        <v>915</v>
      </c>
      <c r="D30" s="271"/>
      <c r="E30" s="307">
        <v>46.491667026666669</v>
      </c>
      <c r="F30" s="307">
        <v>43.95468653333333</v>
      </c>
      <c r="G30" s="307">
        <v>57.828250533333332</v>
      </c>
      <c r="H30" s="307">
        <v>55.035371040000001</v>
      </c>
      <c r="I30" s="307">
        <v>49.994729533333327</v>
      </c>
      <c r="J30" s="307">
        <v>51.284092039999997</v>
      </c>
      <c r="K30" s="307">
        <v>49.045185520000004</v>
      </c>
      <c r="L30" s="307">
        <v>48.800593533333334</v>
      </c>
      <c r="M30" s="307">
        <v>57.861946520000004</v>
      </c>
      <c r="N30" s="307">
        <v>55.744342026666672</v>
      </c>
      <c r="O30" s="307">
        <v>52.076509520000002</v>
      </c>
      <c r="P30" s="307">
        <v>57.222391519999995</v>
      </c>
      <c r="Q30" s="660">
        <f t="shared" si="7"/>
        <v>625.33976534666658</v>
      </c>
    </row>
    <row r="31" spans="3:17" ht="18" hidden="1" customHeight="1">
      <c r="C31" s="665" t="s">
        <v>916</v>
      </c>
      <c r="D31" s="271"/>
      <c r="E31" s="307">
        <v>26.105363282633331</v>
      </c>
      <c r="F31" s="307">
        <v>36.616671048126669</v>
      </c>
      <c r="G31" s="307">
        <v>23.674563450566666</v>
      </c>
      <c r="H31" s="307">
        <v>27.23210701731</v>
      </c>
      <c r="I31" s="307">
        <v>34.072789983576669</v>
      </c>
      <c r="J31" s="307">
        <v>29.12583840356</v>
      </c>
      <c r="K31" s="307">
        <v>29.237612997669999</v>
      </c>
      <c r="L31" s="307">
        <v>31.474180014696671</v>
      </c>
      <c r="M31" s="307">
        <v>31.165892483759997</v>
      </c>
      <c r="N31" s="307">
        <v>28.543840757323334</v>
      </c>
      <c r="O31" s="307">
        <v>28.3693370039</v>
      </c>
      <c r="P31" s="307">
        <v>28.512820745179997</v>
      </c>
      <c r="Q31" s="660">
        <f>SUM(E31:P31)</f>
        <v>354.13101718830336</v>
      </c>
    </row>
    <row r="32" spans="3:17" ht="18" hidden="1" customHeight="1">
      <c r="C32" s="665" t="s">
        <v>592</v>
      </c>
      <c r="D32" s="271"/>
      <c r="E32" s="307">
        <v>0.154137</v>
      </c>
      <c r="F32" s="307">
        <v>0.17124899999999998</v>
      </c>
      <c r="G32" s="307">
        <v>0.193773</v>
      </c>
      <c r="H32" s="307">
        <v>0.18403</v>
      </c>
      <c r="I32" s="307">
        <v>0.19056499999999998</v>
      </c>
      <c r="J32" s="307">
        <v>0.19272699999999998</v>
      </c>
      <c r="K32" s="307">
        <v>0.19872300000000001</v>
      </c>
      <c r="L32" s="307">
        <v>0.20901</v>
      </c>
      <c r="M32" s="307">
        <v>0.20412999999999998</v>
      </c>
      <c r="N32" s="307">
        <v>0.174427</v>
      </c>
      <c r="O32" s="307">
        <v>0.200683</v>
      </c>
      <c r="P32" s="307">
        <v>0.21743099999999999</v>
      </c>
      <c r="Q32" s="660">
        <f t="shared" ref="Q32:Q37" si="8">SUM(E32:P32)</f>
        <v>2.2908849999999998</v>
      </c>
    </row>
    <row r="33" spans="3:17" ht="18" hidden="1" customHeight="1">
      <c r="C33" s="665" t="s">
        <v>702</v>
      </c>
      <c r="D33" s="271"/>
      <c r="E33" s="307">
        <v>3.005558658</v>
      </c>
      <c r="F33" s="307">
        <v>1.1597504080000001</v>
      </c>
      <c r="G33" s="307">
        <v>0.65225606000000003</v>
      </c>
      <c r="H33" s="307">
        <v>0.52048351000000004</v>
      </c>
      <c r="I33" s="307">
        <v>0.31521103</v>
      </c>
      <c r="J33" s="307">
        <v>0.20000202</v>
      </c>
      <c r="K33" s="307">
        <v>0.13348876000000001</v>
      </c>
      <c r="L33" s="307">
        <v>0.33440278000000001</v>
      </c>
      <c r="M33" s="307">
        <v>1.02861508</v>
      </c>
      <c r="N33" s="307">
        <v>1.3380814599999999</v>
      </c>
      <c r="O33" s="307">
        <v>1.75470832</v>
      </c>
      <c r="P33" s="307">
        <v>4.4474242300000002</v>
      </c>
      <c r="Q33" s="660">
        <f t="shared" si="8"/>
        <v>14.889982316000001</v>
      </c>
    </row>
    <row r="34" spans="3:17" ht="18" hidden="1" customHeight="1">
      <c r="C34" s="665" t="s">
        <v>703</v>
      </c>
      <c r="D34" s="271"/>
      <c r="E34" s="307">
        <v>0</v>
      </c>
      <c r="F34" s="307">
        <v>0</v>
      </c>
      <c r="G34" s="307">
        <v>0</v>
      </c>
      <c r="H34" s="307">
        <v>0</v>
      </c>
      <c r="I34" s="307">
        <v>0</v>
      </c>
      <c r="J34" s="307">
        <v>0</v>
      </c>
      <c r="K34" s="307">
        <v>0</v>
      </c>
      <c r="L34" s="307">
        <v>0</v>
      </c>
      <c r="M34" s="307">
        <v>0</v>
      </c>
      <c r="N34" s="307">
        <v>0</v>
      </c>
      <c r="O34" s="307">
        <v>0</v>
      </c>
      <c r="P34" s="307">
        <v>0</v>
      </c>
      <c r="Q34" s="660">
        <f t="shared" si="8"/>
        <v>0</v>
      </c>
    </row>
    <row r="35" spans="3:17" ht="18" hidden="1" customHeight="1">
      <c r="C35" s="658" t="s">
        <v>636</v>
      </c>
      <c r="D35" s="271"/>
      <c r="E35" s="659">
        <f>E36+E37+E38</f>
        <v>11.396495072</v>
      </c>
      <c r="F35" s="659">
        <f t="shared" ref="F35:P35" si="9">F36+F37+F38</f>
        <v>11.057288425000001</v>
      </c>
      <c r="G35" s="659">
        <f t="shared" si="9"/>
        <v>10.638242174</v>
      </c>
      <c r="H35" s="659">
        <f t="shared" si="9"/>
        <v>10.93183365</v>
      </c>
      <c r="I35" s="659">
        <f t="shared" si="9"/>
        <v>11.66368087</v>
      </c>
      <c r="J35" s="659">
        <f t="shared" si="9"/>
        <v>11.551280589999999</v>
      </c>
      <c r="K35" s="659">
        <f t="shared" si="9"/>
        <v>11.85852515</v>
      </c>
      <c r="L35" s="659">
        <f t="shared" si="9"/>
        <v>11.420408344</v>
      </c>
      <c r="M35" s="659">
        <f t="shared" si="9"/>
        <v>11.616168226000001</v>
      </c>
      <c r="N35" s="659">
        <f t="shared" si="9"/>
        <v>11.40122676</v>
      </c>
      <c r="O35" s="659">
        <f t="shared" si="9"/>
        <v>10.8108088</v>
      </c>
      <c r="P35" s="659">
        <f t="shared" si="9"/>
        <v>12.24000539</v>
      </c>
      <c r="Q35" s="660">
        <f t="shared" si="8"/>
        <v>136.585963451</v>
      </c>
    </row>
    <row r="36" spans="3:17" ht="18" hidden="1" customHeight="1">
      <c r="C36" s="396" t="s">
        <v>637</v>
      </c>
      <c r="D36" s="271"/>
      <c r="E36" s="307">
        <v>8.1017241500000008</v>
      </c>
      <c r="F36" s="307">
        <v>7.9373035249999999</v>
      </c>
      <c r="G36" s="307">
        <v>7.5086991899999989</v>
      </c>
      <c r="H36" s="307">
        <v>7.9155106699999997</v>
      </c>
      <c r="I36" s="307">
        <v>8.5401399600000012</v>
      </c>
      <c r="J36" s="307">
        <v>8.44705862</v>
      </c>
      <c r="K36" s="307">
        <v>9.0757395899999995</v>
      </c>
      <c r="L36" s="307">
        <v>8.7619713000000008</v>
      </c>
      <c r="M36" s="307">
        <v>9.0627786400000012</v>
      </c>
      <c r="N36" s="307">
        <v>9.1174788800000002</v>
      </c>
      <c r="O36" s="307">
        <v>8.1864731400000004</v>
      </c>
      <c r="P36" s="307">
        <v>9.17956343</v>
      </c>
      <c r="Q36" s="660">
        <f t="shared" si="8"/>
        <v>101.83444109500002</v>
      </c>
    </row>
    <row r="37" spans="3:17" ht="18" hidden="1" customHeight="1">
      <c r="C37" s="396" t="s">
        <v>687</v>
      </c>
      <c r="D37" s="271"/>
      <c r="E37" s="307">
        <v>2.9204223000000002</v>
      </c>
      <c r="F37" s="307">
        <v>2.6877092400000002</v>
      </c>
      <c r="G37" s="307">
        <v>2.7040831000000001</v>
      </c>
      <c r="H37" s="307">
        <v>2.6998979700000003</v>
      </c>
      <c r="I37" s="307">
        <v>2.7497949599999996</v>
      </c>
      <c r="J37" s="307">
        <v>2.8046029100000003</v>
      </c>
      <c r="K37" s="307">
        <v>2.46447584</v>
      </c>
      <c r="L37" s="307">
        <v>2.3358565200000001</v>
      </c>
      <c r="M37" s="307">
        <v>2.23919231</v>
      </c>
      <c r="N37" s="307">
        <v>2.0165463200000002</v>
      </c>
      <c r="O37" s="307">
        <v>2.3256661300000001</v>
      </c>
      <c r="P37" s="307">
        <v>2.72047222</v>
      </c>
      <c r="Q37" s="660">
        <f t="shared" si="8"/>
        <v>30.668719820000003</v>
      </c>
    </row>
    <row r="38" spans="3:17" ht="18" hidden="1" customHeight="1">
      <c r="C38" s="396" t="s">
        <v>638</v>
      </c>
      <c r="D38" s="271"/>
      <c r="E38" s="307">
        <v>0.37434862199999996</v>
      </c>
      <c r="F38" s="307">
        <v>0.43227565999999995</v>
      </c>
      <c r="G38" s="307">
        <v>0.42545988400000001</v>
      </c>
      <c r="H38" s="307">
        <v>0.31642501000000001</v>
      </c>
      <c r="I38" s="307">
        <v>0.37374594999999999</v>
      </c>
      <c r="J38" s="307">
        <v>0.29961905999999999</v>
      </c>
      <c r="K38" s="307">
        <v>0.31830972000000002</v>
      </c>
      <c r="L38" s="307">
        <v>0.32258052400000004</v>
      </c>
      <c r="M38" s="307">
        <v>0.31419727600000003</v>
      </c>
      <c r="N38" s="307">
        <v>0.26720156</v>
      </c>
      <c r="O38" s="307">
        <v>0.29866953000000002</v>
      </c>
      <c r="P38" s="307">
        <v>0.33996974000000002</v>
      </c>
      <c r="Q38" s="660">
        <f t="shared" ref="Q38:Q42" si="10">SUM(E38:P38)</f>
        <v>4.0828025360000009</v>
      </c>
    </row>
    <row r="39" spans="3:17" ht="18" hidden="1" customHeight="1">
      <c r="C39" s="658" t="s">
        <v>639</v>
      </c>
      <c r="D39" s="271"/>
      <c r="E39" s="659">
        <f>E40+E41</f>
        <v>3.4562383380000004</v>
      </c>
      <c r="F39" s="659">
        <f t="shared" ref="F39:P39" si="11">F40+F41</f>
        <v>2.0313660519999996</v>
      </c>
      <c r="G39" s="659">
        <f t="shared" si="11"/>
        <v>2.297602522</v>
      </c>
      <c r="H39" s="659">
        <f t="shared" si="11"/>
        <v>2.0234452379999999</v>
      </c>
      <c r="I39" s="659">
        <f t="shared" si="11"/>
        <v>3.66129981</v>
      </c>
      <c r="J39" s="659">
        <f t="shared" si="11"/>
        <v>3.8844992999999999</v>
      </c>
      <c r="K39" s="659">
        <f t="shared" si="11"/>
        <v>3.8811959599999999</v>
      </c>
      <c r="L39" s="659">
        <f t="shared" si="11"/>
        <v>3.8645540399999998</v>
      </c>
      <c r="M39" s="659">
        <f t="shared" si="11"/>
        <v>2.8635750199999999</v>
      </c>
      <c r="N39" s="659">
        <f t="shared" si="11"/>
        <v>3.6699949399999996</v>
      </c>
      <c r="O39" s="659">
        <f t="shared" si="11"/>
        <v>3.884511464</v>
      </c>
      <c r="P39" s="659">
        <f t="shared" si="11"/>
        <v>3.8619937359999996</v>
      </c>
      <c r="Q39" s="660">
        <f t="shared" si="10"/>
        <v>39.380276420000001</v>
      </c>
    </row>
    <row r="40" spans="3:17" ht="18" hidden="1" customHeight="1">
      <c r="C40" s="396" t="s">
        <v>640</v>
      </c>
      <c r="D40" s="271"/>
      <c r="E40" s="307">
        <v>2.1182209480000003</v>
      </c>
      <c r="F40" s="307">
        <v>1.8563698119999998</v>
      </c>
      <c r="G40" s="307">
        <v>1.9152800320000001</v>
      </c>
      <c r="H40" s="307">
        <v>1.4298159480000001</v>
      </c>
      <c r="I40" s="307">
        <v>1.51292782</v>
      </c>
      <c r="J40" s="307">
        <v>1.82484888</v>
      </c>
      <c r="K40" s="307">
        <v>2.1101076599999997</v>
      </c>
      <c r="L40" s="307">
        <v>2.0493312399999999</v>
      </c>
      <c r="M40" s="307">
        <v>1.79393946</v>
      </c>
      <c r="N40" s="307">
        <v>1.4951574599999999</v>
      </c>
      <c r="O40" s="307">
        <v>1.521587324</v>
      </c>
      <c r="P40" s="307">
        <v>1.5997885359999999</v>
      </c>
      <c r="Q40" s="660">
        <f t="shared" si="10"/>
        <v>21.227375119999998</v>
      </c>
    </row>
    <row r="41" spans="3:17" ht="18" hidden="1" customHeight="1">
      <c r="C41" s="396" t="s">
        <v>641</v>
      </c>
      <c r="D41" s="271"/>
      <c r="E41" s="307">
        <v>1.3380173899999999</v>
      </c>
      <c r="F41" s="307">
        <v>0.17499624</v>
      </c>
      <c r="G41" s="307">
        <v>0.38232249000000001</v>
      </c>
      <c r="H41" s="307">
        <v>0.59362928999999998</v>
      </c>
      <c r="I41" s="307">
        <v>2.1483719899999998</v>
      </c>
      <c r="J41" s="307">
        <v>2.0596504199999996</v>
      </c>
      <c r="K41" s="307">
        <v>1.7710883000000002</v>
      </c>
      <c r="L41" s="307">
        <v>1.8152227999999999</v>
      </c>
      <c r="M41" s="307">
        <v>1.06963556</v>
      </c>
      <c r="N41" s="307">
        <v>2.1748374799999999</v>
      </c>
      <c r="O41" s="307">
        <v>2.3629241400000001</v>
      </c>
      <c r="P41" s="307">
        <v>2.2622051999999999</v>
      </c>
      <c r="Q41" s="660">
        <f t="shared" si="10"/>
        <v>18.1529013</v>
      </c>
    </row>
    <row r="42" spans="3:17" ht="18" hidden="1" customHeight="1">
      <c r="C42" s="658" t="s">
        <v>168</v>
      </c>
      <c r="D42" s="271"/>
      <c r="E42" s="659">
        <f t="shared" ref="E42:P42" si="12">E43</f>
        <v>0</v>
      </c>
      <c r="F42" s="659">
        <f t="shared" si="12"/>
        <v>0</v>
      </c>
      <c r="G42" s="659">
        <f t="shared" si="12"/>
        <v>0</v>
      </c>
      <c r="H42" s="659">
        <f t="shared" si="12"/>
        <v>0</v>
      </c>
      <c r="I42" s="659">
        <f t="shared" si="12"/>
        <v>0</v>
      </c>
      <c r="J42" s="659">
        <f t="shared" si="12"/>
        <v>0</v>
      </c>
      <c r="K42" s="659">
        <f t="shared" si="12"/>
        <v>0</v>
      </c>
      <c r="L42" s="659">
        <f t="shared" si="12"/>
        <v>0</v>
      </c>
      <c r="M42" s="659">
        <f t="shared" si="12"/>
        <v>0</v>
      </c>
      <c r="N42" s="659">
        <f t="shared" si="12"/>
        <v>0</v>
      </c>
      <c r="O42" s="659">
        <f t="shared" si="12"/>
        <v>0</v>
      </c>
      <c r="P42" s="659">
        <f t="shared" si="12"/>
        <v>0</v>
      </c>
      <c r="Q42" s="660">
        <f t="shared" si="10"/>
        <v>0</v>
      </c>
    </row>
    <row r="43" spans="3:17" ht="18" hidden="1" customHeight="1">
      <c r="C43" s="397"/>
      <c r="D43" s="271"/>
      <c r="E43" s="307"/>
      <c r="F43" s="307"/>
      <c r="G43" s="307"/>
      <c r="H43" s="307"/>
      <c r="I43" s="307"/>
      <c r="J43" s="307"/>
      <c r="K43" s="307"/>
      <c r="L43" s="307"/>
      <c r="M43" s="307"/>
      <c r="N43" s="307"/>
      <c r="O43" s="307"/>
      <c r="P43" s="307"/>
      <c r="Q43" s="660"/>
    </row>
    <row r="44" spans="3:17" ht="18" hidden="1" customHeight="1">
      <c r="C44" s="662" t="s">
        <v>603</v>
      </c>
      <c r="D44" s="663"/>
      <c r="E44" s="663">
        <f>E45+E46+E53+E61+E65</f>
        <v>181.39257690500003</v>
      </c>
      <c r="F44" s="663">
        <f t="shared" ref="F44:P44" si="13">F45+F46+F53+F61+F65</f>
        <v>189.86919614999999</v>
      </c>
      <c r="G44" s="663">
        <f t="shared" si="13"/>
        <v>212.32310897000005</v>
      </c>
      <c r="H44" s="663">
        <f t="shared" si="13"/>
        <v>198.15893770000002</v>
      </c>
      <c r="I44" s="663">
        <f t="shared" si="13"/>
        <v>217.01085148500002</v>
      </c>
      <c r="J44" s="663">
        <f t="shared" si="13"/>
        <v>212.49450218499999</v>
      </c>
      <c r="K44" s="663">
        <f t="shared" si="13"/>
        <v>204.18594542999998</v>
      </c>
      <c r="L44" s="663">
        <f t="shared" si="13"/>
        <v>223.95385677500002</v>
      </c>
      <c r="M44" s="663">
        <f t="shared" si="13"/>
        <v>214.71693682500006</v>
      </c>
      <c r="N44" s="663">
        <f t="shared" si="13"/>
        <v>196.07443685999996</v>
      </c>
      <c r="O44" s="663">
        <f t="shared" si="13"/>
        <v>207.12116929999999</v>
      </c>
      <c r="P44" s="663">
        <f t="shared" si="13"/>
        <v>230.88921012499998</v>
      </c>
      <c r="Q44" s="664">
        <f t="shared" ref="Q44:Q53" si="14">SUM(E44:P44)</f>
        <v>2488.1907287099998</v>
      </c>
    </row>
    <row r="45" spans="3:17" ht="18" hidden="1" customHeight="1">
      <c r="C45" s="274" t="s">
        <v>633</v>
      </c>
      <c r="D45" s="271"/>
      <c r="E45" s="307">
        <v>0.86867399999999995</v>
      </c>
      <c r="F45" s="307">
        <v>1.0275635000000001</v>
      </c>
      <c r="G45" s="307">
        <v>1.1094155000000001</v>
      </c>
      <c r="H45" s="307">
        <v>1.000475</v>
      </c>
      <c r="I45" s="307">
        <v>1.0882855</v>
      </c>
      <c r="J45" s="307">
        <v>0.90758950000000005</v>
      </c>
      <c r="K45" s="307">
        <v>0.90942199999999995</v>
      </c>
      <c r="L45" s="307">
        <v>0.8825385</v>
      </c>
      <c r="M45" s="307">
        <v>0.75482700000000003</v>
      </c>
      <c r="N45" s="307">
        <v>0.81404900000000002</v>
      </c>
      <c r="O45" s="307">
        <v>0.77328750000000002</v>
      </c>
      <c r="P45" s="307">
        <v>0.84286349999999999</v>
      </c>
      <c r="Q45" s="660">
        <f t="shared" si="14"/>
        <v>10.978990500000002</v>
      </c>
    </row>
    <row r="46" spans="3:17" ht="18" hidden="1" customHeight="1">
      <c r="C46" s="658" t="s">
        <v>634</v>
      </c>
      <c r="D46" s="271"/>
      <c r="E46" s="659">
        <f>E47+E48+E49+E50+E51+E52</f>
        <v>17.204261655</v>
      </c>
      <c r="F46" s="659">
        <f t="shared" ref="F46:P46" si="15">F47+F48+F49+F50+F51+F52</f>
        <v>17.878218799999999</v>
      </c>
      <c r="G46" s="659">
        <f t="shared" si="15"/>
        <v>17.818808894999997</v>
      </c>
      <c r="H46" s="659">
        <f t="shared" si="15"/>
        <v>18.498307924999999</v>
      </c>
      <c r="I46" s="659">
        <f t="shared" si="15"/>
        <v>18.270319325000003</v>
      </c>
      <c r="J46" s="659">
        <f t="shared" si="15"/>
        <v>17.76064457</v>
      </c>
      <c r="K46" s="659">
        <f t="shared" si="15"/>
        <v>17.887966155000001</v>
      </c>
      <c r="L46" s="659">
        <f t="shared" si="15"/>
        <v>17.453039749999999</v>
      </c>
      <c r="M46" s="659">
        <f t="shared" si="15"/>
        <v>17.487428000000001</v>
      </c>
      <c r="N46" s="659">
        <f t="shared" si="15"/>
        <v>17.656120454999996</v>
      </c>
      <c r="O46" s="659">
        <f t="shared" si="15"/>
        <v>17.049568824999998</v>
      </c>
      <c r="P46" s="659">
        <f t="shared" si="15"/>
        <v>18.817819700000005</v>
      </c>
      <c r="Q46" s="660">
        <f t="shared" si="14"/>
        <v>213.78250405499998</v>
      </c>
    </row>
    <row r="47" spans="3:17" ht="18" hidden="1" customHeight="1">
      <c r="C47" s="665" t="s">
        <v>986</v>
      </c>
      <c r="D47" s="271"/>
      <c r="E47" s="307">
        <v>14.824958821666669</v>
      </c>
      <c r="F47" s="307">
        <v>15.291344133333332</v>
      </c>
      <c r="G47" s="307">
        <v>14.055270394999999</v>
      </c>
      <c r="H47" s="307">
        <v>14.713949925</v>
      </c>
      <c r="I47" s="307">
        <v>14.602396325000001</v>
      </c>
      <c r="J47" s="307">
        <v>14.109139070000001</v>
      </c>
      <c r="K47" s="307">
        <v>14.257441655000001</v>
      </c>
      <c r="L47" s="307">
        <v>13.90080225</v>
      </c>
      <c r="M47" s="307">
        <v>13.932983000000002</v>
      </c>
      <c r="N47" s="307">
        <v>14.080021954999999</v>
      </c>
      <c r="O47" s="307">
        <v>13.684742824999999</v>
      </c>
      <c r="P47" s="307">
        <v>15.007510200000002</v>
      </c>
      <c r="Q47" s="660">
        <f t="shared" si="14"/>
        <v>172.46056055500003</v>
      </c>
    </row>
    <row r="48" spans="3:17" ht="18" hidden="1" customHeight="1">
      <c r="C48" s="665" t="s">
        <v>697</v>
      </c>
      <c r="D48" s="271"/>
      <c r="E48" s="307">
        <v>2.2771953333333319</v>
      </c>
      <c r="F48" s="307">
        <v>2.3513926666666665</v>
      </c>
      <c r="G48" s="307">
        <v>3.6240570000000001</v>
      </c>
      <c r="H48" s="307">
        <v>3.6554350000000002</v>
      </c>
      <c r="I48" s="307">
        <v>3.5809669999999998</v>
      </c>
      <c r="J48" s="307">
        <v>3.5253109999999999</v>
      </c>
      <c r="K48" s="307">
        <v>3.4520279999999999</v>
      </c>
      <c r="L48" s="307">
        <v>3.3532759999999997</v>
      </c>
      <c r="M48" s="307">
        <v>3.3828980000000004</v>
      </c>
      <c r="N48" s="307">
        <v>3.4031380000000002</v>
      </c>
      <c r="O48" s="307">
        <v>3.2740580000000001</v>
      </c>
      <c r="P48" s="307">
        <v>3.6548940000000005</v>
      </c>
      <c r="Q48" s="660">
        <f t="shared" si="14"/>
        <v>39.534649999999999</v>
      </c>
    </row>
    <row r="49" spans="3:17" ht="18" hidden="1" customHeight="1">
      <c r="C49" s="665" t="s">
        <v>987</v>
      </c>
      <c r="D49" s="271"/>
      <c r="E49" s="307">
        <v>0</v>
      </c>
      <c r="F49" s="307">
        <v>0</v>
      </c>
      <c r="G49" s="307">
        <v>0</v>
      </c>
      <c r="H49" s="307">
        <v>0</v>
      </c>
      <c r="I49" s="307">
        <v>0</v>
      </c>
      <c r="J49" s="307">
        <v>0</v>
      </c>
      <c r="K49" s="307">
        <v>0</v>
      </c>
      <c r="L49" s="307">
        <v>0</v>
      </c>
      <c r="M49" s="307">
        <v>0</v>
      </c>
      <c r="N49" s="307">
        <v>0</v>
      </c>
      <c r="O49" s="307">
        <v>0</v>
      </c>
      <c r="P49" s="307">
        <v>0</v>
      </c>
      <c r="Q49" s="660">
        <f t="shared" si="14"/>
        <v>0</v>
      </c>
    </row>
    <row r="50" spans="3:17" ht="18" hidden="1" customHeight="1">
      <c r="C50" s="665" t="s">
        <v>683</v>
      </c>
      <c r="D50" s="271"/>
      <c r="E50" s="307">
        <v>0.1021075</v>
      </c>
      <c r="F50" s="307">
        <v>0.235482</v>
      </c>
      <c r="G50" s="307">
        <v>0.13948150000000001</v>
      </c>
      <c r="H50" s="307">
        <v>0.12892300000000001</v>
      </c>
      <c r="I50" s="307">
        <v>8.6956000000000006E-2</v>
      </c>
      <c r="J50" s="307">
        <v>0.12619449999999999</v>
      </c>
      <c r="K50" s="307">
        <v>0.1784965</v>
      </c>
      <c r="L50" s="307">
        <v>0.19896149999999999</v>
      </c>
      <c r="M50" s="307">
        <v>0.17154700000000001</v>
      </c>
      <c r="N50" s="307">
        <v>0.17296049999999996</v>
      </c>
      <c r="O50" s="307">
        <v>9.0768000000000001E-2</v>
      </c>
      <c r="P50" s="307">
        <v>0.15541549999999998</v>
      </c>
      <c r="Q50" s="660">
        <f t="shared" si="14"/>
        <v>1.7872934999999996</v>
      </c>
    </row>
    <row r="51" spans="3:17" ht="18" hidden="1" customHeight="1">
      <c r="C51" s="665" t="s">
        <v>684</v>
      </c>
      <c r="D51" s="271"/>
      <c r="E51" s="307"/>
      <c r="F51" s="307"/>
      <c r="G51" s="307"/>
      <c r="H51" s="307"/>
      <c r="I51" s="307"/>
      <c r="J51" s="307"/>
      <c r="K51" s="307"/>
      <c r="L51" s="307"/>
      <c r="M51" s="307"/>
      <c r="N51" s="307"/>
      <c r="O51" s="307"/>
      <c r="P51" s="307"/>
      <c r="Q51" s="660">
        <f t="shared" si="14"/>
        <v>0</v>
      </c>
    </row>
    <row r="52" spans="3:17" ht="18" hidden="1" customHeight="1">
      <c r="C52" s="665" t="s">
        <v>685</v>
      </c>
      <c r="D52" s="271"/>
      <c r="E52" s="307"/>
      <c r="F52" s="307"/>
      <c r="G52" s="307"/>
      <c r="H52" s="307"/>
      <c r="I52" s="307"/>
      <c r="J52" s="307"/>
      <c r="K52" s="307"/>
      <c r="L52" s="307"/>
      <c r="M52" s="307"/>
      <c r="N52" s="307"/>
      <c r="O52" s="307"/>
      <c r="P52" s="307"/>
      <c r="Q52" s="660">
        <f t="shared" si="14"/>
        <v>0</v>
      </c>
    </row>
    <row r="53" spans="3:17" ht="18" hidden="1" customHeight="1">
      <c r="C53" s="658" t="s">
        <v>635</v>
      </c>
      <c r="D53" s="271"/>
      <c r="E53" s="659">
        <f>E54+E58+E59+E60</f>
        <v>162.84634225000002</v>
      </c>
      <c r="F53" s="659">
        <f t="shared" ref="F53:P53" si="16">F54+F58+F59+F60</f>
        <v>170.75380684999999</v>
      </c>
      <c r="G53" s="659">
        <f t="shared" si="16"/>
        <v>192.47033707500003</v>
      </c>
      <c r="H53" s="659">
        <f t="shared" si="16"/>
        <v>176.37522820000001</v>
      </c>
      <c r="I53" s="659">
        <f t="shared" si="16"/>
        <v>188.59706227499998</v>
      </c>
      <c r="J53" s="659">
        <f t="shared" si="16"/>
        <v>184.97675901499997</v>
      </c>
      <c r="K53" s="659">
        <f t="shared" si="16"/>
        <v>180.46668625999999</v>
      </c>
      <c r="L53" s="659">
        <f t="shared" si="16"/>
        <v>194.78144202500002</v>
      </c>
      <c r="M53" s="659">
        <f t="shared" si="16"/>
        <v>195.75780782500004</v>
      </c>
      <c r="N53" s="659">
        <f t="shared" si="16"/>
        <v>176.30544712499997</v>
      </c>
      <c r="O53" s="659">
        <f t="shared" si="16"/>
        <v>187.52643922499999</v>
      </c>
      <c r="P53" s="659">
        <f t="shared" si="16"/>
        <v>210.54564542499998</v>
      </c>
      <c r="Q53" s="660">
        <f t="shared" si="14"/>
        <v>2221.40300355</v>
      </c>
    </row>
    <row r="54" spans="3:17" ht="18" hidden="1" customHeight="1">
      <c r="C54" s="658" t="s">
        <v>699</v>
      </c>
      <c r="D54" s="271"/>
      <c r="E54" s="659">
        <f>E55+E56+E57</f>
        <v>144.15801225000001</v>
      </c>
      <c r="F54" s="659">
        <f t="shared" ref="F54:P54" si="17">F55+F56+F57</f>
        <v>151.23325285000001</v>
      </c>
      <c r="G54" s="659">
        <f t="shared" si="17"/>
        <v>169.02051807500001</v>
      </c>
      <c r="H54" s="659">
        <f t="shared" si="17"/>
        <v>153.24301220000001</v>
      </c>
      <c r="I54" s="659">
        <f t="shared" si="17"/>
        <v>166.771361275</v>
      </c>
      <c r="J54" s="659">
        <f t="shared" si="17"/>
        <v>164.13424801499997</v>
      </c>
      <c r="K54" s="659">
        <f t="shared" si="17"/>
        <v>154.31267226</v>
      </c>
      <c r="L54" s="659">
        <f t="shared" si="17"/>
        <v>167.37222702500003</v>
      </c>
      <c r="M54" s="659">
        <f t="shared" si="17"/>
        <v>171.10651782500003</v>
      </c>
      <c r="N54" s="659">
        <f t="shared" si="17"/>
        <v>148.07027612499996</v>
      </c>
      <c r="O54" s="659">
        <f t="shared" si="17"/>
        <v>158.03510022500001</v>
      </c>
      <c r="P54" s="659">
        <f t="shared" si="17"/>
        <v>177.72944942499996</v>
      </c>
      <c r="Q54" s="660">
        <f t="shared" ref="Q54:Q56" si="18">SUM(E54:P54)</f>
        <v>1925.1866475500001</v>
      </c>
    </row>
    <row r="55" spans="3:17" ht="18" hidden="1" customHeight="1">
      <c r="C55" s="665" t="s">
        <v>914</v>
      </c>
      <c r="D55" s="271"/>
      <c r="E55" s="307">
        <v>50.479314000000002</v>
      </c>
      <c r="F55" s="307">
        <v>52.592881999999996</v>
      </c>
      <c r="G55" s="307">
        <v>58.426585000000003</v>
      </c>
      <c r="H55" s="307">
        <v>59.008319999999998</v>
      </c>
      <c r="I55" s="307">
        <v>59.736913000000001</v>
      </c>
      <c r="J55" s="307">
        <v>59.242460499999993</v>
      </c>
      <c r="K55" s="307">
        <v>55.372537666666666</v>
      </c>
      <c r="L55" s="307">
        <v>57.255777000000002</v>
      </c>
      <c r="M55" s="307">
        <v>61.201901500000005</v>
      </c>
      <c r="N55" s="307">
        <v>55.592459999999996</v>
      </c>
      <c r="O55" s="307">
        <v>58.446346500000004</v>
      </c>
      <c r="P55" s="307">
        <v>65.182697500000003</v>
      </c>
      <c r="Q55" s="660">
        <f t="shared" si="18"/>
        <v>692.53819466666664</v>
      </c>
    </row>
    <row r="56" spans="3:17" ht="18" hidden="1" customHeight="1">
      <c r="C56" s="665" t="s">
        <v>915</v>
      </c>
      <c r="D56" s="271"/>
      <c r="E56" s="307">
        <v>64.099520040000002</v>
      </c>
      <c r="F56" s="307">
        <v>64.906758053333334</v>
      </c>
      <c r="G56" s="307">
        <v>76.972751133333333</v>
      </c>
      <c r="H56" s="307">
        <v>75.696617533333338</v>
      </c>
      <c r="I56" s="307">
        <v>78.515498533333343</v>
      </c>
      <c r="J56" s="307">
        <v>76.290341040000001</v>
      </c>
      <c r="K56" s="307">
        <v>72.55064603999999</v>
      </c>
      <c r="L56" s="307">
        <v>72.674709546666676</v>
      </c>
      <c r="M56" s="307">
        <v>77.255292053333335</v>
      </c>
      <c r="N56" s="307">
        <v>69.472261039999964</v>
      </c>
      <c r="O56" s="307">
        <v>76.273783026666678</v>
      </c>
      <c r="P56" s="307">
        <v>86.85648653333331</v>
      </c>
      <c r="Q56" s="660">
        <f t="shared" si="18"/>
        <v>891.56466457333318</v>
      </c>
    </row>
    <row r="57" spans="3:17" ht="18" hidden="1" customHeight="1">
      <c r="C57" s="665" t="s">
        <v>916</v>
      </c>
      <c r="D57" s="271"/>
      <c r="E57" s="307">
        <v>29.579178209999995</v>
      </c>
      <c r="F57" s="307">
        <v>33.733612796666669</v>
      </c>
      <c r="G57" s="307">
        <v>33.621181941666663</v>
      </c>
      <c r="H57" s="307">
        <v>18.538074666666667</v>
      </c>
      <c r="I57" s="307">
        <v>28.518949741666667</v>
      </c>
      <c r="J57" s="307">
        <v>28.601446475000003</v>
      </c>
      <c r="K57" s="307">
        <v>26.389488553333337</v>
      </c>
      <c r="L57" s="307">
        <v>37.441740478333337</v>
      </c>
      <c r="M57" s="307">
        <v>32.649324271666664</v>
      </c>
      <c r="N57" s="307">
        <v>23.005555085000005</v>
      </c>
      <c r="O57" s="307">
        <v>23.314970698333333</v>
      </c>
      <c r="P57" s="307">
        <v>25.690265391666667</v>
      </c>
      <c r="Q57" s="660">
        <f>SUM(E57:P57)</f>
        <v>341.08378831000005</v>
      </c>
    </row>
    <row r="58" spans="3:17" ht="18" hidden="1" customHeight="1">
      <c r="C58" s="665" t="s">
        <v>592</v>
      </c>
      <c r="D58" s="271"/>
      <c r="E58" s="307">
        <v>6.9724999999999995E-2</v>
      </c>
      <c r="F58" s="307">
        <v>9.3911999999999995E-2</v>
      </c>
      <c r="G58" s="307">
        <v>6.4971000000000001E-2</v>
      </c>
      <c r="H58" s="307">
        <v>9.2616000000000004E-2</v>
      </c>
      <c r="I58" s="307">
        <v>8.0775E-2</v>
      </c>
      <c r="J58" s="307">
        <v>8.0980999999999997E-2</v>
      </c>
      <c r="K58" s="307">
        <v>7.9759999999999998E-2</v>
      </c>
      <c r="L58" s="307">
        <v>6.6721000000000003E-2</v>
      </c>
      <c r="M58" s="307">
        <v>6.3426999999999997E-2</v>
      </c>
      <c r="N58" s="307">
        <v>6.0798000000000005E-2</v>
      </c>
      <c r="O58" s="307">
        <v>7.7015E-2</v>
      </c>
      <c r="P58" s="307">
        <v>6.9407999999999997E-2</v>
      </c>
      <c r="Q58" s="660">
        <f t="shared" ref="Q58:Q77" si="19">SUM(E58:P58)</f>
        <v>0.90010900000000016</v>
      </c>
    </row>
    <row r="59" spans="3:17" ht="18" hidden="1" customHeight="1">
      <c r="C59" s="665" t="s">
        <v>702</v>
      </c>
      <c r="D59" s="271"/>
      <c r="E59" s="307">
        <v>2.7865120000000001</v>
      </c>
      <c r="F59" s="307">
        <v>0.50318799999999997</v>
      </c>
      <c r="G59" s="307">
        <v>0.136738</v>
      </c>
      <c r="H59" s="307">
        <v>8.3085999999999993E-2</v>
      </c>
      <c r="I59" s="307">
        <v>8.9899999999999994E-2</v>
      </c>
      <c r="J59" s="307">
        <v>9.1614000000000001E-2</v>
      </c>
      <c r="K59" s="307">
        <v>7.2499999999999995E-2</v>
      </c>
      <c r="L59" s="307">
        <v>9.3123999999999998E-2</v>
      </c>
      <c r="M59" s="307">
        <v>9.9238000000000007E-2</v>
      </c>
      <c r="N59" s="307">
        <v>0.129548</v>
      </c>
      <c r="O59" s="307">
        <v>1.2446159999999999</v>
      </c>
      <c r="P59" s="307">
        <v>4.2745740000000003</v>
      </c>
      <c r="Q59" s="660">
        <f t="shared" si="19"/>
        <v>9.6046379999999996</v>
      </c>
    </row>
    <row r="60" spans="3:17" ht="18" hidden="1" customHeight="1">
      <c r="C60" s="665" t="s">
        <v>703</v>
      </c>
      <c r="D60" s="271"/>
      <c r="E60" s="307">
        <v>15.832093</v>
      </c>
      <c r="F60" s="307">
        <v>18.923454</v>
      </c>
      <c r="G60" s="307">
        <v>23.24811</v>
      </c>
      <c r="H60" s="307">
        <v>22.956513999999999</v>
      </c>
      <c r="I60" s="307">
        <v>21.655025999999999</v>
      </c>
      <c r="J60" s="307">
        <v>20.669916000000001</v>
      </c>
      <c r="K60" s="307">
        <v>26.001754000000002</v>
      </c>
      <c r="L60" s="307">
        <v>27.249369999999999</v>
      </c>
      <c r="M60" s="307">
        <v>24.488624999999999</v>
      </c>
      <c r="N60" s="307">
        <v>28.044825000000003</v>
      </c>
      <c r="O60" s="307">
        <v>28.169708</v>
      </c>
      <c r="P60" s="307">
        <v>28.472213999999997</v>
      </c>
      <c r="Q60" s="660">
        <f t="shared" si="19"/>
        <v>285.71160900000001</v>
      </c>
    </row>
    <row r="61" spans="3:17" ht="18" hidden="1" customHeight="1">
      <c r="C61" s="658" t="s">
        <v>636</v>
      </c>
      <c r="D61" s="271"/>
      <c r="E61" s="659">
        <f>E62+E63+E64</f>
        <v>5.3749999999999996E-3</v>
      </c>
      <c r="F61" s="659">
        <f t="shared" ref="F61:P61" si="20">F62+F63+F64</f>
        <v>1.3489999999999999E-3</v>
      </c>
      <c r="G61" s="659">
        <f t="shared" si="20"/>
        <v>1.3489999999999999E-3</v>
      </c>
      <c r="H61" s="659">
        <f t="shared" si="20"/>
        <v>1.3489999999999999E-3</v>
      </c>
      <c r="I61" s="659">
        <f t="shared" si="20"/>
        <v>1.3489999999999999E-3</v>
      </c>
      <c r="J61" s="659">
        <f t="shared" si="20"/>
        <v>1.3489999999999999E-3</v>
      </c>
      <c r="K61" s="659">
        <f t="shared" si="20"/>
        <v>1.3489999999999999E-3</v>
      </c>
      <c r="L61" s="659">
        <f t="shared" si="20"/>
        <v>1.3489999999999999E-3</v>
      </c>
      <c r="M61" s="659">
        <f t="shared" si="20"/>
        <v>1.3489999999999999E-3</v>
      </c>
      <c r="N61" s="659">
        <f t="shared" si="20"/>
        <v>1.3489999999999999E-3</v>
      </c>
      <c r="O61" s="659">
        <f t="shared" si="20"/>
        <v>1.3489999999999999E-3</v>
      </c>
      <c r="P61" s="659">
        <f t="shared" si="20"/>
        <v>1.3489999999999999E-3</v>
      </c>
      <c r="Q61" s="660">
        <f t="shared" si="19"/>
        <v>2.0213999999999996E-2</v>
      </c>
    </row>
    <row r="62" spans="3:17" ht="18" hidden="1" customHeight="1">
      <c r="C62" s="396" t="s">
        <v>637</v>
      </c>
      <c r="D62" s="271"/>
      <c r="E62" s="307">
        <v>5.3749999999999996E-3</v>
      </c>
      <c r="F62" s="307">
        <v>1.3489999999999999E-3</v>
      </c>
      <c r="G62" s="307">
        <v>1.3489999999999999E-3</v>
      </c>
      <c r="H62" s="307">
        <v>1.3489999999999999E-3</v>
      </c>
      <c r="I62" s="307">
        <v>1.3489999999999999E-3</v>
      </c>
      <c r="J62" s="307">
        <v>1.3489999999999999E-3</v>
      </c>
      <c r="K62" s="307">
        <v>1.3489999999999999E-3</v>
      </c>
      <c r="L62" s="307">
        <v>1.3489999999999999E-3</v>
      </c>
      <c r="M62" s="307">
        <v>1.3489999999999999E-3</v>
      </c>
      <c r="N62" s="307">
        <v>1.3489999999999999E-3</v>
      </c>
      <c r="O62" s="307">
        <v>1.3489999999999999E-3</v>
      </c>
      <c r="P62" s="307">
        <v>1.3489999999999999E-3</v>
      </c>
      <c r="Q62" s="660">
        <f t="shared" si="19"/>
        <v>2.0213999999999996E-2</v>
      </c>
    </row>
    <row r="63" spans="3:17" ht="18" hidden="1" customHeight="1">
      <c r="C63" s="666" t="s">
        <v>687</v>
      </c>
      <c r="D63" s="271"/>
      <c r="E63" s="307"/>
      <c r="F63" s="307"/>
      <c r="G63" s="307"/>
      <c r="H63" s="307"/>
      <c r="I63" s="307"/>
      <c r="J63" s="307"/>
      <c r="K63" s="307"/>
      <c r="L63" s="307"/>
      <c r="M63" s="307"/>
      <c r="N63" s="307"/>
      <c r="O63" s="307"/>
      <c r="P63" s="307"/>
      <c r="Q63" s="660">
        <f t="shared" si="19"/>
        <v>0</v>
      </c>
    </row>
    <row r="64" spans="3:17" ht="18" hidden="1" customHeight="1">
      <c r="C64" s="396" t="s">
        <v>638</v>
      </c>
      <c r="D64" s="271"/>
      <c r="E64" s="307"/>
      <c r="F64" s="307"/>
      <c r="G64" s="307"/>
      <c r="H64" s="307"/>
      <c r="I64" s="307"/>
      <c r="J64" s="307"/>
      <c r="K64" s="307"/>
      <c r="L64" s="307"/>
      <c r="M64" s="307"/>
      <c r="N64" s="307"/>
      <c r="O64" s="307"/>
      <c r="P64" s="307"/>
      <c r="Q64" s="660">
        <f t="shared" si="19"/>
        <v>0</v>
      </c>
    </row>
    <row r="65" spans="3:17" ht="18" hidden="1" customHeight="1">
      <c r="C65" s="658" t="s">
        <v>639</v>
      </c>
      <c r="D65" s="271"/>
      <c r="E65" s="659">
        <f>E66+E67</f>
        <v>0.46792400000000001</v>
      </c>
      <c r="F65" s="659">
        <f t="shared" ref="F65:P65" si="21">F66+F67</f>
        <v>0.208258</v>
      </c>
      <c r="G65" s="659">
        <f t="shared" si="21"/>
        <v>0.92319849999999992</v>
      </c>
      <c r="H65" s="659">
        <f t="shared" si="21"/>
        <v>2.2835775749999998</v>
      </c>
      <c r="I65" s="659">
        <f t="shared" si="21"/>
        <v>9.0538353850000011</v>
      </c>
      <c r="J65" s="659">
        <f t="shared" si="21"/>
        <v>8.8481600999999994</v>
      </c>
      <c r="K65" s="659">
        <f t="shared" si="21"/>
        <v>4.9205220149999995</v>
      </c>
      <c r="L65" s="659">
        <f t="shared" si="21"/>
        <v>10.835487499999999</v>
      </c>
      <c r="M65" s="659">
        <f t="shared" si="21"/>
        <v>0.71552499999999997</v>
      </c>
      <c r="N65" s="659">
        <f t="shared" si="21"/>
        <v>1.2974712799999999</v>
      </c>
      <c r="O65" s="659">
        <f t="shared" si="21"/>
        <v>1.7705247499999999</v>
      </c>
      <c r="P65" s="659">
        <f t="shared" si="21"/>
        <v>0.68153249999999999</v>
      </c>
      <c r="Q65" s="660">
        <f t="shared" si="19"/>
        <v>42.006016604999992</v>
      </c>
    </row>
    <row r="66" spans="3:17" ht="18" hidden="1" customHeight="1">
      <c r="C66" s="396" t="s">
        <v>640</v>
      </c>
      <c r="D66" s="271"/>
      <c r="E66" s="307"/>
      <c r="F66" s="307"/>
      <c r="G66" s="307"/>
      <c r="H66" s="307"/>
      <c r="I66" s="307"/>
      <c r="J66" s="307"/>
      <c r="K66" s="307"/>
      <c r="L66" s="307"/>
      <c r="M66" s="307"/>
      <c r="N66" s="307"/>
      <c r="O66" s="307"/>
      <c r="P66" s="307"/>
      <c r="Q66" s="660">
        <f t="shared" si="19"/>
        <v>0</v>
      </c>
    </row>
    <row r="67" spans="3:17" ht="18" hidden="1" customHeight="1">
      <c r="C67" s="396" t="s">
        <v>641</v>
      </c>
      <c r="D67" s="271"/>
      <c r="E67" s="307">
        <v>0.46792400000000001</v>
      </c>
      <c r="F67" s="307">
        <v>0.208258</v>
      </c>
      <c r="G67" s="307">
        <v>0.92319849999999992</v>
      </c>
      <c r="H67" s="307">
        <v>2.2835775749999998</v>
      </c>
      <c r="I67" s="307">
        <v>9.0538353850000011</v>
      </c>
      <c r="J67" s="307">
        <v>8.8481600999999994</v>
      </c>
      <c r="K67" s="307">
        <v>4.9205220149999995</v>
      </c>
      <c r="L67" s="307">
        <v>10.835487499999999</v>
      </c>
      <c r="M67" s="307">
        <v>0.71552499999999997</v>
      </c>
      <c r="N67" s="307">
        <v>1.2974712799999999</v>
      </c>
      <c r="O67" s="307">
        <v>1.7705247499999999</v>
      </c>
      <c r="P67" s="307">
        <v>0.68153249999999999</v>
      </c>
      <c r="Q67" s="660">
        <f t="shared" si="19"/>
        <v>42.006016604999992</v>
      </c>
    </row>
    <row r="68" spans="3:17" ht="18" hidden="1" customHeight="1">
      <c r="C68" s="662" t="s">
        <v>604</v>
      </c>
      <c r="D68" s="663"/>
      <c r="E68" s="663">
        <f t="shared" ref="E68:P68" si="22">E69+E70+E77+E85+E90</f>
        <v>338.47616831000005</v>
      </c>
      <c r="F68" s="663">
        <f t="shared" si="22"/>
        <v>370.53949254000003</v>
      </c>
      <c r="G68" s="663">
        <f t="shared" si="22"/>
        <v>421.05015530919997</v>
      </c>
      <c r="H68" s="663">
        <f t="shared" si="22"/>
        <v>431.66253543800002</v>
      </c>
      <c r="I68" s="663">
        <f t="shared" si="22"/>
        <v>440.75734054259999</v>
      </c>
      <c r="J68" s="663">
        <f t="shared" si="22"/>
        <v>432.34694991929996</v>
      </c>
      <c r="K68" s="663">
        <f t="shared" si="22"/>
        <v>427.80361790999996</v>
      </c>
      <c r="L68" s="663">
        <f t="shared" si="22"/>
        <v>405.31385799999998</v>
      </c>
      <c r="M68" s="663">
        <f t="shared" si="22"/>
        <v>419.15673475</v>
      </c>
      <c r="N68" s="663">
        <f t="shared" si="22"/>
        <v>421.40517998999997</v>
      </c>
      <c r="O68" s="663">
        <f t="shared" si="22"/>
        <v>393.52795767000003</v>
      </c>
      <c r="P68" s="663">
        <f t="shared" si="22"/>
        <v>439.647951982</v>
      </c>
      <c r="Q68" s="664">
        <f t="shared" si="19"/>
        <v>4941.6879423611008</v>
      </c>
    </row>
    <row r="69" spans="3:17" ht="18" hidden="1" customHeight="1">
      <c r="C69" s="667" t="s">
        <v>633</v>
      </c>
      <c r="D69" s="271"/>
      <c r="E69" s="307"/>
      <c r="F69" s="307"/>
      <c r="G69" s="307"/>
      <c r="H69" s="307"/>
      <c r="I69" s="307"/>
      <c r="J69" s="307"/>
      <c r="K69" s="307"/>
      <c r="L69" s="307"/>
      <c r="M69" s="307"/>
      <c r="N69" s="307"/>
      <c r="O69" s="307"/>
      <c r="P69" s="307"/>
      <c r="Q69" s="660">
        <f t="shared" si="19"/>
        <v>0</v>
      </c>
    </row>
    <row r="70" spans="3:17" ht="18" hidden="1" customHeight="1">
      <c r="C70" s="658" t="s">
        <v>634</v>
      </c>
      <c r="D70" s="271"/>
      <c r="E70" s="659">
        <f>E71+E72+E73+E74+E75+E76</f>
        <v>3.4460519999999968</v>
      </c>
      <c r="F70" s="659">
        <f t="shared" ref="F70:P70" si="23">F71+F72+F73+F74+F75+F76</f>
        <v>2.9730300000000005</v>
      </c>
      <c r="G70" s="659">
        <f t="shared" si="23"/>
        <v>2.4205419999999997</v>
      </c>
      <c r="H70" s="659">
        <f t="shared" si="23"/>
        <v>2.1596549999999999</v>
      </c>
      <c r="I70" s="659">
        <f t="shared" si="23"/>
        <v>2.7145619999999999</v>
      </c>
      <c r="J70" s="659">
        <f t="shared" si="23"/>
        <v>3.1215320000000002</v>
      </c>
      <c r="K70" s="659">
        <f t="shared" si="23"/>
        <v>2.4447200000000002</v>
      </c>
      <c r="L70" s="659">
        <f t="shared" si="23"/>
        <v>2.5141849999999999</v>
      </c>
      <c r="M70" s="659">
        <f t="shared" si="23"/>
        <v>2.3977930000000001</v>
      </c>
      <c r="N70" s="659">
        <f t="shared" si="23"/>
        <v>2.7023620000000004</v>
      </c>
      <c r="O70" s="659">
        <f t="shared" si="23"/>
        <v>2.3208880000000001</v>
      </c>
      <c r="P70" s="659">
        <f t="shared" si="23"/>
        <v>2.9913000000000003</v>
      </c>
      <c r="Q70" s="660">
        <f t="shared" si="19"/>
        <v>32.206620999999998</v>
      </c>
    </row>
    <row r="71" spans="3:17" ht="18" hidden="1" customHeight="1">
      <c r="C71" s="665" t="s">
        <v>986</v>
      </c>
      <c r="D71" s="271"/>
      <c r="E71" s="307">
        <v>3.0187253333333297</v>
      </c>
      <c r="F71" s="307">
        <v>2.5125140000000004</v>
      </c>
      <c r="G71" s="307">
        <v>1.835996</v>
      </c>
      <c r="H71" s="307">
        <v>1.6738440000000001</v>
      </c>
      <c r="I71" s="307">
        <v>2.135389</v>
      </c>
      <c r="J71" s="307">
        <v>2.171872</v>
      </c>
      <c r="K71" s="307">
        <v>1.8526950000000002</v>
      </c>
      <c r="L71" s="307">
        <v>1.902873</v>
      </c>
      <c r="M71" s="307">
        <v>1.8555280000000001</v>
      </c>
      <c r="N71" s="307">
        <v>2.119516</v>
      </c>
      <c r="O71" s="307">
        <v>1.796829</v>
      </c>
      <c r="P71" s="307">
        <v>2.3555040000000003</v>
      </c>
      <c r="Q71" s="660">
        <f t="shared" si="19"/>
        <v>25.231285333333332</v>
      </c>
    </row>
    <row r="72" spans="3:17" ht="18" hidden="1" customHeight="1">
      <c r="C72" s="665" t="s">
        <v>697</v>
      </c>
      <c r="D72" s="271"/>
      <c r="E72" s="307">
        <v>0.376466666666667</v>
      </c>
      <c r="F72" s="307">
        <v>0.36113600000000001</v>
      </c>
      <c r="G72" s="307">
        <v>0.39630599999999999</v>
      </c>
      <c r="H72" s="307">
        <v>0.41141100000000003</v>
      </c>
      <c r="I72" s="307">
        <v>0.502973</v>
      </c>
      <c r="J72" s="307">
        <v>0.51795999999999998</v>
      </c>
      <c r="K72" s="307">
        <v>0.39182499999999998</v>
      </c>
      <c r="L72" s="307">
        <v>0.43584699999999998</v>
      </c>
      <c r="M72" s="307">
        <v>0.40573899999999996</v>
      </c>
      <c r="N72" s="307">
        <v>0.46337600000000001</v>
      </c>
      <c r="O72" s="307">
        <v>0.37637100000000001</v>
      </c>
      <c r="P72" s="307">
        <v>0.52014499999999997</v>
      </c>
      <c r="Q72" s="660">
        <f t="shared" si="19"/>
        <v>5.1595556666666669</v>
      </c>
    </row>
    <row r="73" spans="3:17" ht="18" hidden="1" customHeight="1">
      <c r="C73" s="665" t="s">
        <v>987</v>
      </c>
      <c r="D73" s="271"/>
      <c r="E73" s="307">
        <v>0</v>
      </c>
      <c r="F73" s="307">
        <v>0</v>
      </c>
      <c r="G73" s="307">
        <v>0</v>
      </c>
      <c r="H73" s="307">
        <v>0</v>
      </c>
      <c r="I73" s="307">
        <v>0</v>
      </c>
      <c r="J73" s="307">
        <v>0</v>
      </c>
      <c r="K73" s="307">
        <v>0</v>
      </c>
      <c r="L73" s="307">
        <v>0</v>
      </c>
      <c r="M73" s="307">
        <v>0</v>
      </c>
      <c r="N73" s="307">
        <v>0</v>
      </c>
      <c r="O73" s="307">
        <v>0</v>
      </c>
      <c r="P73" s="307">
        <v>0</v>
      </c>
      <c r="Q73" s="660">
        <f t="shared" si="19"/>
        <v>0</v>
      </c>
    </row>
    <row r="74" spans="3:17" ht="18" hidden="1" customHeight="1">
      <c r="C74" s="665" t="s">
        <v>683</v>
      </c>
      <c r="D74" s="271"/>
      <c r="E74" s="307">
        <v>5.0860000000000002E-2</v>
      </c>
      <c r="F74" s="307">
        <v>9.9379999999999996E-2</v>
      </c>
      <c r="G74" s="307">
        <v>0.18823999999999999</v>
      </c>
      <c r="H74" s="307">
        <v>7.4399999999999994E-2</v>
      </c>
      <c r="I74" s="307">
        <v>7.619999999999999E-2</v>
      </c>
      <c r="J74" s="307">
        <v>0.43170000000000003</v>
      </c>
      <c r="K74" s="307">
        <v>0.20020000000000002</v>
      </c>
      <c r="L74" s="307">
        <v>0.17546499999999998</v>
      </c>
      <c r="M74" s="307">
        <v>0.13652600000000001</v>
      </c>
      <c r="N74" s="307">
        <v>0.11946999999999999</v>
      </c>
      <c r="O74" s="307">
        <v>0.14768799999999999</v>
      </c>
      <c r="P74" s="307">
        <v>0.115651</v>
      </c>
      <c r="Q74" s="660">
        <f t="shared" si="19"/>
        <v>1.8157799999999999</v>
      </c>
    </row>
    <row r="75" spans="3:17" ht="18" hidden="1" customHeight="1">
      <c r="C75" s="665" t="s">
        <v>684</v>
      </c>
      <c r="D75" s="271"/>
      <c r="E75" s="307"/>
      <c r="F75" s="307"/>
      <c r="G75" s="307"/>
      <c r="H75" s="307"/>
      <c r="I75" s="307"/>
      <c r="J75" s="307"/>
      <c r="K75" s="307"/>
      <c r="L75" s="307"/>
      <c r="M75" s="307"/>
      <c r="N75" s="307"/>
      <c r="O75" s="307"/>
      <c r="P75" s="307"/>
      <c r="Q75" s="660">
        <f t="shared" si="19"/>
        <v>0</v>
      </c>
    </row>
    <row r="76" spans="3:17" ht="18" hidden="1" customHeight="1">
      <c r="C76" s="665" t="s">
        <v>685</v>
      </c>
      <c r="D76" s="271"/>
      <c r="E76" s="307"/>
      <c r="F76" s="307"/>
      <c r="G76" s="307"/>
      <c r="H76" s="307"/>
      <c r="I76" s="307"/>
      <c r="J76" s="307"/>
      <c r="K76" s="307"/>
      <c r="L76" s="307"/>
      <c r="M76" s="307"/>
      <c r="N76" s="307"/>
      <c r="O76" s="307"/>
      <c r="P76" s="307"/>
      <c r="Q76" s="660">
        <f t="shared" si="19"/>
        <v>0</v>
      </c>
    </row>
    <row r="77" spans="3:17" ht="20.100000000000001" hidden="1" customHeight="1">
      <c r="C77" s="658" t="s">
        <v>635</v>
      </c>
      <c r="D77" s="271"/>
      <c r="E77" s="659">
        <f>E81+E79+E80+E82+E83+E84</f>
        <v>256.71941631000004</v>
      </c>
      <c r="F77" s="659">
        <f t="shared" ref="F77:P77" si="24">F81+F79+F80+F82+F83+F84</f>
        <v>292.02338954000004</v>
      </c>
      <c r="G77" s="659">
        <f t="shared" si="24"/>
        <v>343.35241130919997</v>
      </c>
      <c r="H77" s="659">
        <f t="shared" si="24"/>
        <v>356.66041643800003</v>
      </c>
      <c r="I77" s="659">
        <f t="shared" si="24"/>
        <v>361.2328205426</v>
      </c>
      <c r="J77" s="659">
        <f t="shared" si="24"/>
        <v>351.36884291929999</v>
      </c>
      <c r="K77" s="659">
        <f t="shared" si="24"/>
        <v>344.42442290999998</v>
      </c>
      <c r="L77" s="659">
        <f t="shared" si="24"/>
        <v>330.632676</v>
      </c>
      <c r="M77" s="659">
        <f t="shared" si="24"/>
        <v>345.71862075000001</v>
      </c>
      <c r="N77" s="659">
        <f t="shared" si="24"/>
        <v>333.94266498999997</v>
      </c>
      <c r="O77" s="659">
        <f t="shared" si="24"/>
        <v>318.54925266999999</v>
      </c>
      <c r="P77" s="659">
        <f t="shared" si="24"/>
        <v>355.48352498200001</v>
      </c>
      <c r="Q77" s="660">
        <f t="shared" si="19"/>
        <v>3990.1084593610999</v>
      </c>
    </row>
    <row r="78" spans="3:17" ht="20.100000000000001" hidden="1" customHeight="1">
      <c r="C78" s="658" t="s">
        <v>699</v>
      </c>
      <c r="D78" s="271"/>
      <c r="E78" s="659"/>
      <c r="F78" s="659"/>
      <c r="G78" s="659"/>
      <c r="H78" s="659"/>
      <c r="I78" s="659"/>
      <c r="J78" s="659"/>
      <c r="K78" s="659"/>
      <c r="L78" s="659"/>
      <c r="M78" s="659"/>
      <c r="N78" s="659"/>
      <c r="O78" s="659"/>
      <c r="P78" s="659"/>
      <c r="Q78" s="660"/>
    </row>
    <row r="79" spans="3:17" hidden="1">
      <c r="C79" s="665" t="s">
        <v>914</v>
      </c>
      <c r="D79" s="271"/>
      <c r="E79" s="307">
        <v>37.782135499999995</v>
      </c>
      <c r="F79" s="307">
        <v>40.666539999999998</v>
      </c>
      <c r="G79" s="307">
        <v>47.087474</v>
      </c>
      <c r="H79" s="307">
        <v>49.291255999999997</v>
      </c>
      <c r="I79" s="307">
        <v>49.540255500000001</v>
      </c>
      <c r="J79" s="307">
        <v>48.566763000000002</v>
      </c>
      <c r="K79" s="307">
        <v>43.836925000000001</v>
      </c>
      <c r="L79" s="307">
        <v>42.434289000000007</v>
      </c>
      <c r="M79" s="307">
        <v>45.025047999999998</v>
      </c>
      <c r="N79" s="307">
        <v>44.515849000000003</v>
      </c>
      <c r="O79" s="307">
        <v>41.18629</v>
      </c>
      <c r="P79" s="307">
        <v>46.397159000000002</v>
      </c>
      <c r="Q79" s="660">
        <f t="shared" ref="Q79:Q80" si="25">SUM(E79:P79)</f>
        <v>536.32998399999997</v>
      </c>
    </row>
    <row r="80" spans="3:17" ht="20.100000000000001" hidden="1" customHeight="1">
      <c r="C80" s="665" t="s">
        <v>915</v>
      </c>
      <c r="D80" s="271"/>
      <c r="E80" s="307">
        <v>48.260934506666672</v>
      </c>
      <c r="F80" s="307">
        <v>53.586008506666673</v>
      </c>
      <c r="G80" s="307">
        <v>63.358058999999997</v>
      </c>
      <c r="H80" s="307">
        <v>64.145885000000007</v>
      </c>
      <c r="I80" s="307">
        <v>66.969923999999992</v>
      </c>
      <c r="J80" s="307">
        <v>67.263804999999991</v>
      </c>
      <c r="K80" s="307">
        <v>65.425371000000013</v>
      </c>
      <c r="L80" s="307">
        <v>56.641705000000002</v>
      </c>
      <c r="M80" s="307">
        <v>61.901062999999994</v>
      </c>
      <c r="N80" s="307">
        <v>60.285530999999999</v>
      </c>
      <c r="O80" s="307">
        <v>57.539904</v>
      </c>
      <c r="P80" s="307">
        <v>64.31919400000001</v>
      </c>
      <c r="Q80" s="660">
        <f t="shared" si="25"/>
        <v>729.69738401333336</v>
      </c>
    </row>
    <row r="81" spans="3:17" ht="20.100000000000001" hidden="1" customHeight="1">
      <c r="C81" s="665" t="s">
        <v>916</v>
      </c>
      <c r="D81" s="271"/>
      <c r="E81" s="307">
        <v>26.024021993333328</v>
      </c>
      <c r="F81" s="307">
        <v>25.449792033333331</v>
      </c>
      <c r="G81" s="307">
        <v>26.774436309199999</v>
      </c>
      <c r="H81" s="307">
        <v>31.086114438000003</v>
      </c>
      <c r="I81" s="307">
        <v>26.744907042599998</v>
      </c>
      <c r="J81" s="307">
        <v>25.491888919299999</v>
      </c>
      <c r="K81" s="307">
        <v>25.276310909999999</v>
      </c>
      <c r="L81" s="307">
        <v>21.64622</v>
      </c>
      <c r="M81" s="307">
        <v>23.987879749999998</v>
      </c>
      <c r="N81" s="307">
        <v>18.298615989999998</v>
      </c>
      <c r="O81" s="307">
        <v>20.507938670000001</v>
      </c>
      <c r="P81" s="307">
        <v>24.143643982</v>
      </c>
      <c r="Q81" s="660">
        <f>SUM(E81:P81)</f>
        <v>295.43177003776668</v>
      </c>
    </row>
    <row r="82" spans="3:17" ht="20.100000000000001" hidden="1" customHeight="1">
      <c r="C82" s="665" t="s">
        <v>592</v>
      </c>
      <c r="D82" s="271"/>
      <c r="E82" s="307">
        <v>3.5968250000000004</v>
      </c>
      <c r="F82" s="307">
        <v>3.344919</v>
      </c>
      <c r="G82" s="307">
        <v>3.2673460000000003</v>
      </c>
      <c r="H82" s="307">
        <v>3.2481610000000001</v>
      </c>
      <c r="I82" s="307">
        <v>3.4703340000000003</v>
      </c>
      <c r="J82" s="307">
        <v>3.194086</v>
      </c>
      <c r="K82" s="307">
        <v>2.778216</v>
      </c>
      <c r="L82" s="307">
        <v>2.5259819999999999</v>
      </c>
      <c r="M82" s="307">
        <v>2.368255</v>
      </c>
      <c r="N82" s="307">
        <v>2.4113560000000001</v>
      </c>
      <c r="O82" s="307">
        <v>2.326997</v>
      </c>
      <c r="P82" s="307">
        <v>2.7829069999999998</v>
      </c>
      <c r="Q82" s="660">
        <f t="shared" ref="Q82:Q92" si="26">SUM(E82:P82)</f>
        <v>35.315384000000002</v>
      </c>
    </row>
    <row r="83" spans="3:17" ht="20.100000000000001" hidden="1" customHeight="1">
      <c r="C83" s="665" t="s">
        <v>702</v>
      </c>
      <c r="D83" s="271"/>
      <c r="E83" s="307">
        <v>0</v>
      </c>
      <c r="F83" s="307">
        <v>0</v>
      </c>
      <c r="G83" s="307">
        <v>0</v>
      </c>
      <c r="H83" s="307">
        <v>0</v>
      </c>
      <c r="I83" s="307">
        <v>0</v>
      </c>
      <c r="J83" s="307">
        <v>0</v>
      </c>
      <c r="K83" s="307">
        <v>0</v>
      </c>
      <c r="L83" s="307">
        <v>0</v>
      </c>
      <c r="M83" s="307">
        <v>0</v>
      </c>
      <c r="N83" s="307">
        <v>0</v>
      </c>
      <c r="O83" s="307">
        <v>0</v>
      </c>
      <c r="P83" s="307">
        <v>0</v>
      </c>
      <c r="Q83" s="660">
        <f t="shared" si="26"/>
        <v>0</v>
      </c>
    </row>
    <row r="84" spans="3:17" ht="20.100000000000001" hidden="1" customHeight="1">
      <c r="C84" s="665" t="s">
        <v>703</v>
      </c>
      <c r="D84" s="271"/>
      <c r="E84" s="307">
        <v>141.05549931000002</v>
      </c>
      <c r="F84" s="307">
        <v>168.97613000000001</v>
      </c>
      <c r="G84" s="307">
        <v>202.86509599999999</v>
      </c>
      <c r="H84" s="307">
        <v>208.88900000000001</v>
      </c>
      <c r="I84" s="307">
        <v>214.50739999999999</v>
      </c>
      <c r="J84" s="307">
        <v>206.85229999999999</v>
      </c>
      <c r="K84" s="307">
        <v>207.10759999999999</v>
      </c>
      <c r="L84" s="307">
        <v>207.38448</v>
      </c>
      <c r="M84" s="307">
        <v>212.436375</v>
      </c>
      <c r="N84" s="307">
        <v>208.43131299999999</v>
      </c>
      <c r="O84" s="307">
        <v>196.988123</v>
      </c>
      <c r="P84" s="307">
        <v>217.840621</v>
      </c>
      <c r="Q84" s="660">
        <f t="shared" si="26"/>
        <v>2393.3339373099998</v>
      </c>
    </row>
    <row r="85" spans="3:17" ht="20.100000000000001" hidden="1" customHeight="1">
      <c r="C85" s="658" t="s">
        <v>636</v>
      </c>
      <c r="D85" s="271"/>
      <c r="E85" s="659">
        <f>E86+E87+E88+E89</f>
        <v>78.310699999999997</v>
      </c>
      <c r="F85" s="659">
        <f t="shared" ref="F85:P85" si="27">F86+F87+F88+F89</f>
        <v>75.543072999999993</v>
      </c>
      <c r="G85" s="659">
        <f t="shared" si="27"/>
        <v>75.277202000000003</v>
      </c>
      <c r="H85" s="659">
        <f t="shared" si="27"/>
        <v>72.842464000000007</v>
      </c>
      <c r="I85" s="659">
        <f t="shared" si="27"/>
        <v>76.809957999999995</v>
      </c>
      <c r="J85" s="659">
        <f t="shared" si="27"/>
        <v>77.856574999999992</v>
      </c>
      <c r="K85" s="659">
        <f t="shared" si="27"/>
        <v>80.934474999999992</v>
      </c>
      <c r="L85" s="659">
        <f t="shared" si="27"/>
        <v>72.166996999999995</v>
      </c>
      <c r="M85" s="659">
        <f t="shared" si="27"/>
        <v>71.040321000000006</v>
      </c>
      <c r="N85" s="659">
        <f t="shared" si="27"/>
        <v>84.760153000000003</v>
      </c>
      <c r="O85" s="659">
        <f t="shared" si="27"/>
        <v>72.657817000000009</v>
      </c>
      <c r="P85" s="659">
        <f t="shared" si="27"/>
        <v>81.173126999999994</v>
      </c>
      <c r="Q85" s="660">
        <f t="shared" si="26"/>
        <v>919.37286199999994</v>
      </c>
    </row>
    <row r="86" spans="3:17" ht="15" hidden="1" customHeight="1">
      <c r="C86" s="396" t="s">
        <v>637</v>
      </c>
      <c r="D86" s="271"/>
      <c r="E86" s="307"/>
      <c r="F86" s="307"/>
      <c r="G86" s="307"/>
      <c r="H86" s="307"/>
      <c r="I86" s="307"/>
      <c r="J86" s="307"/>
      <c r="K86" s="307"/>
      <c r="L86" s="307"/>
      <c r="M86" s="307"/>
      <c r="N86" s="307"/>
      <c r="O86" s="307"/>
      <c r="P86" s="307"/>
      <c r="Q86" s="660">
        <f t="shared" si="26"/>
        <v>0</v>
      </c>
    </row>
    <row r="87" spans="3:17" ht="15" hidden="1" customHeight="1">
      <c r="C87" s="668" t="s">
        <v>687</v>
      </c>
      <c r="D87" s="271"/>
      <c r="E87" s="307"/>
      <c r="F87" s="307"/>
      <c r="G87" s="307"/>
      <c r="H87" s="307"/>
      <c r="I87" s="307"/>
      <c r="J87" s="307"/>
      <c r="K87" s="307"/>
      <c r="L87" s="307"/>
      <c r="M87" s="307"/>
      <c r="N87" s="307"/>
      <c r="O87" s="307"/>
      <c r="P87" s="307"/>
      <c r="Q87" s="660">
        <f t="shared" si="26"/>
        <v>0</v>
      </c>
    </row>
    <row r="88" spans="3:17" ht="15" hidden="1" customHeight="1">
      <c r="C88" s="396" t="s">
        <v>638</v>
      </c>
      <c r="D88" s="271"/>
      <c r="E88" s="307"/>
      <c r="F88" s="307"/>
      <c r="G88" s="307"/>
      <c r="H88" s="307"/>
      <c r="I88" s="307"/>
      <c r="J88" s="307"/>
      <c r="K88" s="307"/>
      <c r="L88" s="307"/>
      <c r="M88" s="307"/>
      <c r="N88" s="307"/>
      <c r="O88" s="307"/>
      <c r="P88" s="307"/>
      <c r="Q88" s="660">
        <f t="shared" si="26"/>
        <v>0</v>
      </c>
    </row>
    <row r="89" spans="3:17" ht="15" hidden="1" customHeight="1">
      <c r="C89" s="396" t="s">
        <v>642</v>
      </c>
      <c r="D89" s="271"/>
      <c r="E89" s="307">
        <v>78.310699999999997</v>
      </c>
      <c r="F89" s="307">
        <v>75.543072999999993</v>
      </c>
      <c r="G89" s="307">
        <v>75.277202000000003</v>
      </c>
      <c r="H89" s="307">
        <v>72.842464000000007</v>
      </c>
      <c r="I89" s="307">
        <v>76.809957999999995</v>
      </c>
      <c r="J89" s="307">
        <v>77.856574999999992</v>
      </c>
      <c r="K89" s="307">
        <v>80.934474999999992</v>
      </c>
      <c r="L89" s="307">
        <v>72.166996999999995</v>
      </c>
      <c r="M89" s="307">
        <v>71.040321000000006</v>
      </c>
      <c r="N89" s="307">
        <v>84.760153000000003</v>
      </c>
      <c r="O89" s="307">
        <v>72.657817000000009</v>
      </c>
      <c r="P89" s="307">
        <v>81.173126999999994</v>
      </c>
      <c r="Q89" s="660">
        <f t="shared" si="26"/>
        <v>919.37286199999994</v>
      </c>
    </row>
    <row r="90" spans="3:17" ht="15" hidden="1" customHeight="1">
      <c r="C90" s="658" t="s">
        <v>639</v>
      </c>
      <c r="D90" s="271"/>
      <c r="E90" s="659">
        <f>E91+E92</f>
        <v>0</v>
      </c>
      <c r="F90" s="659">
        <f t="shared" ref="F90:P90" si="28">F91+F92</f>
        <v>0</v>
      </c>
      <c r="G90" s="659">
        <f t="shared" si="28"/>
        <v>0</v>
      </c>
      <c r="H90" s="659">
        <f t="shared" si="28"/>
        <v>0</v>
      </c>
      <c r="I90" s="659">
        <f t="shared" si="28"/>
        <v>0</v>
      </c>
      <c r="J90" s="659">
        <f t="shared" si="28"/>
        <v>0</v>
      </c>
      <c r="K90" s="659">
        <f t="shared" si="28"/>
        <v>0</v>
      </c>
      <c r="L90" s="659">
        <f t="shared" si="28"/>
        <v>0</v>
      </c>
      <c r="M90" s="659">
        <f t="shared" si="28"/>
        <v>0</v>
      </c>
      <c r="N90" s="659">
        <f t="shared" si="28"/>
        <v>0</v>
      </c>
      <c r="O90" s="659">
        <f t="shared" si="28"/>
        <v>0</v>
      </c>
      <c r="P90" s="659">
        <f t="shared" si="28"/>
        <v>0</v>
      </c>
      <c r="Q90" s="660">
        <f t="shared" si="26"/>
        <v>0</v>
      </c>
    </row>
    <row r="91" spans="3:17" ht="15" hidden="1" customHeight="1">
      <c r="C91" s="396" t="s">
        <v>640</v>
      </c>
      <c r="D91" s="271"/>
      <c r="E91" s="307"/>
      <c r="F91" s="307"/>
      <c r="G91" s="307"/>
      <c r="H91" s="307"/>
      <c r="I91" s="307"/>
      <c r="J91" s="307"/>
      <c r="K91" s="307"/>
      <c r="L91" s="307"/>
      <c r="M91" s="307"/>
      <c r="N91" s="307"/>
      <c r="O91" s="307"/>
      <c r="P91" s="307"/>
      <c r="Q91" s="660">
        <f t="shared" si="26"/>
        <v>0</v>
      </c>
    </row>
    <row r="92" spans="3:17" ht="15" hidden="1" customHeight="1">
      <c r="C92" s="396" t="s">
        <v>641</v>
      </c>
      <c r="D92" s="271"/>
      <c r="E92" s="307"/>
      <c r="F92" s="307"/>
      <c r="G92" s="307"/>
      <c r="H92" s="307"/>
      <c r="I92" s="307"/>
      <c r="J92" s="307"/>
      <c r="K92" s="307"/>
      <c r="L92" s="307"/>
      <c r="M92" s="307"/>
      <c r="N92" s="307"/>
      <c r="O92" s="307"/>
      <c r="P92" s="307"/>
      <c r="Q92" s="660">
        <f t="shared" si="26"/>
        <v>0</v>
      </c>
    </row>
    <row r="93" spans="3:17" ht="15" hidden="1" customHeight="1">
      <c r="C93" s="662" t="s">
        <v>919</v>
      </c>
      <c r="D93" s="663"/>
      <c r="E93" s="663">
        <f t="shared" ref="E93:P93" si="29">E94+E95+E102+E110+E114</f>
        <v>144.34785400000001</v>
      </c>
      <c r="F93" s="663">
        <f t="shared" si="29"/>
        <v>202.76776262511001</v>
      </c>
      <c r="G93" s="663">
        <f t="shared" si="29"/>
        <v>241.07168099999996</v>
      </c>
      <c r="H93" s="663">
        <f t="shared" si="29"/>
        <v>242.52283600000001</v>
      </c>
      <c r="I93" s="663">
        <f t="shared" si="29"/>
        <v>235.89733799999999</v>
      </c>
      <c r="J93" s="663">
        <f t="shared" si="29"/>
        <v>231.05811219031</v>
      </c>
      <c r="K93" s="663">
        <f t="shared" si="29"/>
        <v>249.80730952618998</v>
      </c>
      <c r="L93" s="663">
        <f t="shared" si="29"/>
        <v>250.42194141000999</v>
      </c>
      <c r="M93" s="663">
        <f t="shared" si="29"/>
        <v>271.82630185198002</v>
      </c>
      <c r="N93" s="663">
        <f t="shared" si="29"/>
        <v>249.35725996041</v>
      </c>
      <c r="O93" s="663">
        <f t="shared" si="29"/>
        <v>242.86904399999997</v>
      </c>
      <c r="P93" s="663">
        <f t="shared" si="29"/>
        <v>268.18223429150004</v>
      </c>
      <c r="Q93" s="664">
        <f t="shared" ref="Q93:Q102" si="30">SUM(E93:P93)</f>
        <v>2830.1296748555105</v>
      </c>
    </row>
    <row r="94" spans="3:17" ht="15" hidden="1" customHeight="1">
      <c r="C94" s="667" t="s">
        <v>633</v>
      </c>
      <c r="D94" s="271"/>
      <c r="E94" s="307"/>
      <c r="F94" s="307"/>
      <c r="G94" s="307"/>
      <c r="H94" s="307"/>
      <c r="I94" s="307"/>
      <c r="J94" s="307"/>
      <c r="K94" s="307"/>
      <c r="L94" s="307"/>
      <c r="M94" s="307"/>
      <c r="N94" s="307"/>
      <c r="O94" s="307"/>
      <c r="P94" s="307"/>
      <c r="Q94" s="660">
        <f t="shared" si="30"/>
        <v>0</v>
      </c>
    </row>
    <row r="95" spans="3:17" ht="15" hidden="1" customHeight="1">
      <c r="C95" s="658" t="s">
        <v>634</v>
      </c>
      <c r="D95" s="271"/>
      <c r="E95" s="659">
        <f>E96+E97+E98+E99+E100+E101</f>
        <v>4.4634440000000026</v>
      </c>
      <c r="F95" s="659">
        <f t="shared" ref="F95:P95" si="31">F96+F97+F98+F99+F100+F101</f>
        <v>4.6615466251099997</v>
      </c>
      <c r="G95" s="659">
        <f t="shared" si="31"/>
        <v>4.5894770000000005</v>
      </c>
      <c r="H95" s="659">
        <f t="shared" si="31"/>
        <v>4.6966659999999996</v>
      </c>
      <c r="I95" s="659">
        <f t="shared" si="31"/>
        <v>5.006278</v>
      </c>
      <c r="J95" s="659">
        <f t="shared" si="31"/>
        <v>4.5551021903099995</v>
      </c>
      <c r="K95" s="659">
        <f t="shared" si="31"/>
        <v>4.1251195261899998</v>
      </c>
      <c r="L95" s="659">
        <f t="shared" si="31"/>
        <v>5.6459914100100006</v>
      </c>
      <c r="M95" s="659">
        <f t="shared" si="31"/>
        <v>9.6319618519799981</v>
      </c>
      <c r="N95" s="659">
        <f t="shared" si="31"/>
        <v>10.789379960409999</v>
      </c>
      <c r="O95" s="659">
        <f t="shared" si="31"/>
        <v>12.354944000000001</v>
      </c>
      <c r="P95" s="659">
        <f t="shared" si="31"/>
        <v>15.585944291499999</v>
      </c>
      <c r="Q95" s="660">
        <f t="shared" si="30"/>
        <v>86.105854855510003</v>
      </c>
    </row>
    <row r="96" spans="3:17" ht="15" hidden="1" customHeight="1">
      <c r="C96" s="665" t="s">
        <v>986</v>
      </c>
      <c r="D96" s="271"/>
      <c r="E96" s="307">
        <v>3.9288086666666695</v>
      </c>
      <c r="F96" s="307">
        <v>4.0711592917766666</v>
      </c>
      <c r="G96" s="307">
        <v>3.782381</v>
      </c>
      <c r="H96" s="307">
        <v>3.5635370000000002</v>
      </c>
      <c r="I96" s="307">
        <v>3.7049349999999999</v>
      </c>
      <c r="J96" s="307">
        <v>3.28116919031</v>
      </c>
      <c r="K96" s="307">
        <v>3.3328775261900003</v>
      </c>
      <c r="L96" s="307">
        <v>4.5124464100100008</v>
      </c>
      <c r="M96" s="307">
        <v>6.8179058519799991</v>
      </c>
      <c r="N96" s="307">
        <v>7.7488009604099997</v>
      </c>
      <c r="O96" s="307">
        <v>9.8394030000000008</v>
      </c>
      <c r="P96" s="307">
        <v>12.826264291499999</v>
      </c>
      <c r="Q96" s="660">
        <f t="shared" si="30"/>
        <v>67.409688188843333</v>
      </c>
    </row>
    <row r="97" spans="3:17" ht="15" hidden="1" customHeight="1">
      <c r="C97" s="665" t="s">
        <v>697</v>
      </c>
      <c r="D97" s="271"/>
      <c r="E97" s="307">
        <v>0.53463533333333302</v>
      </c>
      <c r="F97" s="307">
        <v>0.58738733333333326</v>
      </c>
      <c r="G97" s="307">
        <v>0.80609599999999992</v>
      </c>
      <c r="H97" s="307">
        <v>0.9661289999999999</v>
      </c>
      <c r="I97" s="307">
        <v>0.87534299999999998</v>
      </c>
      <c r="J97" s="307">
        <v>0.72893299999999994</v>
      </c>
      <c r="K97" s="307">
        <v>0.75824199999999997</v>
      </c>
      <c r="L97" s="307">
        <v>1.014545</v>
      </c>
      <c r="M97" s="307">
        <v>1.4610559999999999</v>
      </c>
      <c r="N97" s="307">
        <v>1.6135790000000001</v>
      </c>
      <c r="O97" s="307">
        <v>2.0955409999999999</v>
      </c>
      <c r="P97" s="307">
        <v>2.74668</v>
      </c>
      <c r="Q97" s="660">
        <f t="shared" si="30"/>
        <v>14.188166666666666</v>
      </c>
    </row>
    <row r="98" spans="3:17" ht="15" hidden="1" customHeight="1">
      <c r="C98" s="665" t="s">
        <v>987</v>
      </c>
      <c r="D98" s="271"/>
      <c r="E98" s="307">
        <v>0</v>
      </c>
      <c r="F98" s="307">
        <v>0</v>
      </c>
      <c r="G98" s="307">
        <v>0</v>
      </c>
      <c r="H98" s="307">
        <v>0</v>
      </c>
      <c r="I98" s="307">
        <v>0</v>
      </c>
      <c r="J98" s="307">
        <v>0</v>
      </c>
      <c r="K98" s="307">
        <v>0</v>
      </c>
      <c r="L98" s="307">
        <v>0</v>
      </c>
      <c r="M98" s="307">
        <v>0</v>
      </c>
      <c r="N98" s="307">
        <v>0</v>
      </c>
      <c r="O98" s="307">
        <v>0</v>
      </c>
      <c r="P98" s="307">
        <v>0</v>
      </c>
      <c r="Q98" s="660">
        <f t="shared" si="30"/>
        <v>0</v>
      </c>
    </row>
    <row r="99" spans="3:17" ht="15" hidden="1" customHeight="1">
      <c r="C99" s="665" t="s">
        <v>683</v>
      </c>
      <c r="D99" s="271"/>
      <c r="E99" s="307">
        <v>0</v>
      </c>
      <c r="F99" s="307">
        <v>3.0000000000000001E-3</v>
      </c>
      <c r="G99" s="307">
        <v>1E-3</v>
      </c>
      <c r="H99" s="307">
        <v>0.16700000000000001</v>
      </c>
      <c r="I99" s="307">
        <v>0.42599999999999999</v>
      </c>
      <c r="J99" s="307">
        <v>0.54500000000000004</v>
      </c>
      <c r="K99" s="307">
        <v>3.4000000000000002E-2</v>
      </c>
      <c r="L99" s="307">
        <v>0.11899999999999999</v>
      </c>
      <c r="M99" s="307">
        <v>1.353</v>
      </c>
      <c r="N99" s="307">
        <v>1.427</v>
      </c>
      <c r="O99" s="307">
        <v>0.42000000000000004</v>
      </c>
      <c r="P99" s="307">
        <v>1.2999999999999999E-2</v>
      </c>
      <c r="Q99" s="660">
        <f t="shared" si="30"/>
        <v>4.5079999999999991</v>
      </c>
    </row>
    <row r="100" spans="3:17" ht="15" hidden="1" customHeight="1">
      <c r="C100" s="665" t="s">
        <v>684</v>
      </c>
      <c r="D100" s="271"/>
      <c r="E100" s="307"/>
      <c r="F100" s="307"/>
      <c r="G100" s="307"/>
      <c r="H100" s="307"/>
      <c r="I100" s="307"/>
      <c r="J100" s="307"/>
      <c r="K100" s="307"/>
      <c r="L100" s="307"/>
      <c r="M100" s="307"/>
      <c r="N100" s="307"/>
      <c r="O100" s="307"/>
      <c r="P100" s="307"/>
      <c r="Q100" s="660">
        <f t="shared" si="30"/>
        <v>0</v>
      </c>
    </row>
    <row r="101" spans="3:17" ht="15" hidden="1" customHeight="1">
      <c r="C101" s="665" t="s">
        <v>685</v>
      </c>
      <c r="D101" s="271"/>
      <c r="E101" s="307"/>
      <c r="F101" s="307"/>
      <c r="G101" s="307"/>
      <c r="H101" s="307"/>
      <c r="I101" s="307"/>
      <c r="J101" s="307"/>
      <c r="K101" s="307"/>
      <c r="L101" s="307"/>
      <c r="M101" s="307"/>
      <c r="N101" s="307"/>
      <c r="O101" s="307"/>
      <c r="P101" s="307"/>
      <c r="Q101" s="660">
        <f t="shared" si="30"/>
        <v>0</v>
      </c>
    </row>
    <row r="102" spans="3:17" ht="15" hidden="1" customHeight="1">
      <c r="C102" s="658" t="s">
        <v>635</v>
      </c>
      <c r="D102" s="271"/>
      <c r="E102" s="659">
        <f>E106+E104+E105+E107+E108+E109</f>
        <v>139.7002</v>
      </c>
      <c r="F102" s="659">
        <f t="shared" ref="F102:P102" si="32">F106+F104+F105+F107+F108+F109</f>
        <v>197.88862600000002</v>
      </c>
      <c r="G102" s="659">
        <f t="shared" si="32"/>
        <v>236.29537399999998</v>
      </c>
      <c r="H102" s="659">
        <f t="shared" si="32"/>
        <v>237.64420000000001</v>
      </c>
      <c r="I102" s="659">
        <f t="shared" si="32"/>
        <v>230.69319999999999</v>
      </c>
      <c r="J102" s="659">
        <f t="shared" si="32"/>
        <v>226.2816</v>
      </c>
      <c r="K102" s="659">
        <f t="shared" si="32"/>
        <v>245.4572</v>
      </c>
      <c r="L102" s="659">
        <f t="shared" si="32"/>
        <v>244.619</v>
      </c>
      <c r="M102" s="659">
        <f t="shared" si="32"/>
        <v>262.05110000000002</v>
      </c>
      <c r="N102" s="659">
        <f t="shared" si="32"/>
        <v>238.4265</v>
      </c>
      <c r="O102" s="659">
        <f t="shared" si="32"/>
        <v>230.38669999999999</v>
      </c>
      <c r="P102" s="659">
        <f t="shared" si="32"/>
        <v>252.43799999999999</v>
      </c>
      <c r="Q102" s="660">
        <f t="shared" si="30"/>
        <v>2741.8816999999999</v>
      </c>
    </row>
    <row r="103" spans="3:17" ht="15" hidden="1" customHeight="1">
      <c r="C103" s="658" t="s">
        <v>699</v>
      </c>
      <c r="D103" s="271"/>
      <c r="E103" s="659"/>
      <c r="F103" s="659"/>
      <c r="G103" s="659"/>
      <c r="H103" s="659"/>
      <c r="I103" s="659"/>
      <c r="J103" s="659"/>
      <c r="K103" s="659"/>
      <c r="L103" s="659"/>
      <c r="M103" s="659"/>
      <c r="N103" s="659"/>
      <c r="O103" s="659"/>
      <c r="P103" s="659"/>
      <c r="Q103" s="660"/>
    </row>
    <row r="104" spans="3:17" ht="15" hidden="1" customHeight="1">
      <c r="C104" s="665" t="s">
        <v>914</v>
      </c>
      <c r="D104" s="271"/>
      <c r="E104" s="307">
        <v>21.710963</v>
      </c>
      <c r="F104" s="307">
        <v>31.619698</v>
      </c>
      <c r="G104" s="307">
        <v>40.961297999999999</v>
      </c>
      <c r="H104" s="307">
        <v>42.48724</v>
      </c>
      <c r="I104" s="307">
        <v>40.552799999999998</v>
      </c>
      <c r="J104" s="307">
        <v>40.718000000000004</v>
      </c>
      <c r="K104" s="307">
        <v>42.803600000000003</v>
      </c>
      <c r="L104" s="307">
        <v>41.18</v>
      </c>
      <c r="M104" s="307">
        <v>41.867600000000003</v>
      </c>
      <c r="N104" s="307">
        <v>35.573999999999998</v>
      </c>
      <c r="O104" s="307">
        <v>33.084800000000001</v>
      </c>
      <c r="P104" s="307">
        <v>36.089599999999997</v>
      </c>
      <c r="Q104" s="660">
        <f t="shared" ref="Q104:Q105" si="33">SUM(E104:P104)</f>
        <v>448.64959900000008</v>
      </c>
    </row>
    <row r="105" spans="3:17" ht="15" hidden="1" customHeight="1">
      <c r="C105" s="665" t="s">
        <v>915</v>
      </c>
      <c r="D105" s="271"/>
      <c r="E105" s="307">
        <v>33.979657000000003</v>
      </c>
      <c r="F105" s="307">
        <v>46.053164000000002</v>
      </c>
      <c r="G105" s="307">
        <v>57.176448000000001</v>
      </c>
      <c r="H105" s="307">
        <v>42.493129000000003</v>
      </c>
      <c r="I105" s="307">
        <v>57.031142000000003</v>
      </c>
      <c r="J105" s="307">
        <v>56.547328</v>
      </c>
      <c r="K105" s="307">
        <v>59.599151999999997</v>
      </c>
      <c r="L105" s="307">
        <v>56.970351999999998</v>
      </c>
      <c r="M105" s="307">
        <v>56.341147999999997</v>
      </c>
      <c r="N105" s="307">
        <v>47.437058999999998</v>
      </c>
      <c r="O105" s="307">
        <v>44.194198</v>
      </c>
      <c r="P105" s="307">
        <v>48.503186999999997</v>
      </c>
      <c r="Q105" s="660">
        <f t="shared" si="33"/>
        <v>606.325964</v>
      </c>
    </row>
    <row r="106" spans="3:17" ht="15" hidden="1" customHeight="1">
      <c r="C106" s="665" t="s">
        <v>916</v>
      </c>
      <c r="D106" s="271"/>
      <c r="E106" s="307">
        <v>10.750579999999999</v>
      </c>
      <c r="F106" s="307">
        <v>14.383139</v>
      </c>
      <c r="G106" s="307">
        <v>18.869503000000002</v>
      </c>
      <c r="H106" s="307">
        <v>36.949081</v>
      </c>
      <c r="I106" s="307">
        <v>18.591633000000002</v>
      </c>
      <c r="J106" s="307">
        <v>20.932397000000002</v>
      </c>
      <c r="K106" s="307">
        <v>20.798197999999999</v>
      </c>
      <c r="L106" s="307">
        <v>21.020572999999999</v>
      </c>
      <c r="M106" s="307">
        <v>20.978577000000001</v>
      </c>
      <c r="N106" s="307">
        <v>17.193466000000001</v>
      </c>
      <c r="O106" s="307">
        <v>15.687652</v>
      </c>
      <c r="P106" s="307">
        <v>17.695238</v>
      </c>
      <c r="Q106" s="660">
        <f>SUM(E106:P106)</f>
        <v>233.85003700000001</v>
      </c>
    </row>
    <row r="107" spans="3:17" ht="15" hidden="1" customHeight="1">
      <c r="C107" s="665" t="s">
        <v>592</v>
      </c>
      <c r="D107" s="271"/>
      <c r="E107" s="307">
        <v>4.0259999999999998</v>
      </c>
      <c r="F107" s="307">
        <v>4.1766249999999996</v>
      </c>
      <c r="G107" s="307">
        <v>3.9261249999999999</v>
      </c>
      <c r="H107" s="307">
        <v>3.4197500000000001</v>
      </c>
      <c r="I107" s="307">
        <v>3.5296249999999998</v>
      </c>
      <c r="J107" s="307">
        <v>3.2098749999999998</v>
      </c>
      <c r="K107" s="307">
        <v>2.8402500000000002</v>
      </c>
      <c r="L107" s="307">
        <v>2.4638749999999998</v>
      </c>
      <c r="M107" s="307">
        <v>2.417875</v>
      </c>
      <c r="N107" s="307">
        <v>2.2978749999999999</v>
      </c>
      <c r="O107" s="307">
        <v>2.2977500000000002</v>
      </c>
      <c r="P107" s="307">
        <v>2.7283750000000002</v>
      </c>
      <c r="Q107" s="660">
        <f t="shared" ref="Q107:Q112" si="34">SUM(E107:P107)</f>
        <v>37.334000000000003</v>
      </c>
    </row>
    <row r="108" spans="3:17" ht="15" hidden="1" customHeight="1">
      <c r="C108" s="665" t="s">
        <v>702</v>
      </c>
      <c r="D108" s="271"/>
      <c r="E108" s="307">
        <v>0</v>
      </c>
      <c r="F108" s="307">
        <v>0</v>
      </c>
      <c r="G108" s="307">
        <v>0</v>
      </c>
      <c r="H108" s="307">
        <v>0</v>
      </c>
      <c r="I108" s="307">
        <v>0</v>
      </c>
      <c r="J108" s="307">
        <v>0</v>
      </c>
      <c r="K108" s="307">
        <v>0</v>
      </c>
      <c r="L108" s="307">
        <v>0</v>
      </c>
      <c r="M108" s="307">
        <v>0</v>
      </c>
      <c r="N108" s="307">
        <v>0</v>
      </c>
      <c r="O108" s="307">
        <v>0</v>
      </c>
      <c r="P108" s="307">
        <v>0</v>
      </c>
      <c r="Q108" s="660">
        <f t="shared" si="34"/>
        <v>0</v>
      </c>
    </row>
    <row r="109" spans="3:17" ht="15" hidden="1" customHeight="1">
      <c r="C109" s="665" t="s">
        <v>703</v>
      </c>
      <c r="D109" s="271"/>
      <c r="E109" s="307">
        <v>69.233000000000004</v>
      </c>
      <c r="F109" s="307">
        <v>101.65600000000001</v>
      </c>
      <c r="G109" s="307">
        <v>115.36199999999999</v>
      </c>
      <c r="H109" s="307">
        <v>112.295</v>
      </c>
      <c r="I109" s="307">
        <v>110.988</v>
      </c>
      <c r="J109" s="307">
        <v>104.874</v>
      </c>
      <c r="K109" s="307">
        <v>119.416</v>
      </c>
      <c r="L109" s="307">
        <v>122.9842</v>
      </c>
      <c r="M109" s="307">
        <v>140.44589999999999</v>
      </c>
      <c r="N109" s="307">
        <v>135.92410000000001</v>
      </c>
      <c r="O109" s="307">
        <v>135.1223</v>
      </c>
      <c r="P109" s="307">
        <v>147.42160000000001</v>
      </c>
      <c r="Q109" s="660">
        <f t="shared" si="34"/>
        <v>1415.7221</v>
      </c>
    </row>
    <row r="110" spans="3:17" ht="15" hidden="1" customHeight="1">
      <c r="C110" s="658" t="s">
        <v>636</v>
      </c>
      <c r="D110" s="271"/>
      <c r="E110" s="659">
        <f>E111+E112+E113</f>
        <v>0</v>
      </c>
      <c r="F110" s="659">
        <f t="shared" ref="F110:P110" si="35">F111+F112+F113</f>
        <v>0</v>
      </c>
      <c r="G110" s="659">
        <f t="shared" si="35"/>
        <v>0</v>
      </c>
      <c r="H110" s="659">
        <f t="shared" si="35"/>
        <v>0</v>
      </c>
      <c r="I110" s="659">
        <f t="shared" si="35"/>
        <v>0</v>
      </c>
      <c r="J110" s="659">
        <f t="shared" si="35"/>
        <v>0</v>
      </c>
      <c r="K110" s="659">
        <f t="shared" si="35"/>
        <v>0</v>
      </c>
      <c r="L110" s="659">
        <f t="shared" si="35"/>
        <v>0</v>
      </c>
      <c r="M110" s="659">
        <f t="shared" si="35"/>
        <v>0</v>
      </c>
      <c r="N110" s="659">
        <f t="shared" si="35"/>
        <v>0</v>
      </c>
      <c r="O110" s="659">
        <f t="shared" si="35"/>
        <v>0</v>
      </c>
      <c r="P110" s="659">
        <f t="shared" si="35"/>
        <v>0</v>
      </c>
      <c r="Q110" s="660">
        <f t="shared" si="34"/>
        <v>0</v>
      </c>
    </row>
    <row r="111" spans="3:17" ht="15" hidden="1" customHeight="1">
      <c r="C111" s="396" t="s">
        <v>637</v>
      </c>
      <c r="D111" s="271"/>
      <c r="E111" s="307"/>
      <c r="F111" s="307"/>
      <c r="G111" s="307"/>
      <c r="H111" s="307"/>
      <c r="I111" s="307"/>
      <c r="J111" s="307"/>
      <c r="K111" s="307"/>
      <c r="L111" s="307"/>
      <c r="M111" s="307"/>
      <c r="N111" s="307"/>
      <c r="O111" s="307"/>
      <c r="P111" s="307"/>
      <c r="Q111" s="660">
        <f t="shared" si="34"/>
        <v>0</v>
      </c>
    </row>
    <row r="112" spans="3:17" ht="15" hidden="1" customHeight="1">
      <c r="C112" s="668" t="s">
        <v>687</v>
      </c>
      <c r="D112" s="271"/>
      <c r="E112" s="307"/>
      <c r="F112" s="307"/>
      <c r="G112" s="307"/>
      <c r="H112" s="307"/>
      <c r="I112" s="307"/>
      <c r="J112" s="307"/>
      <c r="K112" s="307"/>
      <c r="L112" s="307"/>
      <c r="M112" s="307"/>
      <c r="N112" s="307"/>
      <c r="O112" s="307"/>
      <c r="P112" s="307"/>
      <c r="Q112" s="660">
        <f t="shared" si="34"/>
        <v>0</v>
      </c>
    </row>
    <row r="113" spans="3:18" ht="15" hidden="1" customHeight="1">
      <c r="C113" s="396" t="s">
        <v>638</v>
      </c>
      <c r="D113" s="271"/>
      <c r="E113" s="307"/>
      <c r="F113" s="307"/>
      <c r="G113" s="307"/>
      <c r="H113" s="307"/>
      <c r="I113" s="307"/>
      <c r="J113" s="307"/>
      <c r="K113" s="307"/>
      <c r="L113" s="307"/>
      <c r="M113" s="307"/>
      <c r="N113" s="307"/>
      <c r="O113" s="307"/>
      <c r="P113" s="307"/>
      <c r="Q113" s="660"/>
    </row>
    <row r="114" spans="3:18" ht="15" hidden="1" customHeight="1">
      <c r="C114" s="658" t="s">
        <v>639</v>
      </c>
      <c r="D114" s="271"/>
      <c r="E114" s="659">
        <f>E115+E116</f>
        <v>0.18420999999999998</v>
      </c>
      <c r="F114" s="659">
        <f t="shared" ref="F114:P114" si="36">F115+F116</f>
        <v>0.21759000000000001</v>
      </c>
      <c r="G114" s="659">
        <f t="shared" si="36"/>
        <v>0.18683</v>
      </c>
      <c r="H114" s="659">
        <f t="shared" si="36"/>
        <v>0.18196999999999999</v>
      </c>
      <c r="I114" s="659">
        <f t="shared" si="36"/>
        <v>0.19786000000000001</v>
      </c>
      <c r="J114" s="659">
        <f t="shared" si="36"/>
        <v>0.22141</v>
      </c>
      <c r="K114" s="659">
        <f t="shared" si="36"/>
        <v>0.22499</v>
      </c>
      <c r="L114" s="659">
        <f t="shared" si="36"/>
        <v>0.15695000000000001</v>
      </c>
      <c r="M114" s="659">
        <f t="shared" si="36"/>
        <v>0.14324000000000001</v>
      </c>
      <c r="N114" s="659">
        <f t="shared" si="36"/>
        <v>0.14138000000000001</v>
      </c>
      <c r="O114" s="659">
        <f t="shared" si="36"/>
        <v>0.12740000000000001</v>
      </c>
      <c r="P114" s="659">
        <f t="shared" si="36"/>
        <v>0.15829000000000001</v>
      </c>
      <c r="Q114" s="660">
        <f t="shared" ref="Q114:Q116" si="37">SUM(E114:P114)</f>
        <v>2.1421199999999998</v>
      </c>
    </row>
    <row r="115" spans="3:18" ht="15" hidden="1" customHeight="1">
      <c r="C115" s="396" t="s">
        <v>640</v>
      </c>
      <c r="D115" s="271"/>
      <c r="E115" s="307"/>
      <c r="F115" s="307"/>
      <c r="G115" s="307"/>
      <c r="H115" s="307"/>
      <c r="I115" s="307"/>
      <c r="J115" s="307"/>
      <c r="K115" s="307"/>
      <c r="L115" s="307"/>
      <c r="M115" s="307"/>
      <c r="N115" s="307"/>
      <c r="O115" s="307"/>
      <c r="P115" s="307"/>
      <c r="Q115" s="660">
        <f t="shared" si="37"/>
        <v>0</v>
      </c>
    </row>
    <row r="116" spans="3:18" ht="15" hidden="1" customHeight="1">
      <c r="C116" s="396" t="s">
        <v>641</v>
      </c>
      <c r="D116" s="271"/>
      <c r="E116" s="307">
        <v>0.18420999999999998</v>
      </c>
      <c r="F116" s="307">
        <v>0.21759000000000001</v>
      </c>
      <c r="G116" s="307">
        <v>0.18683</v>
      </c>
      <c r="H116" s="307">
        <v>0.18196999999999999</v>
      </c>
      <c r="I116" s="307">
        <v>0.19786000000000001</v>
      </c>
      <c r="J116" s="307">
        <v>0.22141</v>
      </c>
      <c r="K116" s="307">
        <v>0.22499</v>
      </c>
      <c r="L116" s="307">
        <v>0.15695000000000001</v>
      </c>
      <c r="M116" s="307">
        <v>0.14324000000000001</v>
      </c>
      <c r="N116" s="307">
        <v>0.14138000000000001</v>
      </c>
      <c r="O116" s="307">
        <v>0.12740000000000001</v>
      </c>
      <c r="P116" s="307">
        <v>0.15829000000000001</v>
      </c>
      <c r="Q116" s="660">
        <f t="shared" si="37"/>
        <v>2.1421199999999998</v>
      </c>
    </row>
    <row r="117" spans="3:18" ht="15" hidden="1" customHeight="1">
      <c r="C117" s="393" t="s">
        <v>643</v>
      </c>
      <c r="D117" s="271"/>
      <c r="E117" s="528">
        <f t="shared" ref="E117:P117" si="38">E18+E44+E68+E93</f>
        <v>839.82726900304999</v>
      </c>
      <c r="F117" s="528">
        <f t="shared" si="38"/>
        <v>949.33428019626001</v>
      </c>
      <c r="G117" s="528">
        <f t="shared" si="38"/>
        <v>1070.69213485969</v>
      </c>
      <c r="H117" s="528">
        <f t="shared" si="38"/>
        <v>1057.1016938096802</v>
      </c>
      <c r="I117" s="528">
        <f t="shared" si="38"/>
        <v>1084.9599526658899</v>
      </c>
      <c r="J117" s="528">
        <f t="shared" si="38"/>
        <v>1059.6009259534499</v>
      </c>
      <c r="K117" s="528">
        <f t="shared" si="38"/>
        <v>1058.67022574826</v>
      </c>
      <c r="L117" s="528">
        <f t="shared" si="38"/>
        <v>1056.2445032527801</v>
      </c>
      <c r="M117" s="528">
        <f t="shared" si="38"/>
        <v>1097.2664379867902</v>
      </c>
      <c r="N117" s="528">
        <f t="shared" si="38"/>
        <v>1050.5588743205499</v>
      </c>
      <c r="O117" s="528">
        <f t="shared" si="38"/>
        <v>1021.5928137317301</v>
      </c>
      <c r="P117" s="528">
        <f t="shared" si="38"/>
        <v>1136.0181455719501</v>
      </c>
      <c r="Q117" s="529">
        <f>SUM(E117:P117)</f>
        <v>12481.867257100079</v>
      </c>
    </row>
    <row r="118" spans="3:18" ht="15" hidden="1" customHeight="1" thickBot="1">
      <c r="C118" s="669" t="s">
        <v>644</v>
      </c>
      <c r="D118" s="531"/>
      <c r="E118" s="280">
        <f t="shared" ref="E118:P118" si="39">E117+E15</f>
        <v>2125.776920464401</v>
      </c>
      <c r="F118" s="280">
        <f t="shared" si="39"/>
        <v>2158.0011608167438</v>
      </c>
      <c r="G118" s="280">
        <f t="shared" si="39"/>
        <v>2320.8937921134511</v>
      </c>
      <c r="H118" s="280">
        <f t="shared" si="39"/>
        <v>2075.2942916488246</v>
      </c>
      <c r="I118" s="280">
        <f t="shared" si="39"/>
        <v>2145.2028124881626</v>
      </c>
      <c r="J118" s="280">
        <f t="shared" si="39"/>
        <v>2111.4202789534497</v>
      </c>
      <c r="K118" s="280">
        <f t="shared" si="39"/>
        <v>2069.3708747482597</v>
      </c>
      <c r="L118" s="280">
        <f t="shared" si="39"/>
        <v>2066.4676406368767</v>
      </c>
      <c r="M118" s="280">
        <f t="shared" si="39"/>
        <v>2025.6985249867901</v>
      </c>
      <c r="N118" s="280">
        <f t="shared" si="39"/>
        <v>2074.5942143205498</v>
      </c>
      <c r="O118" s="280">
        <f t="shared" si="39"/>
        <v>2028.3823337317301</v>
      </c>
      <c r="P118" s="280">
        <f t="shared" si="39"/>
        <v>2143.10631457195</v>
      </c>
      <c r="Q118" s="281">
        <f t="shared" ref="Q118" si="40">SUM(E118:P118)</f>
        <v>25344.20915948119</v>
      </c>
    </row>
    <row r="119" spans="3:18" ht="12" customHeight="1">
      <c r="C119" s="386"/>
      <c r="D119" s="386"/>
      <c r="P119" s="650"/>
    </row>
    <row r="120" spans="3:18" ht="12" customHeight="1">
      <c r="C120" s="386" t="s">
        <v>171</v>
      </c>
      <c r="D120" s="386" t="s">
        <v>172</v>
      </c>
      <c r="E120" s="650"/>
      <c r="P120" s="650"/>
    </row>
    <row r="121" spans="3:18" ht="13.5" thickBot="1">
      <c r="C121" s="386" t="str">
        <f>Notes!C5</f>
        <v>Base Year</v>
      </c>
      <c r="D121" s="386"/>
      <c r="P121" s="650"/>
    </row>
    <row r="122" spans="3:18" ht="18" customHeight="1">
      <c r="C122" s="651" t="s">
        <v>673</v>
      </c>
      <c r="D122" s="652" t="s">
        <v>93</v>
      </c>
      <c r="E122" s="652" t="s">
        <v>146</v>
      </c>
      <c r="F122" s="652" t="s">
        <v>147</v>
      </c>
      <c r="G122" s="652" t="s">
        <v>148</v>
      </c>
      <c r="H122" s="652" t="s">
        <v>149</v>
      </c>
      <c r="I122" s="652" t="s">
        <v>150</v>
      </c>
      <c r="J122" s="652" t="s">
        <v>151</v>
      </c>
      <c r="K122" s="652" t="s">
        <v>152</v>
      </c>
      <c r="L122" s="652" t="s">
        <v>153</v>
      </c>
      <c r="M122" s="652" t="s">
        <v>154</v>
      </c>
      <c r="N122" s="652" t="s">
        <v>155</v>
      </c>
      <c r="O122" s="652" t="s">
        <v>156</v>
      </c>
      <c r="P122" s="652" t="s">
        <v>157</v>
      </c>
      <c r="Q122" s="653" t="s">
        <v>98</v>
      </c>
      <c r="R122" s="390" t="s">
        <v>365</v>
      </c>
    </row>
    <row r="123" spans="3:18" ht="15.95" customHeight="1">
      <c r="C123" s="393" t="s">
        <v>598</v>
      </c>
      <c r="D123" s="654"/>
      <c r="E123" s="654"/>
      <c r="F123" s="654"/>
      <c r="G123" s="654"/>
      <c r="H123" s="654"/>
      <c r="I123" s="654"/>
      <c r="J123" s="654"/>
      <c r="K123" s="654"/>
      <c r="L123" s="654"/>
      <c r="M123" s="654"/>
      <c r="N123" s="654"/>
      <c r="O123" s="654"/>
      <c r="P123" s="654"/>
      <c r="Q123" s="655"/>
      <c r="R123" s="656"/>
    </row>
    <row r="124" spans="3:18" ht="15.95" customHeight="1">
      <c r="C124" s="657" t="s">
        <v>591</v>
      </c>
      <c r="D124" s="271"/>
      <c r="E124" s="307">
        <v>563.0373360000001</v>
      </c>
      <c r="F124" s="307">
        <v>677.75655800000004</v>
      </c>
      <c r="G124" s="307">
        <v>823.86003099999994</v>
      </c>
      <c r="H124" s="307">
        <v>784.06299899999999</v>
      </c>
      <c r="I124" s="307">
        <v>615.61975700000005</v>
      </c>
      <c r="J124" s="307">
        <v>695.70832600000017</v>
      </c>
      <c r="K124" s="307">
        <v>633.545525371964</v>
      </c>
      <c r="L124" s="307">
        <v>590.70351642216292</v>
      </c>
      <c r="M124" s="307">
        <v>478.88803526320942</v>
      </c>
      <c r="N124" s="307">
        <v>444.45712002046793</v>
      </c>
      <c r="O124" s="307">
        <v>459.17851077083202</v>
      </c>
      <c r="P124" s="307">
        <v>495.08841596847515</v>
      </c>
      <c r="Q124" s="436">
        <f t="shared" ref="Q124:Q131" si="41">SUM(E124:P124)</f>
        <v>7261.9061308171113</v>
      </c>
    </row>
    <row r="125" spans="3:18" ht="15.95" customHeight="1">
      <c r="C125" s="657" t="s">
        <v>599</v>
      </c>
      <c r="D125" s="271"/>
      <c r="E125" s="307">
        <v>113.282331</v>
      </c>
      <c r="F125" s="307">
        <v>123.882541</v>
      </c>
      <c r="G125" s="307">
        <v>139.900599</v>
      </c>
      <c r="H125" s="307">
        <v>134.36074100000002</v>
      </c>
      <c r="I125" s="307">
        <v>121.84026899999996</v>
      </c>
      <c r="J125" s="307">
        <v>127.377465</v>
      </c>
      <c r="K125" s="307">
        <v>110.0711561905521</v>
      </c>
      <c r="L125" s="307">
        <v>110.66056521595742</v>
      </c>
      <c r="M125" s="307">
        <v>99.582957876211182</v>
      </c>
      <c r="N125" s="307">
        <v>99.175273918811115</v>
      </c>
      <c r="O125" s="307">
        <v>98.606311308779837</v>
      </c>
      <c r="P125" s="307">
        <v>103.9367993928163</v>
      </c>
      <c r="Q125" s="436">
        <f t="shared" si="41"/>
        <v>1382.677009903128</v>
      </c>
    </row>
    <row r="126" spans="3:18" ht="15.95" customHeight="1">
      <c r="C126" s="657" t="s">
        <v>596</v>
      </c>
      <c r="D126" s="271"/>
      <c r="E126" s="307">
        <v>42.880524000000001</v>
      </c>
      <c r="F126" s="307">
        <v>41.434149000000005</v>
      </c>
      <c r="G126" s="307">
        <v>43.752861000000003</v>
      </c>
      <c r="H126" s="307">
        <v>40.632449000000001</v>
      </c>
      <c r="I126" s="307">
        <v>40.625575999999995</v>
      </c>
      <c r="J126" s="307">
        <v>34.017181000000001</v>
      </c>
      <c r="K126" s="307">
        <v>32.539735488137033</v>
      </c>
      <c r="L126" s="307">
        <v>33.021308695737943</v>
      </c>
      <c r="M126" s="307">
        <v>33.299117458170997</v>
      </c>
      <c r="N126" s="307">
        <v>43.556257262268524</v>
      </c>
      <c r="O126" s="307">
        <v>45.271678623325613</v>
      </c>
      <c r="P126" s="307">
        <v>43.770764170855777</v>
      </c>
      <c r="Q126" s="436">
        <f t="shared" si="41"/>
        <v>474.80160169849586</v>
      </c>
    </row>
    <row r="127" spans="3:18" ht="15.95" customHeight="1">
      <c r="C127" s="274" t="s">
        <v>632</v>
      </c>
      <c r="D127" s="271"/>
      <c r="E127" s="307">
        <v>41.264898000000002</v>
      </c>
      <c r="F127" s="307">
        <v>40.304518000000002</v>
      </c>
      <c r="G127" s="307">
        <v>40.321103999999998</v>
      </c>
      <c r="H127" s="307">
        <v>41.144493000000004</v>
      </c>
      <c r="I127" s="307">
        <v>44.101863000000002</v>
      </c>
      <c r="J127" s="307">
        <v>40.918077999999994</v>
      </c>
      <c r="K127" s="307">
        <v>37.06109364487601</v>
      </c>
      <c r="L127" s="307">
        <v>39.924528962124839</v>
      </c>
      <c r="M127" s="307">
        <v>39.035015438353497</v>
      </c>
      <c r="N127" s="307">
        <v>39.655932295270503</v>
      </c>
      <c r="O127" s="307">
        <v>39.39336035937577</v>
      </c>
      <c r="P127" s="307">
        <v>39.49157441654129</v>
      </c>
      <c r="Q127" s="436">
        <f t="shared" si="41"/>
        <v>482.61645911654199</v>
      </c>
    </row>
    <row r="128" spans="3:18" ht="15.95" customHeight="1">
      <c r="C128" s="657" t="s">
        <v>597</v>
      </c>
      <c r="D128" s="271"/>
      <c r="E128" s="307">
        <v>443.1593575931339</v>
      </c>
      <c r="F128" s="307">
        <v>410.46884599999998</v>
      </c>
      <c r="G128" s="307">
        <v>390.97528699999998</v>
      </c>
      <c r="H128" s="307">
        <v>269.53158320294824</v>
      </c>
      <c r="I128" s="307">
        <v>388.53740827488451</v>
      </c>
      <c r="J128" s="307">
        <v>302.52073649774968</v>
      </c>
      <c r="K128" s="307">
        <v>342.97300884769516</v>
      </c>
      <c r="L128" s="307">
        <v>343.84685055147395</v>
      </c>
      <c r="M128" s="307">
        <v>350.31333746668759</v>
      </c>
      <c r="N128" s="307">
        <v>376.93017228852841</v>
      </c>
      <c r="O128" s="307">
        <v>394.06281424939459</v>
      </c>
      <c r="P128" s="307">
        <v>440.9723565161143</v>
      </c>
      <c r="Q128" s="436">
        <f t="shared" si="41"/>
        <v>4454.29175848861</v>
      </c>
    </row>
    <row r="129" spans="3:17" ht="15.95" customHeight="1">
      <c r="C129" s="274" t="s">
        <v>392</v>
      </c>
      <c r="D129" s="271"/>
      <c r="E129" s="307">
        <v>188.122592</v>
      </c>
      <c r="F129" s="307">
        <v>184.34655599999996</v>
      </c>
      <c r="G129" s="307">
        <v>172.10777599999994</v>
      </c>
      <c r="H129" s="307">
        <v>170.06588400000001</v>
      </c>
      <c r="I129" s="307">
        <v>175.02607299999997</v>
      </c>
      <c r="J129" s="307">
        <v>134.20412499999998</v>
      </c>
      <c r="K129" s="307">
        <v>155.04408467315761</v>
      </c>
      <c r="L129" s="307">
        <v>174.21681887774312</v>
      </c>
      <c r="M129" s="307">
        <v>171.3062362475664</v>
      </c>
      <c r="N129" s="307">
        <v>187.11946871626517</v>
      </c>
      <c r="O129" s="307">
        <v>212.73759996525055</v>
      </c>
      <c r="P129" s="307">
        <v>215.59409573322762</v>
      </c>
      <c r="Q129" s="436">
        <f t="shared" si="41"/>
        <v>2139.8913102132105</v>
      </c>
    </row>
    <row r="130" spans="3:17" ht="21" customHeight="1">
      <c r="C130" s="274" t="s">
        <v>1107</v>
      </c>
      <c r="D130" s="271"/>
      <c r="E130" s="307">
        <v>255.03676559313394</v>
      </c>
      <c r="F130" s="307">
        <v>226.12228999999999</v>
      </c>
      <c r="G130" s="307">
        <v>218.86751100000004</v>
      </c>
      <c r="H130" s="307">
        <v>99.465699202948258</v>
      </c>
      <c r="I130" s="307">
        <v>213.51133527488454</v>
      </c>
      <c r="J130" s="307">
        <v>168.31661149774968</v>
      </c>
      <c r="K130" s="307">
        <v>187.92892417453751</v>
      </c>
      <c r="L130" s="307">
        <v>169.6300316737308</v>
      </c>
      <c r="M130" s="307">
        <v>179.00710121912121</v>
      </c>
      <c r="N130" s="307">
        <v>189.81070357226321</v>
      </c>
      <c r="O130" s="307">
        <v>181.32521428414404</v>
      </c>
      <c r="P130" s="307">
        <v>225.37826078288668</v>
      </c>
      <c r="Q130" s="436">
        <f t="shared" si="41"/>
        <v>2314.4004482753999</v>
      </c>
    </row>
    <row r="131" spans="3:17" ht="15.95" customHeight="1">
      <c r="C131" s="658" t="s">
        <v>600</v>
      </c>
      <c r="D131" s="271"/>
      <c r="E131" s="659">
        <f t="shared" ref="E131:P131" si="42">E124+E125+E126+E127+E128</f>
        <v>1203.6244465931341</v>
      </c>
      <c r="F131" s="659">
        <f t="shared" si="42"/>
        <v>1293.8466120000001</v>
      </c>
      <c r="G131" s="659">
        <f t="shared" si="42"/>
        <v>1438.809882</v>
      </c>
      <c r="H131" s="659">
        <f t="shared" si="42"/>
        <v>1269.7322652029482</v>
      </c>
      <c r="I131" s="659">
        <f t="shared" si="42"/>
        <v>1210.7248732748844</v>
      </c>
      <c r="J131" s="659">
        <f t="shared" si="42"/>
        <v>1200.5417864977499</v>
      </c>
      <c r="K131" s="659">
        <f t="shared" si="42"/>
        <v>1156.1905195432241</v>
      </c>
      <c r="L131" s="659">
        <f t="shared" si="42"/>
        <v>1118.1567698474569</v>
      </c>
      <c r="M131" s="659">
        <f t="shared" si="42"/>
        <v>1001.1184635026327</v>
      </c>
      <c r="N131" s="659">
        <f t="shared" si="42"/>
        <v>1003.7747557853465</v>
      </c>
      <c r="O131" s="659">
        <f t="shared" si="42"/>
        <v>1036.5126753117079</v>
      </c>
      <c r="P131" s="659">
        <f t="shared" si="42"/>
        <v>1123.2599104648027</v>
      </c>
      <c r="Q131" s="660">
        <f t="shared" si="41"/>
        <v>14056.292960023889</v>
      </c>
    </row>
    <row r="132" spans="3:17" ht="15.95" customHeight="1">
      <c r="C132" s="392"/>
      <c r="D132" s="271"/>
      <c r="E132" s="307"/>
      <c r="F132" s="307"/>
      <c r="G132" s="307"/>
      <c r="H132" s="307"/>
      <c r="I132" s="307"/>
      <c r="J132" s="307"/>
      <c r="K132" s="307"/>
      <c r="L132" s="307"/>
      <c r="M132" s="307"/>
      <c r="N132" s="307"/>
      <c r="O132" s="307"/>
      <c r="P132" s="307"/>
      <c r="Q132" s="661"/>
    </row>
    <row r="133" spans="3:17" ht="15.95" customHeight="1">
      <c r="C133" s="658" t="s">
        <v>601</v>
      </c>
      <c r="D133" s="271"/>
      <c r="E133" s="659"/>
      <c r="F133" s="659"/>
      <c r="G133" s="659"/>
      <c r="H133" s="659"/>
      <c r="I133" s="659"/>
      <c r="J133" s="659"/>
      <c r="K133" s="659"/>
      <c r="L133" s="659"/>
      <c r="M133" s="659"/>
      <c r="N133" s="659"/>
      <c r="O133" s="659"/>
      <c r="P133" s="659"/>
      <c r="Q133" s="660"/>
    </row>
    <row r="134" spans="3:17" ht="15.95" customHeight="1">
      <c r="C134" s="662" t="s">
        <v>602</v>
      </c>
      <c r="D134" s="663"/>
      <c r="E134" s="663">
        <f t="shared" ref="E134:P134" si="43">E135+E136+E143+E151+E155+E158</f>
        <v>198.75168043107999</v>
      </c>
      <c r="F134" s="663">
        <f t="shared" si="43"/>
        <v>214.93713949509998</v>
      </c>
      <c r="G134" s="663">
        <f t="shared" si="43"/>
        <v>213.89545353926999</v>
      </c>
      <c r="H134" s="663">
        <f t="shared" si="43"/>
        <v>205.11804353415997</v>
      </c>
      <c r="I134" s="663">
        <f t="shared" si="43"/>
        <v>210.50213210696</v>
      </c>
      <c r="J134" s="663">
        <f t="shared" si="43"/>
        <v>197.43252218606</v>
      </c>
      <c r="K134" s="663">
        <f t="shared" si="43"/>
        <v>195.06188687967838</v>
      </c>
      <c r="L134" s="663">
        <f t="shared" si="43"/>
        <v>191.55529188793568</v>
      </c>
      <c r="M134" s="663">
        <f t="shared" si="43"/>
        <v>205.13045788169813</v>
      </c>
      <c r="N134" s="663">
        <f t="shared" si="43"/>
        <v>192.18063939581708</v>
      </c>
      <c r="O134" s="663">
        <f t="shared" si="43"/>
        <v>190.94390011823438</v>
      </c>
      <c r="P134" s="663">
        <f t="shared" si="43"/>
        <v>215.53934190720315</v>
      </c>
      <c r="Q134" s="664">
        <f t="shared" ref="Q134:Q196" si="44">SUM(E134:P134)</f>
        <v>2431.0484893631965</v>
      </c>
    </row>
    <row r="135" spans="3:17" ht="15.95" customHeight="1">
      <c r="C135" s="274" t="s">
        <v>633</v>
      </c>
      <c r="D135" s="271"/>
      <c r="E135" s="307">
        <v>2.1463369551699998</v>
      </c>
      <c r="F135" s="307">
        <v>2.4764380768500005</v>
      </c>
      <c r="G135" s="307">
        <v>2.6728942617700002</v>
      </c>
      <c r="H135" s="307">
        <v>1.5431816593700001</v>
      </c>
      <c r="I135" s="307">
        <v>2.1200061533199999</v>
      </c>
      <c r="J135" s="307">
        <v>2.0224025869300002</v>
      </c>
      <c r="K135" s="307">
        <v>1.8792079081273019</v>
      </c>
      <c r="L135" s="307">
        <v>1.5760415130142849</v>
      </c>
      <c r="M135" s="307">
        <v>1.2176537780726606</v>
      </c>
      <c r="N135" s="307">
        <v>1.3491582826402799</v>
      </c>
      <c r="O135" s="307">
        <v>1.3774985123005965</v>
      </c>
      <c r="P135" s="307">
        <v>1.7867012448371142</v>
      </c>
      <c r="Q135" s="660">
        <f t="shared" si="44"/>
        <v>22.16752093240224</v>
      </c>
    </row>
    <row r="136" spans="3:17" ht="15.95" customHeight="1">
      <c r="C136" s="658" t="s">
        <v>634</v>
      </c>
      <c r="D136" s="271"/>
      <c r="E136" s="659">
        <f>E137+E138+E139+E140+E141+E142</f>
        <v>52.886065693000006</v>
      </c>
      <c r="F136" s="659">
        <f t="shared" ref="F136:P136" si="45">F137+F138+F139+F140+F141+F142</f>
        <v>57.156028694999996</v>
      </c>
      <c r="G136" s="659">
        <f t="shared" si="45"/>
        <v>58.564738307999981</v>
      </c>
      <c r="H136" s="659">
        <f t="shared" si="45"/>
        <v>51.384593021000001</v>
      </c>
      <c r="I136" s="659">
        <f t="shared" si="45"/>
        <v>56.213002277000008</v>
      </c>
      <c r="J136" s="659">
        <f t="shared" si="45"/>
        <v>52.806258687999993</v>
      </c>
      <c r="K136" s="659">
        <f t="shared" si="45"/>
        <v>50.422418159424311</v>
      </c>
      <c r="L136" s="659">
        <f t="shared" si="45"/>
        <v>46.474272809796943</v>
      </c>
      <c r="M136" s="659">
        <f t="shared" si="45"/>
        <v>44.493369426118456</v>
      </c>
      <c r="N136" s="659">
        <f t="shared" si="45"/>
        <v>42.987634293076155</v>
      </c>
      <c r="O136" s="659">
        <f t="shared" si="45"/>
        <v>43.727139567771594</v>
      </c>
      <c r="P136" s="659">
        <f t="shared" si="45"/>
        <v>53.16527872640814</v>
      </c>
      <c r="Q136" s="660">
        <f t="shared" si="44"/>
        <v>610.28079966459563</v>
      </c>
    </row>
    <row r="137" spans="3:17" ht="15.95" customHeight="1">
      <c r="C137" s="665" t="s">
        <v>986</v>
      </c>
      <c r="D137" s="271"/>
      <c r="E137" s="307">
        <v>40.943006752000002</v>
      </c>
      <c r="F137" s="307">
        <v>43.575484760999998</v>
      </c>
      <c r="G137" s="307">
        <v>45.195905133999986</v>
      </c>
      <c r="H137" s="307">
        <v>39.479825587999997</v>
      </c>
      <c r="I137" s="307">
        <v>43.315587859000004</v>
      </c>
      <c r="J137" s="307">
        <v>40.498907559999992</v>
      </c>
      <c r="K137" s="307">
        <v>38.374689730609617</v>
      </c>
      <c r="L137" s="307">
        <v>35.250074738457918</v>
      </c>
      <c r="M137" s="307">
        <v>32.880344614966674</v>
      </c>
      <c r="N137" s="307">
        <v>31.897056236795784</v>
      </c>
      <c r="O137" s="307">
        <v>31.996696994095782</v>
      </c>
      <c r="P137" s="307">
        <v>39.73846777023023</v>
      </c>
      <c r="Q137" s="660">
        <f t="shared" si="44"/>
        <v>463.1460477391559</v>
      </c>
    </row>
    <row r="138" spans="3:17" ht="15.95" customHeight="1">
      <c r="C138" s="665" t="s">
        <v>697</v>
      </c>
      <c r="D138" s="271"/>
      <c r="E138" s="307">
        <v>11.198258500000001</v>
      </c>
      <c r="F138" s="307">
        <v>11.608646499999999</v>
      </c>
      <c r="G138" s="307">
        <v>12.0111495</v>
      </c>
      <c r="H138" s="307">
        <v>11.162389999999998</v>
      </c>
      <c r="I138" s="307">
        <v>11.686941000000001</v>
      </c>
      <c r="J138" s="307">
        <v>10.985165499999999</v>
      </c>
      <c r="K138" s="307">
        <v>11.082490007608241</v>
      </c>
      <c r="L138" s="307">
        <v>10.224955070375335</v>
      </c>
      <c r="M138" s="307">
        <v>10.286070331202692</v>
      </c>
      <c r="N138" s="307">
        <v>10.265902528200849</v>
      </c>
      <c r="O138" s="307">
        <v>10.275462190509687</v>
      </c>
      <c r="P138" s="307">
        <v>12.044556949793842</v>
      </c>
      <c r="Q138" s="660">
        <f t="shared" si="44"/>
        <v>132.83198807769065</v>
      </c>
    </row>
    <row r="139" spans="3:17" ht="15.95" customHeight="1">
      <c r="C139" s="665" t="s">
        <v>987</v>
      </c>
      <c r="D139" s="271"/>
      <c r="E139" s="307">
        <v>0.74330044100000003</v>
      </c>
      <c r="F139" s="307">
        <v>1.9705974340000001</v>
      </c>
      <c r="G139" s="307">
        <v>1.3562836740000002</v>
      </c>
      <c r="H139" s="307">
        <v>0.740677433</v>
      </c>
      <c r="I139" s="307">
        <v>1.209073418</v>
      </c>
      <c r="J139" s="307">
        <v>1.3210856279999998</v>
      </c>
      <c r="K139" s="307">
        <v>0.95517064381586581</v>
      </c>
      <c r="L139" s="307">
        <v>0.7749047275238049</v>
      </c>
      <c r="M139" s="307">
        <v>1.1026209977761616</v>
      </c>
      <c r="N139" s="307">
        <v>0.60005037126545391</v>
      </c>
      <c r="O139" s="307">
        <v>1.2306859803908445</v>
      </c>
      <c r="P139" s="307">
        <v>1.1577588151922844</v>
      </c>
      <c r="Q139" s="660">
        <f t="shared" si="44"/>
        <v>13.162209563964415</v>
      </c>
    </row>
    <row r="140" spans="3:17" ht="15.95" customHeight="1">
      <c r="C140" s="665" t="s">
        <v>683</v>
      </c>
      <c r="D140" s="271"/>
      <c r="E140" s="307">
        <v>1.5E-3</v>
      </c>
      <c r="F140" s="307">
        <v>1.2999999999999999E-3</v>
      </c>
      <c r="G140" s="307">
        <v>1.4E-3</v>
      </c>
      <c r="H140" s="307">
        <v>1.6999999999999999E-3</v>
      </c>
      <c r="I140" s="307">
        <v>1.4E-3</v>
      </c>
      <c r="J140" s="307">
        <v>1.1000000000000001E-3</v>
      </c>
      <c r="K140" s="307">
        <v>8.7277739058254171E-4</v>
      </c>
      <c r="L140" s="307">
        <v>9.5827343988598185E-4</v>
      </c>
      <c r="M140" s="307">
        <v>9.5348217292226219E-4</v>
      </c>
      <c r="N140" s="307">
        <v>1.2451568140705877E-3</v>
      </c>
      <c r="O140" s="307">
        <v>9.1440277527623539E-4</v>
      </c>
      <c r="P140" s="307">
        <v>1.1151911917869361E-3</v>
      </c>
      <c r="Q140" s="660">
        <f t="shared" si="44"/>
        <v>1.4459283784524546E-2</v>
      </c>
    </row>
    <row r="141" spans="3:17" ht="15.95" customHeight="1">
      <c r="C141" s="665" t="s">
        <v>684</v>
      </c>
      <c r="D141" s="271"/>
      <c r="E141" s="307">
        <v>0</v>
      </c>
      <c r="F141" s="307">
        <v>0</v>
      </c>
      <c r="G141" s="307">
        <v>0</v>
      </c>
      <c r="H141" s="307">
        <v>0</v>
      </c>
      <c r="I141" s="307">
        <v>0</v>
      </c>
      <c r="J141" s="307">
        <v>0</v>
      </c>
      <c r="K141" s="307">
        <v>9.195E-3</v>
      </c>
      <c r="L141" s="307">
        <v>0.22338000000000002</v>
      </c>
      <c r="M141" s="307">
        <v>0.22338000000000002</v>
      </c>
      <c r="N141" s="307">
        <v>0.22338000000000002</v>
      </c>
      <c r="O141" s="307">
        <v>0.22338000000000002</v>
      </c>
      <c r="P141" s="307">
        <v>0.22338000000000002</v>
      </c>
      <c r="Q141" s="660">
        <f t="shared" si="44"/>
        <v>1.1260950000000001</v>
      </c>
    </row>
    <row r="142" spans="3:17" ht="22.5" customHeight="1">
      <c r="C142" s="665" t="s">
        <v>685</v>
      </c>
      <c r="D142" s="271"/>
      <c r="E142" s="307">
        <v>0</v>
      </c>
      <c r="F142" s="307">
        <v>0</v>
      </c>
      <c r="G142" s="307">
        <v>0</v>
      </c>
      <c r="H142" s="307">
        <v>0</v>
      </c>
      <c r="I142" s="307">
        <v>0</v>
      </c>
      <c r="J142" s="307">
        <v>0</v>
      </c>
      <c r="K142" s="307">
        <v>0</v>
      </c>
      <c r="L142" s="307">
        <v>0</v>
      </c>
      <c r="M142" s="307">
        <v>0</v>
      </c>
      <c r="N142" s="307">
        <v>0</v>
      </c>
      <c r="O142" s="307">
        <v>0</v>
      </c>
      <c r="P142" s="307">
        <v>0</v>
      </c>
      <c r="Q142" s="660">
        <f t="shared" si="44"/>
        <v>0</v>
      </c>
    </row>
    <row r="143" spans="3:17" ht="20.100000000000001" customHeight="1">
      <c r="C143" s="658" t="s">
        <v>635</v>
      </c>
      <c r="D143" s="271"/>
      <c r="E143" s="659">
        <f t="shared" ref="E143:P143" si="46">E147+E145+E146+E148+E149+E150</f>
        <v>130.28886703290999</v>
      </c>
      <c r="F143" s="659">
        <f t="shared" si="46"/>
        <v>139.74562719324999</v>
      </c>
      <c r="G143" s="659">
        <f t="shared" si="46"/>
        <v>136.90018099950001</v>
      </c>
      <c r="H143" s="659">
        <f t="shared" si="46"/>
        <v>137.73525202379</v>
      </c>
      <c r="I143" s="659">
        <f t="shared" si="46"/>
        <v>133.57456225664001</v>
      </c>
      <c r="J143" s="659">
        <f t="shared" si="46"/>
        <v>124.80395034112999</v>
      </c>
      <c r="K143" s="659">
        <f t="shared" si="46"/>
        <v>126.01555114981585</v>
      </c>
      <c r="L143" s="659">
        <f t="shared" si="46"/>
        <v>127.58650109592917</v>
      </c>
      <c r="M143" s="659">
        <f t="shared" si="46"/>
        <v>144.01533789923118</v>
      </c>
      <c r="N143" s="659">
        <f t="shared" si="46"/>
        <v>132.45812725308141</v>
      </c>
      <c r="O143" s="659">
        <f t="shared" si="46"/>
        <v>130.47732438649737</v>
      </c>
      <c r="P143" s="659">
        <f t="shared" si="46"/>
        <v>142.42912842126981</v>
      </c>
      <c r="Q143" s="660">
        <f t="shared" si="44"/>
        <v>1606.0304100530445</v>
      </c>
    </row>
    <row r="144" spans="3:17" ht="20.100000000000001" customHeight="1">
      <c r="C144" s="658" t="s">
        <v>699</v>
      </c>
      <c r="D144" s="271"/>
      <c r="E144" s="659"/>
      <c r="F144" s="659"/>
      <c r="G144" s="659"/>
      <c r="H144" s="659"/>
      <c r="I144" s="659"/>
      <c r="J144" s="659"/>
      <c r="K144" s="659"/>
      <c r="L144" s="659"/>
      <c r="M144" s="659"/>
      <c r="N144" s="659"/>
      <c r="O144" s="659"/>
      <c r="P144" s="659"/>
      <c r="Q144" s="660"/>
    </row>
    <row r="145" spans="3:17">
      <c r="C145" s="665" t="s">
        <v>914</v>
      </c>
      <c r="D145" s="271"/>
      <c r="E145" s="307">
        <v>41.190170999999999</v>
      </c>
      <c r="F145" s="307">
        <v>44.727702166666674</v>
      </c>
      <c r="G145" s="307">
        <v>44.563692500000002</v>
      </c>
      <c r="H145" s="307">
        <v>44.437712500000004</v>
      </c>
      <c r="I145" s="307">
        <v>42.425451000000002</v>
      </c>
      <c r="J145" s="307">
        <v>39.912804833333333</v>
      </c>
      <c r="K145" s="307">
        <v>39.843747104315028</v>
      </c>
      <c r="L145" s="307">
        <v>40.479299571461155</v>
      </c>
      <c r="M145" s="307">
        <v>45.672456612938802</v>
      </c>
      <c r="N145" s="307">
        <v>42.274914343322344</v>
      </c>
      <c r="O145" s="307">
        <v>41.462307470512911</v>
      </c>
      <c r="P145" s="307">
        <v>44.466938357300315</v>
      </c>
      <c r="Q145" s="660">
        <f t="shared" si="44"/>
        <v>511.45719745985053</v>
      </c>
    </row>
    <row r="146" spans="3:17" ht="15.95" customHeight="1">
      <c r="C146" s="665" t="s">
        <v>915</v>
      </c>
      <c r="D146" s="271"/>
      <c r="E146" s="307">
        <v>56.582914519999996</v>
      </c>
      <c r="F146" s="307">
        <v>62.01112101333333</v>
      </c>
      <c r="G146" s="307">
        <v>60.291022013333333</v>
      </c>
      <c r="H146" s="307">
        <v>61.334735000000002</v>
      </c>
      <c r="I146" s="307">
        <v>60.453649506666665</v>
      </c>
      <c r="J146" s="307">
        <v>55.378827999999999</v>
      </c>
      <c r="K146" s="307">
        <v>53.807240822709304</v>
      </c>
      <c r="L146" s="307">
        <v>52.618314093714758</v>
      </c>
      <c r="M146" s="307">
        <v>63.087806009873233</v>
      </c>
      <c r="N146" s="307">
        <v>58.593572925289408</v>
      </c>
      <c r="O146" s="307">
        <v>56.242150722723103</v>
      </c>
      <c r="P146" s="307">
        <v>62.191060957173818</v>
      </c>
      <c r="Q146" s="660">
        <f t="shared" si="44"/>
        <v>702.59241558481688</v>
      </c>
    </row>
    <row r="147" spans="3:17" ht="20.100000000000001" customHeight="1">
      <c r="C147" s="665" t="s">
        <v>916</v>
      </c>
      <c r="D147" s="271"/>
      <c r="E147" s="307">
        <v>29.473605612909996</v>
      </c>
      <c r="F147" s="307">
        <v>31.792921363249995</v>
      </c>
      <c r="G147" s="307">
        <v>31.314387116166664</v>
      </c>
      <c r="H147" s="307">
        <v>31.378764113789998</v>
      </c>
      <c r="I147" s="307">
        <v>30.242260919973329</v>
      </c>
      <c r="J147" s="307">
        <v>29.095028667796669</v>
      </c>
      <c r="K147" s="307">
        <v>31.898711896189475</v>
      </c>
      <c r="L147" s="307">
        <v>33.85340807909089</v>
      </c>
      <c r="M147" s="307">
        <v>34.013180832160089</v>
      </c>
      <c r="N147" s="307">
        <v>29.97810048914031</v>
      </c>
      <c r="O147" s="307">
        <v>30.471586883246751</v>
      </c>
      <c r="P147" s="307">
        <v>30.756423029968268</v>
      </c>
      <c r="Q147" s="660">
        <f>SUM(E147:P147)</f>
        <v>374.26837900368247</v>
      </c>
    </row>
    <row r="148" spans="3:17" ht="15.95" customHeight="1">
      <c r="C148" s="665" t="s">
        <v>592</v>
      </c>
      <c r="D148" s="271"/>
      <c r="E148" s="307">
        <v>0.20630999999999999</v>
      </c>
      <c r="F148" s="307">
        <v>0.211534</v>
      </c>
      <c r="G148" s="307">
        <v>0.19401299999999999</v>
      </c>
      <c r="H148" s="307">
        <v>0.21496299999999999</v>
      </c>
      <c r="I148" s="307">
        <v>0.225074</v>
      </c>
      <c r="J148" s="307">
        <v>0.23902000000000001</v>
      </c>
      <c r="K148" s="307">
        <v>0.24383912959004744</v>
      </c>
      <c r="L148" s="307">
        <v>0.27245893087240608</v>
      </c>
      <c r="M148" s="307">
        <v>0.2320175991035679</v>
      </c>
      <c r="N148" s="307">
        <v>0.18828869914614846</v>
      </c>
      <c r="O148" s="307">
        <v>0.20749390935961928</v>
      </c>
      <c r="P148" s="307">
        <v>0.23815051658945247</v>
      </c>
      <c r="Q148" s="660">
        <f t="shared" si="44"/>
        <v>2.6731627846612418</v>
      </c>
    </row>
    <row r="149" spans="3:17" ht="15.95" customHeight="1">
      <c r="C149" s="665" t="s">
        <v>702</v>
      </c>
      <c r="D149" s="271"/>
      <c r="E149" s="307">
        <v>2.8358658999999999</v>
      </c>
      <c r="F149" s="307">
        <v>1.0023486499999998</v>
      </c>
      <c r="G149" s="307">
        <v>0.53706637000000002</v>
      </c>
      <c r="H149" s="307">
        <v>0.36907741000000005</v>
      </c>
      <c r="I149" s="307">
        <v>0.22812683</v>
      </c>
      <c r="J149" s="307">
        <v>0.17826883999999998</v>
      </c>
      <c r="K149" s="307">
        <v>0.22201219701198521</v>
      </c>
      <c r="L149" s="307">
        <v>0.36302042078996571</v>
      </c>
      <c r="M149" s="307">
        <v>1.0098768451555051</v>
      </c>
      <c r="N149" s="307">
        <v>1.4232507961832124</v>
      </c>
      <c r="O149" s="307">
        <v>2.0937854006549994</v>
      </c>
      <c r="P149" s="307">
        <v>4.7765555602379361</v>
      </c>
      <c r="Q149" s="660">
        <f t="shared" si="44"/>
        <v>15.039255220033604</v>
      </c>
    </row>
    <row r="150" spans="3:17" ht="15.95" customHeight="1">
      <c r="C150" s="665" t="s">
        <v>703</v>
      </c>
      <c r="D150" s="271"/>
      <c r="E150" s="307">
        <v>0</v>
      </c>
      <c r="F150" s="307">
        <v>0</v>
      </c>
      <c r="G150" s="307">
        <v>0</v>
      </c>
      <c r="H150" s="307">
        <v>0</v>
      </c>
      <c r="I150" s="307">
        <v>0</v>
      </c>
      <c r="J150" s="307">
        <v>0</v>
      </c>
      <c r="K150" s="307">
        <v>0</v>
      </c>
      <c r="L150" s="307">
        <v>0</v>
      </c>
      <c r="M150" s="307">
        <v>0</v>
      </c>
      <c r="N150" s="307">
        <v>0</v>
      </c>
      <c r="O150" s="307">
        <v>0</v>
      </c>
      <c r="P150" s="307">
        <v>0</v>
      </c>
      <c r="Q150" s="660">
        <f t="shared" si="44"/>
        <v>0</v>
      </c>
    </row>
    <row r="151" spans="3:17" ht="15.95" customHeight="1">
      <c r="C151" s="658" t="s">
        <v>636</v>
      </c>
      <c r="D151" s="271"/>
      <c r="E151" s="659">
        <f>E152+E153+E154</f>
        <v>10.292160729999997</v>
      </c>
      <c r="F151" s="659">
        <f t="shared" ref="F151:P151" si="47">F152+F153+F154</f>
        <v>13.416476729999999</v>
      </c>
      <c r="G151" s="659">
        <f t="shared" si="47"/>
        <v>13.269722360000001</v>
      </c>
      <c r="H151" s="659">
        <f t="shared" si="47"/>
        <v>11.44729624</v>
      </c>
      <c r="I151" s="659">
        <f t="shared" si="47"/>
        <v>13.847547609999999</v>
      </c>
      <c r="J151" s="659">
        <f t="shared" si="47"/>
        <v>13.509862900000002</v>
      </c>
      <c r="K151" s="659">
        <f t="shared" si="47"/>
        <v>12.282626413779363</v>
      </c>
      <c r="L151" s="659">
        <f t="shared" si="47"/>
        <v>12.130556707221833</v>
      </c>
      <c r="M151" s="659">
        <f t="shared" si="47"/>
        <v>12.111772724422181</v>
      </c>
      <c r="N151" s="659">
        <f t="shared" si="47"/>
        <v>11.517956808865836</v>
      </c>
      <c r="O151" s="659">
        <f t="shared" si="47"/>
        <v>11.310793841381052</v>
      </c>
      <c r="P151" s="659">
        <f t="shared" si="47"/>
        <v>13.344092615573153</v>
      </c>
      <c r="Q151" s="660">
        <f t="shared" si="44"/>
        <v>148.48086568124342</v>
      </c>
    </row>
    <row r="152" spans="3:17" ht="15.95" customHeight="1">
      <c r="C152" s="396" t="s">
        <v>637</v>
      </c>
      <c r="D152" s="271"/>
      <c r="E152" s="307">
        <v>6.3089988899999989</v>
      </c>
      <c r="F152" s="307">
        <v>9.0997202599999998</v>
      </c>
      <c r="G152" s="307">
        <v>9.0414139400000018</v>
      </c>
      <c r="H152" s="307">
        <v>8.5949431199999999</v>
      </c>
      <c r="I152" s="307">
        <v>9.5415137599999991</v>
      </c>
      <c r="J152" s="307">
        <v>9.3788872800000007</v>
      </c>
      <c r="K152" s="307">
        <v>9.3295745170142492</v>
      </c>
      <c r="L152" s="307">
        <v>9.4158330863710233</v>
      </c>
      <c r="M152" s="307">
        <v>9.7338452983601123</v>
      </c>
      <c r="N152" s="307">
        <v>9.3417028343095296</v>
      </c>
      <c r="O152" s="307">
        <v>8.9794941110907462</v>
      </c>
      <c r="P152" s="307">
        <v>10.060867110912248</v>
      </c>
      <c r="Q152" s="660">
        <f t="shared" si="44"/>
        <v>108.82679420805792</v>
      </c>
    </row>
    <row r="153" spans="3:17" ht="15.95" customHeight="1">
      <c r="C153" s="396" t="s">
        <v>687</v>
      </c>
      <c r="D153" s="271"/>
      <c r="E153" s="307">
        <v>3.5941879700000001</v>
      </c>
      <c r="F153" s="307">
        <v>3.7910155899999998</v>
      </c>
      <c r="G153" s="307">
        <v>3.7309276499999999</v>
      </c>
      <c r="H153" s="307">
        <v>2.4772094300000003</v>
      </c>
      <c r="I153" s="307">
        <v>3.9683189599999995</v>
      </c>
      <c r="J153" s="307">
        <v>3.7982231400000002</v>
      </c>
      <c r="K153" s="307">
        <v>2.6234916045865058</v>
      </c>
      <c r="L153" s="307">
        <v>2.3833672676087909</v>
      </c>
      <c r="M153" s="307">
        <v>2.0721375299165947</v>
      </c>
      <c r="N153" s="307">
        <v>1.9048368220972387</v>
      </c>
      <c r="O153" s="307">
        <v>2.0388427363287933</v>
      </c>
      <c r="P153" s="307">
        <v>2.9282735207776436</v>
      </c>
      <c r="Q153" s="660">
        <f t="shared" si="44"/>
        <v>35.310832221315565</v>
      </c>
    </row>
    <row r="154" spans="3:17" ht="15.95" customHeight="1">
      <c r="C154" s="396" t="s">
        <v>638</v>
      </c>
      <c r="D154" s="271"/>
      <c r="E154" s="307">
        <v>0.38897386999999994</v>
      </c>
      <c r="F154" s="307">
        <v>0.52574087999999997</v>
      </c>
      <c r="G154" s="307">
        <v>0.49738077000000003</v>
      </c>
      <c r="H154" s="307">
        <v>0.37514369000000003</v>
      </c>
      <c r="I154" s="307">
        <v>0.33771488999999999</v>
      </c>
      <c r="J154" s="307">
        <v>0.33275248000000002</v>
      </c>
      <c r="K154" s="307">
        <v>0.32956029217860688</v>
      </c>
      <c r="L154" s="307">
        <v>0.33135635324201973</v>
      </c>
      <c r="M154" s="307">
        <v>0.30578989614547319</v>
      </c>
      <c r="N154" s="307">
        <v>0.2714171524590685</v>
      </c>
      <c r="O154" s="307">
        <v>0.29245699396151215</v>
      </c>
      <c r="P154" s="307">
        <v>0.35495198388326149</v>
      </c>
      <c r="Q154" s="660">
        <f t="shared" si="44"/>
        <v>4.3432392518699423</v>
      </c>
    </row>
    <row r="155" spans="3:17" ht="15.95" customHeight="1">
      <c r="C155" s="658" t="s">
        <v>639</v>
      </c>
      <c r="D155" s="271"/>
      <c r="E155" s="659">
        <f>E156+E157</f>
        <v>3.1382500200000001</v>
      </c>
      <c r="F155" s="659">
        <f t="shared" ref="F155:P155" si="48">F156+F157</f>
        <v>2.1425688000000003</v>
      </c>
      <c r="G155" s="659">
        <f t="shared" si="48"/>
        <v>2.4879176100000002</v>
      </c>
      <c r="H155" s="659">
        <f t="shared" si="48"/>
        <v>3.0077205900000004</v>
      </c>
      <c r="I155" s="659">
        <f t="shared" si="48"/>
        <v>4.7470138100000003</v>
      </c>
      <c r="J155" s="659">
        <f t="shared" si="48"/>
        <v>4.2900476699999999</v>
      </c>
      <c r="K155" s="659">
        <f t="shared" si="48"/>
        <v>4.4620832485315614</v>
      </c>
      <c r="L155" s="659">
        <f t="shared" si="48"/>
        <v>3.7879197619734426</v>
      </c>
      <c r="M155" s="659">
        <f t="shared" si="48"/>
        <v>3.2923240538536453</v>
      </c>
      <c r="N155" s="659">
        <f t="shared" si="48"/>
        <v>3.8677627581533955</v>
      </c>
      <c r="O155" s="659">
        <f t="shared" si="48"/>
        <v>4.0511438102837714</v>
      </c>
      <c r="P155" s="659">
        <f t="shared" si="48"/>
        <v>4.8141408991149621</v>
      </c>
      <c r="Q155" s="660">
        <f t="shared" si="44"/>
        <v>44.088893031910771</v>
      </c>
    </row>
    <row r="156" spans="3:17" ht="15.95" customHeight="1">
      <c r="C156" s="396" t="s">
        <v>640</v>
      </c>
      <c r="D156" s="271"/>
      <c r="E156" s="307">
        <v>1.9426495600000002</v>
      </c>
      <c r="F156" s="307">
        <v>2.0076406200000001</v>
      </c>
      <c r="G156" s="307">
        <v>1.9128581</v>
      </c>
      <c r="H156" s="307">
        <v>1.9762459200000002</v>
      </c>
      <c r="I156" s="307">
        <v>1.9934214400000001</v>
      </c>
      <c r="J156" s="307">
        <v>1.8240093399999999</v>
      </c>
      <c r="K156" s="307">
        <v>2.1299509178635119</v>
      </c>
      <c r="L156" s="307">
        <v>2.1116580016183737</v>
      </c>
      <c r="M156" s="307">
        <v>1.9102112942203613</v>
      </c>
      <c r="N156" s="307">
        <v>1.7534823329819016</v>
      </c>
      <c r="O156" s="307">
        <v>1.7269759197075001</v>
      </c>
      <c r="P156" s="307">
        <v>2.2422029300594772</v>
      </c>
      <c r="Q156" s="660">
        <f t="shared" si="44"/>
        <v>23.531306376451127</v>
      </c>
    </row>
    <row r="157" spans="3:17" ht="24.75" customHeight="1">
      <c r="C157" s="396" t="s">
        <v>641</v>
      </c>
      <c r="D157" s="271"/>
      <c r="E157" s="307">
        <v>1.1956004599999999</v>
      </c>
      <c r="F157" s="307">
        <v>0.13492818000000001</v>
      </c>
      <c r="G157" s="307">
        <v>0.57505951</v>
      </c>
      <c r="H157" s="307">
        <v>1.0314746700000001</v>
      </c>
      <c r="I157" s="307">
        <v>2.7535923699999998</v>
      </c>
      <c r="J157" s="307">
        <v>2.4660383299999999</v>
      </c>
      <c r="K157" s="307">
        <v>2.3321323306680495</v>
      </c>
      <c r="L157" s="307">
        <v>1.6762617603550689</v>
      </c>
      <c r="M157" s="307">
        <v>1.3821127596332841</v>
      </c>
      <c r="N157" s="307">
        <v>2.1142804251714939</v>
      </c>
      <c r="O157" s="307">
        <v>2.3241678905762715</v>
      </c>
      <c r="P157" s="307">
        <v>2.5719379690554853</v>
      </c>
      <c r="Q157" s="660">
        <f t="shared" si="44"/>
        <v>20.557586655459655</v>
      </c>
    </row>
    <row r="158" spans="3:17" ht="20.100000000000001" customHeight="1">
      <c r="C158" s="658" t="s">
        <v>168</v>
      </c>
      <c r="D158" s="271"/>
      <c r="E158" s="659">
        <f t="shared" ref="E158:P158" si="49">E159</f>
        <v>0</v>
      </c>
      <c r="F158" s="659">
        <f t="shared" si="49"/>
        <v>0</v>
      </c>
      <c r="G158" s="659">
        <f t="shared" si="49"/>
        <v>0</v>
      </c>
      <c r="H158" s="659">
        <f t="shared" si="49"/>
        <v>0</v>
      </c>
      <c r="I158" s="659">
        <f t="shared" si="49"/>
        <v>0</v>
      </c>
      <c r="J158" s="659">
        <f t="shared" si="49"/>
        <v>0</v>
      </c>
      <c r="K158" s="659">
        <f t="shared" si="49"/>
        <v>0</v>
      </c>
      <c r="L158" s="659">
        <f t="shared" si="49"/>
        <v>0</v>
      </c>
      <c r="M158" s="659">
        <f t="shared" si="49"/>
        <v>0</v>
      </c>
      <c r="N158" s="659">
        <f t="shared" si="49"/>
        <v>0</v>
      </c>
      <c r="O158" s="659">
        <f t="shared" si="49"/>
        <v>0</v>
      </c>
      <c r="P158" s="659">
        <f t="shared" si="49"/>
        <v>0</v>
      </c>
      <c r="Q158" s="660">
        <f t="shared" si="44"/>
        <v>0</v>
      </c>
    </row>
    <row r="159" spans="3:17" ht="13.5" customHeight="1">
      <c r="C159" s="397"/>
      <c r="D159" s="271"/>
      <c r="E159" s="307"/>
      <c r="F159" s="307"/>
      <c r="G159" s="307"/>
      <c r="H159" s="307"/>
      <c r="I159" s="307"/>
      <c r="J159" s="307"/>
      <c r="K159" s="307"/>
      <c r="L159" s="307"/>
      <c r="M159" s="307"/>
      <c r="N159" s="307"/>
      <c r="O159" s="307"/>
      <c r="P159" s="307"/>
      <c r="Q159" s="660"/>
    </row>
    <row r="160" spans="3:17" ht="20.100000000000001" customHeight="1">
      <c r="C160" s="662" t="s">
        <v>603</v>
      </c>
      <c r="D160" s="663"/>
      <c r="E160" s="663">
        <f t="shared" ref="E160:P160" si="50">E161+E162+E169+E177+E181</f>
        <v>225.96141072500004</v>
      </c>
      <c r="F160" s="663">
        <f t="shared" si="50"/>
        <v>240.39764367499996</v>
      </c>
      <c r="G160" s="663">
        <f t="shared" si="50"/>
        <v>228.604270555</v>
      </c>
      <c r="H160" s="663">
        <f t="shared" si="50"/>
        <v>226.14421003750002</v>
      </c>
      <c r="I160" s="663">
        <f t="shared" si="50"/>
        <v>243.62591268250003</v>
      </c>
      <c r="J160" s="663">
        <f t="shared" si="50"/>
        <v>218.63242212500001</v>
      </c>
      <c r="K160" s="663">
        <f t="shared" si="50"/>
        <v>244.64168617810469</v>
      </c>
      <c r="L160" s="663">
        <f t="shared" si="50"/>
        <v>229.82027538436037</v>
      </c>
      <c r="M160" s="663">
        <f t="shared" si="50"/>
        <v>220.24304816296927</v>
      </c>
      <c r="N160" s="663">
        <f t="shared" si="50"/>
        <v>211.76715104189526</v>
      </c>
      <c r="O160" s="663">
        <f t="shared" si="50"/>
        <v>220.72741381750586</v>
      </c>
      <c r="P160" s="663">
        <f t="shared" si="50"/>
        <v>259.01510104564926</v>
      </c>
      <c r="Q160" s="664">
        <f t="shared" si="44"/>
        <v>2769.580545430485</v>
      </c>
    </row>
    <row r="161" spans="3:17" ht="20.100000000000001" customHeight="1">
      <c r="C161" s="274" t="s">
        <v>633</v>
      </c>
      <c r="D161" s="271"/>
      <c r="E161" s="307">
        <v>1.15255</v>
      </c>
      <c r="F161" s="307">
        <v>1.1617470000000001</v>
      </c>
      <c r="G161" s="307">
        <v>1.2298404999999999</v>
      </c>
      <c r="H161" s="307">
        <v>1.1464479999999999</v>
      </c>
      <c r="I161" s="307">
        <v>1.0770655</v>
      </c>
      <c r="J161" s="307">
        <v>1.052997</v>
      </c>
      <c r="K161" s="307">
        <v>0.96461349857298706</v>
      </c>
      <c r="L161" s="307">
        <v>0.88324315932535569</v>
      </c>
      <c r="M161" s="307">
        <v>0.74080188940607561</v>
      </c>
      <c r="N161" s="307">
        <v>0.74260839180443394</v>
      </c>
      <c r="O161" s="307">
        <v>0.76482170646430248</v>
      </c>
      <c r="P161" s="307">
        <v>0.96209972866940052</v>
      </c>
      <c r="Q161" s="660">
        <f t="shared" si="44"/>
        <v>11.878836374242551</v>
      </c>
    </row>
    <row r="162" spans="3:17" ht="20.100000000000001" customHeight="1">
      <c r="C162" s="658" t="s">
        <v>634</v>
      </c>
      <c r="D162" s="271"/>
      <c r="E162" s="659">
        <f>E163+E164+E165+E166+E167+E168</f>
        <v>19.296108100000001</v>
      </c>
      <c r="F162" s="659">
        <f t="shared" ref="F162:P162" si="51">F163+F164+F165+F166+F167+F168</f>
        <v>22.409579624999996</v>
      </c>
      <c r="G162" s="659">
        <f t="shared" si="51"/>
        <v>22.203784629999998</v>
      </c>
      <c r="H162" s="659">
        <f t="shared" si="51"/>
        <v>23.060848595</v>
      </c>
      <c r="I162" s="659">
        <f t="shared" si="51"/>
        <v>22.085344624999998</v>
      </c>
      <c r="J162" s="659">
        <f t="shared" si="51"/>
        <v>20.48842995</v>
      </c>
      <c r="K162" s="659">
        <f t="shared" si="51"/>
        <v>18.912440502699621</v>
      </c>
      <c r="L162" s="659">
        <f t="shared" si="51"/>
        <v>17.960841625812318</v>
      </c>
      <c r="M162" s="659">
        <f t="shared" si="51"/>
        <v>17.8730739245641</v>
      </c>
      <c r="N162" s="659">
        <f t="shared" si="51"/>
        <v>18.143664425395812</v>
      </c>
      <c r="O162" s="659">
        <f t="shared" si="51"/>
        <v>17.858969856663908</v>
      </c>
      <c r="P162" s="659">
        <f t="shared" si="51"/>
        <v>20.466202343936398</v>
      </c>
      <c r="Q162" s="660">
        <f t="shared" si="44"/>
        <v>240.75928820407216</v>
      </c>
    </row>
    <row r="163" spans="3:17" ht="20.100000000000001" customHeight="1">
      <c r="C163" s="665" t="s">
        <v>986</v>
      </c>
      <c r="D163" s="271"/>
      <c r="E163" s="307">
        <v>15.343786099999999</v>
      </c>
      <c r="F163" s="307">
        <v>17.868657624999997</v>
      </c>
      <c r="G163" s="307">
        <v>17.65841713</v>
      </c>
      <c r="H163" s="307">
        <v>18.521250594999998</v>
      </c>
      <c r="I163" s="307">
        <v>17.682451624999999</v>
      </c>
      <c r="J163" s="307">
        <v>16.443766950000001</v>
      </c>
      <c r="K163" s="307">
        <v>14.761004749451118</v>
      </c>
      <c r="L163" s="307">
        <v>13.979748977305492</v>
      </c>
      <c r="M163" s="307">
        <v>13.877059069894589</v>
      </c>
      <c r="N163" s="307">
        <v>14.055548170993895</v>
      </c>
      <c r="O163" s="307">
        <v>13.660471792675155</v>
      </c>
      <c r="P163" s="307">
        <v>15.589477573286741</v>
      </c>
      <c r="Q163" s="660">
        <f t="shared" si="44"/>
        <v>189.44164035860697</v>
      </c>
    </row>
    <row r="164" spans="3:17" ht="20.100000000000001" customHeight="1">
      <c r="C164" s="665" t="s">
        <v>697</v>
      </c>
      <c r="D164" s="271"/>
      <c r="E164" s="307">
        <v>3.8507769999999999</v>
      </c>
      <c r="F164" s="307">
        <v>4.3337060000000003</v>
      </c>
      <c r="G164" s="307">
        <v>4.4308360000000002</v>
      </c>
      <c r="H164" s="307">
        <v>4.4028150000000004</v>
      </c>
      <c r="I164" s="307">
        <v>4.2823039999999999</v>
      </c>
      <c r="J164" s="307">
        <v>3.9273060000000002</v>
      </c>
      <c r="K164" s="307">
        <v>4.0586908335151906</v>
      </c>
      <c r="L164" s="307">
        <v>3.8743256549901672</v>
      </c>
      <c r="M164" s="307">
        <v>3.9086526763098739</v>
      </c>
      <c r="N164" s="307">
        <v>3.9923584470097251</v>
      </c>
      <c r="O164" s="307">
        <v>3.912200005251258</v>
      </c>
      <c r="P164" s="307">
        <v>4.4393254658875954</v>
      </c>
      <c r="Q164" s="660">
        <f t="shared" si="44"/>
        <v>49.413297082963808</v>
      </c>
    </row>
    <row r="165" spans="3:17" ht="20.100000000000001" customHeight="1">
      <c r="C165" s="665" t="s">
        <v>987</v>
      </c>
      <c r="D165" s="271"/>
      <c r="E165" s="307">
        <v>0</v>
      </c>
      <c r="F165" s="307">
        <v>0</v>
      </c>
      <c r="G165" s="307">
        <v>0</v>
      </c>
      <c r="H165" s="307">
        <v>0</v>
      </c>
      <c r="I165" s="307">
        <v>0</v>
      </c>
      <c r="J165" s="307">
        <v>0</v>
      </c>
      <c r="K165" s="307">
        <v>0</v>
      </c>
      <c r="L165" s="307">
        <v>0</v>
      </c>
      <c r="M165" s="307">
        <v>0</v>
      </c>
      <c r="N165" s="307">
        <v>0</v>
      </c>
      <c r="O165" s="307">
        <v>0</v>
      </c>
      <c r="P165" s="307">
        <v>0</v>
      </c>
      <c r="Q165" s="660">
        <f t="shared" si="44"/>
        <v>0</v>
      </c>
    </row>
    <row r="166" spans="3:17" ht="20.100000000000001" customHeight="1">
      <c r="C166" s="665" t="s">
        <v>683</v>
      </c>
      <c r="D166" s="271"/>
      <c r="E166" s="307">
        <v>0.10154499999999998</v>
      </c>
      <c r="F166" s="307">
        <v>0.20721600000000001</v>
      </c>
      <c r="G166" s="307">
        <v>0.11453149999999999</v>
      </c>
      <c r="H166" s="307">
        <v>0.13678299999999999</v>
      </c>
      <c r="I166" s="307">
        <v>0.120589</v>
      </c>
      <c r="J166" s="307">
        <v>0.11735699999999999</v>
      </c>
      <c r="K166" s="307">
        <v>9.2744919733312878E-2</v>
      </c>
      <c r="L166" s="307">
        <v>0.10676699351665669</v>
      </c>
      <c r="M166" s="307">
        <v>8.7362178359637055E-2</v>
      </c>
      <c r="N166" s="307">
        <v>9.5757807392192432E-2</v>
      </c>
      <c r="O166" s="307">
        <v>0.2862980587374927</v>
      </c>
      <c r="P166" s="307">
        <v>0.43739930476206262</v>
      </c>
      <c r="Q166" s="660">
        <f t="shared" si="44"/>
        <v>1.9043507625013543</v>
      </c>
    </row>
    <row r="167" spans="3:17" ht="20.100000000000001" customHeight="1">
      <c r="C167" s="665" t="s">
        <v>684</v>
      </c>
      <c r="D167" s="271"/>
      <c r="E167" s="307">
        <v>0</v>
      </c>
      <c r="F167" s="307">
        <v>0</v>
      </c>
      <c r="G167" s="307">
        <v>0</v>
      </c>
      <c r="H167" s="307">
        <v>0</v>
      </c>
      <c r="I167" s="307">
        <v>0</v>
      </c>
      <c r="J167" s="307">
        <v>0</v>
      </c>
      <c r="K167" s="307">
        <v>0</v>
      </c>
      <c r="L167" s="307">
        <v>0</v>
      </c>
      <c r="M167" s="307">
        <v>0</v>
      </c>
      <c r="N167" s="307">
        <v>0</v>
      </c>
      <c r="O167" s="307">
        <v>0</v>
      </c>
      <c r="P167" s="307">
        <v>0</v>
      </c>
      <c r="Q167" s="660">
        <f t="shared" si="44"/>
        <v>0</v>
      </c>
    </row>
    <row r="168" spans="3:17" ht="26.25" customHeight="1">
      <c r="C168" s="665" t="s">
        <v>685</v>
      </c>
      <c r="D168" s="271"/>
      <c r="E168" s="307">
        <v>0</v>
      </c>
      <c r="F168" s="307">
        <v>0</v>
      </c>
      <c r="G168" s="307">
        <v>0</v>
      </c>
      <c r="H168" s="307">
        <v>0</v>
      </c>
      <c r="I168" s="307">
        <v>0</v>
      </c>
      <c r="J168" s="307">
        <v>0</v>
      </c>
      <c r="K168" s="307">
        <v>0</v>
      </c>
      <c r="L168" s="307">
        <v>0</v>
      </c>
      <c r="M168" s="307">
        <v>0</v>
      </c>
      <c r="N168" s="307">
        <v>0</v>
      </c>
      <c r="O168" s="307">
        <v>0</v>
      </c>
      <c r="P168" s="307">
        <v>0</v>
      </c>
      <c r="Q168" s="660">
        <f t="shared" si="44"/>
        <v>0</v>
      </c>
    </row>
    <row r="169" spans="3:17" ht="20.100000000000001" customHeight="1">
      <c r="C169" s="658" t="s">
        <v>635</v>
      </c>
      <c r="D169" s="271"/>
      <c r="E169" s="659">
        <f t="shared" ref="E169:P169" si="52">E173+E171+E172+E174+E175+E176</f>
        <v>205.113164625</v>
      </c>
      <c r="F169" s="659">
        <f t="shared" si="52"/>
        <v>216.62518304999998</v>
      </c>
      <c r="G169" s="659">
        <f t="shared" si="52"/>
        <v>205.078214425</v>
      </c>
      <c r="H169" s="659">
        <f t="shared" si="52"/>
        <v>201.4445279425</v>
      </c>
      <c r="I169" s="659">
        <f t="shared" si="52"/>
        <v>207.70182105750004</v>
      </c>
      <c r="J169" s="659">
        <f t="shared" si="52"/>
        <v>186.938344175</v>
      </c>
      <c r="K169" s="659">
        <f t="shared" si="52"/>
        <v>211.67605782794752</v>
      </c>
      <c r="L169" s="659">
        <f t="shared" si="52"/>
        <v>202.21230594550539</v>
      </c>
      <c r="M169" s="659">
        <f t="shared" si="52"/>
        <v>199.51664194826799</v>
      </c>
      <c r="N169" s="659">
        <f t="shared" si="52"/>
        <v>191.82648044852911</v>
      </c>
      <c r="O169" s="659">
        <f t="shared" si="52"/>
        <v>201.2681109506874</v>
      </c>
      <c r="P169" s="659">
        <f t="shared" si="52"/>
        <v>237.10803139380113</v>
      </c>
      <c r="Q169" s="660">
        <f t="shared" si="44"/>
        <v>2466.5088837897383</v>
      </c>
    </row>
    <row r="170" spans="3:17" ht="20.100000000000001" customHeight="1">
      <c r="C170" s="658" t="s">
        <v>699</v>
      </c>
      <c r="D170" s="271"/>
      <c r="E170" s="659"/>
      <c r="F170" s="659"/>
      <c r="G170" s="659"/>
      <c r="H170" s="659"/>
      <c r="I170" s="659"/>
      <c r="J170" s="659"/>
      <c r="K170" s="659"/>
      <c r="L170" s="659"/>
      <c r="M170" s="659"/>
      <c r="N170" s="659"/>
      <c r="O170" s="659"/>
      <c r="P170" s="659"/>
      <c r="Q170" s="660"/>
    </row>
    <row r="171" spans="3:17">
      <c r="C171" s="665" t="s">
        <v>914</v>
      </c>
      <c r="D171" s="271"/>
      <c r="E171" s="307">
        <v>61.432124000000002</v>
      </c>
      <c r="F171" s="307">
        <v>64.063041999999996</v>
      </c>
      <c r="G171" s="307">
        <v>62.076530000000005</v>
      </c>
      <c r="H171" s="307">
        <v>64.849773999999996</v>
      </c>
      <c r="I171" s="307">
        <v>69.807440500000013</v>
      </c>
      <c r="J171" s="307">
        <v>65.263786499999995</v>
      </c>
      <c r="K171" s="307">
        <v>69.557996990930135</v>
      </c>
      <c r="L171" s="307">
        <v>62.88965311471263</v>
      </c>
      <c r="M171" s="307">
        <v>64.525606342501106</v>
      </c>
      <c r="N171" s="307">
        <v>65.187811443242254</v>
      </c>
      <c r="O171" s="307">
        <v>67.01501470004311</v>
      </c>
      <c r="P171" s="307">
        <v>78.438980328892228</v>
      </c>
      <c r="Q171" s="660">
        <f t="shared" si="44"/>
        <v>795.10775992032131</v>
      </c>
    </row>
    <row r="172" spans="3:17" ht="20.100000000000001" customHeight="1">
      <c r="C172" s="665" t="s">
        <v>915</v>
      </c>
      <c r="D172" s="271"/>
      <c r="E172" s="307">
        <v>84.411067026666657</v>
      </c>
      <c r="F172" s="307">
        <v>90.973762026666662</v>
      </c>
      <c r="G172" s="307">
        <v>87.802861013333342</v>
      </c>
      <c r="H172" s="307">
        <v>87.838198040000009</v>
      </c>
      <c r="I172" s="307">
        <v>95.01175601333334</v>
      </c>
      <c r="J172" s="307">
        <v>86.749759546666652</v>
      </c>
      <c r="K172" s="307">
        <v>90.925032301844936</v>
      </c>
      <c r="L172" s="307">
        <v>80.094274036617847</v>
      </c>
      <c r="M172" s="307">
        <v>81.499136758395309</v>
      </c>
      <c r="N172" s="307">
        <v>81.450786625255816</v>
      </c>
      <c r="O172" s="307">
        <v>87.369665950313532</v>
      </c>
      <c r="P172" s="307">
        <v>104.48632816507119</v>
      </c>
      <c r="Q172" s="660">
        <f t="shared" si="44"/>
        <v>1058.6126275041652</v>
      </c>
    </row>
    <row r="173" spans="3:17" ht="20.100000000000001" customHeight="1">
      <c r="C173" s="665" t="s">
        <v>916</v>
      </c>
      <c r="D173" s="271"/>
      <c r="E173" s="307">
        <v>33.015325598333334</v>
      </c>
      <c r="F173" s="307">
        <v>39.529747023333329</v>
      </c>
      <c r="G173" s="307">
        <v>37.091519411666667</v>
      </c>
      <c r="H173" s="307">
        <v>36.529944902500006</v>
      </c>
      <c r="I173" s="307">
        <v>36.639661544166664</v>
      </c>
      <c r="J173" s="307">
        <v>24.095001128333337</v>
      </c>
      <c r="K173" s="307">
        <v>32.42998882942652</v>
      </c>
      <c r="L173" s="307">
        <v>41.042692832193474</v>
      </c>
      <c r="M173" s="307">
        <v>34.977189939018636</v>
      </c>
      <c r="N173" s="307">
        <v>25.132769146578749</v>
      </c>
      <c r="O173" s="307">
        <v>26.304706508424356</v>
      </c>
      <c r="P173" s="307">
        <v>28.864015513572689</v>
      </c>
      <c r="Q173" s="660">
        <f>SUM(E173:P173)</f>
        <v>395.65256237754778</v>
      </c>
    </row>
    <row r="174" spans="3:17" ht="20.100000000000001" customHeight="1">
      <c r="C174" s="665" t="s">
        <v>592</v>
      </c>
      <c r="D174" s="271"/>
      <c r="E174" s="307">
        <v>8.3747000000000016E-2</v>
      </c>
      <c r="F174" s="307">
        <v>8.2465999999999998E-2</v>
      </c>
      <c r="G174" s="307">
        <v>8.2332000000000002E-2</v>
      </c>
      <c r="H174" s="307">
        <v>9.3641000000000002E-2</v>
      </c>
      <c r="I174" s="307">
        <v>9.9187999999999998E-2</v>
      </c>
      <c r="J174" s="307">
        <v>0.201569</v>
      </c>
      <c r="K174" s="307">
        <v>9.5476228512399369E-2</v>
      </c>
      <c r="L174" s="307">
        <v>8.6296090271928527E-2</v>
      </c>
      <c r="M174" s="307">
        <v>9.0173535283985376E-2</v>
      </c>
      <c r="N174" s="307">
        <v>6.9366682415925474E-2</v>
      </c>
      <c r="O174" s="307">
        <v>7.641526143899241E-2</v>
      </c>
      <c r="P174" s="307">
        <v>9.858280079489308E-2</v>
      </c>
      <c r="Q174" s="660">
        <f t="shared" si="44"/>
        <v>1.1592535987181243</v>
      </c>
    </row>
    <row r="175" spans="3:17" ht="20.100000000000001" customHeight="1">
      <c r="C175" s="665" t="s">
        <v>702</v>
      </c>
      <c r="D175" s="271"/>
      <c r="E175" s="307">
        <v>2.1134119999999998</v>
      </c>
      <c r="F175" s="307">
        <v>0.29104799999999997</v>
      </c>
      <c r="G175" s="307">
        <v>0.12898799999999999</v>
      </c>
      <c r="H175" s="307">
        <v>9.9725999999999995E-2</v>
      </c>
      <c r="I175" s="307">
        <v>8.8625999999999996E-2</v>
      </c>
      <c r="J175" s="307">
        <v>8.8400000000000006E-2</v>
      </c>
      <c r="K175" s="307">
        <v>9.0210250402101289E-2</v>
      </c>
      <c r="L175" s="307">
        <v>7.4756080679818843E-2</v>
      </c>
      <c r="M175" s="307">
        <v>8.0766101690394665E-2</v>
      </c>
      <c r="N175" s="307">
        <v>0.25916456290260309</v>
      </c>
      <c r="O175" s="307">
        <v>1.7626592396964182</v>
      </c>
      <c r="P175" s="307">
        <v>4.8016231214616116</v>
      </c>
      <c r="Q175" s="660">
        <f t="shared" si="44"/>
        <v>9.8793793568329473</v>
      </c>
    </row>
    <row r="176" spans="3:17" ht="20.100000000000001" customHeight="1">
      <c r="C176" s="665" t="s">
        <v>703</v>
      </c>
      <c r="D176" s="271"/>
      <c r="E176" s="307">
        <v>24.057489</v>
      </c>
      <c r="F176" s="307">
        <v>21.685117999999999</v>
      </c>
      <c r="G176" s="307">
        <v>17.895983999999999</v>
      </c>
      <c r="H176" s="307">
        <v>12.033244</v>
      </c>
      <c r="I176" s="307">
        <v>6.0551490000000001</v>
      </c>
      <c r="J176" s="307">
        <v>10.539828</v>
      </c>
      <c r="K176" s="307">
        <v>18.577353226831406</v>
      </c>
      <c r="L176" s="307">
        <v>18.024633791029675</v>
      </c>
      <c r="M176" s="307">
        <v>18.343769271378569</v>
      </c>
      <c r="N176" s="307">
        <v>19.726581988133749</v>
      </c>
      <c r="O176" s="307">
        <v>18.739649290770988</v>
      </c>
      <c r="P176" s="307">
        <v>20.418501464008536</v>
      </c>
      <c r="Q176" s="660">
        <f t="shared" si="44"/>
        <v>206.0973010321529</v>
      </c>
    </row>
    <row r="177" spans="3:17" ht="20.100000000000001" customHeight="1">
      <c r="C177" s="658" t="s">
        <v>636</v>
      </c>
      <c r="D177" s="271"/>
      <c r="E177" s="659">
        <f>E178+E179+E180</f>
        <v>5.4999999999999997E-3</v>
      </c>
      <c r="F177" s="659">
        <f t="shared" ref="F177:P177" si="53">F178+F179+F180</f>
        <v>1.7599E-2</v>
      </c>
      <c r="G177" s="659">
        <f t="shared" si="53"/>
        <v>3.8330500000000003E-2</v>
      </c>
      <c r="H177" s="659">
        <f t="shared" si="53"/>
        <v>0.1340375</v>
      </c>
      <c r="I177" s="659">
        <f t="shared" si="53"/>
        <v>0.14451249999999999</v>
      </c>
      <c r="J177" s="659">
        <f t="shared" si="53"/>
        <v>0.28520000000000001</v>
      </c>
      <c r="K177" s="659">
        <f t="shared" si="53"/>
        <v>9.9053474223899041E-2</v>
      </c>
      <c r="L177" s="659">
        <f t="shared" si="53"/>
        <v>9.9367151201006088E-2</v>
      </c>
      <c r="M177" s="659">
        <f t="shared" si="53"/>
        <v>9.9680828178113134E-2</v>
      </c>
      <c r="N177" s="659">
        <f t="shared" si="53"/>
        <v>9.9994505155220195E-2</v>
      </c>
      <c r="O177" s="659">
        <f t="shared" si="53"/>
        <v>0.10030818213232724</v>
      </c>
      <c r="P177" s="659">
        <f t="shared" si="53"/>
        <v>0.1006218591094343</v>
      </c>
      <c r="Q177" s="660">
        <f t="shared" si="44"/>
        <v>1.2242055000000003</v>
      </c>
    </row>
    <row r="178" spans="3:17" ht="20.100000000000001" customHeight="1">
      <c r="C178" s="396" t="s">
        <v>637</v>
      </c>
      <c r="D178" s="271"/>
      <c r="E178" s="307">
        <v>5.4999999999999997E-3</v>
      </c>
      <c r="F178" s="307">
        <v>1.7599E-2</v>
      </c>
      <c r="G178" s="307">
        <v>3.8330500000000003E-2</v>
      </c>
      <c r="H178" s="307">
        <v>0.1340375</v>
      </c>
      <c r="I178" s="307">
        <v>0.14451249999999999</v>
      </c>
      <c r="J178" s="307">
        <v>0.28520000000000001</v>
      </c>
      <c r="K178" s="307">
        <v>9.9053474223899041E-2</v>
      </c>
      <c r="L178" s="307">
        <v>9.9367151201006088E-2</v>
      </c>
      <c r="M178" s="307">
        <v>9.9680828178113134E-2</v>
      </c>
      <c r="N178" s="307">
        <v>9.9994505155220195E-2</v>
      </c>
      <c r="O178" s="307">
        <v>0.10030818213232724</v>
      </c>
      <c r="P178" s="307">
        <v>0.1006218591094343</v>
      </c>
      <c r="Q178" s="660">
        <f t="shared" si="44"/>
        <v>1.2242055000000003</v>
      </c>
    </row>
    <row r="179" spans="3:17" ht="20.100000000000001" customHeight="1">
      <c r="C179" s="666" t="s">
        <v>687</v>
      </c>
      <c r="D179" s="271"/>
      <c r="E179" s="307">
        <v>0</v>
      </c>
      <c r="F179" s="307">
        <v>0</v>
      </c>
      <c r="G179" s="307">
        <v>0</v>
      </c>
      <c r="H179" s="307">
        <v>0</v>
      </c>
      <c r="I179" s="307">
        <v>0</v>
      </c>
      <c r="J179" s="307">
        <v>0</v>
      </c>
      <c r="K179" s="307">
        <v>0</v>
      </c>
      <c r="L179" s="307">
        <v>0</v>
      </c>
      <c r="M179" s="307">
        <v>0</v>
      </c>
      <c r="N179" s="307">
        <v>0</v>
      </c>
      <c r="O179" s="307">
        <v>0</v>
      </c>
      <c r="P179" s="307">
        <v>0</v>
      </c>
      <c r="Q179" s="660">
        <f t="shared" si="44"/>
        <v>0</v>
      </c>
    </row>
    <row r="180" spans="3:17" ht="20.100000000000001" customHeight="1">
      <c r="C180" s="396" t="s">
        <v>638</v>
      </c>
      <c r="D180" s="271"/>
      <c r="E180" s="307">
        <v>0</v>
      </c>
      <c r="F180" s="307">
        <v>0</v>
      </c>
      <c r="G180" s="307">
        <v>0</v>
      </c>
      <c r="H180" s="307">
        <v>0</v>
      </c>
      <c r="I180" s="307">
        <v>0</v>
      </c>
      <c r="J180" s="307">
        <v>0</v>
      </c>
      <c r="K180" s="307">
        <v>0</v>
      </c>
      <c r="L180" s="307">
        <v>0</v>
      </c>
      <c r="M180" s="307">
        <v>0</v>
      </c>
      <c r="N180" s="307">
        <v>0</v>
      </c>
      <c r="O180" s="307">
        <v>0</v>
      </c>
      <c r="P180" s="307">
        <v>0</v>
      </c>
      <c r="Q180" s="660">
        <f t="shared" si="44"/>
        <v>0</v>
      </c>
    </row>
    <row r="181" spans="3:17" ht="20.100000000000001" customHeight="1">
      <c r="C181" s="658" t="s">
        <v>639</v>
      </c>
      <c r="D181" s="271"/>
      <c r="E181" s="659">
        <f>E182+E183</f>
        <v>0.39408799999999999</v>
      </c>
      <c r="F181" s="659">
        <f t="shared" ref="F181:P181" si="54">F182+F183</f>
        <v>0.183535</v>
      </c>
      <c r="G181" s="659">
        <f t="shared" si="54"/>
        <v>5.4100500000000003E-2</v>
      </c>
      <c r="H181" s="659">
        <f t="shared" si="54"/>
        <v>0.358348</v>
      </c>
      <c r="I181" s="659">
        <f t="shared" si="54"/>
        <v>12.617169000000001</v>
      </c>
      <c r="J181" s="659">
        <f t="shared" si="54"/>
        <v>9.8674509999999991</v>
      </c>
      <c r="K181" s="659">
        <f t="shared" si="54"/>
        <v>12.989520874660684</v>
      </c>
      <c r="L181" s="659">
        <f t="shared" si="54"/>
        <v>8.6645175025163148</v>
      </c>
      <c r="M181" s="659">
        <f t="shared" si="54"/>
        <v>2.0128495725529976</v>
      </c>
      <c r="N181" s="659">
        <f t="shared" si="54"/>
        <v>0.95440327101068878</v>
      </c>
      <c r="O181" s="659">
        <f t="shared" si="54"/>
        <v>0.73520312155793544</v>
      </c>
      <c r="P181" s="659">
        <f t="shared" si="54"/>
        <v>0.3781457201329067</v>
      </c>
      <c r="Q181" s="660">
        <f t="shared" si="44"/>
        <v>49.209331562431522</v>
      </c>
    </row>
    <row r="182" spans="3:17" ht="20.100000000000001" customHeight="1">
      <c r="C182" s="396" t="s">
        <v>640</v>
      </c>
      <c r="D182" s="271"/>
      <c r="E182" s="307">
        <v>0</v>
      </c>
      <c r="F182" s="307">
        <v>0</v>
      </c>
      <c r="G182" s="307">
        <v>0</v>
      </c>
      <c r="H182" s="307">
        <v>0</v>
      </c>
      <c r="I182" s="307">
        <v>0</v>
      </c>
      <c r="J182" s="307">
        <v>0</v>
      </c>
      <c r="K182" s="307">
        <v>0</v>
      </c>
      <c r="L182" s="307">
        <v>0</v>
      </c>
      <c r="M182" s="307">
        <v>0</v>
      </c>
      <c r="N182" s="307">
        <v>0</v>
      </c>
      <c r="O182" s="307">
        <v>0</v>
      </c>
      <c r="P182" s="307">
        <v>0</v>
      </c>
      <c r="Q182" s="660">
        <f t="shared" si="44"/>
        <v>0</v>
      </c>
    </row>
    <row r="183" spans="3:17" ht="24" customHeight="1">
      <c r="C183" s="396" t="s">
        <v>641</v>
      </c>
      <c r="D183" s="271"/>
      <c r="E183" s="307">
        <v>0.39408799999999999</v>
      </c>
      <c r="F183" s="307">
        <v>0.183535</v>
      </c>
      <c r="G183" s="307">
        <v>5.4100500000000003E-2</v>
      </c>
      <c r="H183" s="307">
        <v>0.358348</v>
      </c>
      <c r="I183" s="307">
        <v>12.617169000000001</v>
      </c>
      <c r="J183" s="307">
        <v>9.8674509999999991</v>
      </c>
      <c r="K183" s="307">
        <v>12.989520874660684</v>
      </c>
      <c r="L183" s="307">
        <v>8.6645175025163148</v>
      </c>
      <c r="M183" s="307">
        <v>2.0128495725529976</v>
      </c>
      <c r="N183" s="307">
        <v>0.95440327101068878</v>
      </c>
      <c r="O183" s="307">
        <v>0.73520312155793544</v>
      </c>
      <c r="P183" s="307">
        <v>0.3781457201329067</v>
      </c>
      <c r="Q183" s="660">
        <f t="shared" si="44"/>
        <v>49.209331562431522</v>
      </c>
    </row>
    <row r="184" spans="3:17" ht="20.100000000000001" customHeight="1">
      <c r="C184" s="662" t="s">
        <v>604</v>
      </c>
      <c r="D184" s="663"/>
      <c r="E184" s="663">
        <f t="shared" ref="E184:P184" si="55">E185+E186+E193+E201+E206</f>
        <v>421.61531638860004</v>
      </c>
      <c r="F184" s="663">
        <f t="shared" si="55"/>
        <v>429.69705802999999</v>
      </c>
      <c r="G184" s="663">
        <f t="shared" si="55"/>
        <v>426.73028132999997</v>
      </c>
      <c r="H184" s="663">
        <f t="shared" si="55"/>
        <v>441.62113400000004</v>
      </c>
      <c r="I184" s="663">
        <f t="shared" si="55"/>
        <v>391.38304071600004</v>
      </c>
      <c r="J184" s="663">
        <f t="shared" si="55"/>
        <v>369.48425499999996</v>
      </c>
      <c r="K184" s="663">
        <f t="shared" si="55"/>
        <v>394.47728407369016</v>
      </c>
      <c r="L184" s="663">
        <f t="shared" si="55"/>
        <v>423.2191774293666</v>
      </c>
      <c r="M184" s="663">
        <f t="shared" si="55"/>
        <v>450.14390666470905</v>
      </c>
      <c r="N184" s="663">
        <f t="shared" si="55"/>
        <v>442.30023490352528</v>
      </c>
      <c r="O184" s="663">
        <f t="shared" si="55"/>
        <v>423.76612488183218</v>
      </c>
      <c r="P184" s="663">
        <f t="shared" si="55"/>
        <v>457.81563999144419</v>
      </c>
      <c r="Q184" s="664">
        <f t="shared" si="44"/>
        <v>5072.2534534091674</v>
      </c>
    </row>
    <row r="185" spans="3:17" ht="20.100000000000001" customHeight="1">
      <c r="C185" s="667" t="s">
        <v>633</v>
      </c>
      <c r="D185" s="271"/>
      <c r="E185" s="307">
        <v>0</v>
      </c>
      <c r="F185" s="307">
        <v>0</v>
      </c>
      <c r="G185" s="307">
        <v>0</v>
      </c>
      <c r="H185" s="307">
        <v>0</v>
      </c>
      <c r="I185" s="307">
        <v>0</v>
      </c>
      <c r="J185" s="307">
        <v>0</v>
      </c>
      <c r="K185" s="307">
        <v>0</v>
      </c>
      <c r="L185" s="307">
        <v>0</v>
      </c>
      <c r="M185" s="307">
        <v>0</v>
      </c>
      <c r="N185" s="307">
        <v>0</v>
      </c>
      <c r="O185" s="307">
        <v>0</v>
      </c>
      <c r="P185" s="307">
        <v>0</v>
      </c>
      <c r="Q185" s="660">
        <f t="shared" si="44"/>
        <v>0</v>
      </c>
    </row>
    <row r="186" spans="3:17" ht="20.100000000000001" customHeight="1">
      <c r="C186" s="658" t="s">
        <v>634</v>
      </c>
      <c r="D186" s="271"/>
      <c r="E186" s="659">
        <f>E187+E188+E189+E190+E191+E192</f>
        <v>2.5272000000000001</v>
      </c>
      <c r="F186" s="659">
        <f t="shared" ref="F186:P186" si="56">F187+F188+F189+F190+F191+F192</f>
        <v>2.9772759999999998</v>
      </c>
      <c r="G186" s="659">
        <f t="shared" si="56"/>
        <v>2.3608100000000003</v>
      </c>
      <c r="H186" s="659">
        <f t="shared" si="56"/>
        <v>2.345119</v>
      </c>
      <c r="I186" s="659">
        <f t="shared" si="56"/>
        <v>2.3197859999999997</v>
      </c>
      <c r="J186" s="659">
        <f t="shared" si="56"/>
        <v>2.1044350000000001</v>
      </c>
      <c r="K186" s="659">
        <f t="shared" si="56"/>
        <v>3.6826508007903063</v>
      </c>
      <c r="L186" s="659">
        <f t="shared" si="56"/>
        <v>2.4654264198452238</v>
      </c>
      <c r="M186" s="659">
        <f t="shared" si="56"/>
        <v>2.9251347246020507</v>
      </c>
      <c r="N186" s="659">
        <f t="shared" si="56"/>
        <v>2.9632588461307305</v>
      </c>
      <c r="O186" s="659">
        <f t="shared" si="56"/>
        <v>2.293271043943756</v>
      </c>
      <c r="P186" s="659">
        <f t="shared" si="56"/>
        <v>3.0097912031588359</v>
      </c>
      <c r="Q186" s="660">
        <f t="shared" si="44"/>
        <v>31.974159038470905</v>
      </c>
    </row>
    <row r="187" spans="3:17" ht="20.100000000000001" customHeight="1">
      <c r="C187" s="665" t="s">
        <v>986</v>
      </c>
      <c r="D187" s="271"/>
      <c r="E187" s="307">
        <v>1.9380360000000001</v>
      </c>
      <c r="F187" s="307">
        <v>2.0596969999999999</v>
      </c>
      <c r="G187" s="307">
        <v>1.7875290000000001</v>
      </c>
      <c r="H187" s="307">
        <v>1.7849220000000001</v>
      </c>
      <c r="I187" s="307">
        <v>1.7961069999999999</v>
      </c>
      <c r="J187" s="307">
        <v>1.6449959999999999</v>
      </c>
      <c r="K187" s="307">
        <v>2.9346303557423732</v>
      </c>
      <c r="L187" s="307">
        <v>1.9080788275290437</v>
      </c>
      <c r="M187" s="307">
        <v>2.3523005141416031</v>
      </c>
      <c r="N187" s="307">
        <v>2.3622054282484979</v>
      </c>
      <c r="O187" s="307">
        <v>1.7844675304495126</v>
      </c>
      <c r="P187" s="307">
        <v>2.3562460382788042</v>
      </c>
      <c r="Q187" s="660">
        <f t="shared" si="44"/>
        <v>24.709215694389833</v>
      </c>
    </row>
    <row r="188" spans="3:17" ht="20.100000000000001" customHeight="1">
      <c r="C188" s="665" t="s">
        <v>697</v>
      </c>
      <c r="D188" s="271"/>
      <c r="E188" s="307">
        <v>0.42236399999999996</v>
      </c>
      <c r="F188" s="307">
        <v>0.488479</v>
      </c>
      <c r="G188" s="307">
        <v>0.42788100000000001</v>
      </c>
      <c r="H188" s="307">
        <v>0.42389699999999997</v>
      </c>
      <c r="I188" s="307">
        <v>0.42377899999999996</v>
      </c>
      <c r="J188" s="307">
        <v>0.37503900000000001</v>
      </c>
      <c r="K188" s="307">
        <v>0.59479451247393811</v>
      </c>
      <c r="L188" s="307">
        <v>0.44529373479643475</v>
      </c>
      <c r="M188" s="307">
        <v>0.45873331323011185</v>
      </c>
      <c r="N188" s="307">
        <v>0.45444452662592416</v>
      </c>
      <c r="O188" s="307">
        <v>0.38447941879678599</v>
      </c>
      <c r="P188" s="307">
        <v>0.54025655108926018</v>
      </c>
      <c r="Q188" s="660">
        <f t="shared" si="44"/>
        <v>5.4394410570124547</v>
      </c>
    </row>
    <row r="189" spans="3:17" ht="20.100000000000001" customHeight="1">
      <c r="C189" s="665" t="s">
        <v>987</v>
      </c>
      <c r="D189" s="271"/>
      <c r="E189" s="307">
        <v>0</v>
      </c>
      <c r="F189" s="307">
        <v>0</v>
      </c>
      <c r="G189" s="307">
        <v>0</v>
      </c>
      <c r="H189" s="307">
        <v>0</v>
      </c>
      <c r="I189" s="307">
        <v>0</v>
      </c>
      <c r="J189" s="307">
        <v>0</v>
      </c>
      <c r="K189" s="307">
        <v>0</v>
      </c>
      <c r="L189" s="307">
        <v>0</v>
      </c>
      <c r="M189" s="307">
        <v>0</v>
      </c>
      <c r="N189" s="307">
        <v>0</v>
      </c>
      <c r="O189" s="307">
        <v>0</v>
      </c>
      <c r="P189" s="307">
        <v>0</v>
      </c>
      <c r="Q189" s="660">
        <f t="shared" si="44"/>
        <v>0</v>
      </c>
    </row>
    <row r="190" spans="3:17" ht="20.100000000000001" customHeight="1">
      <c r="C190" s="665" t="s">
        <v>683</v>
      </c>
      <c r="D190" s="271"/>
      <c r="E190" s="307">
        <v>0.1668</v>
      </c>
      <c r="F190" s="307">
        <v>0.42910000000000004</v>
      </c>
      <c r="G190" s="307">
        <v>0.1454</v>
      </c>
      <c r="H190" s="307">
        <v>0.1363</v>
      </c>
      <c r="I190" s="307">
        <v>9.9899999999999989E-2</v>
      </c>
      <c r="J190" s="307">
        <v>8.4399999999999989E-2</v>
      </c>
      <c r="K190" s="307">
        <v>0.15322593257399492</v>
      </c>
      <c r="L190" s="307">
        <v>0.11205385751974539</v>
      </c>
      <c r="M190" s="307">
        <v>0.11410089723033576</v>
      </c>
      <c r="N190" s="307">
        <v>0.14660889125630844</v>
      </c>
      <c r="O190" s="307">
        <v>0.12432409469745737</v>
      </c>
      <c r="P190" s="307">
        <v>0.11328861379077151</v>
      </c>
      <c r="Q190" s="660">
        <f t="shared" si="44"/>
        <v>1.8255022870686133</v>
      </c>
    </row>
    <row r="191" spans="3:17" ht="20.100000000000001" customHeight="1">
      <c r="C191" s="665" t="s">
        <v>684</v>
      </c>
      <c r="D191" s="271"/>
      <c r="E191" s="307">
        <v>0</v>
      </c>
      <c r="F191" s="307">
        <v>0</v>
      </c>
      <c r="G191" s="307">
        <v>0</v>
      </c>
      <c r="H191" s="307">
        <v>0</v>
      </c>
      <c r="I191" s="307">
        <v>0</v>
      </c>
      <c r="J191" s="307">
        <v>0</v>
      </c>
      <c r="K191" s="307">
        <v>0</v>
      </c>
      <c r="L191" s="307">
        <v>0</v>
      </c>
      <c r="M191" s="307">
        <v>0</v>
      </c>
      <c r="N191" s="307">
        <v>0</v>
      </c>
      <c r="O191" s="307">
        <v>0</v>
      </c>
      <c r="P191" s="307">
        <v>0</v>
      </c>
      <c r="Q191" s="660">
        <f t="shared" si="44"/>
        <v>0</v>
      </c>
    </row>
    <row r="192" spans="3:17" ht="24.75" customHeight="1">
      <c r="C192" s="665" t="s">
        <v>685</v>
      </c>
      <c r="D192" s="271"/>
      <c r="E192" s="307">
        <v>0</v>
      </c>
      <c r="F192" s="307">
        <v>0</v>
      </c>
      <c r="G192" s="307">
        <v>0</v>
      </c>
      <c r="H192" s="307">
        <v>0</v>
      </c>
      <c r="I192" s="307">
        <v>0</v>
      </c>
      <c r="J192" s="307">
        <v>0</v>
      </c>
      <c r="K192" s="307">
        <v>0</v>
      </c>
      <c r="L192" s="307">
        <v>0</v>
      </c>
      <c r="M192" s="307">
        <v>0</v>
      </c>
      <c r="N192" s="307">
        <v>0</v>
      </c>
      <c r="O192" s="307">
        <v>0</v>
      </c>
      <c r="P192" s="307">
        <v>0</v>
      </c>
      <c r="Q192" s="660">
        <f t="shared" si="44"/>
        <v>0</v>
      </c>
    </row>
    <row r="193" spans="3:17" ht="15" customHeight="1">
      <c r="C193" s="658" t="s">
        <v>635</v>
      </c>
      <c r="D193" s="271"/>
      <c r="E193" s="659">
        <f>E197+E195+E196+E198+E199+E200</f>
        <v>338.90435638860004</v>
      </c>
      <c r="F193" s="659">
        <f t="shared" ref="F193:P193" si="57">F197+F195+F196+F198+F199+F200</f>
        <v>341.87204102999999</v>
      </c>
      <c r="G193" s="659">
        <f t="shared" si="57"/>
        <v>350.66037632999996</v>
      </c>
      <c r="H193" s="659">
        <f t="shared" si="57"/>
        <v>359.48026600000003</v>
      </c>
      <c r="I193" s="659">
        <f t="shared" si="57"/>
        <v>310.64196471600002</v>
      </c>
      <c r="J193" s="659">
        <f t="shared" si="57"/>
        <v>291.90148899999997</v>
      </c>
      <c r="K193" s="659">
        <f t="shared" si="57"/>
        <v>312.09344364764809</v>
      </c>
      <c r="L193" s="659">
        <f t="shared" si="57"/>
        <v>342.89988226089747</v>
      </c>
      <c r="M193" s="659">
        <f t="shared" si="57"/>
        <v>365.89256146804081</v>
      </c>
      <c r="N193" s="659">
        <f t="shared" si="57"/>
        <v>353.36543723430714</v>
      </c>
      <c r="O193" s="659">
        <f t="shared" si="57"/>
        <v>341.01514781809033</v>
      </c>
      <c r="P193" s="659">
        <f t="shared" si="57"/>
        <v>369.29066593689072</v>
      </c>
      <c r="Q193" s="660">
        <f t="shared" si="44"/>
        <v>4078.0176318304748</v>
      </c>
    </row>
    <row r="194" spans="3:17" ht="15" customHeight="1">
      <c r="C194" s="658" t="s">
        <v>699</v>
      </c>
      <c r="D194" s="271"/>
      <c r="E194" s="659"/>
      <c r="F194" s="659"/>
      <c r="G194" s="659"/>
      <c r="H194" s="659"/>
      <c r="I194" s="659"/>
      <c r="J194" s="659"/>
      <c r="K194" s="659"/>
      <c r="L194" s="659"/>
      <c r="M194" s="659"/>
      <c r="N194" s="659"/>
      <c r="O194" s="659"/>
      <c r="P194" s="659"/>
      <c r="Q194" s="660"/>
    </row>
    <row r="195" spans="3:17" ht="15" customHeight="1">
      <c r="C195" s="665" t="s">
        <v>914</v>
      </c>
      <c r="D195" s="271"/>
      <c r="E195" s="307">
        <v>46.014933999999997</v>
      </c>
      <c r="F195" s="307">
        <v>45.822242000000003</v>
      </c>
      <c r="G195" s="307">
        <v>49.692865999999995</v>
      </c>
      <c r="H195" s="307">
        <v>52.637661999999999</v>
      </c>
      <c r="I195" s="307">
        <v>45.564066000000004</v>
      </c>
      <c r="J195" s="307">
        <v>41.515990000000002</v>
      </c>
      <c r="K195" s="307">
        <v>45.453482485711945</v>
      </c>
      <c r="L195" s="307">
        <v>46.7017558571264</v>
      </c>
      <c r="M195" s="307">
        <v>49.495373119853959</v>
      </c>
      <c r="N195" s="307">
        <v>47.604860701315516</v>
      </c>
      <c r="O195" s="307">
        <v>45.656051248558704</v>
      </c>
      <c r="P195" s="307">
        <v>50.311945267236624</v>
      </c>
      <c r="Q195" s="660">
        <f t="shared" si="44"/>
        <v>566.47122867980318</v>
      </c>
    </row>
    <row r="196" spans="3:17" ht="15" customHeight="1">
      <c r="C196" s="665" t="s">
        <v>915</v>
      </c>
      <c r="D196" s="271"/>
      <c r="E196" s="307">
        <v>64.739891</v>
      </c>
      <c r="F196" s="307">
        <v>68.421805000000006</v>
      </c>
      <c r="G196" s="307">
        <v>78.451717000000002</v>
      </c>
      <c r="H196" s="307">
        <v>80.632525999999999</v>
      </c>
      <c r="I196" s="307">
        <v>66.059766999999994</v>
      </c>
      <c r="J196" s="307">
        <v>59.958709999999996</v>
      </c>
      <c r="K196" s="307">
        <v>68.178831586123323</v>
      </c>
      <c r="L196" s="307">
        <v>62.062298361310511</v>
      </c>
      <c r="M196" s="307">
        <v>68.035141098070696</v>
      </c>
      <c r="N196" s="307">
        <v>64.495892814083859</v>
      </c>
      <c r="O196" s="307">
        <v>64.005767580757549</v>
      </c>
      <c r="P196" s="307">
        <v>69.833718620265358</v>
      </c>
      <c r="Q196" s="660">
        <f t="shared" si="44"/>
        <v>814.87606606061115</v>
      </c>
    </row>
    <row r="197" spans="3:17" ht="15" customHeight="1">
      <c r="C197" s="665" t="s">
        <v>916</v>
      </c>
      <c r="D197" s="271"/>
      <c r="E197" s="307">
        <v>16.5536213886</v>
      </c>
      <c r="F197" s="307">
        <v>20.458281029999998</v>
      </c>
      <c r="G197" s="307">
        <v>18.954742330000002</v>
      </c>
      <c r="H197" s="307">
        <v>27.957827999999999</v>
      </c>
      <c r="I197" s="307">
        <v>23.926586715999996</v>
      </c>
      <c r="J197" s="307">
        <v>17.966454000000002</v>
      </c>
      <c r="K197" s="307">
        <v>25.098304501265634</v>
      </c>
      <c r="L197" s="307">
        <v>23.69163490681531</v>
      </c>
      <c r="M197" s="307">
        <v>26.410759024748025</v>
      </c>
      <c r="N197" s="307">
        <v>19.925825888556844</v>
      </c>
      <c r="O197" s="307">
        <v>22.422626748583333</v>
      </c>
      <c r="P197" s="307">
        <v>26.346329904002229</v>
      </c>
      <c r="Q197" s="660">
        <f>SUM(E197:P197)</f>
        <v>269.71299443857134</v>
      </c>
    </row>
    <row r="198" spans="3:17" ht="15" customHeight="1">
      <c r="C198" s="665" t="s">
        <v>592</v>
      </c>
      <c r="D198" s="271"/>
      <c r="E198" s="307">
        <v>3.1845949999999998</v>
      </c>
      <c r="F198" s="307">
        <v>3.6743809999999999</v>
      </c>
      <c r="G198" s="307">
        <v>3.8192670000000004</v>
      </c>
      <c r="H198" s="307">
        <v>3.6806510000000001</v>
      </c>
      <c r="I198" s="307">
        <v>2.9417409999999999</v>
      </c>
      <c r="J198" s="307">
        <v>3.3421750000000001</v>
      </c>
      <c r="K198" s="307">
        <v>2.9965124218460484</v>
      </c>
      <c r="L198" s="307">
        <v>2.7577199635314553</v>
      </c>
      <c r="M198" s="307">
        <v>2.564698382327868</v>
      </c>
      <c r="N198" s="307">
        <v>2.584570010855419</v>
      </c>
      <c r="O198" s="307">
        <v>2.5744443097628902</v>
      </c>
      <c r="P198" s="307">
        <v>3.3095903208348418</v>
      </c>
      <c r="Q198" s="660">
        <f t="shared" ref="Q198:Q208" si="58">SUM(E198:P198)</f>
        <v>37.430345409158527</v>
      </c>
    </row>
    <row r="199" spans="3:17" ht="15" customHeight="1">
      <c r="C199" s="665" t="s">
        <v>702</v>
      </c>
      <c r="D199" s="271"/>
      <c r="E199" s="307">
        <v>0</v>
      </c>
      <c r="F199" s="307">
        <v>0</v>
      </c>
      <c r="G199" s="307">
        <v>0</v>
      </c>
      <c r="H199" s="307">
        <v>0</v>
      </c>
      <c r="I199" s="307">
        <v>0</v>
      </c>
      <c r="J199" s="307">
        <v>0</v>
      </c>
      <c r="K199" s="307">
        <v>0</v>
      </c>
      <c r="L199" s="307">
        <v>0</v>
      </c>
      <c r="M199" s="307">
        <v>0</v>
      </c>
      <c r="N199" s="307">
        <v>0</v>
      </c>
      <c r="O199" s="307">
        <v>0</v>
      </c>
      <c r="P199" s="307">
        <v>0</v>
      </c>
      <c r="Q199" s="660">
        <f t="shared" si="58"/>
        <v>0</v>
      </c>
    </row>
    <row r="200" spans="3:17" ht="15" customHeight="1">
      <c r="C200" s="665" t="s">
        <v>703</v>
      </c>
      <c r="D200" s="271"/>
      <c r="E200" s="307">
        <v>208.411315</v>
      </c>
      <c r="F200" s="307">
        <v>203.49533199999999</v>
      </c>
      <c r="G200" s="307">
        <v>199.741784</v>
      </c>
      <c r="H200" s="307">
        <v>194.57159900000002</v>
      </c>
      <c r="I200" s="307">
        <v>172.14980400000002</v>
      </c>
      <c r="J200" s="307">
        <v>169.11815999999999</v>
      </c>
      <c r="K200" s="307">
        <v>170.36631265270117</v>
      </c>
      <c r="L200" s="307">
        <v>207.68647317211378</v>
      </c>
      <c r="M200" s="307">
        <v>219.38658984304027</v>
      </c>
      <c r="N200" s="307">
        <v>218.75428781949552</v>
      </c>
      <c r="O200" s="307">
        <v>206.35625793042786</v>
      </c>
      <c r="P200" s="307">
        <v>219.48908182455165</v>
      </c>
      <c r="Q200" s="660">
        <f t="shared" si="58"/>
        <v>2389.5269972423307</v>
      </c>
    </row>
    <row r="201" spans="3:17" ht="15" customHeight="1">
      <c r="C201" s="658" t="s">
        <v>636</v>
      </c>
      <c r="D201" s="271"/>
      <c r="E201" s="659">
        <f>E202+E203+E204+E205</f>
        <v>80.183760000000007</v>
      </c>
      <c r="F201" s="659">
        <f t="shared" ref="F201:P201" si="59">F202+F203+F204+F205</f>
        <v>84.847740999999999</v>
      </c>
      <c r="G201" s="659">
        <f t="shared" si="59"/>
        <v>73.709094999999991</v>
      </c>
      <c r="H201" s="659">
        <f t="shared" si="59"/>
        <v>79.795749000000001</v>
      </c>
      <c r="I201" s="659">
        <f t="shared" si="59"/>
        <v>78.421289999999999</v>
      </c>
      <c r="J201" s="659">
        <f t="shared" si="59"/>
        <v>75.478330999999997</v>
      </c>
      <c r="K201" s="659">
        <f t="shared" si="59"/>
        <v>78.701189625251772</v>
      </c>
      <c r="L201" s="659">
        <f t="shared" si="59"/>
        <v>77.85386874862391</v>
      </c>
      <c r="M201" s="659">
        <f t="shared" si="59"/>
        <v>81.32621047206618</v>
      </c>
      <c r="N201" s="659">
        <f t="shared" si="59"/>
        <v>85.971538823087442</v>
      </c>
      <c r="O201" s="659">
        <f t="shared" si="59"/>
        <v>80.457706019798053</v>
      </c>
      <c r="P201" s="659">
        <f t="shared" si="59"/>
        <v>85.515182851394613</v>
      </c>
      <c r="Q201" s="660">
        <f t="shared" si="58"/>
        <v>962.26166254022189</v>
      </c>
    </row>
    <row r="202" spans="3:17" ht="15" customHeight="1">
      <c r="C202" s="396" t="s">
        <v>637</v>
      </c>
      <c r="D202" s="271"/>
      <c r="E202" s="307">
        <v>0</v>
      </c>
      <c r="F202" s="307">
        <v>0</v>
      </c>
      <c r="G202" s="307">
        <v>0</v>
      </c>
      <c r="H202" s="307">
        <v>0</v>
      </c>
      <c r="I202" s="307">
        <v>0</v>
      </c>
      <c r="J202" s="307">
        <v>0</v>
      </c>
      <c r="K202" s="307">
        <v>0</v>
      </c>
      <c r="L202" s="307">
        <v>0</v>
      </c>
      <c r="M202" s="307">
        <v>0</v>
      </c>
      <c r="N202" s="307">
        <v>0</v>
      </c>
      <c r="O202" s="307">
        <v>0</v>
      </c>
      <c r="P202" s="307">
        <v>0</v>
      </c>
      <c r="Q202" s="660">
        <f t="shared" si="58"/>
        <v>0</v>
      </c>
    </row>
    <row r="203" spans="3:17" ht="15" customHeight="1">
      <c r="C203" s="668" t="s">
        <v>687</v>
      </c>
      <c r="D203" s="271"/>
      <c r="E203" s="307">
        <v>0</v>
      </c>
      <c r="F203" s="307">
        <v>0</v>
      </c>
      <c r="G203" s="307">
        <v>0</v>
      </c>
      <c r="H203" s="307">
        <v>0</v>
      </c>
      <c r="I203" s="307">
        <v>0</v>
      </c>
      <c r="J203" s="307">
        <v>0</v>
      </c>
      <c r="K203" s="307">
        <v>0</v>
      </c>
      <c r="L203" s="307">
        <v>0</v>
      </c>
      <c r="M203" s="307">
        <v>0</v>
      </c>
      <c r="N203" s="307">
        <v>0</v>
      </c>
      <c r="O203" s="307">
        <v>0</v>
      </c>
      <c r="P203" s="307">
        <v>0</v>
      </c>
      <c r="Q203" s="660">
        <f t="shared" si="58"/>
        <v>0</v>
      </c>
    </row>
    <row r="204" spans="3:17" ht="15" customHeight="1">
      <c r="C204" s="396" t="s">
        <v>638</v>
      </c>
      <c r="D204" s="271"/>
      <c r="E204" s="307">
        <v>0</v>
      </c>
      <c r="F204" s="307">
        <v>0</v>
      </c>
      <c r="G204" s="307">
        <v>0</v>
      </c>
      <c r="H204" s="307">
        <v>0</v>
      </c>
      <c r="I204" s="307">
        <v>0</v>
      </c>
      <c r="J204" s="307">
        <v>0</v>
      </c>
      <c r="K204" s="307">
        <v>0</v>
      </c>
      <c r="L204" s="307">
        <v>0</v>
      </c>
      <c r="M204" s="307">
        <v>0</v>
      </c>
      <c r="N204" s="307">
        <v>0</v>
      </c>
      <c r="O204" s="307">
        <v>0</v>
      </c>
      <c r="P204" s="307">
        <v>0</v>
      </c>
      <c r="Q204" s="660">
        <f t="shared" si="58"/>
        <v>0</v>
      </c>
    </row>
    <row r="205" spans="3:17" ht="15" customHeight="1">
      <c r="C205" s="396" t="s">
        <v>642</v>
      </c>
      <c r="D205" s="271"/>
      <c r="E205" s="307">
        <v>80.183760000000007</v>
      </c>
      <c r="F205" s="307">
        <v>84.847740999999999</v>
      </c>
      <c r="G205" s="307">
        <v>73.709094999999991</v>
      </c>
      <c r="H205" s="307">
        <v>79.795749000000001</v>
      </c>
      <c r="I205" s="307">
        <v>78.421289999999999</v>
      </c>
      <c r="J205" s="307">
        <v>75.478330999999997</v>
      </c>
      <c r="K205" s="307">
        <v>78.701189625251772</v>
      </c>
      <c r="L205" s="307">
        <v>77.85386874862391</v>
      </c>
      <c r="M205" s="307">
        <v>81.32621047206618</v>
      </c>
      <c r="N205" s="307">
        <v>85.971538823087442</v>
      </c>
      <c r="O205" s="307">
        <v>80.457706019798053</v>
      </c>
      <c r="P205" s="307">
        <v>85.515182851394613</v>
      </c>
      <c r="Q205" s="660">
        <f t="shared" si="58"/>
        <v>962.26166254022189</v>
      </c>
    </row>
    <row r="206" spans="3:17" ht="15" customHeight="1">
      <c r="C206" s="658" t="s">
        <v>639</v>
      </c>
      <c r="D206" s="271"/>
      <c r="E206" s="659">
        <f>E207+E208</f>
        <v>0</v>
      </c>
      <c r="F206" s="659">
        <f t="shared" ref="F206:P206" si="60">F207+F208</f>
        <v>0</v>
      </c>
      <c r="G206" s="659">
        <f t="shared" si="60"/>
        <v>0</v>
      </c>
      <c r="H206" s="659">
        <f t="shared" si="60"/>
        <v>0</v>
      </c>
      <c r="I206" s="659">
        <f t="shared" si="60"/>
        <v>0</v>
      </c>
      <c r="J206" s="659">
        <f t="shared" si="60"/>
        <v>0</v>
      </c>
      <c r="K206" s="659">
        <f t="shared" si="60"/>
        <v>0</v>
      </c>
      <c r="L206" s="659">
        <f t="shared" si="60"/>
        <v>0</v>
      </c>
      <c r="M206" s="659">
        <f t="shared" si="60"/>
        <v>0</v>
      </c>
      <c r="N206" s="659">
        <f t="shared" si="60"/>
        <v>0</v>
      </c>
      <c r="O206" s="659">
        <f t="shared" si="60"/>
        <v>0</v>
      </c>
      <c r="P206" s="659">
        <f t="shared" si="60"/>
        <v>0</v>
      </c>
      <c r="Q206" s="660">
        <f t="shared" si="58"/>
        <v>0</v>
      </c>
    </row>
    <row r="207" spans="3:17" ht="15" customHeight="1">
      <c r="C207" s="396" t="s">
        <v>640</v>
      </c>
      <c r="D207" s="271"/>
      <c r="E207" s="307">
        <v>0</v>
      </c>
      <c r="F207" s="307">
        <v>0</v>
      </c>
      <c r="G207" s="307">
        <v>0</v>
      </c>
      <c r="H207" s="307">
        <v>0</v>
      </c>
      <c r="I207" s="307">
        <v>0</v>
      </c>
      <c r="J207" s="307">
        <v>0</v>
      </c>
      <c r="K207" s="307">
        <v>0</v>
      </c>
      <c r="L207" s="307">
        <v>0</v>
      </c>
      <c r="M207" s="307">
        <v>0</v>
      </c>
      <c r="N207" s="307">
        <v>0</v>
      </c>
      <c r="O207" s="307">
        <v>0</v>
      </c>
      <c r="P207" s="307">
        <v>0</v>
      </c>
      <c r="Q207" s="660">
        <f t="shared" si="58"/>
        <v>0</v>
      </c>
    </row>
    <row r="208" spans="3:17" ht="15" customHeight="1">
      <c r="C208" s="396" t="s">
        <v>641</v>
      </c>
      <c r="D208" s="271"/>
      <c r="E208" s="307">
        <v>0</v>
      </c>
      <c r="F208" s="307">
        <v>0</v>
      </c>
      <c r="G208" s="307">
        <v>0</v>
      </c>
      <c r="H208" s="307">
        <v>0</v>
      </c>
      <c r="I208" s="307">
        <v>0</v>
      </c>
      <c r="J208" s="307">
        <v>0</v>
      </c>
      <c r="K208" s="307">
        <v>0</v>
      </c>
      <c r="L208" s="307">
        <v>0</v>
      </c>
      <c r="M208" s="307">
        <v>0</v>
      </c>
      <c r="N208" s="307">
        <v>0</v>
      </c>
      <c r="O208" s="307">
        <v>0</v>
      </c>
      <c r="P208" s="307">
        <v>0</v>
      </c>
      <c r="Q208" s="660">
        <f t="shared" si="58"/>
        <v>0</v>
      </c>
    </row>
    <row r="209" spans="3:17" ht="15" customHeight="1">
      <c r="C209" s="662" t="s">
        <v>919</v>
      </c>
      <c r="D209" s="663"/>
      <c r="E209" s="663">
        <f t="shared" ref="E209:P209" si="61">E210+E211+E218+E226+E230</f>
        <v>271.65835429380002</v>
      </c>
      <c r="F209" s="663">
        <f t="shared" si="61"/>
        <v>271.88572884321002</v>
      </c>
      <c r="G209" s="663">
        <f t="shared" si="61"/>
        <v>269.32157917799003</v>
      </c>
      <c r="H209" s="663">
        <f t="shared" si="61"/>
        <v>268.14537540258999</v>
      </c>
      <c r="I209" s="663">
        <f t="shared" si="61"/>
        <v>292.92986100000002</v>
      </c>
      <c r="J209" s="663">
        <f t="shared" si="61"/>
        <v>310.50083599999999</v>
      </c>
      <c r="K209" s="663">
        <f t="shared" si="61"/>
        <v>343.3473338622963</v>
      </c>
      <c r="L209" s="663">
        <f t="shared" si="61"/>
        <v>336.82126046313749</v>
      </c>
      <c r="M209" s="663">
        <f t="shared" si="61"/>
        <v>297.22645225388203</v>
      </c>
      <c r="N209" s="663">
        <f t="shared" si="61"/>
        <v>300.02520023421738</v>
      </c>
      <c r="O209" s="663">
        <f t="shared" si="61"/>
        <v>269.02286936044567</v>
      </c>
      <c r="P209" s="663">
        <f t="shared" si="61"/>
        <v>304.26577626284427</v>
      </c>
      <c r="Q209" s="664">
        <f t="shared" ref="Q209:Q221" si="62">SUM(E209:P209)</f>
        <v>3535.1506271544131</v>
      </c>
    </row>
    <row r="210" spans="3:17" ht="15" customHeight="1">
      <c r="C210" s="667" t="s">
        <v>633</v>
      </c>
      <c r="D210" s="271"/>
      <c r="E210" s="307">
        <v>0</v>
      </c>
      <c r="F210" s="307">
        <v>0</v>
      </c>
      <c r="G210" s="307">
        <v>0</v>
      </c>
      <c r="H210" s="307">
        <v>0</v>
      </c>
      <c r="I210" s="307">
        <v>0</v>
      </c>
      <c r="J210" s="307">
        <v>0</v>
      </c>
      <c r="K210" s="307">
        <v>0</v>
      </c>
      <c r="L210" s="307">
        <v>0</v>
      </c>
      <c r="M210" s="307">
        <v>0</v>
      </c>
      <c r="N210" s="307">
        <v>0</v>
      </c>
      <c r="O210" s="307">
        <v>0</v>
      </c>
      <c r="P210" s="307">
        <v>0</v>
      </c>
      <c r="Q210" s="660">
        <f t="shared" si="62"/>
        <v>0</v>
      </c>
    </row>
    <row r="211" spans="3:17" ht="15" customHeight="1">
      <c r="C211" s="658" t="s">
        <v>634</v>
      </c>
      <c r="D211" s="271"/>
      <c r="E211" s="659">
        <f>E212+E213+E214+E215+E216+E217</f>
        <v>18.122444293800001</v>
      </c>
      <c r="F211" s="659">
        <f t="shared" ref="F211:P211" si="63">F212+F213+F214+F215+F216+F217</f>
        <v>19.636268843210004</v>
      </c>
      <c r="G211" s="659">
        <f t="shared" si="63"/>
        <v>20.119009177990002</v>
      </c>
      <c r="H211" s="659">
        <f t="shared" si="63"/>
        <v>20.463675402589995</v>
      </c>
      <c r="I211" s="659">
        <f t="shared" si="63"/>
        <v>4.0399909999999997</v>
      </c>
      <c r="J211" s="659">
        <f t="shared" si="63"/>
        <v>4.6170559999999998</v>
      </c>
      <c r="K211" s="659">
        <f t="shared" si="63"/>
        <v>4.8230800463056918</v>
      </c>
      <c r="L211" s="659">
        <f t="shared" si="63"/>
        <v>7.3301613260033385</v>
      </c>
      <c r="M211" s="659">
        <f t="shared" si="63"/>
        <v>9.5158739376060737</v>
      </c>
      <c r="N211" s="659">
        <f t="shared" si="63"/>
        <v>10.355357483575458</v>
      </c>
      <c r="O211" s="659">
        <f t="shared" si="63"/>
        <v>9.5966716434641466</v>
      </c>
      <c r="P211" s="659">
        <f t="shared" si="63"/>
        <v>10.687741443862279</v>
      </c>
      <c r="Q211" s="660">
        <f t="shared" si="62"/>
        <v>139.30733059840699</v>
      </c>
    </row>
    <row r="212" spans="3:17" ht="15" customHeight="1">
      <c r="C212" s="665" t="s">
        <v>986</v>
      </c>
      <c r="D212" s="271"/>
      <c r="E212" s="307">
        <v>14.9123282938</v>
      </c>
      <c r="F212" s="307">
        <v>16.213099843210003</v>
      </c>
      <c r="G212" s="307">
        <v>16.61921817799</v>
      </c>
      <c r="H212" s="307">
        <v>16.785533402589998</v>
      </c>
      <c r="I212" s="307">
        <v>3.2654990000000002</v>
      </c>
      <c r="J212" s="307">
        <v>3.40333</v>
      </c>
      <c r="K212" s="307">
        <v>3.4926014770484284</v>
      </c>
      <c r="L212" s="307">
        <v>5.7931401243787493</v>
      </c>
      <c r="M212" s="307">
        <v>6.4780420986546039</v>
      </c>
      <c r="N212" s="307">
        <v>7.2130054541571234</v>
      </c>
      <c r="O212" s="307">
        <v>7.4763492234682918</v>
      </c>
      <c r="P212" s="307">
        <v>8.7384064465959206</v>
      </c>
      <c r="Q212" s="660">
        <f t="shared" si="62"/>
        <v>110.39055354189311</v>
      </c>
    </row>
    <row r="213" spans="3:17" ht="15" customHeight="1">
      <c r="C213" s="665" t="s">
        <v>697</v>
      </c>
      <c r="D213" s="271"/>
      <c r="E213" s="307">
        <v>3.1341159999999997</v>
      </c>
      <c r="F213" s="307">
        <v>3.3001689999999999</v>
      </c>
      <c r="G213" s="307">
        <v>3.4697909999999998</v>
      </c>
      <c r="H213" s="307">
        <v>3.5051419999999998</v>
      </c>
      <c r="I213" s="307">
        <v>0.75649199999999994</v>
      </c>
      <c r="J213" s="307">
        <v>0.741726</v>
      </c>
      <c r="K213" s="307">
        <v>1.1433411367718376</v>
      </c>
      <c r="L213" s="307">
        <v>1.2473333994282712</v>
      </c>
      <c r="M213" s="307">
        <v>1.4254414146354848</v>
      </c>
      <c r="N213" s="307">
        <v>1.5348782350960324</v>
      </c>
      <c r="O213" s="307">
        <v>1.5779484197902882</v>
      </c>
      <c r="P213" s="307">
        <v>1.8428784507919576</v>
      </c>
      <c r="Q213" s="660">
        <f t="shared" si="62"/>
        <v>23.679257056513869</v>
      </c>
    </row>
    <row r="214" spans="3:17" ht="15" customHeight="1">
      <c r="C214" s="665" t="s">
        <v>987</v>
      </c>
      <c r="D214" s="271"/>
      <c r="E214" s="307">
        <v>0</v>
      </c>
      <c r="F214" s="307">
        <v>0</v>
      </c>
      <c r="G214" s="307">
        <v>0</v>
      </c>
      <c r="H214" s="307">
        <v>0</v>
      </c>
      <c r="I214" s="307">
        <v>0</v>
      </c>
      <c r="J214" s="307">
        <v>0</v>
      </c>
      <c r="K214" s="307">
        <v>0</v>
      </c>
      <c r="L214" s="307">
        <v>0</v>
      </c>
      <c r="M214" s="307">
        <v>0</v>
      </c>
      <c r="N214" s="307">
        <v>0</v>
      </c>
      <c r="O214" s="307">
        <v>0</v>
      </c>
      <c r="P214" s="307">
        <v>0</v>
      </c>
      <c r="Q214" s="660">
        <f t="shared" si="62"/>
        <v>0</v>
      </c>
    </row>
    <row r="215" spans="3:17" ht="15" customHeight="1">
      <c r="C215" s="665" t="s">
        <v>683</v>
      </c>
      <c r="D215" s="271"/>
      <c r="E215" s="307">
        <v>7.5999999999999998E-2</v>
      </c>
      <c r="F215" s="307">
        <v>0.123</v>
      </c>
      <c r="G215" s="307">
        <v>3.0000000000000002E-2</v>
      </c>
      <c r="H215" s="307">
        <v>0.17300000000000001</v>
      </c>
      <c r="I215" s="307">
        <v>1.7999999999999999E-2</v>
      </c>
      <c r="J215" s="307">
        <v>0.47199999999999998</v>
      </c>
      <c r="K215" s="307">
        <v>0.18713743248542586</v>
      </c>
      <c r="L215" s="307">
        <v>0.2896878021963184</v>
      </c>
      <c r="M215" s="307">
        <v>1.6123904243159846</v>
      </c>
      <c r="N215" s="307">
        <v>1.6074737943223034</v>
      </c>
      <c r="O215" s="307">
        <v>0.54237400020556548</v>
      </c>
      <c r="P215" s="307">
        <v>0.10645654647440181</v>
      </c>
      <c r="Q215" s="660">
        <f t="shared" si="62"/>
        <v>5.23752</v>
      </c>
    </row>
    <row r="216" spans="3:17" ht="15" customHeight="1">
      <c r="C216" s="665" t="s">
        <v>684</v>
      </c>
      <c r="D216" s="271"/>
      <c r="E216" s="307">
        <v>0</v>
      </c>
      <c r="F216" s="307">
        <v>0</v>
      </c>
      <c r="G216" s="307">
        <v>0</v>
      </c>
      <c r="H216" s="307">
        <v>0</v>
      </c>
      <c r="I216" s="307">
        <v>0</v>
      </c>
      <c r="J216" s="307">
        <v>0</v>
      </c>
      <c r="K216" s="307">
        <v>0</v>
      </c>
      <c r="L216" s="307">
        <v>0</v>
      </c>
      <c r="M216" s="307">
        <v>0</v>
      </c>
      <c r="N216" s="307">
        <v>0</v>
      </c>
      <c r="O216" s="307">
        <v>0</v>
      </c>
      <c r="P216" s="307">
        <v>0</v>
      </c>
      <c r="Q216" s="660">
        <f t="shared" si="62"/>
        <v>0</v>
      </c>
    </row>
    <row r="217" spans="3:17" ht="15" customHeight="1">
      <c r="C217" s="665" t="s">
        <v>685</v>
      </c>
      <c r="D217" s="271"/>
      <c r="E217" s="307">
        <v>0</v>
      </c>
      <c r="F217" s="307">
        <v>0</v>
      </c>
      <c r="G217" s="307">
        <v>0</v>
      </c>
      <c r="H217" s="307">
        <v>0</v>
      </c>
      <c r="I217" s="307">
        <v>0</v>
      </c>
      <c r="J217" s="307">
        <v>0</v>
      </c>
      <c r="K217" s="307">
        <v>0</v>
      </c>
      <c r="L217" s="307">
        <v>0</v>
      </c>
      <c r="M217" s="307">
        <v>0</v>
      </c>
      <c r="N217" s="307">
        <v>0</v>
      </c>
      <c r="O217" s="307">
        <v>0</v>
      </c>
      <c r="P217" s="307">
        <v>0</v>
      </c>
      <c r="Q217" s="660">
        <f t="shared" si="62"/>
        <v>0</v>
      </c>
    </row>
    <row r="218" spans="3:17" ht="15" customHeight="1">
      <c r="C218" s="658" t="s">
        <v>635</v>
      </c>
      <c r="D218" s="271"/>
      <c r="E218" s="659">
        <f>E222+E220+E221+E223+E224+E225</f>
        <v>253.4025</v>
      </c>
      <c r="F218" s="659">
        <f t="shared" ref="F218:P218" si="64">F222+F220+F221+F223+F224+F225</f>
        <v>252.089</v>
      </c>
      <c r="G218" s="659">
        <f t="shared" si="64"/>
        <v>249.04160000000002</v>
      </c>
      <c r="H218" s="659">
        <f t="shared" si="64"/>
        <v>246.48319999999998</v>
      </c>
      <c r="I218" s="659">
        <f t="shared" si="64"/>
        <v>252.57259999999999</v>
      </c>
      <c r="J218" s="659">
        <f t="shared" si="64"/>
        <v>243.35469999999998</v>
      </c>
      <c r="K218" s="659">
        <f t="shared" si="64"/>
        <v>272.43194381599062</v>
      </c>
      <c r="L218" s="659">
        <f t="shared" si="64"/>
        <v>275.027548299393</v>
      </c>
      <c r="M218" s="659">
        <f t="shared" si="64"/>
        <v>285.49541467134173</v>
      </c>
      <c r="N218" s="659">
        <f t="shared" si="64"/>
        <v>289.30460090785795</v>
      </c>
      <c r="O218" s="659">
        <f t="shared" si="64"/>
        <v>259.04504011551586</v>
      </c>
      <c r="P218" s="659">
        <f t="shared" si="64"/>
        <v>293.19342127095189</v>
      </c>
      <c r="Q218" s="660">
        <f t="shared" si="62"/>
        <v>3171.4415690810511</v>
      </c>
    </row>
    <row r="219" spans="3:17" ht="15" customHeight="1">
      <c r="C219" s="658" t="s">
        <v>699</v>
      </c>
      <c r="D219" s="271"/>
      <c r="E219" s="659"/>
      <c r="F219" s="659"/>
      <c r="G219" s="659"/>
      <c r="H219" s="659"/>
      <c r="I219" s="659"/>
      <c r="J219" s="659"/>
      <c r="K219" s="659"/>
      <c r="L219" s="659"/>
      <c r="M219" s="659"/>
      <c r="N219" s="659"/>
      <c r="O219" s="659"/>
      <c r="P219" s="659"/>
      <c r="Q219" s="660"/>
    </row>
    <row r="220" spans="3:17" ht="15" customHeight="1">
      <c r="C220" s="665" t="s">
        <v>914</v>
      </c>
      <c r="D220" s="271"/>
      <c r="E220" s="307">
        <v>35.950000000000003</v>
      </c>
      <c r="F220" s="307">
        <v>33.688400000000001</v>
      </c>
      <c r="G220" s="307">
        <v>36.698399999999999</v>
      </c>
      <c r="H220" s="307">
        <v>36.848799999999997</v>
      </c>
      <c r="I220" s="307">
        <v>43.764000000000003</v>
      </c>
      <c r="J220" s="307">
        <v>41.422800000000002</v>
      </c>
      <c r="K220" s="307">
        <v>36.485766262511888</v>
      </c>
      <c r="L220" s="307">
        <v>37.758651821483447</v>
      </c>
      <c r="M220" s="307">
        <v>42.799336551373699</v>
      </c>
      <c r="N220" s="307">
        <v>41.697386272240337</v>
      </c>
      <c r="O220" s="307">
        <v>34.49957085359744</v>
      </c>
      <c r="P220" s="307">
        <v>39.664884238793185</v>
      </c>
      <c r="Q220" s="660">
        <f t="shared" si="62"/>
        <v>461.27799600000009</v>
      </c>
    </row>
    <row r="221" spans="3:17" ht="15" customHeight="1">
      <c r="C221" s="665" t="s">
        <v>915</v>
      </c>
      <c r="D221" s="271"/>
      <c r="E221" s="307">
        <v>48.230761000000001</v>
      </c>
      <c r="F221" s="307">
        <v>44.835163999999999</v>
      </c>
      <c r="G221" s="307">
        <v>49.517699</v>
      </c>
      <c r="H221" s="307">
        <v>50.902973000000003</v>
      </c>
      <c r="I221" s="307">
        <v>60.369193000000003</v>
      </c>
      <c r="J221" s="307">
        <v>55.928837999999999</v>
      </c>
      <c r="K221" s="307">
        <v>51.394491785711452</v>
      </c>
      <c r="L221" s="307">
        <v>51.606020748410003</v>
      </c>
      <c r="M221" s="307">
        <v>57.172728270145249</v>
      </c>
      <c r="N221" s="307">
        <v>55.763283252279223</v>
      </c>
      <c r="O221" s="307">
        <v>46.57647723313891</v>
      </c>
      <c r="P221" s="307">
        <v>53.662545670315275</v>
      </c>
      <c r="Q221" s="660">
        <f t="shared" si="62"/>
        <v>625.96017496000002</v>
      </c>
    </row>
    <row r="222" spans="3:17" ht="15" customHeight="1">
      <c r="C222" s="665" t="s">
        <v>916</v>
      </c>
      <c r="D222" s="271"/>
      <c r="E222" s="307">
        <v>16.541139000000001</v>
      </c>
      <c r="F222" s="307">
        <v>15.051335999999999</v>
      </c>
      <c r="G222" s="307">
        <v>14.503076</v>
      </c>
      <c r="H222" s="307">
        <v>17.922127</v>
      </c>
      <c r="I222" s="307">
        <v>21.723682</v>
      </c>
      <c r="J222" s="307">
        <v>21.492737000000002</v>
      </c>
      <c r="K222" s="307">
        <v>20.047198041451384</v>
      </c>
      <c r="L222" s="307">
        <v>22.656451611531811</v>
      </c>
      <c r="M222" s="307">
        <v>20.68880264956011</v>
      </c>
      <c r="N222" s="307">
        <v>18.595225372210024</v>
      </c>
      <c r="O222" s="307">
        <v>15.193026533239887</v>
      </c>
      <c r="P222" s="307">
        <v>17.326736832006763</v>
      </c>
      <c r="Q222" s="660">
        <f>SUM(E222:P222)</f>
        <v>221.74153803999997</v>
      </c>
    </row>
    <row r="223" spans="3:17" ht="15" customHeight="1">
      <c r="C223" s="665" t="s">
        <v>592</v>
      </c>
      <c r="D223" s="271"/>
      <c r="E223" s="307">
        <v>3.6825000000000001</v>
      </c>
      <c r="F223" s="307">
        <v>4.0754999999999999</v>
      </c>
      <c r="G223" s="307">
        <v>4.5336249999999998</v>
      </c>
      <c r="H223" s="307">
        <v>3.6385000000000001</v>
      </c>
      <c r="I223" s="307">
        <v>3.8231250000000001</v>
      </c>
      <c r="J223" s="307">
        <v>3.4556249999999999</v>
      </c>
      <c r="K223" s="307">
        <v>3.275168527613399</v>
      </c>
      <c r="L223" s="307">
        <v>2.6922319866240816</v>
      </c>
      <c r="M223" s="307">
        <v>2.4228777866583839</v>
      </c>
      <c r="N223" s="307">
        <v>2.2549901045414282</v>
      </c>
      <c r="O223" s="307">
        <v>2.2346289170524267</v>
      </c>
      <c r="P223" s="307">
        <v>3.0601621923909996</v>
      </c>
      <c r="Q223" s="660">
        <f t="shared" ref="Q223:Q232" si="65">SUM(E223:P223)</f>
        <v>39.148934514880715</v>
      </c>
    </row>
    <row r="224" spans="3:17" ht="15" customHeight="1">
      <c r="C224" s="665" t="s">
        <v>702</v>
      </c>
      <c r="D224" s="271"/>
      <c r="E224" s="307">
        <v>0</v>
      </c>
      <c r="F224" s="307">
        <v>0</v>
      </c>
      <c r="G224" s="307">
        <v>0</v>
      </c>
      <c r="H224" s="307">
        <v>0</v>
      </c>
      <c r="I224" s="307">
        <v>0</v>
      </c>
      <c r="J224" s="307">
        <v>0</v>
      </c>
      <c r="K224" s="307">
        <v>0</v>
      </c>
      <c r="L224" s="307">
        <v>0</v>
      </c>
      <c r="M224" s="307">
        <v>0</v>
      </c>
      <c r="N224" s="307">
        <v>0</v>
      </c>
      <c r="O224" s="307">
        <v>0</v>
      </c>
      <c r="P224" s="307">
        <v>0</v>
      </c>
      <c r="Q224" s="660">
        <f t="shared" si="65"/>
        <v>0</v>
      </c>
    </row>
    <row r="225" spans="3:18" ht="15" customHeight="1">
      <c r="C225" s="665" t="s">
        <v>703</v>
      </c>
      <c r="D225" s="271"/>
      <c r="E225" s="307">
        <v>148.99809999999999</v>
      </c>
      <c r="F225" s="307">
        <v>154.43860000000001</v>
      </c>
      <c r="G225" s="307">
        <v>143.78880000000001</v>
      </c>
      <c r="H225" s="307">
        <v>137.17079999999999</v>
      </c>
      <c r="I225" s="307">
        <v>122.89259999999999</v>
      </c>
      <c r="J225" s="307">
        <v>121.0547</v>
      </c>
      <c r="K225" s="307">
        <v>161.22931919870251</v>
      </c>
      <c r="L225" s="307">
        <v>160.31419213134365</v>
      </c>
      <c r="M225" s="307">
        <v>162.4116694136043</v>
      </c>
      <c r="N225" s="307">
        <v>170.99371590658694</v>
      </c>
      <c r="O225" s="307">
        <v>160.54133657848718</v>
      </c>
      <c r="P225" s="307">
        <v>179.47909233744565</v>
      </c>
      <c r="Q225" s="660">
        <f t="shared" si="65"/>
        <v>1823.3129255661702</v>
      </c>
    </row>
    <row r="226" spans="3:18" ht="15" customHeight="1">
      <c r="C226" s="658" t="s">
        <v>636</v>
      </c>
      <c r="D226" s="271"/>
      <c r="E226" s="659">
        <f>E227+E228+E229</f>
        <v>0</v>
      </c>
      <c r="F226" s="659">
        <f t="shared" ref="F226:P226" si="66">F227+F228+F229</f>
        <v>0</v>
      </c>
      <c r="G226" s="659">
        <f t="shared" si="66"/>
        <v>0</v>
      </c>
      <c r="H226" s="659">
        <f t="shared" si="66"/>
        <v>0</v>
      </c>
      <c r="I226" s="659">
        <f t="shared" si="66"/>
        <v>0</v>
      </c>
      <c r="J226" s="659">
        <f t="shared" si="66"/>
        <v>0</v>
      </c>
      <c r="K226" s="659">
        <f t="shared" si="66"/>
        <v>0</v>
      </c>
      <c r="L226" s="659">
        <f t="shared" si="66"/>
        <v>0</v>
      </c>
      <c r="M226" s="659">
        <f t="shared" si="66"/>
        <v>0</v>
      </c>
      <c r="N226" s="659">
        <f t="shared" si="66"/>
        <v>0</v>
      </c>
      <c r="O226" s="659">
        <f t="shared" si="66"/>
        <v>0</v>
      </c>
      <c r="P226" s="659">
        <f t="shared" si="66"/>
        <v>0</v>
      </c>
      <c r="Q226" s="660">
        <f t="shared" si="65"/>
        <v>0</v>
      </c>
    </row>
    <row r="227" spans="3:18" ht="15" customHeight="1">
      <c r="C227" s="396" t="s">
        <v>637</v>
      </c>
      <c r="D227" s="271"/>
      <c r="E227" s="307">
        <v>0</v>
      </c>
      <c r="F227" s="307">
        <v>0</v>
      </c>
      <c r="G227" s="307">
        <v>0</v>
      </c>
      <c r="H227" s="307">
        <v>0</v>
      </c>
      <c r="I227" s="307">
        <v>0</v>
      </c>
      <c r="J227" s="307">
        <v>0</v>
      </c>
      <c r="K227" s="307">
        <v>0</v>
      </c>
      <c r="L227" s="307">
        <v>0</v>
      </c>
      <c r="M227" s="307">
        <v>0</v>
      </c>
      <c r="N227" s="307">
        <v>0</v>
      </c>
      <c r="O227" s="307">
        <v>0</v>
      </c>
      <c r="P227" s="307">
        <v>0</v>
      </c>
      <c r="Q227" s="660">
        <f t="shared" si="65"/>
        <v>0</v>
      </c>
    </row>
    <row r="228" spans="3:18" ht="15" customHeight="1">
      <c r="C228" s="668" t="s">
        <v>687</v>
      </c>
      <c r="D228" s="271"/>
      <c r="E228" s="307">
        <v>0</v>
      </c>
      <c r="F228" s="307">
        <v>0</v>
      </c>
      <c r="G228" s="307">
        <v>0</v>
      </c>
      <c r="H228" s="307">
        <v>0</v>
      </c>
      <c r="I228" s="307">
        <v>0</v>
      </c>
      <c r="J228" s="307">
        <v>0</v>
      </c>
      <c r="K228" s="307">
        <v>0</v>
      </c>
      <c r="L228" s="307">
        <v>0</v>
      </c>
      <c r="M228" s="307">
        <v>0</v>
      </c>
      <c r="N228" s="307">
        <v>0</v>
      </c>
      <c r="O228" s="307">
        <v>0</v>
      </c>
      <c r="P228" s="307">
        <v>0</v>
      </c>
      <c r="Q228" s="660">
        <f t="shared" si="65"/>
        <v>0</v>
      </c>
    </row>
    <row r="229" spans="3:18" ht="15" customHeight="1">
      <c r="C229" s="396" t="s">
        <v>638</v>
      </c>
      <c r="D229" s="271"/>
      <c r="E229" s="307">
        <v>0</v>
      </c>
      <c r="F229" s="307">
        <v>0</v>
      </c>
      <c r="G229" s="307">
        <v>0</v>
      </c>
      <c r="H229" s="307">
        <v>0</v>
      </c>
      <c r="I229" s="307">
        <v>0</v>
      </c>
      <c r="J229" s="307">
        <v>0</v>
      </c>
      <c r="K229" s="307">
        <v>0</v>
      </c>
      <c r="L229" s="307">
        <v>0</v>
      </c>
      <c r="M229" s="307">
        <v>0</v>
      </c>
      <c r="N229" s="307">
        <v>0</v>
      </c>
      <c r="O229" s="307">
        <v>0</v>
      </c>
      <c r="P229" s="307">
        <v>0</v>
      </c>
      <c r="Q229" s="660">
        <f t="shared" si="65"/>
        <v>0</v>
      </c>
    </row>
    <row r="230" spans="3:18" ht="15" customHeight="1">
      <c r="C230" s="658" t="s">
        <v>639</v>
      </c>
      <c r="D230" s="271"/>
      <c r="E230" s="659">
        <f>E231+E232</f>
        <v>0.13341</v>
      </c>
      <c r="F230" s="659">
        <f t="shared" ref="F230:P230" si="67">F231+F232</f>
        <v>0.16045999999999999</v>
      </c>
      <c r="G230" s="659">
        <f t="shared" si="67"/>
        <v>0.16097</v>
      </c>
      <c r="H230" s="659">
        <f t="shared" si="67"/>
        <v>1.1984999999999999</v>
      </c>
      <c r="I230" s="659">
        <f t="shared" si="67"/>
        <v>36.317270000000001</v>
      </c>
      <c r="J230" s="659">
        <f t="shared" si="67"/>
        <v>62.52908</v>
      </c>
      <c r="K230" s="659">
        <f t="shared" si="67"/>
        <v>66.092309999999998</v>
      </c>
      <c r="L230" s="659">
        <f t="shared" si="67"/>
        <v>54.463550837741145</v>
      </c>
      <c r="M230" s="659">
        <f t="shared" si="67"/>
        <v>2.2151636449342789</v>
      </c>
      <c r="N230" s="659">
        <f t="shared" si="67"/>
        <v>0.36524184278394506</v>
      </c>
      <c r="O230" s="659">
        <f t="shared" si="67"/>
        <v>0.38115760146563971</v>
      </c>
      <c r="P230" s="659">
        <f t="shared" si="67"/>
        <v>0.38461354803007275</v>
      </c>
      <c r="Q230" s="660">
        <f t="shared" si="65"/>
        <v>224.40172747495507</v>
      </c>
    </row>
    <row r="231" spans="3:18" ht="15" customHeight="1">
      <c r="C231" s="396" t="s">
        <v>640</v>
      </c>
      <c r="D231" s="271"/>
      <c r="E231" s="307">
        <v>0</v>
      </c>
      <c r="F231" s="307">
        <v>0</v>
      </c>
      <c r="G231" s="307">
        <v>0</v>
      </c>
      <c r="H231" s="307">
        <v>0</v>
      </c>
      <c r="I231" s="307">
        <v>0</v>
      </c>
      <c r="J231" s="307">
        <v>0</v>
      </c>
      <c r="K231" s="307">
        <v>0</v>
      </c>
      <c r="L231" s="307">
        <v>0</v>
      </c>
      <c r="M231" s="307">
        <v>0</v>
      </c>
      <c r="N231" s="307">
        <v>0</v>
      </c>
      <c r="O231" s="307">
        <v>0</v>
      </c>
      <c r="P231" s="307">
        <v>0</v>
      </c>
      <c r="Q231" s="660">
        <f t="shared" si="65"/>
        <v>0</v>
      </c>
    </row>
    <row r="232" spans="3:18" ht="15" customHeight="1">
      <c r="C232" s="396" t="s">
        <v>641</v>
      </c>
      <c r="D232" s="271"/>
      <c r="E232" s="307">
        <v>0.13341</v>
      </c>
      <c r="F232" s="307">
        <v>0.16045999999999999</v>
      </c>
      <c r="G232" s="307">
        <v>0.16097</v>
      </c>
      <c r="H232" s="307">
        <v>1.1984999999999999</v>
      </c>
      <c r="I232" s="307">
        <v>36.317270000000001</v>
      </c>
      <c r="J232" s="307">
        <v>62.52908</v>
      </c>
      <c r="K232" s="307">
        <v>66.092309999999998</v>
      </c>
      <c r="L232" s="307">
        <v>54.463550837741145</v>
      </c>
      <c r="M232" s="307">
        <v>2.2151636449342789</v>
      </c>
      <c r="N232" s="307">
        <v>0.36524184278394506</v>
      </c>
      <c r="O232" s="307">
        <v>0.38115760146563971</v>
      </c>
      <c r="P232" s="307">
        <v>0.38461354803007275</v>
      </c>
      <c r="Q232" s="660">
        <f t="shared" si="65"/>
        <v>224.40172747495507</v>
      </c>
    </row>
    <row r="233" spans="3:18" ht="15" customHeight="1">
      <c r="C233" s="393" t="s">
        <v>643</v>
      </c>
      <c r="D233" s="271"/>
      <c r="E233" s="528">
        <f t="shared" ref="E233:P233" si="68">E134+E160+E184+E209</f>
        <v>1117.9867618384801</v>
      </c>
      <c r="F233" s="528">
        <f t="shared" si="68"/>
        <v>1156.91757004331</v>
      </c>
      <c r="G233" s="528">
        <f t="shared" si="68"/>
        <v>1138.5515846022599</v>
      </c>
      <c r="H233" s="528">
        <f t="shared" si="68"/>
        <v>1141.02876297425</v>
      </c>
      <c r="I233" s="528">
        <f t="shared" si="68"/>
        <v>1138.44094650546</v>
      </c>
      <c r="J233" s="528">
        <f t="shared" si="68"/>
        <v>1096.0500353110599</v>
      </c>
      <c r="K233" s="528">
        <f t="shared" si="68"/>
        <v>1177.5281909937694</v>
      </c>
      <c r="L233" s="528">
        <f t="shared" si="68"/>
        <v>1181.4160051648</v>
      </c>
      <c r="M233" s="528">
        <f t="shared" si="68"/>
        <v>1172.7438649632586</v>
      </c>
      <c r="N233" s="528">
        <f t="shared" si="68"/>
        <v>1146.2732255754549</v>
      </c>
      <c r="O233" s="528">
        <f t="shared" si="68"/>
        <v>1104.4603081780181</v>
      </c>
      <c r="P233" s="528">
        <f t="shared" si="68"/>
        <v>1236.635859207141</v>
      </c>
      <c r="Q233" s="529">
        <f>SUM(E233:P233)</f>
        <v>13808.033115357262</v>
      </c>
    </row>
    <row r="234" spans="3:18" ht="15" customHeight="1" thickBot="1">
      <c r="C234" s="669" t="s">
        <v>644</v>
      </c>
      <c r="D234" s="531"/>
      <c r="E234" s="280">
        <f t="shared" ref="E234:P234" si="69">E233+E131</f>
        <v>2321.6112084316142</v>
      </c>
      <c r="F234" s="280">
        <f t="shared" si="69"/>
        <v>2450.76418204331</v>
      </c>
      <c r="G234" s="280">
        <f t="shared" si="69"/>
        <v>2577.36146660226</v>
      </c>
      <c r="H234" s="280">
        <f t="shared" si="69"/>
        <v>2410.7610281771981</v>
      </c>
      <c r="I234" s="280">
        <f t="shared" si="69"/>
        <v>2349.1658197803445</v>
      </c>
      <c r="J234" s="280">
        <f t="shared" si="69"/>
        <v>2296.59182180881</v>
      </c>
      <c r="K234" s="280">
        <f t="shared" si="69"/>
        <v>2333.7187105369935</v>
      </c>
      <c r="L234" s="280">
        <f t="shared" si="69"/>
        <v>2299.5727750122569</v>
      </c>
      <c r="M234" s="280">
        <f t="shared" si="69"/>
        <v>2173.8623284658916</v>
      </c>
      <c r="N234" s="280">
        <f t="shared" si="69"/>
        <v>2150.0479813608017</v>
      </c>
      <c r="O234" s="280">
        <f t="shared" si="69"/>
        <v>2140.9729834897262</v>
      </c>
      <c r="P234" s="280">
        <f t="shared" si="69"/>
        <v>2359.8957696719435</v>
      </c>
      <c r="Q234" s="281">
        <f t="shared" ref="Q234" si="70">SUM(E234:P234)</f>
        <v>27864.326075381152</v>
      </c>
    </row>
    <row r="235" spans="3:18" ht="18" customHeight="1">
      <c r="E235" s="452"/>
      <c r="F235" s="452"/>
      <c r="G235" s="452"/>
      <c r="H235" s="452"/>
      <c r="I235" s="452"/>
      <c r="J235" s="452"/>
      <c r="K235" s="452"/>
      <c r="L235" s="452"/>
      <c r="M235" s="452"/>
      <c r="N235" s="452"/>
      <c r="O235" s="452"/>
      <c r="P235" s="452"/>
      <c r="Q235" s="452"/>
    </row>
    <row r="236" spans="3:18" ht="18" customHeight="1">
      <c r="E236" s="452"/>
      <c r="F236" s="452"/>
      <c r="G236" s="452"/>
      <c r="H236" s="452"/>
      <c r="I236" s="452"/>
      <c r="J236" s="452"/>
      <c r="K236" s="452"/>
      <c r="L236" s="452"/>
      <c r="M236" s="452"/>
      <c r="N236" s="452"/>
      <c r="O236" s="452"/>
      <c r="P236" s="452"/>
      <c r="Q236" s="452"/>
    </row>
    <row r="237" spans="3:18" ht="15" customHeight="1" thickBot="1">
      <c r="C237" s="670" t="str">
        <f>Notes!C6</f>
        <v>FY 2024-25</v>
      </c>
      <c r="D237" s="386"/>
      <c r="E237" s="452"/>
      <c r="F237" s="452"/>
      <c r="G237" s="452"/>
      <c r="H237" s="452"/>
      <c r="I237" s="452"/>
      <c r="J237" s="452"/>
      <c r="K237" s="452"/>
      <c r="L237" s="452"/>
      <c r="M237" s="452"/>
      <c r="N237" s="452"/>
      <c r="O237" s="452"/>
      <c r="P237" s="671"/>
      <c r="Q237" s="672"/>
    </row>
    <row r="238" spans="3:18" ht="20.100000000000001" customHeight="1">
      <c r="C238" s="651" t="s">
        <v>673</v>
      </c>
      <c r="D238" s="377" t="s">
        <v>93</v>
      </c>
      <c r="E238" s="673" t="s">
        <v>146</v>
      </c>
      <c r="F238" s="673" t="s">
        <v>147</v>
      </c>
      <c r="G238" s="673" t="s">
        <v>148</v>
      </c>
      <c r="H238" s="673" t="s">
        <v>149</v>
      </c>
      <c r="I238" s="673" t="s">
        <v>150</v>
      </c>
      <c r="J238" s="673" t="s">
        <v>151</v>
      </c>
      <c r="K238" s="673" t="s">
        <v>152</v>
      </c>
      <c r="L238" s="673" t="s">
        <v>153</v>
      </c>
      <c r="M238" s="673" t="s">
        <v>154</v>
      </c>
      <c r="N238" s="673" t="s">
        <v>155</v>
      </c>
      <c r="O238" s="673" t="s">
        <v>156</v>
      </c>
      <c r="P238" s="673" t="s">
        <v>157</v>
      </c>
      <c r="Q238" s="674" t="s">
        <v>98</v>
      </c>
      <c r="R238" s="304" t="s">
        <v>365</v>
      </c>
    </row>
    <row r="239" spans="3:18" ht="20.100000000000001" customHeight="1">
      <c r="C239" s="675" t="s">
        <v>598</v>
      </c>
      <c r="D239" s="676"/>
      <c r="E239" s="677"/>
      <c r="F239" s="677"/>
      <c r="G239" s="677"/>
      <c r="H239" s="677"/>
      <c r="I239" s="677"/>
      <c r="J239" s="677"/>
      <c r="K239" s="677"/>
      <c r="L239" s="677"/>
      <c r="M239" s="677"/>
      <c r="N239" s="677"/>
      <c r="O239" s="677"/>
      <c r="P239" s="677"/>
      <c r="Q239" s="678"/>
    </row>
    <row r="240" spans="3:18" ht="15.95" customHeight="1">
      <c r="C240" s="397" t="s">
        <v>591</v>
      </c>
      <c r="D240" s="271"/>
      <c r="E240" s="307">
        <v>644.10267379785091</v>
      </c>
      <c r="F240" s="307">
        <v>755.80634298867972</v>
      </c>
      <c r="G240" s="307">
        <v>861.02313596715783</v>
      </c>
      <c r="H240" s="307">
        <v>800.71303341613952</v>
      </c>
      <c r="I240" s="307">
        <v>694.32560174088042</v>
      </c>
      <c r="J240" s="307">
        <v>721.7305136544677</v>
      </c>
      <c r="K240" s="307">
        <v>670.06514121245675</v>
      </c>
      <c r="L240" s="307">
        <v>623.37741399546371</v>
      </c>
      <c r="M240" s="307">
        <v>503.09344123159377</v>
      </c>
      <c r="N240" s="307">
        <v>466.20430407003767</v>
      </c>
      <c r="O240" s="307">
        <v>481.55386889182438</v>
      </c>
      <c r="P240" s="307">
        <v>519.84300081072411</v>
      </c>
      <c r="Q240" s="660">
        <f t="shared" ref="Q240:Q305" si="71">SUM(E240:P240)</f>
        <v>7741.838471777276</v>
      </c>
    </row>
    <row r="241" spans="3:17" ht="15.95" customHeight="1">
      <c r="C241" s="397" t="s">
        <v>599</v>
      </c>
      <c r="D241" s="271"/>
      <c r="E241" s="307">
        <v>137.16723854861857</v>
      </c>
      <c r="F241" s="307">
        <v>129.89782233590574</v>
      </c>
      <c r="G241" s="307">
        <v>145.22684524621124</v>
      </c>
      <c r="H241" s="307">
        <v>138.72578811989356</v>
      </c>
      <c r="I241" s="307">
        <v>131.47106188706582</v>
      </c>
      <c r="J241" s="307">
        <v>133.6724344179265</v>
      </c>
      <c r="K241" s="307">
        <v>121.38818518534113</v>
      </c>
      <c r="L241" s="307">
        <v>121.98505195283974</v>
      </c>
      <c r="M241" s="307">
        <v>109.67675533312335</v>
      </c>
      <c r="N241" s="307">
        <v>109.12396160853994</v>
      </c>
      <c r="O241" s="307">
        <v>108.37283821885737</v>
      </c>
      <c r="P241" s="307">
        <v>114.55431567424829</v>
      </c>
      <c r="Q241" s="660">
        <f t="shared" si="71"/>
        <v>1501.2622985285714</v>
      </c>
    </row>
    <row r="242" spans="3:17" ht="15.95" customHeight="1">
      <c r="C242" s="397" t="s">
        <v>596</v>
      </c>
      <c r="D242" s="271"/>
      <c r="E242" s="307">
        <v>48.823404877859581</v>
      </c>
      <c r="F242" s="307">
        <v>38.628859099814356</v>
      </c>
      <c r="G242" s="307">
        <v>43.355998004164249</v>
      </c>
      <c r="H242" s="307">
        <v>41.695935589034413</v>
      </c>
      <c r="I242" s="307">
        <v>39.65146520730859</v>
      </c>
      <c r="J242" s="307">
        <v>36.035072959985058</v>
      </c>
      <c r="K242" s="307">
        <v>34.608028936316302</v>
      </c>
      <c r="L242" s="307">
        <v>35.295143574856908</v>
      </c>
      <c r="M242" s="307">
        <v>35.422366588904538</v>
      </c>
      <c r="N242" s="307">
        <v>46.058866374358153</v>
      </c>
      <c r="O242" s="307">
        <v>48.243834366182199</v>
      </c>
      <c r="P242" s="307">
        <v>46.771291311571957</v>
      </c>
      <c r="Q242" s="660">
        <f t="shared" si="71"/>
        <v>494.59026689035636</v>
      </c>
    </row>
    <row r="243" spans="3:17" ht="15.95" customHeight="1">
      <c r="C243" s="667" t="s">
        <v>632</v>
      </c>
      <c r="D243" s="271"/>
      <c r="E243" s="307">
        <v>43.861847801254328</v>
      </c>
      <c r="F243" s="307">
        <v>39.420097915624901</v>
      </c>
      <c r="G243" s="307">
        <v>39.439038658501325</v>
      </c>
      <c r="H243" s="307">
        <v>39.871251137094184</v>
      </c>
      <c r="I243" s="307">
        <v>41.479179356493574</v>
      </c>
      <c r="J243" s="307">
        <v>47.87558295820044</v>
      </c>
      <c r="K243" s="307">
        <v>40.724809383140929</v>
      </c>
      <c r="L243" s="307">
        <v>43.794144918887611</v>
      </c>
      <c r="M243" s="307">
        <v>42.706168924323279</v>
      </c>
      <c r="N243" s="307">
        <v>43.340998431556073</v>
      </c>
      <c r="O243" s="307">
        <v>42.821010282530182</v>
      </c>
      <c r="P243" s="307">
        <v>42.982971256995462</v>
      </c>
      <c r="Q243" s="660">
        <f t="shared" si="71"/>
        <v>508.31710102460227</v>
      </c>
    </row>
    <row r="244" spans="3:17" ht="15.95" customHeight="1">
      <c r="C244" s="397" t="s">
        <v>597</v>
      </c>
      <c r="D244" s="271"/>
      <c r="E244" s="679">
        <f>E245+E246</f>
        <v>493.96994776235272</v>
      </c>
      <c r="F244" s="679">
        <f t="shared" ref="F244:P244" si="72">F245+F246</f>
        <v>437.28573919129155</v>
      </c>
      <c r="G244" s="679">
        <f t="shared" si="72"/>
        <v>413.0940172967878</v>
      </c>
      <c r="H244" s="679">
        <f t="shared" si="72"/>
        <v>282.25335128167029</v>
      </c>
      <c r="I244" s="679">
        <f t="shared" si="72"/>
        <v>392.13936057589439</v>
      </c>
      <c r="J244" s="679">
        <f t="shared" si="72"/>
        <v>341.54020622289295</v>
      </c>
      <c r="K244" s="679">
        <f t="shared" si="72"/>
        <v>366.77898001244091</v>
      </c>
      <c r="L244" s="679">
        <f t="shared" si="72"/>
        <v>368.43342133591932</v>
      </c>
      <c r="M244" s="679">
        <f t="shared" si="72"/>
        <v>374.97806542210105</v>
      </c>
      <c r="N244" s="679">
        <f t="shared" si="72"/>
        <v>403.40545559053896</v>
      </c>
      <c r="O244" s="679">
        <f t="shared" si="72"/>
        <v>422.2312720655508</v>
      </c>
      <c r="P244" s="679">
        <f t="shared" si="72"/>
        <v>471.4420472469734</v>
      </c>
      <c r="Q244" s="660">
        <f t="shared" si="71"/>
        <v>4767.5518640044147</v>
      </c>
    </row>
    <row r="245" spans="3:17" ht="15.95" customHeight="1">
      <c r="C245" s="274" t="s">
        <v>392</v>
      </c>
      <c r="D245" s="271"/>
      <c r="E245" s="307">
        <v>226.1813438895621</v>
      </c>
      <c r="F245" s="307">
        <v>199.85733469129161</v>
      </c>
      <c r="G245" s="307">
        <v>183.28313074678772</v>
      </c>
      <c r="H245" s="307">
        <v>177.81436711857461</v>
      </c>
      <c r="I245" s="307">
        <v>167.95245853726561</v>
      </c>
      <c r="J245" s="307">
        <v>164.80776415025579</v>
      </c>
      <c r="K245" s="307">
        <v>169.45360962917655</v>
      </c>
      <c r="L245" s="307">
        <v>190.32188807850198</v>
      </c>
      <c r="M245" s="307">
        <v>187.0206091420238</v>
      </c>
      <c r="N245" s="307">
        <v>204.10421683966257</v>
      </c>
      <c r="O245" s="307">
        <v>231.83979706719956</v>
      </c>
      <c r="P245" s="307">
        <v>234.79487342494232</v>
      </c>
      <c r="Q245" s="660">
        <f t="shared" si="71"/>
        <v>2337.4313933152439</v>
      </c>
    </row>
    <row r="246" spans="3:17" ht="15.95" customHeight="1">
      <c r="C246" s="274" t="s">
        <v>1107</v>
      </c>
      <c r="D246" s="271"/>
      <c r="E246" s="307">
        <v>267.78860387279065</v>
      </c>
      <c r="F246" s="307">
        <v>237.42840449999997</v>
      </c>
      <c r="G246" s="307">
        <v>229.81088655000005</v>
      </c>
      <c r="H246" s="307">
        <v>104.4389841630957</v>
      </c>
      <c r="I246" s="307">
        <v>224.18690203862877</v>
      </c>
      <c r="J246" s="307">
        <v>176.73244207263718</v>
      </c>
      <c r="K246" s="307">
        <v>197.32537038326439</v>
      </c>
      <c r="L246" s="307">
        <v>178.11153325741734</v>
      </c>
      <c r="M246" s="307">
        <v>187.95745628007728</v>
      </c>
      <c r="N246" s="307">
        <v>199.30123875087637</v>
      </c>
      <c r="O246" s="307">
        <v>190.39147499835124</v>
      </c>
      <c r="P246" s="307">
        <v>236.64717382203105</v>
      </c>
      <c r="Q246" s="660">
        <f t="shared" si="71"/>
        <v>2430.1204706891699</v>
      </c>
    </row>
    <row r="247" spans="3:17" ht="15.95" customHeight="1">
      <c r="C247" s="658" t="s">
        <v>600</v>
      </c>
      <c r="D247" s="271"/>
      <c r="E247" s="659">
        <f>E240+E241+E242+E243+E244</f>
        <v>1367.9251127879361</v>
      </c>
      <c r="F247" s="659">
        <f t="shared" ref="F247:P247" si="73">F240+F241+F242+F243+F244</f>
        <v>1401.0388615313163</v>
      </c>
      <c r="G247" s="659">
        <f t="shared" si="73"/>
        <v>1502.1390351728226</v>
      </c>
      <c r="H247" s="659">
        <f t="shared" si="73"/>
        <v>1303.259359543832</v>
      </c>
      <c r="I247" s="659">
        <f t="shared" si="73"/>
        <v>1299.0666687676428</v>
      </c>
      <c r="J247" s="659">
        <f t="shared" si="73"/>
        <v>1280.8538102134726</v>
      </c>
      <c r="K247" s="659">
        <f t="shared" si="73"/>
        <v>1233.5651447296959</v>
      </c>
      <c r="L247" s="659">
        <f t="shared" si="73"/>
        <v>1192.8851757779671</v>
      </c>
      <c r="M247" s="659">
        <f t="shared" si="73"/>
        <v>1065.876797500046</v>
      </c>
      <c r="N247" s="659">
        <f t="shared" si="73"/>
        <v>1068.1335860750307</v>
      </c>
      <c r="O247" s="659">
        <f t="shared" si="73"/>
        <v>1103.222823824945</v>
      </c>
      <c r="P247" s="659">
        <f t="shared" si="73"/>
        <v>1195.5936263005133</v>
      </c>
      <c r="Q247" s="660">
        <f t="shared" si="71"/>
        <v>15013.560002225222</v>
      </c>
    </row>
    <row r="248" spans="3:17" ht="15.95" customHeight="1">
      <c r="C248" s="392"/>
      <c r="D248" s="271"/>
      <c r="E248" s="307"/>
      <c r="F248" s="307"/>
      <c r="G248" s="307"/>
      <c r="H248" s="307"/>
      <c r="I248" s="307"/>
      <c r="J248" s="307"/>
      <c r="K248" s="307"/>
      <c r="L248" s="307"/>
      <c r="M248" s="307"/>
      <c r="N248" s="307"/>
      <c r="O248" s="307"/>
      <c r="P248" s="307"/>
      <c r="Q248" s="661"/>
    </row>
    <row r="249" spans="3:17" ht="15.95" customHeight="1">
      <c r="C249" s="658" t="s">
        <v>601</v>
      </c>
      <c r="D249" s="271"/>
      <c r="E249" s="659"/>
      <c r="F249" s="659"/>
      <c r="G249" s="659"/>
      <c r="H249" s="659"/>
      <c r="I249" s="659"/>
      <c r="J249" s="659"/>
      <c r="K249" s="659"/>
      <c r="L249" s="659"/>
      <c r="M249" s="659"/>
      <c r="N249" s="659"/>
      <c r="O249" s="659"/>
      <c r="P249" s="659"/>
      <c r="Q249" s="660"/>
    </row>
    <row r="250" spans="3:17" ht="15.95" customHeight="1">
      <c r="C250" s="662" t="s">
        <v>602</v>
      </c>
      <c r="D250" s="663"/>
      <c r="E250" s="663">
        <f>E251+E252+E259+E267+E271+E274</f>
        <v>213.08875768891082</v>
      </c>
      <c r="F250" s="663">
        <f t="shared" ref="F250:P250" si="74">F251+F252+F259+F267+F271+F274</f>
        <v>225.74343625127796</v>
      </c>
      <c r="G250" s="663">
        <f t="shared" si="74"/>
        <v>224.36715814094546</v>
      </c>
      <c r="H250" s="663">
        <f t="shared" si="74"/>
        <v>220.68829741156577</v>
      </c>
      <c r="I250" s="663">
        <f t="shared" si="74"/>
        <v>224.33532869337981</v>
      </c>
      <c r="J250" s="663">
        <f t="shared" si="74"/>
        <v>216.03804589801035</v>
      </c>
      <c r="K250" s="663">
        <f t="shared" si="74"/>
        <v>206.82395558739051</v>
      </c>
      <c r="L250" s="663">
        <f t="shared" si="74"/>
        <v>203.22286295898789</v>
      </c>
      <c r="M250" s="663">
        <f t="shared" si="74"/>
        <v>217.85560122637463</v>
      </c>
      <c r="N250" s="663">
        <f t="shared" si="74"/>
        <v>203.694878726577</v>
      </c>
      <c r="O250" s="663">
        <f t="shared" si="74"/>
        <v>202.39623204949075</v>
      </c>
      <c r="P250" s="663">
        <f t="shared" si="74"/>
        <v>227.91204322974366</v>
      </c>
      <c r="Q250" s="664">
        <f t="shared" si="71"/>
        <v>2586.1665978626543</v>
      </c>
    </row>
    <row r="251" spans="3:17" ht="15.95" customHeight="1">
      <c r="C251" s="274" t="s">
        <v>633</v>
      </c>
      <c r="D251" s="271"/>
      <c r="E251" s="307">
        <v>2.1379539678096084</v>
      </c>
      <c r="F251" s="307">
        <v>2.4530892421874069</v>
      </c>
      <c r="G251" s="307">
        <v>2.3318872117867309</v>
      </c>
      <c r="H251" s="307">
        <v>2.0612488977906698</v>
      </c>
      <c r="I251" s="307">
        <v>2.0416959296575863</v>
      </c>
      <c r="J251" s="307">
        <v>2.0419936645390164</v>
      </c>
      <c r="K251" s="307">
        <v>1.9102673556450438</v>
      </c>
      <c r="L251" s="307">
        <v>1.6014484864608798</v>
      </c>
      <c r="M251" s="307">
        <v>1.2322815475482056</v>
      </c>
      <c r="N251" s="307">
        <v>1.370695969536319</v>
      </c>
      <c r="O251" s="307">
        <v>1.396323320726415</v>
      </c>
      <c r="P251" s="307">
        <v>1.8150179765352332</v>
      </c>
      <c r="Q251" s="660">
        <f>SUM(E251:P251)</f>
        <v>22.393903570223113</v>
      </c>
    </row>
    <row r="252" spans="3:17" ht="15.95" customHeight="1">
      <c r="C252" s="658" t="s">
        <v>634</v>
      </c>
      <c r="D252" s="271"/>
      <c r="E252" s="659">
        <f>E253+E254+E255+E256+E257+E258</f>
        <v>54.887510305351071</v>
      </c>
      <c r="F252" s="659">
        <f t="shared" ref="F252:P252" si="75">F253+F254+F255+F256+F257+F258</f>
        <v>57.140036786829931</v>
      </c>
      <c r="G252" s="659">
        <f t="shared" si="75"/>
        <v>56.934638739356544</v>
      </c>
      <c r="H252" s="659">
        <f t="shared" si="75"/>
        <v>54.899306678831266</v>
      </c>
      <c r="I252" s="659">
        <f t="shared" si="75"/>
        <v>57.380391954298041</v>
      </c>
      <c r="J252" s="659">
        <f t="shared" si="75"/>
        <v>55.446393822803643</v>
      </c>
      <c r="K252" s="659">
        <f t="shared" si="75"/>
        <v>51.2892543408582</v>
      </c>
      <c r="L252" s="659">
        <f t="shared" si="75"/>
        <v>47.053975120821327</v>
      </c>
      <c r="M252" s="659">
        <f t="shared" si="75"/>
        <v>45.158410153499631</v>
      </c>
      <c r="N252" s="659">
        <f t="shared" si="75"/>
        <v>43.590153275338629</v>
      </c>
      <c r="O252" s="659">
        <f t="shared" si="75"/>
        <v>44.405228461260108</v>
      </c>
      <c r="P252" s="659">
        <f t="shared" si="75"/>
        <v>53.868358619264605</v>
      </c>
      <c r="Q252" s="660">
        <f t="shared" si="71"/>
        <v>622.05365825851311</v>
      </c>
    </row>
    <row r="253" spans="3:17" ht="15.95" customHeight="1">
      <c r="C253" s="665" t="s">
        <v>986</v>
      </c>
      <c r="D253" s="271"/>
      <c r="E253" s="307">
        <v>42.070373638029352</v>
      </c>
      <c r="F253" s="307">
        <v>43.336871728732724</v>
      </c>
      <c r="G253" s="307">
        <v>42.971143631661498</v>
      </c>
      <c r="H253" s="307">
        <v>42.285738028712046</v>
      </c>
      <c r="I253" s="307">
        <v>43.335549698262533</v>
      </c>
      <c r="J253" s="307">
        <v>42.628762542541857</v>
      </c>
      <c r="K253" s="307">
        <v>38.31571582045963</v>
      </c>
      <c r="L253" s="307">
        <v>35.173832380615281</v>
      </c>
      <c r="M253" s="307">
        <v>32.839453586622284</v>
      </c>
      <c r="N253" s="307">
        <v>31.849871743058113</v>
      </c>
      <c r="O253" s="307">
        <v>31.95051255248757</v>
      </c>
      <c r="P253" s="307">
        <v>39.692913510881155</v>
      </c>
      <c r="Q253" s="660">
        <f>SUM(E253:P253)</f>
        <v>466.45073886206404</v>
      </c>
    </row>
    <row r="254" spans="3:17" ht="15.95" customHeight="1">
      <c r="C254" s="665" t="s">
        <v>697</v>
      </c>
      <c r="D254" s="271"/>
      <c r="E254" s="307">
        <v>11.262510948332555</v>
      </c>
      <c r="F254" s="307">
        <v>11.626404606261531</v>
      </c>
      <c r="G254" s="307">
        <v>12.151668986444923</v>
      </c>
      <c r="H254" s="307">
        <v>11.293509385620611</v>
      </c>
      <c r="I254" s="307">
        <v>11.925530962139925</v>
      </c>
      <c r="J254" s="307">
        <v>11.377796983700451</v>
      </c>
      <c r="K254" s="307">
        <v>11.4282612433494</v>
      </c>
      <c r="L254" s="307">
        <v>10.540231931082957</v>
      </c>
      <c r="M254" s="307">
        <v>10.609294505646286</v>
      </c>
      <c r="N254" s="307">
        <v>10.59421540771628</v>
      </c>
      <c r="O254" s="307">
        <v>10.600518203810839</v>
      </c>
      <c r="P254" s="307">
        <v>12.406074050775608</v>
      </c>
      <c r="Q254" s="660">
        <f t="shared" si="71"/>
        <v>135.81601721488136</v>
      </c>
    </row>
    <row r="255" spans="3:17" ht="15.95" customHeight="1">
      <c r="C255" s="665" t="s">
        <v>987</v>
      </c>
      <c r="D255" s="271"/>
      <c r="E255" s="307">
        <v>1.083848809655497</v>
      </c>
      <c r="F255" s="307">
        <v>1.7061340213624505</v>
      </c>
      <c r="G255" s="307">
        <v>1.3411752846343299</v>
      </c>
      <c r="H255" s="307">
        <v>0.84952806233571487</v>
      </c>
      <c r="I255" s="307">
        <v>1.6486554411089585</v>
      </c>
      <c r="J255" s="307">
        <v>0.96924716991978588</v>
      </c>
      <c r="K255" s="307">
        <v>1.0747016046868239</v>
      </c>
      <c r="L255" s="307">
        <v>0.86925503088676603</v>
      </c>
      <c r="M255" s="307">
        <v>1.2390110742617009</v>
      </c>
      <c r="N255" s="307">
        <v>0.67514143020484907</v>
      </c>
      <c r="O255" s="307">
        <v>1.3835840006648774</v>
      </c>
      <c r="P255" s="307">
        <v>1.2985691419702896</v>
      </c>
      <c r="Q255" s="660">
        <f t="shared" si="71"/>
        <v>14.138851071692043</v>
      </c>
    </row>
    <row r="256" spans="3:17" ht="15.95" customHeight="1">
      <c r="C256" s="665" t="s">
        <v>683</v>
      </c>
      <c r="D256" s="271"/>
      <c r="E256" s="307">
        <v>1.0219093336674521E-3</v>
      </c>
      <c r="F256" s="307">
        <v>8.7143047322218634E-4</v>
      </c>
      <c r="G256" s="307">
        <v>8.9583661579182281E-4</v>
      </c>
      <c r="H256" s="307">
        <v>7.7620216289869131E-4</v>
      </c>
      <c r="I256" s="307">
        <v>9.0085278663106188E-4</v>
      </c>
      <c r="J256" s="307">
        <v>8.3212664155553275E-4</v>
      </c>
      <c r="K256" s="307">
        <v>8.2067236235209358E-4</v>
      </c>
      <c r="L256" s="307">
        <v>9.0077823632134929E-4</v>
      </c>
      <c r="M256" s="307">
        <v>8.9598696935762974E-4</v>
      </c>
      <c r="N256" s="307">
        <v>1.1696943593920077E-3</v>
      </c>
      <c r="O256" s="307">
        <v>8.5870429682299778E-4</v>
      </c>
      <c r="P256" s="307">
        <v>1.046915637553935E-3</v>
      </c>
      <c r="Q256" s="660">
        <f t="shared" si="71"/>
        <v>1.0991109875566762E-2</v>
      </c>
    </row>
    <row r="257" spans="3:17" ht="15.95" customHeight="1">
      <c r="C257" s="665" t="s">
        <v>684</v>
      </c>
      <c r="D257" s="271"/>
      <c r="E257" s="307">
        <v>0.46975500000000003</v>
      </c>
      <c r="F257" s="307">
        <v>0.46975500000000003</v>
      </c>
      <c r="G257" s="307">
        <v>0.46975500000000003</v>
      </c>
      <c r="H257" s="307">
        <v>0.46975500000000003</v>
      </c>
      <c r="I257" s="307">
        <v>0.46975500000000003</v>
      </c>
      <c r="J257" s="307">
        <v>0.46975500000000003</v>
      </c>
      <c r="K257" s="307">
        <v>0.46975500000000003</v>
      </c>
      <c r="L257" s="307">
        <v>0.46975500000000003</v>
      </c>
      <c r="M257" s="307">
        <v>0.46975500000000003</v>
      </c>
      <c r="N257" s="307">
        <v>0.46975500000000003</v>
      </c>
      <c r="O257" s="307">
        <v>0.46975500000000003</v>
      </c>
      <c r="P257" s="307">
        <v>0.46975500000000003</v>
      </c>
      <c r="Q257" s="660">
        <f t="shared" si="71"/>
        <v>5.6370600000000008</v>
      </c>
    </row>
    <row r="258" spans="3:17">
      <c r="C258" s="665" t="s">
        <v>685</v>
      </c>
      <c r="D258" s="271"/>
      <c r="E258" s="307">
        <v>0</v>
      </c>
      <c r="F258" s="307">
        <v>0</v>
      </c>
      <c r="G258" s="307">
        <v>0</v>
      </c>
      <c r="H258" s="307">
        <v>0</v>
      </c>
      <c r="I258" s="307">
        <v>0</v>
      </c>
      <c r="J258" s="307">
        <v>0</v>
      </c>
      <c r="K258" s="307">
        <v>0</v>
      </c>
      <c r="L258" s="307">
        <v>0</v>
      </c>
      <c r="M258" s="307">
        <v>0</v>
      </c>
      <c r="N258" s="307">
        <v>0</v>
      </c>
      <c r="O258" s="307">
        <v>0</v>
      </c>
      <c r="P258" s="307">
        <v>0</v>
      </c>
      <c r="Q258" s="660">
        <f t="shared" si="71"/>
        <v>0</v>
      </c>
    </row>
    <row r="259" spans="3:17" ht="18" customHeight="1">
      <c r="C259" s="658" t="s">
        <v>635</v>
      </c>
      <c r="D259" s="271"/>
      <c r="E259" s="659">
        <f>E263+E261+E262+E264+E265+E266</f>
        <v>139.91422855946416</v>
      </c>
      <c r="F259" s="659">
        <f t="shared" ref="F259:P259" si="76">F263+F261+F262+F264+F265+F266</f>
        <v>149.9313627766561</v>
      </c>
      <c r="G259" s="659">
        <f t="shared" si="76"/>
        <v>148.83761564844838</v>
      </c>
      <c r="H259" s="659">
        <f t="shared" si="76"/>
        <v>146.90527895534694</v>
      </c>
      <c r="I259" s="659">
        <f t="shared" si="76"/>
        <v>145.94392543632136</v>
      </c>
      <c r="J259" s="659">
        <f t="shared" si="76"/>
        <v>139.75378387779023</v>
      </c>
      <c r="K259" s="659">
        <f t="shared" si="76"/>
        <v>135.07678314334578</v>
      </c>
      <c r="L259" s="659">
        <f t="shared" si="76"/>
        <v>136.83642804338052</v>
      </c>
      <c r="M259" s="659">
        <f t="shared" si="76"/>
        <v>154.28659430457773</v>
      </c>
      <c r="N259" s="659">
        <f t="shared" si="76"/>
        <v>141.71177875642556</v>
      </c>
      <c r="O259" s="659">
        <f t="shared" si="76"/>
        <v>139.57534461566317</v>
      </c>
      <c r="P259" s="659">
        <f t="shared" si="76"/>
        <v>152.1342640818111</v>
      </c>
      <c r="Q259" s="660">
        <f t="shared" si="71"/>
        <v>1730.907388199231</v>
      </c>
    </row>
    <row r="260" spans="3:17" ht="18" customHeight="1">
      <c r="C260" s="665" t="s">
        <v>699</v>
      </c>
      <c r="D260" s="271"/>
      <c r="E260" s="659"/>
      <c r="F260" s="659"/>
      <c r="G260" s="659"/>
      <c r="H260" s="659"/>
      <c r="I260" s="659"/>
      <c r="J260" s="659"/>
      <c r="K260" s="659"/>
      <c r="L260" s="659"/>
      <c r="M260" s="659"/>
      <c r="N260" s="659"/>
      <c r="O260" s="659"/>
      <c r="P260" s="659"/>
      <c r="Q260" s="660"/>
    </row>
    <row r="261" spans="3:17">
      <c r="C261" s="665" t="s">
        <v>914</v>
      </c>
      <c r="D261" s="271"/>
      <c r="E261" s="307">
        <v>44.210768862875184</v>
      </c>
      <c r="F261" s="307">
        <v>47.908313551675477</v>
      </c>
      <c r="G261" s="307">
        <v>48.439299122094184</v>
      </c>
      <c r="H261" s="307">
        <v>47.398261442009222</v>
      </c>
      <c r="I261" s="307">
        <v>46.37965332044655</v>
      </c>
      <c r="J261" s="307">
        <v>44.724361425982011</v>
      </c>
      <c r="K261" s="307">
        <v>42.734019732910262</v>
      </c>
      <c r="L261" s="307">
        <v>43.434769610427665</v>
      </c>
      <c r="M261" s="307">
        <v>48.919458357648445</v>
      </c>
      <c r="N261" s="307">
        <v>45.186095125458934</v>
      </c>
      <c r="O261" s="307">
        <v>44.326473526412457</v>
      </c>
      <c r="P261" s="307">
        <v>47.456812521337532</v>
      </c>
      <c r="Q261" s="660">
        <f t="shared" si="71"/>
        <v>551.11828659927789</v>
      </c>
    </row>
    <row r="262" spans="3:17" ht="18" customHeight="1">
      <c r="C262" s="665" t="s">
        <v>915</v>
      </c>
      <c r="D262" s="271"/>
      <c r="E262" s="307">
        <v>60.746260365724027</v>
      </c>
      <c r="F262" s="307">
        <v>66.424781804337869</v>
      </c>
      <c r="G262" s="307">
        <v>65.457480461992148</v>
      </c>
      <c r="H262" s="307">
        <v>65.395770450204893</v>
      </c>
      <c r="I262" s="307">
        <v>66.108159613394662</v>
      </c>
      <c r="J262" s="307">
        <v>62.013808575053829</v>
      </c>
      <c r="K262" s="307">
        <v>57.702777951725622</v>
      </c>
      <c r="L262" s="307">
        <v>56.480597878258294</v>
      </c>
      <c r="M262" s="307">
        <v>67.56430355311393</v>
      </c>
      <c r="N262" s="307">
        <v>62.641697227117909</v>
      </c>
      <c r="O262" s="307">
        <v>60.023063060266722</v>
      </c>
      <c r="P262" s="307">
        <v>66.398299535511413</v>
      </c>
      <c r="Q262" s="660">
        <f t="shared" si="71"/>
        <v>756.95700047670141</v>
      </c>
    </row>
    <row r="263" spans="3:17" ht="18" customHeight="1">
      <c r="C263" s="665" t="s">
        <v>916</v>
      </c>
      <c r="D263" s="271"/>
      <c r="E263" s="307">
        <v>31.507196626209485</v>
      </c>
      <c r="F263" s="307">
        <v>34.02220377195119</v>
      </c>
      <c r="G263" s="307">
        <v>33.968789573111437</v>
      </c>
      <c r="H263" s="307">
        <v>33.315640719767636</v>
      </c>
      <c r="I263" s="307">
        <v>32.798588860768263</v>
      </c>
      <c r="J263" s="307">
        <v>32.429482831335093</v>
      </c>
      <c r="K263" s="307">
        <v>34.122594908737298</v>
      </c>
      <c r="L263" s="307">
        <v>36.204934966706553</v>
      </c>
      <c r="M263" s="307">
        <v>36.380887946973054</v>
      </c>
      <c r="N263" s="307">
        <v>31.974951180064075</v>
      </c>
      <c r="O263" s="307">
        <v>32.607945167071883</v>
      </c>
      <c r="P263" s="307">
        <v>32.805448994434535</v>
      </c>
      <c r="Q263" s="660">
        <f>SUM(E263:P263)</f>
        <v>402.13866554713053</v>
      </c>
    </row>
    <row r="264" spans="3:17" ht="18" customHeight="1">
      <c r="C264" s="665" t="s">
        <v>592</v>
      </c>
      <c r="D264" s="271"/>
      <c r="E264" s="307">
        <v>0.30388682402417161</v>
      </c>
      <c r="F264" s="307">
        <v>0.33212407256341153</v>
      </c>
      <c r="G264" s="307">
        <v>0.31991318849858108</v>
      </c>
      <c r="H264" s="307">
        <v>0.30431650871283589</v>
      </c>
      <c r="I264" s="307">
        <v>0.30044202230368539</v>
      </c>
      <c r="J264" s="307">
        <v>0.32991363707389848</v>
      </c>
      <c r="K264" s="307">
        <v>0.27756223872671104</v>
      </c>
      <c r="L264" s="307">
        <v>0.31112129262706939</v>
      </c>
      <c r="M264" s="307">
        <v>0.26734909752790265</v>
      </c>
      <c r="N264" s="307">
        <v>0.22374441236138751</v>
      </c>
      <c r="O264" s="307">
        <v>0.24019073857256321</v>
      </c>
      <c r="P264" s="307">
        <v>0.27191974919612016</v>
      </c>
      <c r="Q264" s="660">
        <f t="shared" si="71"/>
        <v>3.4824837821883379</v>
      </c>
    </row>
    <row r="265" spans="3:17" ht="18" customHeight="1">
      <c r="C265" s="665" t="s">
        <v>702</v>
      </c>
      <c r="D265" s="271"/>
      <c r="E265" s="307">
        <v>3.1461158806313092</v>
      </c>
      <c r="F265" s="307">
        <v>1.2439395761281478</v>
      </c>
      <c r="G265" s="307">
        <v>0.65213330275202674</v>
      </c>
      <c r="H265" s="307">
        <v>0.49128983465234205</v>
      </c>
      <c r="I265" s="307">
        <v>0.35708161940819572</v>
      </c>
      <c r="J265" s="307">
        <v>0.25621740834538548</v>
      </c>
      <c r="K265" s="307">
        <v>0.23982831124590623</v>
      </c>
      <c r="L265" s="307">
        <v>0.40500429536095567</v>
      </c>
      <c r="M265" s="307">
        <v>1.1545953493144145</v>
      </c>
      <c r="N265" s="307">
        <v>1.6852908114232739</v>
      </c>
      <c r="O265" s="307">
        <v>2.3776721233395826</v>
      </c>
      <c r="P265" s="307">
        <v>5.2017832813315081</v>
      </c>
      <c r="Q265" s="660">
        <f t="shared" si="71"/>
        <v>17.210951793933049</v>
      </c>
    </row>
    <row r="266" spans="3:17" ht="18" customHeight="1">
      <c r="C266" s="665" t="s">
        <v>703</v>
      </c>
      <c r="D266" s="271"/>
      <c r="E266" s="307">
        <v>0</v>
      </c>
      <c r="F266" s="307">
        <v>0</v>
      </c>
      <c r="G266" s="307">
        <v>0</v>
      </c>
      <c r="H266" s="307">
        <v>0</v>
      </c>
      <c r="I266" s="307">
        <v>0</v>
      </c>
      <c r="J266" s="307">
        <v>0</v>
      </c>
      <c r="K266" s="307">
        <v>0</v>
      </c>
      <c r="L266" s="307">
        <v>0</v>
      </c>
      <c r="M266" s="307">
        <v>0</v>
      </c>
      <c r="N266" s="307">
        <v>0</v>
      </c>
      <c r="O266" s="307">
        <v>0</v>
      </c>
      <c r="P266" s="307">
        <v>0</v>
      </c>
      <c r="Q266" s="660">
        <f t="shared" si="71"/>
        <v>0</v>
      </c>
    </row>
    <row r="267" spans="3:17" ht="18" customHeight="1">
      <c r="C267" s="658" t="s">
        <v>636</v>
      </c>
      <c r="D267" s="271"/>
      <c r="E267" s="659">
        <f>E268+E269+E270</f>
        <v>12.554803487570696</v>
      </c>
      <c r="F267" s="659">
        <f t="shared" ref="F267:P267" si="77">F268+F269+F270</f>
        <v>13.530110512480087</v>
      </c>
      <c r="G267" s="659">
        <f t="shared" si="77"/>
        <v>13.337890780598237</v>
      </c>
      <c r="H267" s="659">
        <f t="shared" si="77"/>
        <v>13.304727723065756</v>
      </c>
      <c r="I267" s="659">
        <f t="shared" si="77"/>
        <v>14.11929013713495</v>
      </c>
      <c r="J267" s="659">
        <f t="shared" si="77"/>
        <v>13.880991114574726</v>
      </c>
      <c r="K267" s="659">
        <f t="shared" si="77"/>
        <v>13.72911074881123</v>
      </c>
      <c r="L267" s="659">
        <f t="shared" si="77"/>
        <v>13.55460571727235</v>
      </c>
      <c r="M267" s="659">
        <f t="shared" si="77"/>
        <v>13.528354804479818</v>
      </c>
      <c r="N267" s="659">
        <f t="shared" si="77"/>
        <v>12.810589058466464</v>
      </c>
      <c r="O267" s="659">
        <f t="shared" si="77"/>
        <v>12.637896289125379</v>
      </c>
      <c r="P267" s="659">
        <f t="shared" si="77"/>
        <v>14.862692892591228</v>
      </c>
      <c r="Q267" s="660">
        <f t="shared" si="71"/>
        <v>161.85106326617094</v>
      </c>
    </row>
    <row r="268" spans="3:17" ht="18" customHeight="1">
      <c r="C268" s="396" t="s">
        <v>637</v>
      </c>
      <c r="D268" s="271"/>
      <c r="E268" s="307">
        <v>9.1401589621529453</v>
      </c>
      <c r="F268" s="307">
        <v>9.910392379116411</v>
      </c>
      <c r="G268" s="307">
        <v>9.7754732246059</v>
      </c>
      <c r="H268" s="307">
        <v>10.009430217925708</v>
      </c>
      <c r="I268" s="307">
        <v>10.537757953647201</v>
      </c>
      <c r="J268" s="307">
        <v>10.263293750455581</v>
      </c>
      <c r="K268" s="307">
        <v>10.56870874112116</v>
      </c>
      <c r="L268" s="307">
        <v>10.655415208328039</v>
      </c>
      <c r="M268" s="307">
        <v>10.985726396759381</v>
      </c>
      <c r="N268" s="307">
        <v>10.48354356899147</v>
      </c>
      <c r="O268" s="307">
        <v>10.141547319263937</v>
      </c>
      <c r="P268" s="307">
        <v>11.357076169322344</v>
      </c>
      <c r="Q268" s="660">
        <f t="shared" si="71"/>
        <v>123.82852389169005</v>
      </c>
    </row>
    <row r="269" spans="3:17" ht="18" customHeight="1">
      <c r="C269" s="396" t="s">
        <v>687</v>
      </c>
      <c r="D269" s="271"/>
      <c r="E269" s="307">
        <v>3.0695372623312487</v>
      </c>
      <c r="F269" s="307">
        <v>3.2237808906911303</v>
      </c>
      <c r="G269" s="307">
        <v>3.1997353819536922</v>
      </c>
      <c r="H269" s="307">
        <v>2.9820826104967355</v>
      </c>
      <c r="I269" s="307">
        <v>3.2495807867109279</v>
      </c>
      <c r="J269" s="307">
        <v>3.3037124347635309</v>
      </c>
      <c r="K269" s="307">
        <v>2.8170094318227568</v>
      </c>
      <c r="L269" s="307">
        <v>2.5581283441418003</v>
      </c>
      <c r="M269" s="307">
        <v>2.2221656776835883</v>
      </c>
      <c r="N269" s="307">
        <v>2.0395551889724586</v>
      </c>
      <c r="O269" s="307">
        <v>2.1879499730294172</v>
      </c>
      <c r="P269" s="307">
        <v>3.1340316898379839</v>
      </c>
      <c r="Q269" s="660">
        <f t="shared" si="71"/>
        <v>33.987269672435268</v>
      </c>
    </row>
    <row r="270" spans="3:17" ht="18" customHeight="1">
      <c r="C270" s="396" t="s">
        <v>638</v>
      </c>
      <c r="D270" s="271"/>
      <c r="E270" s="307">
        <v>0.34510726308650319</v>
      </c>
      <c r="F270" s="307">
        <v>0.39593724267254721</v>
      </c>
      <c r="G270" s="307">
        <v>0.36268217403864422</v>
      </c>
      <c r="H270" s="307">
        <v>0.31321489464331276</v>
      </c>
      <c r="I270" s="307">
        <v>0.33195139677682217</v>
      </c>
      <c r="J270" s="307">
        <v>0.31398492935561439</v>
      </c>
      <c r="K270" s="307">
        <v>0.34339257586731198</v>
      </c>
      <c r="L270" s="307">
        <v>0.3410621648025105</v>
      </c>
      <c r="M270" s="307">
        <v>0.32046273003684927</v>
      </c>
      <c r="N270" s="307">
        <v>0.28749030050253438</v>
      </c>
      <c r="O270" s="307">
        <v>0.30839899683202604</v>
      </c>
      <c r="P270" s="307">
        <v>0.37158503343090077</v>
      </c>
      <c r="Q270" s="660">
        <f t="shared" si="71"/>
        <v>4.0352697020455768</v>
      </c>
    </row>
    <row r="271" spans="3:17" ht="18" customHeight="1">
      <c r="C271" s="658" t="s">
        <v>639</v>
      </c>
      <c r="D271" s="271"/>
      <c r="E271" s="659">
        <f>E272+E273</f>
        <v>3.5942613687152867</v>
      </c>
      <c r="F271" s="659">
        <f t="shared" ref="F271:P271" si="78">F272+F273</f>
        <v>2.6888369331243975</v>
      </c>
      <c r="G271" s="659">
        <f t="shared" si="78"/>
        <v>2.9251257607555767</v>
      </c>
      <c r="H271" s="659">
        <f t="shared" si="78"/>
        <v>3.5177351565311246</v>
      </c>
      <c r="I271" s="659">
        <f t="shared" si="78"/>
        <v>4.8500252359678697</v>
      </c>
      <c r="J271" s="659">
        <f t="shared" si="78"/>
        <v>4.9148834183027237</v>
      </c>
      <c r="K271" s="659">
        <f t="shared" si="78"/>
        <v>4.8185399987302802</v>
      </c>
      <c r="L271" s="659">
        <f t="shared" si="78"/>
        <v>4.1764055910528075</v>
      </c>
      <c r="M271" s="659">
        <f t="shared" si="78"/>
        <v>3.6499604162692396</v>
      </c>
      <c r="N271" s="659">
        <f t="shared" si="78"/>
        <v>4.2116616668100519</v>
      </c>
      <c r="O271" s="659">
        <f t="shared" si="78"/>
        <v>4.3814393627156658</v>
      </c>
      <c r="P271" s="659">
        <f t="shared" si="78"/>
        <v>5.2317096595414929</v>
      </c>
      <c r="Q271" s="660">
        <f t="shared" si="71"/>
        <v>48.960584568516516</v>
      </c>
    </row>
    <row r="272" spans="3:17" ht="18" customHeight="1">
      <c r="C272" s="396" t="s">
        <v>640</v>
      </c>
      <c r="D272" s="271"/>
      <c r="E272" s="307">
        <v>2.4661911048389569</v>
      </c>
      <c r="F272" s="307">
        <v>2.439103607358307</v>
      </c>
      <c r="G272" s="307">
        <v>2.2761867990842863</v>
      </c>
      <c r="H272" s="307">
        <v>2.0966390795882703</v>
      </c>
      <c r="I272" s="307">
        <v>2.211069867678026</v>
      </c>
      <c r="J272" s="307">
        <v>2.3945640662775394</v>
      </c>
      <c r="K272" s="307">
        <v>2.4407739157475219</v>
      </c>
      <c r="L272" s="307">
        <v>2.4441052211014682</v>
      </c>
      <c r="M272" s="307">
        <v>2.2067969023317349</v>
      </c>
      <c r="N272" s="307">
        <v>2.026933043448099</v>
      </c>
      <c r="O272" s="307">
        <v>1.9781380076748043</v>
      </c>
      <c r="P272" s="307">
        <v>2.5696156301148001</v>
      </c>
      <c r="Q272" s="660">
        <f t="shared" si="71"/>
        <v>27.550117245243811</v>
      </c>
    </row>
    <row r="273" spans="3:17" ht="21.75" customHeight="1">
      <c r="C273" s="396" t="s">
        <v>641</v>
      </c>
      <c r="D273" s="271"/>
      <c r="E273" s="307">
        <v>1.1280702638763298</v>
      </c>
      <c r="F273" s="307">
        <v>0.24973332576609042</v>
      </c>
      <c r="G273" s="307">
        <v>0.64893896167129039</v>
      </c>
      <c r="H273" s="307">
        <v>1.4210960769428542</v>
      </c>
      <c r="I273" s="307">
        <v>2.6389553682898441</v>
      </c>
      <c r="J273" s="307">
        <v>2.5203193520251848</v>
      </c>
      <c r="K273" s="307">
        <v>2.3777660829827587</v>
      </c>
      <c r="L273" s="307">
        <v>1.7323003699513397</v>
      </c>
      <c r="M273" s="307">
        <v>1.4431635139375047</v>
      </c>
      <c r="N273" s="307">
        <v>2.1847286233619529</v>
      </c>
      <c r="O273" s="307">
        <v>2.4033013550408615</v>
      </c>
      <c r="P273" s="307">
        <v>2.6620940294266928</v>
      </c>
      <c r="Q273" s="660">
        <f t="shared" si="71"/>
        <v>21.410467323272709</v>
      </c>
    </row>
    <row r="274" spans="3:17" ht="18" hidden="1" customHeight="1">
      <c r="C274" s="658"/>
      <c r="D274" s="271"/>
      <c r="E274" s="307"/>
      <c r="F274" s="307"/>
      <c r="G274" s="307"/>
      <c r="H274" s="307"/>
      <c r="I274" s="307"/>
      <c r="J274" s="307"/>
      <c r="K274" s="307"/>
      <c r="L274" s="307"/>
      <c r="M274" s="307"/>
      <c r="N274" s="307"/>
      <c r="O274" s="307"/>
      <c r="P274" s="307"/>
      <c r="Q274" s="660">
        <f t="shared" si="71"/>
        <v>0</v>
      </c>
    </row>
    <row r="275" spans="3:17" ht="18" customHeight="1">
      <c r="C275" s="397"/>
      <c r="D275" s="271"/>
      <c r="E275" s="307"/>
      <c r="F275" s="307"/>
      <c r="G275" s="307"/>
      <c r="H275" s="307"/>
      <c r="I275" s="307"/>
      <c r="J275" s="307"/>
      <c r="K275" s="307"/>
      <c r="L275" s="307"/>
      <c r="M275" s="307"/>
      <c r="N275" s="307"/>
      <c r="O275" s="307"/>
      <c r="P275" s="307"/>
      <c r="Q275" s="660"/>
    </row>
    <row r="276" spans="3:17" ht="20.100000000000001" customHeight="1">
      <c r="C276" s="662" t="s">
        <v>603</v>
      </c>
      <c r="D276" s="663"/>
      <c r="E276" s="663">
        <f t="shared" ref="E276:P276" si="79">E277+E278+E285+E293+E297</f>
        <v>241.73174965210799</v>
      </c>
      <c r="F276" s="663">
        <f t="shared" si="79"/>
        <v>256.71474216356177</v>
      </c>
      <c r="G276" s="663">
        <f t="shared" si="79"/>
        <v>257.99548091549946</v>
      </c>
      <c r="H276" s="663">
        <f t="shared" si="79"/>
        <v>254.93159562023826</v>
      </c>
      <c r="I276" s="663">
        <f t="shared" si="79"/>
        <v>271.23070394443994</v>
      </c>
      <c r="J276" s="663">
        <f t="shared" si="79"/>
        <v>262.70028785145365</v>
      </c>
      <c r="K276" s="663">
        <f t="shared" si="79"/>
        <v>266.44516738129528</v>
      </c>
      <c r="L276" s="663">
        <f t="shared" si="79"/>
        <v>249.94429893910788</v>
      </c>
      <c r="M276" s="663">
        <f t="shared" si="79"/>
        <v>240.06593060899289</v>
      </c>
      <c r="N276" s="663">
        <f t="shared" si="79"/>
        <v>231.76147624261284</v>
      </c>
      <c r="O276" s="663">
        <f t="shared" si="79"/>
        <v>241.32681301878273</v>
      </c>
      <c r="P276" s="663">
        <f t="shared" si="79"/>
        <v>282.83708607116512</v>
      </c>
      <c r="Q276" s="664">
        <f t="shared" si="71"/>
        <v>3057.6853324092576</v>
      </c>
    </row>
    <row r="277" spans="3:17" ht="17.25" customHeight="1">
      <c r="C277" s="274" t="s">
        <v>633</v>
      </c>
      <c r="D277" s="271"/>
      <c r="E277" s="307">
        <v>1.1108867577299726</v>
      </c>
      <c r="F277" s="307">
        <v>1.2152981174176216</v>
      </c>
      <c r="G277" s="307">
        <v>1.2221682106630374</v>
      </c>
      <c r="H277" s="307">
        <v>1.1281295982549957</v>
      </c>
      <c r="I277" s="307">
        <v>1.0869291693905649</v>
      </c>
      <c r="J277" s="307">
        <v>1.0552161554166233</v>
      </c>
      <c r="K277" s="307">
        <v>1.0782656873805068</v>
      </c>
      <c r="L277" s="307">
        <v>0.98730807348113125</v>
      </c>
      <c r="M277" s="307">
        <v>0.82808409412911055</v>
      </c>
      <c r="N277" s="307">
        <v>0.83010335604805308</v>
      </c>
      <c r="O277" s="307">
        <v>0.85493378130067943</v>
      </c>
      <c r="P277" s="307">
        <v>1.0754551917423822</v>
      </c>
      <c r="Q277" s="660">
        <f t="shared" si="71"/>
        <v>12.472778192954678</v>
      </c>
    </row>
    <row r="278" spans="3:17" ht="17.25" customHeight="1">
      <c r="C278" s="658" t="s">
        <v>634</v>
      </c>
      <c r="D278" s="271"/>
      <c r="E278" s="659">
        <f>E279+E280+E281+E282+E283+E284</f>
        <v>20.660627255849853</v>
      </c>
      <c r="F278" s="659">
        <f t="shared" ref="F278:P278" si="80">F279+F280+F281+F282+F283+F284</f>
        <v>22.236140394124821</v>
      </c>
      <c r="G278" s="659">
        <f t="shared" si="80"/>
        <v>22.627645329621629</v>
      </c>
      <c r="H278" s="659">
        <f t="shared" si="80"/>
        <v>23.837738940505719</v>
      </c>
      <c r="I278" s="659">
        <f t="shared" si="80"/>
        <v>23.304501202753478</v>
      </c>
      <c r="J278" s="659">
        <f t="shared" si="80"/>
        <v>23.121506849769236</v>
      </c>
      <c r="K278" s="659">
        <f t="shared" si="80"/>
        <v>22.510766365946889</v>
      </c>
      <c r="L278" s="659">
        <f t="shared" si="80"/>
        <v>21.330176354931925</v>
      </c>
      <c r="M278" s="659">
        <f t="shared" si="80"/>
        <v>21.276213636869983</v>
      </c>
      <c r="N278" s="659">
        <f t="shared" si="80"/>
        <v>21.537124438063504</v>
      </c>
      <c r="O278" s="659">
        <f t="shared" si="80"/>
        <v>21.181330651729084</v>
      </c>
      <c r="P278" s="659">
        <f t="shared" si="80"/>
        <v>24.223711281040838</v>
      </c>
      <c r="Q278" s="660">
        <f t="shared" si="71"/>
        <v>267.84748270120696</v>
      </c>
    </row>
    <row r="279" spans="3:17" ht="17.25" customHeight="1">
      <c r="C279" s="665" t="s">
        <v>986</v>
      </c>
      <c r="D279" s="271"/>
      <c r="E279" s="307">
        <v>16.32172769157858</v>
      </c>
      <c r="F279" s="307">
        <v>17.851679902098368</v>
      </c>
      <c r="G279" s="307">
        <v>17.778245586981644</v>
      </c>
      <c r="H279" s="307">
        <v>18.686729253609538</v>
      </c>
      <c r="I279" s="307">
        <v>18.051134819454667</v>
      </c>
      <c r="J279" s="307">
        <v>17.984423690645798</v>
      </c>
      <c r="K279" s="307">
        <v>17.542738081894178</v>
      </c>
      <c r="L279" s="307">
        <v>16.580475579125157</v>
      </c>
      <c r="M279" s="307">
        <v>16.49591177469404</v>
      </c>
      <c r="N279" s="307">
        <v>16.667254898892665</v>
      </c>
      <c r="O279" s="307">
        <v>16.236608430602686</v>
      </c>
      <c r="P279" s="307">
        <v>18.539191628026085</v>
      </c>
      <c r="Q279" s="660">
        <f t="shared" si="71"/>
        <v>208.73612133760346</v>
      </c>
    </row>
    <row r="280" spans="3:17" ht="17.25" customHeight="1">
      <c r="C280" s="665" t="s">
        <v>697</v>
      </c>
      <c r="D280" s="271"/>
      <c r="E280" s="307">
        <v>4.0289230422943145</v>
      </c>
      <c r="F280" s="307">
        <v>4.2631066880517556</v>
      </c>
      <c r="G280" s="307">
        <v>4.74700293499426</v>
      </c>
      <c r="H280" s="307">
        <v>5.0496401440473031</v>
      </c>
      <c r="I280" s="307">
        <v>4.9578001647089698</v>
      </c>
      <c r="J280" s="307">
        <v>4.8265710287544357</v>
      </c>
      <c r="K280" s="307">
        <v>4.8880820707566333</v>
      </c>
      <c r="L280" s="307">
        <v>4.6558505699631541</v>
      </c>
      <c r="M280" s="307">
        <v>4.7031085776055361</v>
      </c>
      <c r="N280" s="307">
        <v>4.7867451045900165</v>
      </c>
      <c r="O280" s="307">
        <v>4.7018692338589423</v>
      </c>
      <c r="P280" s="307">
        <v>5.3344497418229873</v>
      </c>
      <c r="Q280" s="660">
        <f t="shared" si="71"/>
        <v>56.943149301448308</v>
      </c>
    </row>
    <row r="281" spans="3:17" ht="17.25" customHeight="1">
      <c r="C281" s="665" t="s">
        <v>987</v>
      </c>
      <c r="D281" s="271"/>
      <c r="E281" s="307">
        <v>0</v>
      </c>
      <c r="F281" s="307">
        <v>0</v>
      </c>
      <c r="G281" s="307">
        <v>0</v>
      </c>
      <c r="H281" s="307">
        <v>0</v>
      </c>
      <c r="I281" s="307">
        <v>0</v>
      </c>
      <c r="J281" s="307">
        <v>0</v>
      </c>
      <c r="K281" s="307">
        <v>0</v>
      </c>
      <c r="L281" s="307">
        <v>0</v>
      </c>
      <c r="M281" s="307">
        <v>0</v>
      </c>
      <c r="N281" s="307">
        <v>0</v>
      </c>
      <c r="O281" s="307">
        <v>0</v>
      </c>
      <c r="P281" s="307">
        <v>0</v>
      </c>
      <c r="Q281" s="660">
        <f t="shared" si="71"/>
        <v>0</v>
      </c>
    </row>
    <row r="282" spans="3:17" ht="17.25" customHeight="1">
      <c r="C282" s="665" t="s">
        <v>683</v>
      </c>
      <c r="D282" s="271"/>
      <c r="E282" s="307">
        <v>0.30997652197695535</v>
      </c>
      <c r="F282" s="307">
        <v>0.12135380397469496</v>
      </c>
      <c r="G282" s="307">
        <v>0.1023968076457256</v>
      </c>
      <c r="H282" s="307">
        <v>0.10136954284888021</v>
      </c>
      <c r="I282" s="307">
        <v>0.29556621858983884</v>
      </c>
      <c r="J282" s="307">
        <v>0.31051213036900238</v>
      </c>
      <c r="K282" s="307">
        <v>7.9946213296080135E-2</v>
      </c>
      <c r="L282" s="307">
        <v>9.3850205843614004E-2</v>
      </c>
      <c r="M282" s="307">
        <v>7.7193284570406473E-2</v>
      </c>
      <c r="N282" s="307">
        <v>8.3124434580821735E-2</v>
      </c>
      <c r="O282" s="307">
        <v>0.24285298726745283</v>
      </c>
      <c r="P282" s="307">
        <v>0.3500699111917655</v>
      </c>
      <c r="Q282" s="660">
        <f t="shared" si="71"/>
        <v>2.1682120621552379</v>
      </c>
    </row>
    <row r="283" spans="3:17" ht="17.25" customHeight="1">
      <c r="C283" s="665" t="s">
        <v>684</v>
      </c>
      <c r="D283" s="271"/>
      <c r="E283" s="307">
        <v>0</v>
      </c>
      <c r="F283" s="307">
        <v>0</v>
      </c>
      <c r="G283" s="307">
        <v>0</v>
      </c>
      <c r="H283" s="307">
        <v>0</v>
      </c>
      <c r="I283" s="307">
        <v>0</v>
      </c>
      <c r="J283" s="307">
        <v>0</v>
      </c>
      <c r="K283" s="307">
        <v>0</v>
      </c>
      <c r="L283" s="307">
        <v>0</v>
      </c>
      <c r="M283" s="307">
        <v>0</v>
      </c>
      <c r="N283" s="307">
        <v>0</v>
      </c>
      <c r="O283" s="307">
        <v>0</v>
      </c>
      <c r="P283" s="307">
        <v>0</v>
      </c>
      <c r="Q283" s="660">
        <f t="shared" si="71"/>
        <v>0</v>
      </c>
    </row>
    <row r="284" spans="3:17" ht="17.25" customHeight="1">
      <c r="C284" s="665" t="s">
        <v>685</v>
      </c>
      <c r="D284" s="271"/>
      <c r="E284" s="307">
        <v>0</v>
      </c>
      <c r="F284" s="307">
        <v>0</v>
      </c>
      <c r="G284" s="307">
        <v>0</v>
      </c>
      <c r="H284" s="307">
        <v>0</v>
      </c>
      <c r="I284" s="307">
        <v>0</v>
      </c>
      <c r="J284" s="307">
        <v>0</v>
      </c>
      <c r="K284" s="307">
        <v>0</v>
      </c>
      <c r="L284" s="307">
        <v>0</v>
      </c>
      <c r="M284" s="307">
        <v>0</v>
      </c>
      <c r="N284" s="307">
        <v>0</v>
      </c>
      <c r="O284" s="307">
        <v>0</v>
      </c>
      <c r="P284" s="307">
        <v>0</v>
      </c>
      <c r="Q284" s="660">
        <f t="shared" si="71"/>
        <v>0</v>
      </c>
    </row>
    <row r="285" spans="3:17" ht="20.100000000000001" customHeight="1">
      <c r="C285" s="658" t="s">
        <v>635</v>
      </c>
      <c r="D285" s="271"/>
      <c r="E285" s="659">
        <f t="shared" ref="E285:P285" si="81">E289+E287+E288+E290+E291+E292</f>
        <v>219.27142034381905</v>
      </c>
      <c r="F285" s="659">
        <f t="shared" si="81"/>
        <v>232.67828580598999</v>
      </c>
      <c r="G285" s="659">
        <f t="shared" si="81"/>
        <v>233.53726511896588</v>
      </c>
      <c r="H285" s="659">
        <f t="shared" si="81"/>
        <v>226.97623772417342</v>
      </c>
      <c r="I285" s="659">
        <f t="shared" si="81"/>
        <v>235.44371833287641</v>
      </c>
      <c r="J285" s="659">
        <f t="shared" si="81"/>
        <v>227.69625064726944</v>
      </c>
      <c r="K285" s="659">
        <f t="shared" si="81"/>
        <v>229.37950602190901</v>
      </c>
      <c r="L285" s="659">
        <f t="shared" si="81"/>
        <v>218.78888711258315</v>
      </c>
      <c r="M285" s="659">
        <f t="shared" si="81"/>
        <v>215.67841100746139</v>
      </c>
      <c r="N285" s="659">
        <f t="shared" si="81"/>
        <v>208.17401049282594</v>
      </c>
      <c r="O285" s="659">
        <f t="shared" si="81"/>
        <v>218.28002452064752</v>
      </c>
      <c r="P285" s="659">
        <f t="shared" si="81"/>
        <v>256.87036833694492</v>
      </c>
      <c r="Q285" s="660">
        <f t="shared" si="71"/>
        <v>2722.7743854654659</v>
      </c>
    </row>
    <row r="286" spans="3:17" ht="15" customHeight="1">
      <c r="C286" s="665" t="s">
        <v>699</v>
      </c>
      <c r="D286" s="271"/>
      <c r="E286" s="659"/>
      <c r="F286" s="659"/>
      <c r="G286" s="659"/>
      <c r="H286" s="659"/>
      <c r="I286" s="659"/>
      <c r="J286" s="659"/>
      <c r="K286" s="659"/>
      <c r="L286" s="659"/>
      <c r="M286" s="659"/>
      <c r="N286" s="659"/>
      <c r="O286" s="659"/>
      <c r="P286" s="659"/>
      <c r="Q286" s="660"/>
    </row>
    <row r="287" spans="3:17" ht="15" customHeight="1">
      <c r="C287" s="665" t="s">
        <v>914</v>
      </c>
      <c r="D287" s="271"/>
      <c r="E287" s="307">
        <v>68.297404505189945</v>
      </c>
      <c r="F287" s="307">
        <v>69.996970870547017</v>
      </c>
      <c r="G287" s="307">
        <v>70.826101127055409</v>
      </c>
      <c r="H287" s="307">
        <v>71.446446208854553</v>
      </c>
      <c r="I287" s="307">
        <v>75.810952391253949</v>
      </c>
      <c r="J287" s="307">
        <v>78.534829437716866</v>
      </c>
      <c r="K287" s="307">
        <v>75.70129367907866</v>
      </c>
      <c r="L287" s="307">
        <v>68.484488015787505</v>
      </c>
      <c r="M287" s="307">
        <v>70.28739236716153</v>
      </c>
      <c r="N287" s="307">
        <v>71.355333219516879</v>
      </c>
      <c r="O287" s="307">
        <v>73.23836308766721</v>
      </c>
      <c r="P287" s="307">
        <v>85.695126633333189</v>
      </c>
      <c r="Q287" s="660">
        <f t="shared" si="71"/>
        <v>879.67470154316277</v>
      </c>
    </row>
    <row r="288" spans="3:17" ht="15" customHeight="1">
      <c r="C288" s="665" t="s">
        <v>915</v>
      </c>
      <c r="D288" s="271"/>
      <c r="E288" s="307">
        <v>93.890977925689242</v>
      </c>
      <c r="F288" s="307">
        <v>99.341974285306236</v>
      </c>
      <c r="G288" s="307">
        <v>100.31365361940601</v>
      </c>
      <c r="H288" s="307">
        <v>96.806026299479896</v>
      </c>
      <c r="I288" s="307">
        <v>103.23406503881144</v>
      </c>
      <c r="J288" s="307">
        <v>104.43558889231494</v>
      </c>
      <c r="K288" s="307">
        <v>99.15485525777116</v>
      </c>
      <c r="L288" s="307">
        <v>87.312267088285111</v>
      </c>
      <c r="M288" s="307">
        <v>88.823073030490718</v>
      </c>
      <c r="N288" s="307">
        <v>89.184207884280866</v>
      </c>
      <c r="O288" s="307">
        <v>95.505238474774501</v>
      </c>
      <c r="P288" s="307">
        <v>114.14155847001531</v>
      </c>
      <c r="Q288" s="660">
        <f t="shared" si="71"/>
        <v>1172.1434862666256</v>
      </c>
    </row>
    <row r="289" spans="3:17" ht="15" customHeight="1">
      <c r="C289" s="665" t="s">
        <v>916</v>
      </c>
      <c r="D289" s="271"/>
      <c r="E289" s="307">
        <v>35.975309305731777</v>
      </c>
      <c r="F289" s="307">
        <v>42.573617758614269</v>
      </c>
      <c r="G289" s="307">
        <v>42.166166360894181</v>
      </c>
      <c r="H289" s="307">
        <v>38.976693422283958</v>
      </c>
      <c r="I289" s="307">
        <v>38.857049939453113</v>
      </c>
      <c r="J289" s="307">
        <v>27.325084983744716</v>
      </c>
      <c r="K289" s="307">
        <v>35.929209081747317</v>
      </c>
      <c r="L289" s="307">
        <v>44.962202320875477</v>
      </c>
      <c r="M289" s="307">
        <v>38.211290196267804</v>
      </c>
      <c r="N289" s="307">
        <v>27.742289754746331</v>
      </c>
      <c r="O289" s="307">
        <v>29.061060914178483</v>
      </c>
      <c r="P289" s="307">
        <v>31.734243029552097</v>
      </c>
      <c r="Q289" s="660">
        <f>SUM(E289:P289)</f>
        <v>433.51421706808947</v>
      </c>
    </row>
    <row r="290" spans="3:17" ht="15" customHeight="1">
      <c r="C290" s="665" t="s">
        <v>592</v>
      </c>
      <c r="D290" s="271"/>
      <c r="E290" s="307">
        <v>9.3574651339742437E-2</v>
      </c>
      <c r="F290" s="307">
        <v>0.10353938498386578</v>
      </c>
      <c r="G290" s="307">
        <v>9.5040029859581571E-2</v>
      </c>
      <c r="H290" s="307">
        <v>9.9102815757884821E-2</v>
      </c>
      <c r="I290" s="307">
        <v>0.10017722712348569</v>
      </c>
      <c r="J290" s="307">
        <v>0.11267900456702803</v>
      </c>
      <c r="K290" s="307">
        <v>9.745509493771852E-2</v>
      </c>
      <c r="L290" s="307">
        <v>8.8126647557982662E-2</v>
      </c>
      <c r="M290" s="307">
        <v>9.2370878074645224E-2</v>
      </c>
      <c r="N290" s="307">
        <v>7.0698624137380456E-2</v>
      </c>
      <c r="O290" s="307">
        <v>7.7814942789074693E-2</v>
      </c>
      <c r="P290" s="307">
        <v>0.10136205175009393</v>
      </c>
      <c r="Q290" s="660">
        <f t="shared" si="71"/>
        <v>1.1319413528784841</v>
      </c>
    </row>
    <row r="291" spans="3:17" ht="15" customHeight="1">
      <c r="C291" s="665" t="s">
        <v>702</v>
      </c>
      <c r="D291" s="271"/>
      <c r="E291" s="307">
        <v>2.4002873117737757</v>
      </c>
      <c r="F291" s="307">
        <v>0.35179769178282733</v>
      </c>
      <c r="G291" s="307">
        <v>0.1047526443231237</v>
      </c>
      <c r="H291" s="307">
        <v>7.9546486826819113E-2</v>
      </c>
      <c r="I291" s="307">
        <v>8.0485787817269241E-2</v>
      </c>
      <c r="J291" s="307">
        <v>9.4926348871290769E-2</v>
      </c>
      <c r="K291" s="307">
        <v>9.3082896444880853E-2</v>
      </c>
      <c r="L291" s="307">
        <v>7.7130305332370461E-2</v>
      </c>
      <c r="M291" s="307">
        <v>8.3324431356748982E-2</v>
      </c>
      <c r="N291" s="307">
        <v>0.26735219139395794</v>
      </c>
      <c r="O291" s="307">
        <v>1.818199640370908</v>
      </c>
      <c r="P291" s="307">
        <v>4.9525233320924107</v>
      </c>
      <c r="Q291" s="660">
        <f t="shared" si="71"/>
        <v>10.403409068386383</v>
      </c>
    </row>
    <row r="292" spans="3:17" ht="15" customHeight="1">
      <c r="C292" s="665" t="s">
        <v>703</v>
      </c>
      <c r="D292" s="271"/>
      <c r="E292" s="307">
        <v>18.613866644094578</v>
      </c>
      <c r="F292" s="307">
        <v>20.310385814755783</v>
      </c>
      <c r="G292" s="307">
        <v>20.031551337427558</v>
      </c>
      <c r="H292" s="307">
        <v>19.56842249097031</v>
      </c>
      <c r="I292" s="307">
        <v>17.360987948417161</v>
      </c>
      <c r="J292" s="307">
        <v>17.193141980054577</v>
      </c>
      <c r="K292" s="307">
        <v>18.403610011929249</v>
      </c>
      <c r="L292" s="307">
        <v>17.864672734744726</v>
      </c>
      <c r="M292" s="307">
        <v>18.180960104109964</v>
      </c>
      <c r="N292" s="307">
        <v>19.554128818750502</v>
      </c>
      <c r="O292" s="307">
        <v>18.579347460867332</v>
      </c>
      <c r="P292" s="307">
        <v>20.245554820201875</v>
      </c>
      <c r="Q292" s="660">
        <f t="shared" si="71"/>
        <v>225.90663016632362</v>
      </c>
    </row>
    <row r="293" spans="3:17" ht="20.100000000000001" customHeight="1">
      <c r="C293" s="658" t="s">
        <v>636</v>
      </c>
      <c r="D293" s="271"/>
      <c r="E293" s="659">
        <f>E294+E295+E296</f>
        <v>0.27420008495475512</v>
      </c>
      <c r="F293" s="659">
        <f t="shared" ref="F293" si="82">F294+F295+F296</f>
        <v>0.27641755097285314</v>
      </c>
      <c r="G293" s="659">
        <f t="shared" ref="G293" si="83">G294+G295+G296</f>
        <v>0.27863501699095111</v>
      </c>
      <c r="H293" s="659">
        <f t="shared" ref="H293" si="84">H294+H295+H296</f>
        <v>0.28085248300904908</v>
      </c>
      <c r="I293" s="659">
        <f t="shared" ref="I293" si="85">I294+I295+I296</f>
        <v>0.28306994902714699</v>
      </c>
      <c r="J293" s="659">
        <f t="shared" ref="J293" si="86">J294+J295+J296</f>
        <v>0.28528741504524496</v>
      </c>
      <c r="K293" s="659">
        <f t="shared" ref="K293" si="87">K294+K295+K296</f>
        <v>0.2775175935004161</v>
      </c>
      <c r="L293" s="659">
        <f t="shared" ref="L293" si="88">L294+L295+L296</f>
        <v>0.2790856227669164</v>
      </c>
      <c r="M293" s="659">
        <f t="shared" ref="M293" si="89">M294+M295+M296</f>
        <v>0.28065365203341658</v>
      </c>
      <c r="N293" s="659">
        <f t="shared" ref="N293" si="90">N294+N295+N296</f>
        <v>0.28222168129991682</v>
      </c>
      <c r="O293" s="659">
        <f t="shared" ref="O293" si="91">O294+O295+O296</f>
        <v>0.28378971056641705</v>
      </c>
      <c r="P293" s="659">
        <f t="shared" ref="P293" si="92">P294+P295+P296</f>
        <v>0.28535773983291735</v>
      </c>
      <c r="Q293" s="660">
        <f t="shared" si="71"/>
        <v>3.3670885000000008</v>
      </c>
    </row>
    <row r="294" spans="3:17">
      <c r="C294" s="396" t="s">
        <v>637</v>
      </c>
      <c r="D294" s="271"/>
      <c r="E294" s="307">
        <v>0.27420008495475512</v>
      </c>
      <c r="F294" s="307">
        <v>0.27641755097285314</v>
      </c>
      <c r="G294" s="307">
        <v>0.27863501699095111</v>
      </c>
      <c r="H294" s="307">
        <v>0.28085248300904908</v>
      </c>
      <c r="I294" s="307">
        <v>0.28306994902714699</v>
      </c>
      <c r="J294" s="307">
        <v>0.28528741504524496</v>
      </c>
      <c r="K294" s="307">
        <v>0.2775175935004161</v>
      </c>
      <c r="L294" s="307">
        <v>0.2790856227669164</v>
      </c>
      <c r="M294" s="307">
        <v>0.28065365203341658</v>
      </c>
      <c r="N294" s="307">
        <v>0.28222168129991682</v>
      </c>
      <c r="O294" s="307">
        <v>0.28378971056641705</v>
      </c>
      <c r="P294" s="307">
        <v>0.28535773983291735</v>
      </c>
      <c r="Q294" s="660">
        <f t="shared" si="71"/>
        <v>3.3670885000000008</v>
      </c>
    </row>
    <row r="295" spans="3:17">
      <c r="C295" s="396" t="s">
        <v>687</v>
      </c>
      <c r="D295" s="271"/>
      <c r="E295" s="307">
        <v>0</v>
      </c>
      <c r="F295" s="307">
        <v>0</v>
      </c>
      <c r="G295" s="307">
        <v>0</v>
      </c>
      <c r="H295" s="307">
        <v>0</v>
      </c>
      <c r="I295" s="307">
        <v>0</v>
      </c>
      <c r="J295" s="307">
        <v>0</v>
      </c>
      <c r="K295" s="307">
        <v>0</v>
      </c>
      <c r="L295" s="307">
        <v>0</v>
      </c>
      <c r="M295" s="307">
        <v>0</v>
      </c>
      <c r="N295" s="307">
        <v>0</v>
      </c>
      <c r="O295" s="307">
        <v>0</v>
      </c>
      <c r="P295" s="307">
        <v>0</v>
      </c>
      <c r="Q295" s="660"/>
    </row>
    <row r="296" spans="3:17">
      <c r="C296" s="396" t="s">
        <v>638</v>
      </c>
      <c r="D296" s="271"/>
      <c r="E296" s="307">
        <v>0</v>
      </c>
      <c r="F296" s="307">
        <v>0</v>
      </c>
      <c r="G296" s="307">
        <v>0</v>
      </c>
      <c r="H296" s="307">
        <v>0</v>
      </c>
      <c r="I296" s="307">
        <v>0</v>
      </c>
      <c r="J296" s="307">
        <v>0</v>
      </c>
      <c r="K296" s="307">
        <v>0</v>
      </c>
      <c r="L296" s="307">
        <v>0</v>
      </c>
      <c r="M296" s="307">
        <v>0</v>
      </c>
      <c r="N296" s="307">
        <v>0</v>
      </c>
      <c r="O296" s="307">
        <v>0</v>
      </c>
      <c r="P296" s="307">
        <v>0</v>
      </c>
      <c r="Q296" s="660">
        <f t="shared" si="71"/>
        <v>0</v>
      </c>
    </row>
    <row r="297" spans="3:17">
      <c r="C297" s="658" t="s">
        <v>639</v>
      </c>
      <c r="D297" s="271"/>
      <c r="E297" s="659">
        <f>E298+E299</f>
        <v>0.41461520975437283</v>
      </c>
      <c r="F297" s="659">
        <f t="shared" ref="F297:P297" si="93">F298+F299</f>
        <v>0.30860029505651559</v>
      </c>
      <c r="G297" s="659">
        <f t="shared" si="93"/>
        <v>0.32976723925791079</v>
      </c>
      <c r="H297" s="659">
        <f t="shared" si="93"/>
        <v>2.7086368742950508</v>
      </c>
      <c r="I297" s="659">
        <f t="shared" si="93"/>
        <v>11.1124852903923</v>
      </c>
      <c r="J297" s="659">
        <f t="shared" si="93"/>
        <v>10.542026783953105</v>
      </c>
      <c r="K297" s="659">
        <f t="shared" si="93"/>
        <v>13.199111712558466</v>
      </c>
      <c r="L297" s="659">
        <f t="shared" si="93"/>
        <v>8.5588417753447459</v>
      </c>
      <c r="M297" s="659">
        <f t="shared" si="93"/>
        <v>2.0025682184990057</v>
      </c>
      <c r="N297" s="659">
        <f t="shared" si="93"/>
        <v>0.93801627437543456</v>
      </c>
      <c r="O297" s="659">
        <f t="shared" si="93"/>
        <v>0.72673435453901136</v>
      </c>
      <c r="P297" s="659">
        <f t="shared" si="93"/>
        <v>0.3821935216040343</v>
      </c>
      <c r="Q297" s="660">
        <f t="shared" si="71"/>
        <v>51.223597549629957</v>
      </c>
    </row>
    <row r="298" spans="3:17">
      <c r="C298" s="396" t="s">
        <v>640</v>
      </c>
      <c r="D298" s="271"/>
      <c r="E298" s="307">
        <v>0</v>
      </c>
      <c r="F298" s="307">
        <v>0</v>
      </c>
      <c r="G298" s="307">
        <v>0</v>
      </c>
      <c r="H298" s="307">
        <v>0</v>
      </c>
      <c r="I298" s="307">
        <v>0</v>
      </c>
      <c r="J298" s="307">
        <v>0</v>
      </c>
      <c r="K298" s="307">
        <v>0</v>
      </c>
      <c r="L298" s="307">
        <v>0</v>
      </c>
      <c r="M298" s="307">
        <v>0</v>
      </c>
      <c r="N298" s="307">
        <v>0</v>
      </c>
      <c r="O298" s="307">
        <v>0</v>
      </c>
      <c r="P298" s="307">
        <v>0</v>
      </c>
      <c r="Q298" s="660">
        <f t="shared" si="71"/>
        <v>0</v>
      </c>
    </row>
    <row r="299" spans="3:17">
      <c r="C299" s="396" t="s">
        <v>641</v>
      </c>
      <c r="D299" s="271"/>
      <c r="E299" s="307">
        <v>0.41461520975437283</v>
      </c>
      <c r="F299" s="307">
        <v>0.30860029505651559</v>
      </c>
      <c r="G299" s="307">
        <v>0.32976723925791079</v>
      </c>
      <c r="H299" s="307">
        <v>2.7086368742950508</v>
      </c>
      <c r="I299" s="307">
        <v>11.1124852903923</v>
      </c>
      <c r="J299" s="307">
        <v>10.542026783953105</v>
      </c>
      <c r="K299" s="307">
        <v>13.199111712558466</v>
      </c>
      <c r="L299" s="307">
        <v>8.5588417753447459</v>
      </c>
      <c r="M299" s="307">
        <v>2.0025682184990057</v>
      </c>
      <c r="N299" s="307">
        <v>0.93801627437543456</v>
      </c>
      <c r="O299" s="307">
        <v>0.72673435453901136</v>
      </c>
      <c r="P299" s="307">
        <v>0.3821935216040343</v>
      </c>
      <c r="Q299" s="660">
        <f t="shared" si="71"/>
        <v>51.223597549629957</v>
      </c>
    </row>
    <row r="300" spans="3:17" ht="20.100000000000001" customHeight="1">
      <c r="C300" s="662" t="s">
        <v>604</v>
      </c>
      <c r="D300" s="663"/>
      <c r="E300" s="663">
        <f t="shared" ref="E300:P300" si="94">E301+E302+E309+E317+E322</f>
        <v>423.96092734313919</v>
      </c>
      <c r="F300" s="663">
        <f t="shared" si="94"/>
        <v>441.6785694246928</v>
      </c>
      <c r="G300" s="663">
        <f t="shared" si="94"/>
        <v>452.92349484617012</v>
      </c>
      <c r="H300" s="663">
        <f t="shared" si="94"/>
        <v>464.50648429027086</v>
      </c>
      <c r="I300" s="663">
        <f t="shared" si="94"/>
        <v>451.6094742312726</v>
      </c>
      <c r="J300" s="663">
        <f t="shared" si="94"/>
        <v>453.19760488149984</v>
      </c>
      <c r="K300" s="663">
        <f t="shared" si="94"/>
        <v>455.30448533852871</v>
      </c>
      <c r="L300" s="663">
        <f t="shared" si="94"/>
        <v>446.67586607675139</v>
      </c>
      <c r="M300" s="663">
        <f t="shared" si="94"/>
        <v>475.32852945433569</v>
      </c>
      <c r="N300" s="663">
        <f t="shared" si="94"/>
        <v>460.48620858481127</v>
      </c>
      <c r="O300" s="663">
        <f t="shared" si="94"/>
        <v>441.54621813097231</v>
      </c>
      <c r="P300" s="663">
        <f t="shared" si="94"/>
        <v>476.99803854346885</v>
      </c>
      <c r="Q300" s="664">
        <f t="shared" si="71"/>
        <v>5444.2159011459144</v>
      </c>
    </row>
    <row r="301" spans="3:17" ht="17.25" customHeight="1">
      <c r="C301" s="665" t="s">
        <v>633</v>
      </c>
      <c r="D301" s="271"/>
      <c r="E301" s="307">
        <v>0</v>
      </c>
      <c r="F301" s="307">
        <v>0</v>
      </c>
      <c r="G301" s="307">
        <v>0</v>
      </c>
      <c r="H301" s="307">
        <v>0</v>
      </c>
      <c r="I301" s="307">
        <v>0</v>
      </c>
      <c r="J301" s="307">
        <v>0</v>
      </c>
      <c r="K301" s="307">
        <v>0</v>
      </c>
      <c r="L301" s="307">
        <v>0</v>
      </c>
      <c r="M301" s="307">
        <v>0</v>
      </c>
      <c r="N301" s="307">
        <v>0</v>
      </c>
      <c r="O301" s="307">
        <v>0</v>
      </c>
      <c r="P301" s="307">
        <v>0</v>
      </c>
      <c r="Q301" s="660">
        <f t="shared" si="71"/>
        <v>0</v>
      </c>
    </row>
    <row r="302" spans="3:17" ht="20.100000000000001" customHeight="1">
      <c r="C302" s="658" t="s">
        <v>634</v>
      </c>
      <c r="D302" s="271"/>
      <c r="E302" s="659">
        <f>E303+E304+E305+E306+E307+E308</f>
        <v>3.1431118179562296</v>
      </c>
      <c r="F302" s="659">
        <f t="shared" ref="F302:P302" si="95">F303+F304+F305+F306+F307+F308</f>
        <v>3.1552385780589547</v>
      </c>
      <c r="G302" s="659">
        <f t="shared" si="95"/>
        <v>3.2756721523146668</v>
      </c>
      <c r="H302" s="659">
        <f t="shared" si="95"/>
        <v>3.1745345775534775</v>
      </c>
      <c r="I302" s="659">
        <f t="shared" si="95"/>
        <v>3.3780933509599365</v>
      </c>
      <c r="J302" s="659">
        <f t="shared" si="95"/>
        <v>3.0122931943713849</v>
      </c>
      <c r="K302" s="659">
        <f t="shared" si="95"/>
        <v>3.8630419291408753</v>
      </c>
      <c r="L302" s="659">
        <f t="shared" si="95"/>
        <v>2.5785393245600168</v>
      </c>
      <c r="M302" s="659">
        <f t="shared" si="95"/>
        <v>3.0670447499339755</v>
      </c>
      <c r="N302" s="659">
        <f t="shared" si="95"/>
        <v>3.0971186207546313</v>
      </c>
      <c r="O302" s="659">
        <f t="shared" si="95"/>
        <v>2.3887071127261326</v>
      </c>
      <c r="P302" s="659">
        <f t="shared" si="95"/>
        <v>3.1482089424359412</v>
      </c>
      <c r="Q302" s="660">
        <f t="shared" si="71"/>
        <v>37.281604350766223</v>
      </c>
    </row>
    <row r="303" spans="3:17" ht="16.5" customHeight="1">
      <c r="C303" s="665" t="s">
        <v>986</v>
      </c>
      <c r="D303" s="271"/>
      <c r="E303" s="307">
        <v>2.5526499940344065</v>
      </c>
      <c r="F303" s="307">
        <v>2.4625985567752178</v>
      </c>
      <c r="G303" s="307">
        <v>2.6339224128826562</v>
      </c>
      <c r="H303" s="307">
        <v>2.5406955605670212</v>
      </c>
      <c r="I303" s="307">
        <v>2.7130332525595309</v>
      </c>
      <c r="J303" s="307">
        <v>2.3701267549786871</v>
      </c>
      <c r="K303" s="307">
        <v>3.1310546399888084</v>
      </c>
      <c r="L303" s="307">
        <v>2.034060638322698</v>
      </c>
      <c r="M303" s="307">
        <v>2.5071912470669986</v>
      </c>
      <c r="N303" s="307">
        <v>2.5169441465319613</v>
      </c>
      <c r="O303" s="307">
        <v>1.9003353434758266</v>
      </c>
      <c r="P303" s="307">
        <v>2.5089543773232967</v>
      </c>
      <c r="Q303" s="660">
        <f t="shared" si="71"/>
        <v>29.871566924507107</v>
      </c>
    </row>
    <row r="304" spans="3:17" ht="16.5" customHeight="1">
      <c r="C304" s="665" t="s">
        <v>697</v>
      </c>
      <c r="D304" s="271"/>
      <c r="E304" s="307">
        <v>0.48293737795304748</v>
      </c>
      <c r="F304" s="307">
        <v>0.54687581500415183</v>
      </c>
      <c r="G304" s="307">
        <v>0.54343073505412409</v>
      </c>
      <c r="H304" s="307">
        <v>0.55209472151844774</v>
      </c>
      <c r="I304" s="307">
        <v>0.56888053951010942</v>
      </c>
      <c r="J304" s="307">
        <v>0.5178156184867434</v>
      </c>
      <c r="K304" s="307">
        <v>0.61470267419148783</v>
      </c>
      <c r="L304" s="307">
        <v>0.46022204834941199</v>
      </c>
      <c r="M304" s="307">
        <v>0.47407891622260256</v>
      </c>
      <c r="N304" s="307">
        <v>0.4696093432031333</v>
      </c>
      <c r="O304" s="307">
        <v>0.39732465037785597</v>
      </c>
      <c r="P304" s="307">
        <v>0.55813780616976838</v>
      </c>
      <c r="Q304" s="660">
        <f t="shared" si="71"/>
        <v>6.1861102460408848</v>
      </c>
    </row>
    <row r="305" spans="3:17" ht="16.5" customHeight="1">
      <c r="C305" s="665" t="s">
        <v>987</v>
      </c>
      <c r="D305" s="271"/>
      <c r="E305" s="307">
        <v>0</v>
      </c>
      <c r="F305" s="307">
        <v>0</v>
      </c>
      <c r="G305" s="307">
        <v>0</v>
      </c>
      <c r="H305" s="307">
        <v>0</v>
      </c>
      <c r="I305" s="307">
        <v>0</v>
      </c>
      <c r="J305" s="307">
        <v>0</v>
      </c>
      <c r="K305" s="307">
        <v>0</v>
      </c>
      <c r="L305" s="307">
        <v>0</v>
      </c>
      <c r="M305" s="307">
        <v>0</v>
      </c>
      <c r="N305" s="307">
        <v>0</v>
      </c>
      <c r="O305" s="307">
        <v>0</v>
      </c>
      <c r="P305" s="307">
        <v>0</v>
      </c>
      <c r="Q305" s="660">
        <f t="shared" si="71"/>
        <v>0</v>
      </c>
    </row>
    <row r="306" spans="3:17" ht="16.5" customHeight="1">
      <c r="C306" s="665" t="s">
        <v>683</v>
      </c>
      <c r="D306" s="271"/>
      <c r="E306" s="307">
        <v>0.10752444596877572</v>
      </c>
      <c r="F306" s="307">
        <v>0.14576420627958514</v>
      </c>
      <c r="G306" s="307">
        <v>9.8319004377886404E-2</v>
      </c>
      <c r="H306" s="307">
        <v>8.1744295468008613E-2</v>
      </c>
      <c r="I306" s="307">
        <v>9.6179558890296196E-2</v>
      </c>
      <c r="J306" s="307">
        <v>0.12435082090595448</v>
      </c>
      <c r="K306" s="307">
        <v>0.11728461496057922</v>
      </c>
      <c r="L306" s="307">
        <v>8.4256637887906716E-2</v>
      </c>
      <c r="M306" s="307">
        <v>8.5774586644374345E-2</v>
      </c>
      <c r="N306" s="307">
        <v>0.11056513101953683</v>
      </c>
      <c r="O306" s="307">
        <v>9.1047118872450289E-2</v>
      </c>
      <c r="P306" s="307">
        <v>8.111675894287651E-2</v>
      </c>
      <c r="Q306" s="660">
        <f t="shared" ref="Q306:Q324" si="96">SUM(E306:P306)</f>
        <v>1.2239271802182303</v>
      </c>
    </row>
    <row r="307" spans="3:17" ht="16.5" customHeight="1">
      <c r="C307" s="665" t="s">
        <v>684</v>
      </c>
      <c r="D307" s="271"/>
      <c r="E307" s="307">
        <v>0</v>
      </c>
      <c r="F307" s="307">
        <v>0</v>
      </c>
      <c r="G307" s="307">
        <v>0</v>
      </c>
      <c r="H307" s="307">
        <v>0</v>
      </c>
      <c r="I307" s="307">
        <v>0</v>
      </c>
      <c r="J307" s="307">
        <v>0</v>
      </c>
      <c r="K307" s="307">
        <v>0</v>
      </c>
      <c r="L307" s="307">
        <v>0</v>
      </c>
      <c r="M307" s="307">
        <v>0</v>
      </c>
      <c r="N307" s="307">
        <v>0</v>
      </c>
      <c r="O307" s="307">
        <v>0</v>
      </c>
      <c r="P307" s="307">
        <v>0</v>
      </c>
      <c r="Q307" s="660">
        <f t="shared" si="96"/>
        <v>0</v>
      </c>
    </row>
    <row r="308" spans="3:17" ht="16.5" customHeight="1">
      <c r="C308" s="665" t="s">
        <v>685</v>
      </c>
      <c r="D308" s="271"/>
      <c r="E308" s="307">
        <v>0</v>
      </c>
      <c r="F308" s="307">
        <v>0</v>
      </c>
      <c r="G308" s="307">
        <v>0</v>
      </c>
      <c r="H308" s="307">
        <v>0</v>
      </c>
      <c r="I308" s="307">
        <v>0</v>
      </c>
      <c r="J308" s="307">
        <v>0</v>
      </c>
      <c r="K308" s="307">
        <v>0</v>
      </c>
      <c r="L308" s="307">
        <v>0</v>
      </c>
      <c r="M308" s="307">
        <v>0</v>
      </c>
      <c r="N308" s="307">
        <v>0</v>
      </c>
      <c r="O308" s="307">
        <v>0</v>
      </c>
      <c r="P308" s="307">
        <v>0</v>
      </c>
      <c r="Q308" s="660">
        <f t="shared" si="96"/>
        <v>0</v>
      </c>
    </row>
    <row r="309" spans="3:17" ht="20.100000000000001" customHeight="1">
      <c r="C309" s="658" t="s">
        <v>635</v>
      </c>
      <c r="D309" s="271"/>
      <c r="E309" s="659">
        <f t="shared" ref="E309:P309" si="97">E313+E311+E312+E314+E315+E316</f>
        <v>340.45691342039299</v>
      </c>
      <c r="F309" s="659">
        <f t="shared" si="97"/>
        <v>355.09109297122757</v>
      </c>
      <c r="G309" s="659">
        <f t="shared" si="97"/>
        <v>367.878977545601</v>
      </c>
      <c r="H309" s="659">
        <f t="shared" si="97"/>
        <v>377.48861439866153</v>
      </c>
      <c r="I309" s="659">
        <f t="shared" si="97"/>
        <v>365.62308174059501</v>
      </c>
      <c r="J309" s="659">
        <f t="shared" si="97"/>
        <v>368.04446325300114</v>
      </c>
      <c r="K309" s="659">
        <f t="shared" si="97"/>
        <v>369.96772333283195</v>
      </c>
      <c r="L309" s="659">
        <f t="shared" si="97"/>
        <v>363.46925063276899</v>
      </c>
      <c r="M309" s="659">
        <f t="shared" si="97"/>
        <v>388.06436419587021</v>
      </c>
      <c r="N309" s="659">
        <f t="shared" si="97"/>
        <v>368.01567230037631</v>
      </c>
      <c r="O309" s="659">
        <f t="shared" si="97"/>
        <v>355.48025499485561</v>
      </c>
      <c r="P309" s="659">
        <f t="shared" si="97"/>
        <v>384.93284705924202</v>
      </c>
      <c r="Q309" s="660">
        <f t="shared" si="96"/>
        <v>4404.5132558454243</v>
      </c>
    </row>
    <row r="310" spans="3:17" ht="17.25" customHeight="1">
      <c r="C310" s="665" t="s">
        <v>699</v>
      </c>
      <c r="D310" s="271"/>
      <c r="E310" s="659"/>
      <c r="F310" s="659"/>
      <c r="G310" s="659"/>
      <c r="H310" s="659"/>
      <c r="I310" s="659"/>
      <c r="J310" s="659"/>
      <c r="K310" s="659"/>
      <c r="L310" s="659"/>
      <c r="M310" s="659"/>
      <c r="N310" s="659"/>
      <c r="O310" s="659"/>
      <c r="P310" s="659"/>
      <c r="Q310" s="660"/>
    </row>
    <row r="311" spans="3:17" ht="17.25" customHeight="1">
      <c r="C311" s="665" t="s">
        <v>914</v>
      </c>
      <c r="D311" s="271"/>
      <c r="E311" s="307">
        <v>53.404373693221238</v>
      </c>
      <c r="F311" s="307">
        <v>49.221666124192325</v>
      </c>
      <c r="G311" s="307">
        <v>50.972116450953919</v>
      </c>
      <c r="H311" s="307">
        <v>52.976954479529326</v>
      </c>
      <c r="I311" s="307">
        <v>51.463623277646633</v>
      </c>
      <c r="J311" s="307">
        <v>53.559952746686633</v>
      </c>
      <c r="K311" s="307">
        <v>51.144841617242207</v>
      </c>
      <c r="L311" s="307">
        <v>52.483768739461148</v>
      </c>
      <c r="M311" s="307">
        <v>55.646214222906593</v>
      </c>
      <c r="N311" s="307">
        <v>51.445704487259221</v>
      </c>
      <c r="O311" s="307">
        <v>49.212878182318875</v>
      </c>
      <c r="P311" s="307">
        <v>54.195409310541919</v>
      </c>
      <c r="Q311" s="660">
        <f t="shared" si="96"/>
        <v>625.72750333195995</v>
      </c>
    </row>
    <row r="312" spans="3:17" ht="17.25" customHeight="1">
      <c r="C312" s="665" t="s">
        <v>915</v>
      </c>
      <c r="D312" s="271"/>
      <c r="E312" s="307">
        <v>74.379232114015323</v>
      </c>
      <c r="F312" s="307">
        <v>73.859480761887809</v>
      </c>
      <c r="G312" s="307">
        <v>80.747279721548523</v>
      </c>
      <c r="H312" s="307">
        <v>81.221796128248968</v>
      </c>
      <c r="I312" s="307">
        <v>74.404964865560231</v>
      </c>
      <c r="J312" s="307">
        <v>77.161380627315935</v>
      </c>
      <c r="K312" s="307">
        <v>76.681631260938417</v>
      </c>
      <c r="L312" s="307">
        <v>69.790262140976523</v>
      </c>
      <c r="M312" s="307">
        <v>76.495211301264817</v>
      </c>
      <c r="N312" s="307">
        <v>69.668196913569176</v>
      </c>
      <c r="O312" s="307">
        <v>69.01931938142819</v>
      </c>
      <c r="P312" s="307">
        <v>75.249466590896105</v>
      </c>
      <c r="Q312" s="660">
        <f t="shared" si="96"/>
        <v>898.67822180765006</v>
      </c>
    </row>
    <row r="313" spans="3:17" ht="17.25" customHeight="1">
      <c r="C313" s="665" t="s">
        <v>916</v>
      </c>
      <c r="D313" s="271"/>
      <c r="E313" s="307">
        <v>20.345047140972152</v>
      </c>
      <c r="F313" s="307">
        <v>24.66028480761489</v>
      </c>
      <c r="G313" s="307">
        <v>24.686358246927831</v>
      </c>
      <c r="H313" s="307">
        <v>28.347029343809492</v>
      </c>
      <c r="I313" s="307">
        <v>26.822962642578435</v>
      </c>
      <c r="J313" s="307">
        <v>23.863169340105863</v>
      </c>
      <c r="K313" s="307">
        <v>28.20715178853143</v>
      </c>
      <c r="L313" s="307">
        <v>26.601449733894071</v>
      </c>
      <c r="M313" s="307">
        <v>29.675736871328663</v>
      </c>
      <c r="N313" s="307">
        <v>21.31036010026677</v>
      </c>
      <c r="O313" s="307">
        <v>24.347637935999455</v>
      </c>
      <c r="P313" s="307">
        <v>28.475976492182859</v>
      </c>
      <c r="Q313" s="660">
        <f>SUM(E313:P313)</f>
        <v>307.34316444421188</v>
      </c>
    </row>
    <row r="314" spans="3:17" ht="17.25" customHeight="1">
      <c r="C314" s="665" t="s">
        <v>592</v>
      </c>
      <c r="D314" s="271"/>
      <c r="E314" s="307">
        <v>3.4356616859926423</v>
      </c>
      <c r="F314" s="307">
        <v>3.5467562207457752</v>
      </c>
      <c r="G314" s="307">
        <v>3.5623663117778239</v>
      </c>
      <c r="H314" s="307">
        <v>3.4305802017322051</v>
      </c>
      <c r="I314" s="307">
        <v>3.3678861088188876</v>
      </c>
      <c r="J314" s="307">
        <v>3.4419863065811342</v>
      </c>
      <c r="K314" s="307">
        <v>3.1128327886290172</v>
      </c>
      <c r="L314" s="307">
        <v>2.8644249829232096</v>
      </c>
      <c r="M314" s="307">
        <v>2.6635961989991563</v>
      </c>
      <c r="N314" s="307">
        <v>2.6839537826588349</v>
      </c>
      <c r="O314" s="307">
        <v>2.6731141328628913</v>
      </c>
      <c r="P314" s="307">
        <v>3.4361115256171226</v>
      </c>
      <c r="Q314" s="660">
        <f t="shared" si="96"/>
        <v>38.219270247338699</v>
      </c>
    </row>
    <row r="315" spans="3:17" ht="17.25" customHeight="1">
      <c r="C315" s="665" t="s">
        <v>702</v>
      </c>
      <c r="D315" s="271"/>
      <c r="E315" s="307">
        <v>0</v>
      </c>
      <c r="F315" s="307">
        <v>0</v>
      </c>
      <c r="G315" s="307">
        <v>0</v>
      </c>
      <c r="H315" s="307">
        <v>0</v>
      </c>
      <c r="I315" s="307">
        <v>0</v>
      </c>
      <c r="J315" s="307">
        <v>0</v>
      </c>
      <c r="K315" s="307">
        <v>0</v>
      </c>
      <c r="L315" s="307">
        <v>0</v>
      </c>
      <c r="M315" s="307">
        <v>0</v>
      </c>
      <c r="N315" s="307">
        <v>0</v>
      </c>
      <c r="O315" s="307">
        <v>0</v>
      </c>
      <c r="P315" s="307">
        <v>0</v>
      </c>
      <c r="Q315" s="660">
        <f t="shared" si="96"/>
        <v>0</v>
      </c>
    </row>
    <row r="316" spans="3:17" ht="17.25" customHeight="1">
      <c r="C316" s="665" t="s">
        <v>703</v>
      </c>
      <c r="D316" s="271"/>
      <c r="E316" s="307">
        <v>188.89259878619168</v>
      </c>
      <c r="F316" s="307">
        <v>203.80290505678681</v>
      </c>
      <c r="G316" s="307">
        <v>207.9108568143929</v>
      </c>
      <c r="H316" s="307">
        <v>211.51225424534155</v>
      </c>
      <c r="I316" s="307">
        <v>209.56364484599084</v>
      </c>
      <c r="J316" s="307">
        <v>210.01797423231159</v>
      </c>
      <c r="K316" s="307">
        <v>210.8212658774909</v>
      </c>
      <c r="L316" s="307">
        <v>211.72934503551409</v>
      </c>
      <c r="M316" s="307">
        <v>223.583605601371</v>
      </c>
      <c r="N316" s="307">
        <v>222.90745701662232</v>
      </c>
      <c r="O316" s="307">
        <v>210.22730536224623</v>
      </c>
      <c r="P316" s="307">
        <v>223.57588314000401</v>
      </c>
      <c r="Q316" s="660">
        <f t="shared" si="96"/>
        <v>2534.5450960142639</v>
      </c>
    </row>
    <row r="317" spans="3:17" ht="16.5" customHeight="1">
      <c r="C317" s="658" t="s">
        <v>636</v>
      </c>
      <c r="D317" s="271"/>
      <c r="E317" s="659">
        <f t="shared" ref="E317:P317" si="98">E318+E320+E321</f>
        <v>80.360902104789957</v>
      </c>
      <c r="F317" s="659">
        <f t="shared" si="98"/>
        <v>83.432237875406273</v>
      </c>
      <c r="G317" s="659">
        <f t="shared" si="98"/>
        <v>81.768845148254485</v>
      </c>
      <c r="H317" s="659">
        <f t="shared" si="98"/>
        <v>83.843335314055864</v>
      </c>
      <c r="I317" s="659">
        <f t="shared" si="98"/>
        <v>82.608299139717644</v>
      </c>
      <c r="J317" s="659">
        <f t="shared" si="98"/>
        <v>82.140848434127307</v>
      </c>
      <c r="K317" s="659">
        <f t="shared" si="98"/>
        <v>81.473720076555864</v>
      </c>
      <c r="L317" s="659">
        <f t="shared" si="98"/>
        <v>80.628076119422389</v>
      </c>
      <c r="M317" s="659">
        <f t="shared" si="98"/>
        <v>84.197120508531512</v>
      </c>
      <c r="N317" s="659">
        <f t="shared" si="98"/>
        <v>89.373417663680314</v>
      </c>
      <c r="O317" s="659">
        <f t="shared" si="98"/>
        <v>83.677256023390569</v>
      </c>
      <c r="P317" s="659">
        <f t="shared" si="98"/>
        <v>88.916982541790929</v>
      </c>
      <c r="Q317" s="660">
        <f t="shared" si="96"/>
        <v>1002.4210409497232</v>
      </c>
    </row>
    <row r="318" spans="3:17" ht="20.100000000000001" customHeight="1">
      <c r="C318" s="396" t="s">
        <v>637</v>
      </c>
      <c r="D318" s="271"/>
      <c r="E318" s="307">
        <v>0</v>
      </c>
      <c r="F318" s="307">
        <v>0</v>
      </c>
      <c r="G318" s="307">
        <v>0</v>
      </c>
      <c r="H318" s="307">
        <v>0</v>
      </c>
      <c r="I318" s="307">
        <v>0</v>
      </c>
      <c r="J318" s="307">
        <v>0</v>
      </c>
      <c r="K318" s="307">
        <v>0</v>
      </c>
      <c r="L318" s="307">
        <v>0</v>
      </c>
      <c r="M318" s="307">
        <v>0</v>
      </c>
      <c r="N318" s="307">
        <v>0</v>
      </c>
      <c r="O318" s="307">
        <v>0</v>
      </c>
      <c r="P318" s="307">
        <v>0</v>
      </c>
      <c r="Q318" s="660">
        <f t="shared" si="96"/>
        <v>0</v>
      </c>
    </row>
    <row r="319" spans="3:17" ht="20.100000000000001" customHeight="1">
      <c r="C319" s="680" t="s">
        <v>687</v>
      </c>
      <c r="D319" s="271"/>
      <c r="E319" s="307">
        <v>0</v>
      </c>
      <c r="F319" s="307">
        <v>0</v>
      </c>
      <c r="G319" s="307">
        <v>0</v>
      </c>
      <c r="H319" s="307">
        <v>0</v>
      </c>
      <c r="I319" s="307">
        <v>0</v>
      </c>
      <c r="J319" s="307">
        <v>0</v>
      </c>
      <c r="K319" s="307">
        <v>0</v>
      </c>
      <c r="L319" s="307">
        <v>0</v>
      </c>
      <c r="M319" s="307">
        <v>0</v>
      </c>
      <c r="N319" s="307">
        <v>0</v>
      </c>
      <c r="O319" s="307">
        <v>0</v>
      </c>
      <c r="P319" s="307">
        <v>0</v>
      </c>
      <c r="Q319" s="660">
        <f t="shared" si="96"/>
        <v>0</v>
      </c>
    </row>
    <row r="320" spans="3:17" ht="20.100000000000001" customHeight="1">
      <c r="C320" s="396" t="s">
        <v>638</v>
      </c>
      <c r="D320" s="271"/>
      <c r="E320" s="307">
        <v>0</v>
      </c>
      <c r="F320" s="307">
        <v>0</v>
      </c>
      <c r="G320" s="307">
        <v>0</v>
      </c>
      <c r="H320" s="307">
        <v>0</v>
      </c>
      <c r="I320" s="307">
        <v>0</v>
      </c>
      <c r="J320" s="307">
        <v>0</v>
      </c>
      <c r="K320" s="307">
        <v>0</v>
      </c>
      <c r="L320" s="307">
        <v>0</v>
      </c>
      <c r="M320" s="307">
        <v>0</v>
      </c>
      <c r="N320" s="307">
        <v>0</v>
      </c>
      <c r="O320" s="307">
        <v>0</v>
      </c>
      <c r="P320" s="307">
        <v>0</v>
      </c>
      <c r="Q320" s="660">
        <f t="shared" si="96"/>
        <v>0</v>
      </c>
    </row>
    <row r="321" spans="3:17" ht="20.100000000000001" customHeight="1">
      <c r="C321" s="396" t="s">
        <v>642</v>
      </c>
      <c r="D321" s="271"/>
      <c r="E321" s="307">
        <v>80.360902104789957</v>
      </c>
      <c r="F321" s="307">
        <v>83.432237875406273</v>
      </c>
      <c r="G321" s="307">
        <v>81.768845148254485</v>
      </c>
      <c r="H321" s="307">
        <v>83.843335314055864</v>
      </c>
      <c r="I321" s="307">
        <v>82.608299139717644</v>
      </c>
      <c r="J321" s="307">
        <v>82.140848434127307</v>
      </c>
      <c r="K321" s="307">
        <v>81.473720076555864</v>
      </c>
      <c r="L321" s="307">
        <v>80.628076119422389</v>
      </c>
      <c r="M321" s="307">
        <v>84.197120508531512</v>
      </c>
      <c r="N321" s="307">
        <v>89.373417663680314</v>
      </c>
      <c r="O321" s="307">
        <v>83.677256023390569</v>
      </c>
      <c r="P321" s="307">
        <v>88.916982541790929</v>
      </c>
      <c r="Q321" s="660">
        <f t="shared" si="96"/>
        <v>1002.4210409497232</v>
      </c>
    </row>
    <row r="322" spans="3:17" ht="20.100000000000001" customHeight="1">
      <c r="C322" s="658" t="s">
        <v>639</v>
      </c>
      <c r="D322" s="659"/>
      <c r="E322" s="659">
        <f>E323+E324</f>
        <v>0</v>
      </c>
      <c r="F322" s="659">
        <f t="shared" ref="F322:P322" si="99">F323+F324</f>
        <v>0</v>
      </c>
      <c r="G322" s="659">
        <f t="shared" si="99"/>
        <v>0</v>
      </c>
      <c r="H322" s="659">
        <f t="shared" si="99"/>
        <v>0</v>
      </c>
      <c r="I322" s="659">
        <f t="shared" si="99"/>
        <v>0</v>
      </c>
      <c r="J322" s="659">
        <f t="shared" si="99"/>
        <v>0</v>
      </c>
      <c r="K322" s="659">
        <f t="shared" si="99"/>
        <v>0</v>
      </c>
      <c r="L322" s="659">
        <f t="shared" si="99"/>
        <v>0</v>
      </c>
      <c r="M322" s="659">
        <f t="shared" si="99"/>
        <v>0</v>
      </c>
      <c r="N322" s="659">
        <f t="shared" si="99"/>
        <v>0</v>
      </c>
      <c r="O322" s="659">
        <f t="shared" si="99"/>
        <v>0</v>
      </c>
      <c r="P322" s="659">
        <f t="shared" si="99"/>
        <v>0</v>
      </c>
      <c r="Q322" s="660">
        <f t="shared" si="96"/>
        <v>0</v>
      </c>
    </row>
    <row r="323" spans="3:17" ht="15.75" customHeight="1">
      <c r="C323" s="396" t="s">
        <v>640</v>
      </c>
      <c r="D323" s="271"/>
      <c r="E323" s="307">
        <v>0</v>
      </c>
      <c r="F323" s="307">
        <v>0</v>
      </c>
      <c r="G323" s="307">
        <v>0</v>
      </c>
      <c r="H323" s="307">
        <v>0</v>
      </c>
      <c r="I323" s="307">
        <v>0</v>
      </c>
      <c r="J323" s="307">
        <v>0</v>
      </c>
      <c r="K323" s="307">
        <v>0</v>
      </c>
      <c r="L323" s="307">
        <v>0</v>
      </c>
      <c r="M323" s="307">
        <v>0</v>
      </c>
      <c r="N323" s="307">
        <v>0</v>
      </c>
      <c r="O323" s="307">
        <v>0</v>
      </c>
      <c r="P323" s="307">
        <v>0</v>
      </c>
      <c r="Q323" s="660">
        <f t="shared" si="96"/>
        <v>0</v>
      </c>
    </row>
    <row r="324" spans="3:17" ht="15.75" customHeight="1">
      <c r="C324" s="396" t="s">
        <v>641</v>
      </c>
      <c r="D324" s="271"/>
      <c r="E324" s="307">
        <v>0</v>
      </c>
      <c r="F324" s="307">
        <v>0</v>
      </c>
      <c r="G324" s="307">
        <v>0</v>
      </c>
      <c r="H324" s="307">
        <v>0</v>
      </c>
      <c r="I324" s="307">
        <v>0</v>
      </c>
      <c r="J324" s="307">
        <v>0</v>
      </c>
      <c r="K324" s="307">
        <v>0</v>
      </c>
      <c r="L324" s="307">
        <v>0</v>
      </c>
      <c r="M324" s="307">
        <v>0</v>
      </c>
      <c r="N324" s="307">
        <v>0</v>
      </c>
      <c r="O324" s="307">
        <v>0</v>
      </c>
      <c r="P324" s="307">
        <v>0</v>
      </c>
      <c r="Q324" s="660">
        <f t="shared" si="96"/>
        <v>0</v>
      </c>
    </row>
    <row r="325" spans="3:17" ht="19.5" customHeight="1">
      <c r="C325" s="662" t="s">
        <v>919</v>
      </c>
      <c r="D325" s="663"/>
      <c r="E325" s="663">
        <f t="shared" ref="E325:P325" si="100">E326+E327+E334+E342+E347</f>
        <v>251.81291356607707</v>
      </c>
      <c r="F325" s="663">
        <f t="shared" si="100"/>
        <v>285.15541360949368</v>
      </c>
      <c r="G325" s="663">
        <f t="shared" si="100"/>
        <v>293.53918714976345</v>
      </c>
      <c r="H325" s="663">
        <f t="shared" si="100"/>
        <v>283.78560596728948</v>
      </c>
      <c r="I325" s="663">
        <f t="shared" si="100"/>
        <v>315.03717503469875</v>
      </c>
      <c r="J325" s="663">
        <f t="shared" si="100"/>
        <v>338.76665505724907</v>
      </c>
      <c r="K325" s="663">
        <f t="shared" si="100"/>
        <v>368.46728219013755</v>
      </c>
      <c r="L325" s="663">
        <f t="shared" si="100"/>
        <v>360.03550656179101</v>
      </c>
      <c r="M325" s="663">
        <f t="shared" si="100"/>
        <v>320.19737405179018</v>
      </c>
      <c r="N325" s="663">
        <f t="shared" si="100"/>
        <v>322.19142914188853</v>
      </c>
      <c r="O325" s="663">
        <f t="shared" si="100"/>
        <v>287.93646651228983</v>
      </c>
      <c r="P325" s="663">
        <f t="shared" si="100"/>
        <v>325.50612883439601</v>
      </c>
      <c r="Q325" s="664">
        <f t="shared" ref="Q325:Q330" si="101">SUM(E325:P325)</f>
        <v>3752.4311376768642</v>
      </c>
    </row>
    <row r="326" spans="3:17" ht="16.5" customHeight="1">
      <c r="C326" s="274" t="s">
        <v>633</v>
      </c>
      <c r="D326" s="271"/>
      <c r="E326" s="307">
        <v>0</v>
      </c>
      <c r="F326" s="307">
        <v>0</v>
      </c>
      <c r="G326" s="307">
        <v>0</v>
      </c>
      <c r="H326" s="307">
        <v>0</v>
      </c>
      <c r="I326" s="307">
        <v>0</v>
      </c>
      <c r="J326" s="307">
        <v>0</v>
      </c>
      <c r="K326" s="307">
        <v>0</v>
      </c>
      <c r="L326" s="307">
        <v>0</v>
      </c>
      <c r="M326" s="307">
        <v>0</v>
      </c>
      <c r="N326" s="307">
        <v>0</v>
      </c>
      <c r="O326" s="307">
        <v>0</v>
      </c>
      <c r="P326" s="307">
        <v>0</v>
      </c>
      <c r="Q326" s="660">
        <f t="shared" si="101"/>
        <v>0</v>
      </c>
    </row>
    <row r="327" spans="3:17" ht="17.25" customHeight="1">
      <c r="C327" s="658" t="s">
        <v>634</v>
      </c>
      <c r="D327" s="271"/>
      <c r="E327" s="659">
        <f>E328+E329+E330+E331+E332+E333</f>
        <v>9.2314757939877339</v>
      </c>
      <c r="F327" s="659">
        <f t="shared" ref="F327:P327" si="102">F328+F329+F330+F331+F332+F333</f>
        <v>10.061508326668861</v>
      </c>
      <c r="G327" s="659">
        <f t="shared" si="102"/>
        <v>10.039124137674907</v>
      </c>
      <c r="H327" s="659">
        <f t="shared" si="102"/>
        <v>10.360446855499028</v>
      </c>
      <c r="I327" s="659">
        <f t="shared" si="102"/>
        <v>6.4256964200780722</v>
      </c>
      <c r="J327" s="659">
        <f t="shared" si="102"/>
        <v>6.4779968880859391</v>
      </c>
      <c r="K327" s="659">
        <f t="shared" si="102"/>
        <v>6.8990823966535233</v>
      </c>
      <c r="L327" s="659">
        <f t="shared" si="102"/>
        <v>7.664186606348423</v>
      </c>
      <c r="M327" s="659">
        <f t="shared" si="102"/>
        <v>9.6007160861214587</v>
      </c>
      <c r="N327" s="659">
        <f t="shared" si="102"/>
        <v>10.503152320125915</v>
      </c>
      <c r="O327" s="659">
        <f t="shared" si="102"/>
        <v>9.9839050284421216</v>
      </c>
      <c r="P327" s="659">
        <f t="shared" si="102"/>
        <v>11.261264954799847</v>
      </c>
      <c r="Q327" s="660">
        <f t="shared" si="101"/>
        <v>108.50855581448583</v>
      </c>
    </row>
    <row r="328" spans="3:17">
      <c r="C328" s="665" t="s">
        <v>986</v>
      </c>
      <c r="D328" s="271"/>
      <c r="E328" s="307">
        <v>7.4716904572868135</v>
      </c>
      <c r="F328" s="307">
        <v>8.2802803419590827</v>
      </c>
      <c r="G328" s="307">
        <v>8.2049595739830039</v>
      </c>
      <c r="H328" s="307">
        <v>8.2909265360113586</v>
      </c>
      <c r="I328" s="307">
        <v>5.0400280854466111</v>
      </c>
      <c r="J328" s="307">
        <v>4.7775738232107949</v>
      </c>
      <c r="K328" s="307">
        <v>5.5843568109662565</v>
      </c>
      <c r="L328" s="307">
        <v>6.1623675459002376</v>
      </c>
      <c r="M328" s="307">
        <v>6.8833579451223859</v>
      </c>
      <c r="N328" s="307">
        <v>7.6559020569149494</v>
      </c>
      <c r="O328" s="307">
        <v>7.9266678146442482</v>
      </c>
      <c r="P328" s="307">
        <v>9.255187636467376</v>
      </c>
      <c r="Q328" s="660">
        <f t="shared" si="101"/>
        <v>85.533298627913098</v>
      </c>
    </row>
    <row r="329" spans="3:17">
      <c r="C329" s="665" t="s">
        <v>697</v>
      </c>
      <c r="D329" s="271"/>
      <c r="E329" s="307">
        <v>1.5360424624721334</v>
      </c>
      <c r="F329" s="307">
        <v>1.6671073232488853</v>
      </c>
      <c r="G329" s="307">
        <v>1.7549208820176871</v>
      </c>
      <c r="H329" s="307">
        <v>1.8291440729021886</v>
      </c>
      <c r="I329" s="307">
        <v>1.1279973679938098</v>
      </c>
      <c r="J329" s="307">
        <v>1.0763259835428893</v>
      </c>
      <c r="K329" s="307">
        <v>1.2172495568746899</v>
      </c>
      <c r="L329" s="307">
        <v>1.3269872491132289</v>
      </c>
      <c r="M329" s="307">
        <v>1.5149293127014773</v>
      </c>
      <c r="N329" s="307">
        <v>1.6295614805394056</v>
      </c>
      <c r="O329" s="307">
        <v>1.6737142312953119</v>
      </c>
      <c r="P329" s="307">
        <v>1.9525461612205322</v>
      </c>
      <c r="Q329" s="660">
        <f t="shared" si="101"/>
        <v>18.30652608392224</v>
      </c>
    </row>
    <row r="330" spans="3:17">
      <c r="C330" s="665" t="s">
        <v>987</v>
      </c>
      <c r="D330" s="271"/>
      <c r="E330" s="307">
        <v>0</v>
      </c>
      <c r="F330" s="307">
        <v>0</v>
      </c>
      <c r="G330" s="307">
        <v>0</v>
      </c>
      <c r="H330" s="307">
        <v>0</v>
      </c>
      <c r="I330" s="307">
        <v>0</v>
      </c>
      <c r="J330" s="307">
        <v>0</v>
      </c>
      <c r="K330" s="307">
        <v>0</v>
      </c>
      <c r="L330" s="307">
        <v>0</v>
      </c>
      <c r="M330" s="307">
        <v>0</v>
      </c>
      <c r="N330" s="307">
        <v>0</v>
      </c>
      <c r="O330" s="307">
        <v>0</v>
      </c>
      <c r="P330" s="307">
        <v>0</v>
      </c>
      <c r="Q330" s="660">
        <f t="shared" si="101"/>
        <v>0</v>
      </c>
    </row>
    <row r="331" spans="3:17">
      <c r="C331" s="665" t="s">
        <v>683</v>
      </c>
      <c r="D331" s="271"/>
      <c r="E331" s="307">
        <v>0.22374287422878614</v>
      </c>
      <c r="F331" s="307">
        <v>0.11412066146089325</v>
      </c>
      <c r="G331" s="307">
        <v>7.924368167421536E-2</v>
      </c>
      <c r="H331" s="307">
        <v>0.24037624658548107</v>
      </c>
      <c r="I331" s="307">
        <v>0.25767096663765132</v>
      </c>
      <c r="J331" s="307">
        <v>0.6240970813322545</v>
      </c>
      <c r="K331" s="307">
        <v>9.7476028812577012E-2</v>
      </c>
      <c r="L331" s="307">
        <v>0.17483181133495684</v>
      </c>
      <c r="M331" s="307">
        <v>1.2024288282975957</v>
      </c>
      <c r="N331" s="307">
        <v>1.2176887826715606</v>
      </c>
      <c r="O331" s="307">
        <v>0.38352298250256223</v>
      </c>
      <c r="P331" s="307">
        <v>5.3531157111938822E-2</v>
      </c>
      <c r="Q331" s="660">
        <f t="shared" ref="Q331:Q349" si="103">SUM(E331:P331)</f>
        <v>4.6687311026504732</v>
      </c>
    </row>
    <row r="332" spans="3:17">
      <c r="C332" s="665" t="s">
        <v>684</v>
      </c>
      <c r="D332" s="271"/>
      <c r="E332" s="307">
        <v>0</v>
      </c>
      <c r="F332" s="307">
        <v>0</v>
      </c>
      <c r="G332" s="307">
        <v>0</v>
      </c>
      <c r="H332" s="307">
        <v>0</v>
      </c>
      <c r="I332" s="307">
        <v>0</v>
      </c>
      <c r="J332" s="307">
        <v>0</v>
      </c>
      <c r="K332" s="307">
        <v>0</v>
      </c>
      <c r="L332" s="307">
        <v>0</v>
      </c>
      <c r="M332" s="307">
        <v>0</v>
      </c>
      <c r="N332" s="307">
        <v>0</v>
      </c>
      <c r="O332" s="307">
        <v>0</v>
      </c>
      <c r="P332" s="307">
        <v>0</v>
      </c>
      <c r="Q332" s="660">
        <f t="shared" si="103"/>
        <v>0</v>
      </c>
    </row>
    <row r="333" spans="3:17">
      <c r="C333" s="665" t="s">
        <v>685</v>
      </c>
      <c r="D333" s="271"/>
      <c r="E333" s="307">
        <v>0</v>
      </c>
      <c r="F333" s="307">
        <v>0</v>
      </c>
      <c r="G333" s="307">
        <v>0</v>
      </c>
      <c r="H333" s="307">
        <v>0</v>
      </c>
      <c r="I333" s="307">
        <v>0</v>
      </c>
      <c r="J333" s="307">
        <v>0</v>
      </c>
      <c r="K333" s="307">
        <v>0</v>
      </c>
      <c r="L333" s="307">
        <v>0</v>
      </c>
      <c r="M333" s="307">
        <v>0</v>
      </c>
      <c r="N333" s="307">
        <v>0</v>
      </c>
      <c r="O333" s="307">
        <v>0</v>
      </c>
      <c r="P333" s="307">
        <v>0</v>
      </c>
      <c r="Q333" s="660">
        <f t="shared" si="103"/>
        <v>0</v>
      </c>
    </row>
    <row r="334" spans="3:17" ht="24" customHeight="1">
      <c r="C334" s="658" t="s">
        <v>635</v>
      </c>
      <c r="D334" s="271"/>
      <c r="E334" s="659">
        <f t="shared" ref="E334:P334" si="104">E338+E336+E337+E339+E340+E341</f>
        <v>242.24448979493124</v>
      </c>
      <c r="F334" s="659">
        <f t="shared" si="104"/>
        <v>274.73905422681656</v>
      </c>
      <c r="G334" s="659">
        <f t="shared" si="104"/>
        <v>283.15159483165041</v>
      </c>
      <c r="H334" s="659">
        <f t="shared" si="104"/>
        <v>265.30616286953074</v>
      </c>
      <c r="I334" s="659">
        <f t="shared" si="104"/>
        <v>261.8682752719746</v>
      </c>
      <c r="J334" s="659">
        <f t="shared" si="104"/>
        <v>269.81214523406425</v>
      </c>
      <c r="K334" s="659">
        <f t="shared" si="104"/>
        <v>293.26181979348405</v>
      </c>
      <c r="L334" s="659">
        <f t="shared" si="104"/>
        <v>295.66809260252683</v>
      </c>
      <c r="M334" s="659">
        <f t="shared" si="104"/>
        <v>308.31181365851432</v>
      </c>
      <c r="N334" s="659">
        <f t="shared" si="104"/>
        <v>311.31727997282167</v>
      </c>
      <c r="O334" s="659">
        <f t="shared" si="104"/>
        <v>277.56519736314021</v>
      </c>
      <c r="P334" s="659">
        <f t="shared" si="104"/>
        <v>313.85252274284278</v>
      </c>
      <c r="Q334" s="660">
        <f t="shared" si="103"/>
        <v>3397.0984483622979</v>
      </c>
    </row>
    <row r="335" spans="3:17">
      <c r="C335" s="665" t="s">
        <v>699</v>
      </c>
      <c r="D335" s="271"/>
      <c r="E335" s="659"/>
      <c r="F335" s="659"/>
      <c r="G335" s="659"/>
      <c r="H335" s="659"/>
      <c r="I335" s="659"/>
      <c r="J335" s="659"/>
      <c r="K335" s="659"/>
      <c r="L335" s="659"/>
      <c r="M335" s="659"/>
      <c r="N335" s="659"/>
      <c r="O335" s="659"/>
      <c r="P335" s="659"/>
      <c r="Q335" s="660"/>
    </row>
    <row r="336" spans="3:17">
      <c r="C336" s="665" t="s">
        <v>914</v>
      </c>
      <c r="D336" s="271"/>
      <c r="E336" s="307">
        <v>31.412870798277194</v>
      </c>
      <c r="F336" s="307">
        <v>34.93316759069122</v>
      </c>
      <c r="G336" s="307">
        <v>37.596241575392916</v>
      </c>
      <c r="H336" s="307">
        <v>38.12215410677959</v>
      </c>
      <c r="I336" s="307">
        <v>41.481033832685817</v>
      </c>
      <c r="J336" s="307">
        <v>42.797175379213918</v>
      </c>
      <c r="K336" s="307">
        <v>41.688394132150428</v>
      </c>
      <c r="L336" s="307">
        <v>43.079557564482151</v>
      </c>
      <c r="M336" s="307">
        <v>48.760565654644466</v>
      </c>
      <c r="N336" s="307">
        <v>47.438495521746091</v>
      </c>
      <c r="O336" s="307">
        <v>39.19576508761665</v>
      </c>
      <c r="P336" s="307">
        <v>45.00363709092138</v>
      </c>
      <c r="Q336" s="660">
        <f t="shared" si="103"/>
        <v>491.50905833460178</v>
      </c>
    </row>
    <row r="337" spans="3:17">
      <c r="C337" s="665" t="s">
        <v>915</v>
      </c>
      <c r="D337" s="271"/>
      <c r="E337" s="307">
        <v>44.112746887072809</v>
      </c>
      <c r="F337" s="307">
        <v>49.605384078946408</v>
      </c>
      <c r="G337" s="307">
        <v>55.611275197786213</v>
      </c>
      <c r="H337" s="307">
        <v>50.01284989226594</v>
      </c>
      <c r="I337" s="307">
        <v>59.290661846494345</v>
      </c>
      <c r="J337" s="307">
        <v>60.005127046360755</v>
      </c>
      <c r="K337" s="307">
        <v>60.438012450974597</v>
      </c>
      <c r="L337" s="307">
        <v>60.55553088309086</v>
      </c>
      <c r="M337" s="307">
        <v>66.946370847594395</v>
      </c>
      <c r="N337" s="307">
        <v>65.162088741984817</v>
      </c>
      <c r="O337" s="307">
        <v>54.318125575094278</v>
      </c>
      <c r="P337" s="307">
        <v>62.460138918174394</v>
      </c>
      <c r="Q337" s="660">
        <f t="shared" si="103"/>
        <v>688.51831236583985</v>
      </c>
    </row>
    <row r="338" spans="3:17">
      <c r="C338" s="665" t="s">
        <v>916</v>
      </c>
      <c r="D338" s="271"/>
      <c r="E338" s="307">
        <v>9.5344931799732393</v>
      </c>
      <c r="F338" s="307">
        <v>14.415530737010199</v>
      </c>
      <c r="G338" s="307">
        <v>16.574305898417947</v>
      </c>
      <c r="H338" s="307">
        <v>19.581857466756258</v>
      </c>
      <c r="I338" s="307">
        <v>21.562343670552323</v>
      </c>
      <c r="J338" s="307">
        <v>22.725794099300483</v>
      </c>
      <c r="K338" s="307">
        <v>19.742552689576797</v>
      </c>
      <c r="L338" s="307">
        <v>22.311718425409374</v>
      </c>
      <c r="M338" s="307">
        <v>20.373608911870267</v>
      </c>
      <c r="N338" s="307">
        <v>18.31156713949964</v>
      </c>
      <c r="O338" s="307">
        <v>14.960971673698612</v>
      </c>
      <c r="P338" s="307">
        <v>17.061754889885794</v>
      </c>
      <c r="Q338" s="660">
        <f>SUM(E338:P338)</f>
        <v>217.15649878195094</v>
      </c>
    </row>
    <row r="339" spans="3:17">
      <c r="C339" s="665" t="s">
        <v>592</v>
      </c>
      <c r="D339" s="271"/>
      <c r="E339" s="307">
        <v>3.802732451154438</v>
      </c>
      <c r="F339" s="307">
        <v>4.3415204712995852</v>
      </c>
      <c r="G339" s="307">
        <v>4.2690268372174849</v>
      </c>
      <c r="H339" s="307">
        <v>3.765227205403217</v>
      </c>
      <c r="I339" s="307">
        <v>3.7477968162387336</v>
      </c>
      <c r="J339" s="307">
        <v>3.5227610819909834</v>
      </c>
      <c r="K339" s="307">
        <v>3.3535024256937365</v>
      </c>
      <c r="L339" s="307">
        <v>2.7564954051122577</v>
      </c>
      <c r="M339" s="307">
        <v>2.4805969236052547</v>
      </c>
      <c r="N339" s="307">
        <v>2.308603294519592</v>
      </c>
      <c r="O339" s="307">
        <v>2.2876529571248603</v>
      </c>
      <c r="P339" s="307">
        <v>3.1326314706927874</v>
      </c>
      <c r="Q339" s="660">
        <f t="shared" si="103"/>
        <v>39.768547340052926</v>
      </c>
    </row>
    <row r="340" spans="3:17">
      <c r="C340" s="665" t="s">
        <v>702</v>
      </c>
      <c r="D340" s="271"/>
      <c r="E340" s="307">
        <v>0</v>
      </c>
      <c r="F340" s="307">
        <v>0</v>
      </c>
      <c r="G340" s="307">
        <v>0</v>
      </c>
      <c r="H340" s="307">
        <v>0</v>
      </c>
      <c r="I340" s="307">
        <v>0</v>
      </c>
      <c r="J340" s="307">
        <v>0</v>
      </c>
      <c r="K340" s="307">
        <v>0</v>
      </c>
      <c r="L340" s="307">
        <v>0</v>
      </c>
      <c r="M340" s="307">
        <v>0</v>
      </c>
      <c r="N340" s="307">
        <v>0</v>
      </c>
      <c r="O340" s="307">
        <v>0</v>
      </c>
      <c r="P340" s="307">
        <v>0</v>
      </c>
      <c r="Q340" s="660">
        <f t="shared" si="103"/>
        <v>0</v>
      </c>
    </row>
    <row r="341" spans="3:17">
      <c r="C341" s="665" t="s">
        <v>703</v>
      </c>
      <c r="D341" s="271"/>
      <c r="E341" s="307">
        <v>153.38164647845355</v>
      </c>
      <c r="F341" s="307">
        <v>171.44345134886913</v>
      </c>
      <c r="G341" s="307">
        <v>169.10074532283585</v>
      </c>
      <c r="H341" s="307">
        <v>153.82407419832572</v>
      </c>
      <c r="I341" s="307">
        <v>135.78643910600337</v>
      </c>
      <c r="J341" s="307">
        <v>140.7612876271981</v>
      </c>
      <c r="K341" s="307">
        <v>168.03935809508852</v>
      </c>
      <c r="L341" s="307">
        <v>166.96479032443216</v>
      </c>
      <c r="M341" s="307">
        <v>169.75067132079997</v>
      </c>
      <c r="N341" s="307">
        <v>178.09652527507154</v>
      </c>
      <c r="O341" s="307">
        <v>166.80268206960582</v>
      </c>
      <c r="P341" s="307">
        <v>186.19436037316839</v>
      </c>
      <c r="Q341" s="660">
        <f t="shared" si="103"/>
        <v>1960.1460315398524</v>
      </c>
    </row>
    <row r="342" spans="3:17" ht="15.75" customHeight="1">
      <c r="C342" s="658" t="s">
        <v>636</v>
      </c>
      <c r="D342" s="271"/>
      <c r="E342" s="659">
        <f t="shared" ref="E342:P342" si="105">E343+E345+E346</f>
        <v>0</v>
      </c>
      <c r="F342" s="659">
        <f t="shared" si="105"/>
        <v>0</v>
      </c>
      <c r="G342" s="659">
        <f t="shared" si="105"/>
        <v>0</v>
      </c>
      <c r="H342" s="659">
        <f t="shared" si="105"/>
        <v>0</v>
      </c>
      <c r="I342" s="659">
        <f t="shared" si="105"/>
        <v>0</v>
      </c>
      <c r="J342" s="659">
        <f t="shared" si="105"/>
        <v>0</v>
      </c>
      <c r="K342" s="659">
        <f t="shared" si="105"/>
        <v>0</v>
      </c>
      <c r="L342" s="659">
        <f t="shared" si="105"/>
        <v>0</v>
      </c>
      <c r="M342" s="659">
        <f t="shared" si="105"/>
        <v>0</v>
      </c>
      <c r="N342" s="659">
        <f t="shared" si="105"/>
        <v>0</v>
      </c>
      <c r="O342" s="659">
        <f t="shared" si="105"/>
        <v>0</v>
      </c>
      <c r="P342" s="659">
        <f t="shared" si="105"/>
        <v>0</v>
      </c>
      <c r="Q342" s="660">
        <f t="shared" si="103"/>
        <v>0</v>
      </c>
    </row>
    <row r="343" spans="3:17" ht="15.75" customHeight="1">
      <c r="C343" s="396" t="s">
        <v>637</v>
      </c>
      <c r="D343" s="271"/>
      <c r="E343" s="307">
        <v>0</v>
      </c>
      <c r="F343" s="307">
        <v>0</v>
      </c>
      <c r="G343" s="307">
        <v>0</v>
      </c>
      <c r="H343" s="307">
        <v>0</v>
      </c>
      <c r="I343" s="307">
        <v>0</v>
      </c>
      <c r="J343" s="307">
        <v>0</v>
      </c>
      <c r="K343" s="307">
        <v>0</v>
      </c>
      <c r="L343" s="307">
        <v>0</v>
      </c>
      <c r="M343" s="307">
        <v>0</v>
      </c>
      <c r="N343" s="307">
        <v>0</v>
      </c>
      <c r="O343" s="307">
        <v>0</v>
      </c>
      <c r="P343" s="307">
        <v>0</v>
      </c>
      <c r="Q343" s="660">
        <f t="shared" si="103"/>
        <v>0</v>
      </c>
    </row>
    <row r="344" spans="3:17" ht="15.75" customHeight="1">
      <c r="C344" s="680" t="s">
        <v>687</v>
      </c>
      <c r="D344" s="271"/>
      <c r="E344" s="307">
        <v>0</v>
      </c>
      <c r="F344" s="307">
        <v>0</v>
      </c>
      <c r="G344" s="307">
        <v>0</v>
      </c>
      <c r="H344" s="307">
        <v>0</v>
      </c>
      <c r="I344" s="307">
        <v>0</v>
      </c>
      <c r="J344" s="307">
        <v>0</v>
      </c>
      <c r="K344" s="307">
        <v>0</v>
      </c>
      <c r="L344" s="307">
        <v>0</v>
      </c>
      <c r="M344" s="307">
        <v>0</v>
      </c>
      <c r="N344" s="307">
        <v>0</v>
      </c>
      <c r="O344" s="307">
        <v>0</v>
      </c>
      <c r="P344" s="307">
        <v>0</v>
      </c>
      <c r="Q344" s="660">
        <f t="shared" si="103"/>
        <v>0</v>
      </c>
    </row>
    <row r="345" spans="3:17" ht="15.75" customHeight="1">
      <c r="C345" s="396" t="s">
        <v>638</v>
      </c>
      <c r="D345" s="271"/>
      <c r="E345" s="307">
        <v>0</v>
      </c>
      <c r="F345" s="307">
        <v>0</v>
      </c>
      <c r="G345" s="307">
        <v>0</v>
      </c>
      <c r="H345" s="307">
        <v>0</v>
      </c>
      <c r="I345" s="307">
        <v>0</v>
      </c>
      <c r="J345" s="307">
        <v>0</v>
      </c>
      <c r="K345" s="307">
        <v>0</v>
      </c>
      <c r="L345" s="307">
        <v>0</v>
      </c>
      <c r="M345" s="307">
        <v>0</v>
      </c>
      <c r="N345" s="307">
        <v>0</v>
      </c>
      <c r="O345" s="307">
        <v>0</v>
      </c>
      <c r="P345" s="307">
        <v>0</v>
      </c>
      <c r="Q345" s="660">
        <f t="shared" si="103"/>
        <v>0</v>
      </c>
    </row>
    <row r="346" spans="3:17" ht="15.75" customHeight="1">
      <c r="C346" s="396" t="s">
        <v>642</v>
      </c>
      <c r="D346" s="271"/>
      <c r="E346" s="307">
        <v>0</v>
      </c>
      <c r="F346" s="307">
        <v>0</v>
      </c>
      <c r="G346" s="307">
        <v>0</v>
      </c>
      <c r="H346" s="307">
        <v>0</v>
      </c>
      <c r="I346" s="307">
        <v>0</v>
      </c>
      <c r="J346" s="307">
        <v>0</v>
      </c>
      <c r="K346" s="307">
        <v>0</v>
      </c>
      <c r="L346" s="307">
        <v>0</v>
      </c>
      <c r="M346" s="307">
        <v>0</v>
      </c>
      <c r="N346" s="307">
        <v>0</v>
      </c>
      <c r="O346" s="307">
        <v>0</v>
      </c>
      <c r="P346" s="307">
        <v>0</v>
      </c>
      <c r="Q346" s="660">
        <f t="shared" si="103"/>
        <v>0</v>
      </c>
    </row>
    <row r="347" spans="3:17" ht="15.75" customHeight="1">
      <c r="C347" s="658" t="s">
        <v>639</v>
      </c>
      <c r="D347" s="659"/>
      <c r="E347" s="659">
        <f>E348+E349</f>
        <v>0.33694797715811692</v>
      </c>
      <c r="F347" s="659">
        <f t="shared" ref="F347:P347" si="106">F348+F349</f>
        <v>0.35485105600824396</v>
      </c>
      <c r="G347" s="659">
        <f t="shared" si="106"/>
        <v>0.34846818043814798</v>
      </c>
      <c r="H347" s="659">
        <f t="shared" si="106"/>
        <v>8.1189962422596871</v>
      </c>
      <c r="I347" s="659">
        <f t="shared" si="106"/>
        <v>46.743203342646126</v>
      </c>
      <c r="J347" s="659">
        <f t="shared" si="106"/>
        <v>62.476512935098881</v>
      </c>
      <c r="K347" s="659">
        <f t="shared" si="106"/>
        <v>68.30637999999999</v>
      </c>
      <c r="L347" s="659">
        <f t="shared" si="106"/>
        <v>56.703227352915761</v>
      </c>
      <c r="M347" s="659">
        <f t="shared" si="106"/>
        <v>2.2848443071544038</v>
      </c>
      <c r="N347" s="659">
        <f t="shared" si="106"/>
        <v>0.37099684894091323</v>
      </c>
      <c r="O347" s="659">
        <f t="shared" si="106"/>
        <v>0.38736412070748194</v>
      </c>
      <c r="P347" s="659">
        <f t="shared" si="106"/>
        <v>0.39234113675339771</v>
      </c>
      <c r="Q347" s="660">
        <f t="shared" si="103"/>
        <v>246.8241335000811</v>
      </c>
    </row>
    <row r="348" spans="3:17" ht="15.75" customHeight="1">
      <c r="C348" s="396" t="s">
        <v>640</v>
      </c>
      <c r="D348" s="271"/>
      <c r="E348" s="307">
        <v>0</v>
      </c>
      <c r="F348" s="307">
        <v>0</v>
      </c>
      <c r="G348" s="307">
        <v>0</v>
      </c>
      <c r="H348" s="307">
        <v>0</v>
      </c>
      <c r="I348" s="307">
        <v>0</v>
      </c>
      <c r="J348" s="307">
        <v>0</v>
      </c>
      <c r="K348" s="307">
        <v>0</v>
      </c>
      <c r="L348" s="307">
        <v>0</v>
      </c>
      <c r="M348" s="307">
        <v>0</v>
      </c>
      <c r="N348" s="307">
        <v>0</v>
      </c>
      <c r="O348" s="307">
        <v>0</v>
      </c>
      <c r="P348" s="307">
        <v>0</v>
      </c>
      <c r="Q348" s="660">
        <f t="shared" si="103"/>
        <v>0</v>
      </c>
    </row>
    <row r="349" spans="3:17" ht="15.75" customHeight="1">
      <c r="C349" s="396" t="s">
        <v>641</v>
      </c>
      <c r="D349" s="271"/>
      <c r="E349" s="307">
        <v>0.33694797715811692</v>
      </c>
      <c r="F349" s="307">
        <v>0.35485105600824396</v>
      </c>
      <c r="G349" s="307">
        <v>0.34846818043814798</v>
      </c>
      <c r="H349" s="307">
        <v>8.1189962422596871</v>
      </c>
      <c r="I349" s="307">
        <v>46.743203342646126</v>
      </c>
      <c r="J349" s="307">
        <v>62.476512935098881</v>
      </c>
      <c r="K349" s="307">
        <v>68.30637999999999</v>
      </c>
      <c r="L349" s="307">
        <v>56.703227352915761</v>
      </c>
      <c r="M349" s="307">
        <v>2.2848443071544038</v>
      </c>
      <c r="N349" s="307">
        <v>0.37099684894091323</v>
      </c>
      <c r="O349" s="307">
        <v>0.38736412070748194</v>
      </c>
      <c r="P349" s="307">
        <v>0.39234113675339771</v>
      </c>
      <c r="Q349" s="660">
        <f t="shared" si="103"/>
        <v>246.8241335000811</v>
      </c>
    </row>
    <row r="350" spans="3:17">
      <c r="C350" s="393" t="s">
        <v>643</v>
      </c>
      <c r="D350" s="271"/>
      <c r="E350" s="528">
        <f>E250+E276+E300+E325</f>
        <v>1130.594348250235</v>
      </c>
      <c r="F350" s="528">
        <f t="shared" ref="F350:P350" si="107">F250+F276+F300+F325</f>
        <v>1209.2921614490263</v>
      </c>
      <c r="G350" s="528">
        <f t="shared" si="107"/>
        <v>1228.8253210523785</v>
      </c>
      <c r="H350" s="528">
        <f t="shared" si="107"/>
        <v>1223.9119832893643</v>
      </c>
      <c r="I350" s="528">
        <f t="shared" si="107"/>
        <v>1262.212681903791</v>
      </c>
      <c r="J350" s="528">
        <f t="shared" si="107"/>
        <v>1270.7025936882128</v>
      </c>
      <c r="K350" s="528">
        <f t="shared" si="107"/>
        <v>1297.0408904973519</v>
      </c>
      <c r="L350" s="528">
        <f t="shared" si="107"/>
        <v>1259.8785345366382</v>
      </c>
      <c r="M350" s="528">
        <f t="shared" si="107"/>
        <v>1253.4474353414935</v>
      </c>
      <c r="N350" s="528">
        <f t="shared" si="107"/>
        <v>1218.1339926958897</v>
      </c>
      <c r="O350" s="528">
        <f t="shared" si="107"/>
        <v>1173.2057297115357</v>
      </c>
      <c r="P350" s="528">
        <f t="shared" si="107"/>
        <v>1313.2532966787735</v>
      </c>
      <c r="Q350" s="529">
        <f>SUM(E350:P350)</f>
        <v>14840.49896909469</v>
      </c>
    </row>
    <row r="351" spans="3:17" ht="13.5" thickBot="1">
      <c r="C351" s="669" t="s">
        <v>661</v>
      </c>
      <c r="D351" s="531"/>
      <c r="E351" s="280">
        <f>E247+E350</f>
        <v>2498.5194610381714</v>
      </c>
      <c r="F351" s="280">
        <f t="shared" ref="F351:P351" si="108">F247+F350</f>
        <v>2610.3310229803428</v>
      </c>
      <c r="G351" s="280">
        <f t="shared" si="108"/>
        <v>2730.9643562252013</v>
      </c>
      <c r="H351" s="280">
        <f t="shared" si="108"/>
        <v>2527.1713428331964</v>
      </c>
      <c r="I351" s="280">
        <f t="shared" si="108"/>
        <v>2561.2793506714338</v>
      </c>
      <c r="J351" s="280">
        <f t="shared" si="108"/>
        <v>2551.5564039016854</v>
      </c>
      <c r="K351" s="280">
        <f t="shared" si="108"/>
        <v>2530.6060352270479</v>
      </c>
      <c r="L351" s="280">
        <f t="shared" si="108"/>
        <v>2452.7637103146053</v>
      </c>
      <c r="M351" s="280">
        <f t="shared" si="108"/>
        <v>2319.3242328415395</v>
      </c>
      <c r="N351" s="280">
        <f t="shared" si="108"/>
        <v>2286.2675787709204</v>
      </c>
      <c r="O351" s="280">
        <f t="shared" si="108"/>
        <v>2276.4285535364806</v>
      </c>
      <c r="P351" s="280">
        <f t="shared" si="108"/>
        <v>2508.8469229792868</v>
      </c>
      <c r="Q351" s="281">
        <f t="shared" ref="Q351" si="109">SUM(E351:P351)</f>
        <v>29854.058971319908</v>
      </c>
    </row>
    <row r="352" spans="3:17">
      <c r="C352" s="681"/>
      <c r="D352" s="682"/>
      <c r="E352" s="683"/>
      <c r="F352" s="683"/>
      <c r="G352" s="683"/>
      <c r="H352" s="683"/>
      <c r="I352" s="683"/>
      <c r="J352" s="683"/>
      <c r="K352" s="683"/>
      <c r="L352" s="683"/>
      <c r="M352" s="683"/>
      <c r="N352" s="683"/>
      <c r="O352" s="683"/>
      <c r="P352" s="683"/>
      <c r="Q352" s="684"/>
    </row>
    <row r="353" spans="3:18" hidden="1">
      <c r="C353" s="685"/>
      <c r="E353" s="452"/>
      <c r="F353" s="452"/>
      <c r="G353" s="452"/>
      <c r="H353" s="452"/>
      <c r="I353" s="452"/>
      <c r="J353" s="452"/>
      <c r="K353" s="452"/>
      <c r="L353" s="452"/>
      <c r="M353" s="452"/>
      <c r="N353" s="452"/>
      <c r="O353" s="452"/>
      <c r="P353" s="452"/>
      <c r="Q353" s="671"/>
    </row>
    <row r="354" spans="3:18" ht="20.100000000000001" hidden="1" customHeight="1" thickBot="1">
      <c r="C354" s="686" t="str">
        <f>Notes!C7</f>
        <v>FY 2025-26</v>
      </c>
      <c r="D354" s="682"/>
      <c r="E354" s="683"/>
      <c r="F354" s="683"/>
      <c r="G354" s="683"/>
      <c r="H354" s="683"/>
      <c r="I354" s="683"/>
      <c r="J354" s="683"/>
      <c r="K354" s="683"/>
      <c r="L354" s="683"/>
      <c r="M354" s="683"/>
      <c r="N354" s="683"/>
      <c r="O354" s="683"/>
      <c r="P354" s="683"/>
      <c r="Q354" s="687"/>
    </row>
    <row r="355" spans="3:18" ht="20.100000000000001" hidden="1" customHeight="1">
      <c r="C355" s="651" t="s">
        <v>673</v>
      </c>
      <c r="D355" s="377" t="s">
        <v>93</v>
      </c>
      <c r="E355" s="673" t="s">
        <v>146</v>
      </c>
      <c r="F355" s="673" t="s">
        <v>147</v>
      </c>
      <c r="G355" s="673" t="s">
        <v>148</v>
      </c>
      <c r="H355" s="673" t="s">
        <v>149</v>
      </c>
      <c r="I355" s="673" t="s">
        <v>150</v>
      </c>
      <c r="J355" s="673" t="s">
        <v>151</v>
      </c>
      <c r="K355" s="673" t="s">
        <v>152</v>
      </c>
      <c r="L355" s="673" t="s">
        <v>153</v>
      </c>
      <c r="M355" s="673" t="s">
        <v>154</v>
      </c>
      <c r="N355" s="673" t="s">
        <v>155</v>
      </c>
      <c r="O355" s="673" t="s">
        <v>156</v>
      </c>
      <c r="P355" s="673" t="s">
        <v>157</v>
      </c>
      <c r="Q355" s="674" t="s">
        <v>98</v>
      </c>
      <c r="R355" s="304" t="s">
        <v>365</v>
      </c>
    </row>
    <row r="356" spans="3:18" ht="15.95" hidden="1" customHeight="1">
      <c r="C356" s="393" t="s">
        <v>598</v>
      </c>
      <c r="D356" s="271"/>
      <c r="E356" s="528"/>
      <c r="F356" s="528"/>
      <c r="G356" s="528"/>
      <c r="H356" s="528"/>
      <c r="I356" s="528"/>
      <c r="J356" s="528"/>
      <c r="K356" s="528"/>
      <c r="L356" s="528"/>
      <c r="M356" s="528"/>
      <c r="N356" s="528"/>
      <c r="O356" s="528"/>
      <c r="P356" s="528"/>
      <c r="Q356" s="529"/>
    </row>
    <row r="357" spans="3:18" ht="15.95" hidden="1" customHeight="1">
      <c r="C357" s="274" t="s">
        <v>762</v>
      </c>
      <c r="D357" s="271"/>
      <c r="E357" s="307"/>
      <c r="F357" s="307"/>
      <c r="G357" s="307"/>
      <c r="H357" s="307"/>
      <c r="I357" s="307"/>
      <c r="J357" s="307"/>
      <c r="K357" s="307"/>
      <c r="L357" s="307"/>
      <c r="M357" s="307"/>
      <c r="N357" s="307"/>
      <c r="O357" s="307"/>
      <c r="P357" s="307"/>
      <c r="Q357" s="660">
        <f t="shared" ref="Q357:Q423" si="110">SUM(E357:P357)</f>
        <v>0</v>
      </c>
    </row>
    <row r="358" spans="3:18" ht="15.95" hidden="1" customHeight="1">
      <c r="C358" s="274" t="s">
        <v>763</v>
      </c>
      <c r="D358" s="271"/>
      <c r="E358" s="307"/>
      <c r="F358" s="307"/>
      <c r="G358" s="307"/>
      <c r="H358" s="307"/>
      <c r="I358" s="307"/>
      <c r="J358" s="307"/>
      <c r="K358" s="307"/>
      <c r="L358" s="307"/>
      <c r="M358" s="307"/>
      <c r="N358" s="307"/>
      <c r="O358" s="307"/>
      <c r="P358" s="307"/>
      <c r="Q358" s="660">
        <f t="shared" si="110"/>
        <v>0</v>
      </c>
    </row>
    <row r="359" spans="3:18" ht="15.95" hidden="1" customHeight="1">
      <c r="C359" s="274" t="s">
        <v>764</v>
      </c>
      <c r="D359" s="271"/>
      <c r="E359" s="307"/>
      <c r="F359" s="307"/>
      <c r="G359" s="307"/>
      <c r="H359" s="307"/>
      <c r="I359" s="307"/>
      <c r="J359" s="307"/>
      <c r="K359" s="307"/>
      <c r="L359" s="307"/>
      <c r="M359" s="307"/>
      <c r="N359" s="307"/>
      <c r="O359" s="307"/>
      <c r="P359" s="307"/>
      <c r="Q359" s="660">
        <f t="shared" si="110"/>
        <v>0</v>
      </c>
    </row>
    <row r="360" spans="3:18" ht="15.95" hidden="1" customHeight="1">
      <c r="C360" s="274" t="s">
        <v>632</v>
      </c>
      <c r="D360" s="271"/>
      <c r="E360" s="307"/>
      <c r="F360" s="307"/>
      <c r="G360" s="307"/>
      <c r="H360" s="307"/>
      <c r="I360" s="307"/>
      <c r="J360" s="307"/>
      <c r="K360" s="307"/>
      <c r="L360" s="307"/>
      <c r="M360" s="307"/>
      <c r="N360" s="307"/>
      <c r="O360" s="307"/>
      <c r="P360" s="307"/>
      <c r="Q360" s="660">
        <f t="shared" si="110"/>
        <v>0</v>
      </c>
    </row>
    <row r="361" spans="3:18" ht="15.95" hidden="1" customHeight="1">
      <c r="C361" s="274" t="s">
        <v>597</v>
      </c>
      <c r="D361" s="271"/>
      <c r="E361" s="307"/>
      <c r="F361" s="307"/>
      <c r="G361" s="307"/>
      <c r="H361" s="307"/>
      <c r="I361" s="307"/>
      <c r="J361" s="307"/>
      <c r="K361" s="307"/>
      <c r="L361" s="307"/>
      <c r="M361" s="307"/>
      <c r="N361" s="307"/>
      <c r="O361" s="307"/>
      <c r="P361" s="307"/>
      <c r="Q361" s="660">
        <f t="shared" si="110"/>
        <v>0</v>
      </c>
    </row>
    <row r="362" spans="3:18" ht="15.95" hidden="1" customHeight="1">
      <c r="C362" s="274" t="s">
        <v>660</v>
      </c>
      <c r="D362" s="271"/>
      <c r="E362" s="307"/>
      <c r="F362" s="307"/>
      <c r="G362" s="307"/>
      <c r="H362" s="307"/>
      <c r="I362" s="307"/>
      <c r="J362" s="307"/>
      <c r="K362" s="307"/>
      <c r="L362" s="307"/>
      <c r="M362" s="307"/>
      <c r="N362" s="307"/>
      <c r="O362" s="307"/>
      <c r="P362" s="307"/>
      <c r="Q362" s="660">
        <f t="shared" si="110"/>
        <v>0</v>
      </c>
    </row>
    <row r="363" spans="3:18" ht="15.95" hidden="1" customHeight="1">
      <c r="C363" s="274" t="s">
        <v>659</v>
      </c>
      <c r="D363" s="271"/>
      <c r="E363" s="307"/>
      <c r="F363" s="307"/>
      <c r="G363" s="307"/>
      <c r="H363" s="307"/>
      <c r="I363" s="307"/>
      <c r="J363" s="307"/>
      <c r="K363" s="307"/>
      <c r="L363" s="307"/>
      <c r="M363" s="307"/>
      <c r="N363" s="307"/>
      <c r="O363" s="307"/>
      <c r="P363" s="307"/>
      <c r="Q363" s="660">
        <f t="shared" si="110"/>
        <v>0</v>
      </c>
    </row>
    <row r="364" spans="3:18" ht="15.95" hidden="1" customHeight="1">
      <c r="C364" s="658" t="s">
        <v>600</v>
      </c>
      <c r="D364" s="271"/>
      <c r="E364" s="659">
        <f>SUM(E357:E361)</f>
        <v>0</v>
      </c>
      <c r="F364" s="659">
        <f t="shared" ref="F364:P364" si="111">SUM(F357:F361)</f>
        <v>0</v>
      </c>
      <c r="G364" s="659">
        <f t="shared" si="111"/>
        <v>0</v>
      </c>
      <c r="H364" s="659">
        <f t="shared" si="111"/>
        <v>0</v>
      </c>
      <c r="I364" s="659">
        <f t="shared" si="111"/>
        <v>0</v>
      </c>
      <c r="J364" s="659">
        <f t="shared" si="111"/>
        <v>0</v>
      </c>
      <c r="K364" s="659">
        <f t="shared" si="111"/>
        <v>0</v>
      </c>
      <c r="L364" s="659">
        <f t="shared" si="111"/>
        <v>0</v>
      </c>
      <c r="M364" s="659">
        <f t="shared" si="111"/>
        <v>0</v>
      </c>
      <c r="N364" s="659">
        <f t="shared" si="111"/>
        <v>0</v>
      </c>
      <c r="O364" s="659">
        <f t="shared" si="111"/>
        <v>0</v>
      </c>
      <c r="P364" s="659">
        <f t="shared" si="111"/>
        <v>0</v>
      </c>
      <c r="Q364" s="660">
        <f t="shared" si="110"/>
        <v>0</v>
      </c>
    </row>
    <row r="365" spans="3:18" ht="15.95" hidden="1" customHeight="1">
      <c r="C365" s="392"/>
      <c r="D365" s="271"/>
      <c r="E365" s="307"/>
      <c r="F365" s="307"/>
      <c r="G365" s="307"/>
      <c r="H365" s="307"/>
      <c r="I365" s="307"/>
      <c r="J365" s="307"/>
      <c r="K365" s="307"/>
      <c r="L365" s="307"/>
      <c r="M365" s="307"/>
      <c r="N365" s="307"/>
      <c r="O365" s="307"/>
      <c r="P365" s="307"/>
      <c r="Q365" s="660">
        <f t="shared" si="110"/>
        <v>0</v>
      </c>
    </row>
    <row r="366" spans="3:18" ht="15.95" hidden="1" customHeight="1">
      <c r="C366" s="393" t="s">
        <v>601</v>
      </c>
      <c r="D366" s="271"/>
      <c r="E366" s="528"/>
      <c r="F366" s="528"/>
      <c r="G366" s="528"/>
      <c r="H366" s="528"/>
      <c r="I366" s="528"/>
      <c r="J366" s="528"/>
      <c r="K366" s="528"/>
      <c r="L366" s="528"/>
      <c r="M366" s="528"/>
      <c r="N366" s="528"/>
      <c r="O366" s="528"/>
      <c r="P366" s="528"/>
      <c r="Q366" s="660">
        <f t="shared" si="110"/>
        <v>0</v>
      </c>
    </row>
    <row r="367" spans="3:18" ht="15.95" hidden="1" customHeight="1">
      <c r="C367" s="662" t="s">
        <v>602</v>
      </c>
      <c r="D367" s="663"/>
      <c r="E367" s="663">
        <f>E368+E370+E377+E385+E390+E396</f>
        <v>0</v>
      </c>
      <c r="F367" s="663">
        <f t="shared" ref="F367:P367" si="112">F368+F370+F377+F385+F390+F396</f>
        <v>0</v>
      </c>
      <c r="G367" s="663">
        <f t="shared" si="112"/>
        <v>0</v>
      </c>
      <c r="H367" s="663">
        <f t="shared" si="112"/>
        <v>0</v>
      </c>
      <c r="I367" s="663">
        <f t="shared" si="112"/>
        <v>0</v>
      </c>
      <c r="J367" s="663">
        <f t="shared" si="112"/>
        <v>0</v>
      </c>
      <c r="K367" s="663">
        <f t="shared" si="112"/>
        <v>0</v>
      </c>
      <c r="L367" s="663">
        <f t="shared" si="112"/>
        <v>0</v>
      </c>
      <c r="M367" s="663">
        <f t="shared" si="112"/>
        <v>0</v>
      </c>
      <c r="N367" s="663">
        <f t="shared" si="112"/>
        <v>0</v>
      </c>
      <c r="O367" s="663">
        <f t="shared" si="112"/>
        <v>0</v>
      </c>
      <c r="P367" s="663">
        <f t="shared" si="112"/>
        <v>0</v>
      </c>
      <c r="Q367" s="664">
        <f t="shared" si="110"/>
        <v>0</v>
      </c>
    </row>
    <row r="368" spans="3:18" ht="20.100000000000001" hidden="1" customHeight="1">
      <c r="C368" s="658" t="s">
        <v>712</v>
      </c>
      <c r="D368" s="659"/>
      <c r="E368" s="659">
        <f>E369</f>
        <v>0</v>
      </c>
      <c r="F368" s="659">
        <f t="shared" ref="F368:P368" si="113">F369</f>
        <v>0</v>
      </c>
      <c r="G368" s="659">
        <f t="shared" si="113"/>
        <v>0</v>
      </c>
      <c r="H368" s="659">
        <f t="shared" si="113"/>
        <v>0</v>
      </c>
      <c r="I368" s="659">
        <f t="shared" si="113"/>
        <v>0</v>
      </c>
      <c r="J368" s="659">
        <f t="shared" si="113"/>
        <v>0</v>
      </c>
      <c r="K368" s="659">
        <f t="shared" si="113"/>
        <v>0</v>
      </c>
      <c r="L368" s="659">
        <f t="shared" si="113"/>
        <v>0</v>
      </c>
      <c r="M368" s="659">
        <f t="shared" si="113"/>
        <v>0</v>
      </c>
      <c r="N368" s="659">
        <f t="shared" si="113"/>
        <v>0</v>
      </c>
      <c r="O368" s="659">
        <f t="shared" si="113"/>
        <v>0</v>
      </c>
      <c r="P368" s="659">
        <f t="shared" si="113"/>
        <v>0</v>
      </c>
      <c r="Q368" s="660">
        <f t="shared" si="110"/>
        <v>0</v>
      </c>
    </row>
    <row r="369" spans="3:17" ht="15.95" hidden="1" customHeight="1">
      <c r="C369" s="665" t="s">
        <v>713</v>
      </c>
      <c r="D369" s="271"/>
      <c r="E369" s="307"/>
      <c r="F369" s="307"/>
      <c r="G369" s="307"/>
      <c r="H369" s="307"/>
      <c r="I369" s="307"/>
      <c r="J369" s="307"/>
      <c r="K369" s="307"/>
      <c r="L369" s="307"/>
      <c r="M369" s="307"/>
      <c r="N369" s="307"/>
      <c r="O369" s="307"/>
      <c r="P369" s="307"/>
      <c r="Q369" s="660">
        <f t="shared" si="110"/>
        <v>0</v>
      </c>
    </row>
    <row r="370" spans="3:17" ht="20.100000000000001" hidden="1" customHeight="1">
      <c r="C370" s="658" t="s">
        <v>695</v>
      </c>
      <c r="D370" s="659"/>
      <c r="E370" s="659">
        <f>SUM(E371:E376)</f>
        <v>0</v>
      </c>
      <c r="F370" s="659">
        <f t="shared" ref="F370:P370" si="114">SUM(F371:F376)</f>
        <v>0</v>
      </c>
      <c r="G370" s="659">
        <f t="shared" si="114"/>
        <v>0</v>
      </c>
      <c r="H370" s="659">
        <f t="shared" si="114"/>
        <v>0</v>
      </c>
      <c r="I370" s="659">
        <f t="shared" si="114"/>
        <v>0</v>
      </c>
      <c r="J370" s="659">
        <f t="shared" si="114"/>
        <v>0</v>
      </c>
      <c r="K370" s="659">
        <f t="shared" si="114"/>
        <v>0</v>
      </c>
      <c r="L370" s="659">
        <f t="shared" si="114"/>
        <v>0</v>
      </c>
      <c r="M370" s="659">
        <f t="shared" si="114"/>
        <v>0</v>
      </c>
      <c r="N370" s="659">
        <f t="shared" si="114"/>
        <v>0</v>
      </c>
      <c r="O370" s="659">
        <f t="shared" si="114"/>
        <v>0</v>
      </c>
      <c r="P370" s="659">
        <f t="shared" si="114"/>
        <v>0</v>
      </c>
      <c r="Q370" s="660">
        <f t="shared" si="110"/>
        <v>0</v>
      </c>
    </row>
    <row r="371" spans="3:17" ht="15.95" hidden="1" customHeight="1">
      <c r="C371" s="665" t="s">
        <v>986</v>
      </c>
      <c r="D371" s="271"/>
      <c r="E371" s="307"/>
      <c r="F371" s="307"/>
      <c r="G371" s="307"/>
      <c r="H371" s="307"/>
      <c r="I371" s="307"/>
      <c r="J371" s="307"/>
      <c r="K371" s="307"/>
      <c r="L371" s="307"/>
      <c r="M371" s="307"/>
      <c r="N371" s="307"/>
      <c r="O371" s="307"/>
      <c r="P371" s="307"/>
      <c r="Q371" s="660">
        <f t="shared" si="110"/>
        <v>0</v>
      </c>
    </row>
    <row r="372" spans="3:17" ht="15.95" hidden="1" customHeight="1">
      <c r="C372" s="665" t="s">
        <v>697</v>
      </c>
      <c r="D372" s="271"/>
      <c r="E372" s="307"/>
      <c r="F372" s="307"/>
      <c r="G372" s="307"/>
      <c r="H372" s="307"/>
      <c r="I372" s="307"/>
      <c r="J372" s="307"/>
      <c r="K372" s="307"/>
      <c r="L372" s="307"/>
      <c r="M372" s="307"/>
      <c r="N372" s="307"/>
      <c r="O372" s="307"/>
      <c r="P372" s="307"/>
      <c r="Q372" s="660">
        <f t="shared" si="110"/>
        <v>0</v>
      </c>
    </row>
    <row r="373" spans="3:17" ht="15.95" hidden="1" customHeight="1">
      <c r="C373" s="665" t="s">
        <v>987</v>
      </c>
      <c r="D373" s="271"/>
      <c r="E373" s="307"/>
      <c r="F373" s="307"/>
      <c r="G373" s="307"/>
      <c r="H373" s="307"/>
      <c r="I373" s="307"/>
      <c r="J373" s="307"/>
      <c r="K373" s="307"/>
      <c r="L373" s="307"/>
      <c r="M373" s="307"/>
      <c r="N373" s="307"/>
      <c r="O373" s="307"/>
      <c r="P373" s="307"/>
      <c r="Q373" s="660">
        <f t="shared" si="110"/>
        <v>0</v>
      </c>
    </row>
    <row r="374" spans="3:17" ht="15.95" hidden="1" customHeight="1">
      <c r="C374" s="665" t="s">
        <v>683</v>
      </c>
      <c r="D374" s="271"/>
      <c r="E374" s="307"/>
      <c r="F374" s="307"/>
      <c r="G374" s="307"/>
      <c r="H374" s="307"/>
      <c r="I374" s="307"/>
      <c r="J374" s="307"/>
      <c r="K374" s="307"/>
      <c r="L374" s="307"/>
      <c r="M374" s="307"/>
      <c r="N374" s="307"/>
      <c r="O374" s="307"/>
      <c r="P374" s="307"/>
      <c r="Q374" s="660">
        <f t="shared" si="110"/>
        <v>0</v>
      </c>
    </row>
    <row r="375" spans="3:17" ht="15.95" hidden="1" customHeight="1">
      <c r="C375" s="665" t="s">
        <v>684</v>
      </c>
      <c r="D375" s="271"/>
      <c r="E375" s="307"/>
      <c r="F375" s="307"/>
      <c r="G375" s="307"/>
      <c r="H375" s="307"/>
      <c r="I375" s="307"/>
      <c r="J375" s="307"/>
      <c r="K375" s="307"/>
      <c r="L375" s="307"/>
      <c r="M375" s="307"/>
      <c r="N375" s="307"/>
      <c r="O375" s="307"/>
      <c r="P375" s="307"/>
      <c r="Q375" s="660">
        <f t="shared" si="110"/>
        <v>0</v>
      </c>
    </row>
    <row r="376" spans="3:17" ht="18" hidden="1" customHeight="1">
      <c r="C376" s="665" t="s">
        <v>685</v>
      </c>
      <c r="D376" s="271"/>
      <c r="E376" s="307"/>
      <c r="F376" s="307"/>
      <c r="G376" s="307"/>
      <c r="H376" s="307"/>
      <c r="I376" s="307"/>
      <c r="J376" s="307"/>
      <c r="K376" s="307"/>
      <c r="L376" s="307"/>
      <c r="M376" s="307"/>
      <c r="N376" s="307"/>
      <c r="O376" s="307"/>
      <c r="P376" s="307"/>
      <c r="Q376" s="660">
        <f t="shared" si="110"/>
        <v>0</v>
      </c>
    </row>
    <row r="377" spans="3:17" ht="20.100000000000001" hidden="1" customHeight="1">
      <c r="C377" s="658" t="s">
        <v>698</v>
      </c>
      <c r="D377" s="659"/>
      <c r="E377" s="659">
        <f t="shared" ref="E377:P377" si="115">SUM(E379:E384)</f>
        <v>0</v>
      </c>
      <c r="F377" s="659">
        <f t="shared" si="115"/>
        <v>0</v>
      </c>
      <c r="G377" s="659">
        <f t="shared" si="115"/>
        <v>0</v>
      </c>
      <c r="H377" s="659">
        <f t="shared" si="115"/>
        <v>0</v>
      </c>
      <c r="I377" s="659">
        <f t="shared" si="115"/>
        <v>0</v>
      </c>
      <c r="J377" s="659">
        <f t="shared" si="115"/>
        <v>0</v>
      </c>
      <c r="K377" s="659">
        <f t="shared" si="115"/>
        <v>0</v>
      </c>
      <c r="L377" s="659">
        <f t="shared" si="115"/>
        <v>0</v>
      </c>
      <c r="M377" s="659">
        <f t="shared" si="115"/>
        <v>0</v>
      </c>
      <c r="N377" s="659">
        <f t="shared" si="115"/>
        <v>0</v>
      </c>
      <c r="O377" s="659">
        <f t="shared" si="115"/>
        <v>0</v>
      </c>
      <c r="P377" s="659">
        <f t="shared" si="115"/>
        <v>0</v>
      </c>
      <c r="Q377" s="660">
        <f t="shared" si="110"/>
        <v>0</v>
      </c>
    </row>
    <row r="378" spans="3:17" ht="20.100000000000001" hidden="1" customHeight="1">
      <c r="C378" s="665" t="s">
        <v>699</v>
      </c>
      <c r="D378" s="659"/>
      <c r="E378" s="659"/>
      <c r="F378" s="659"/>
      <c r="G378" s="659"/>
      <c r="H378" s="659"/>
      <c r="I378" s="659"/>
      <c r="J378" s="659"/>
      <c r="K378" s="659"/>
      <c r="L378" s="659"/>
      <c r="M378" s="659"/>
      <c r="N378" s="659"/>
      <c r="O378" s="659"/>
      <c r="P378" s="659"/>
      <c r="Q378" s="660"/>
    </row>
    <row r="379" spans="3:17" ht="20.100000000000001" hidden="1" customHeight="1">
      <c r="C379" s="665" t="s">
        <v>914</v>
      </c>
      <c r="D379" s="271"/>
      <c r="E379" s="307"/>
      <c r="F379" s="307"/>
      <c r="G379" s="307"/>
      <c r="H379" s="307"/>
      <c r="I379" s="307"/>
      <c r="J379" s="307"/>
      <c r="K379" s="307"/>
      <c r="L379" s="307"/>
      <c r="M379" s="307"/>
      <c r="N379" s="307"/>
      <c r="O379" s="307"/>
      <c r="P379" s="307"/>
      <c r="Q379" s="660">
        <f t="shared" si="110"/>
        <v>0</v>
      </c>
    </row>
    <row r="380" spans="3:17" ht="20.100000000000001" hidden="1" customHeight="1">
      <c r="C380" s="665" t="s">
        <v>915</v>
      </c>
      <c r="D380" s="271"/>
      <c r="E380" s="307"/>
      <c r="F380" s="307"/>
      <c r="G380" s="307"/>
      <c r="H380" s="307"/>
      <c r="I380" s="307"/>
      <c r="J380" s="307"/>
      <c r="K380" s="307"/>
      <c r="L380" s="307"/>
      <c r="M380" s="307"/>
      <c r="N380" s="307"/>
      <c r="O380" s="307"/>
      <c r="P380" s="307"/>
      <c r="Q380" s="660">
        <f t="shared" si="110"/>
        <v>0</v>
      </c>
    </row>
    <row r="381" spans="3:17" hidden="1">
      <c r="C381" s="665" t="s">
        <v>916</v>
      </c>
      <c r="D381" s="271"/>
      <c r="E381" s="307"/>
      <c r="F381" s="307"/>
      <c r="G381" s="307"/>
      <c r="H381" s="307"/>
      <c r="I381" s="307"/>
      <c r="J381" s="307"/>
      <c r="K381" s="307"/>
      <c r="L381" s="307"/>
      <c r="M381" s="307"/>
      <c r="N381" s="307"/>
      <c r="O381" s="307"/>
      <c r="P381" s="307"/>
      <c r="Q381" s="660">
        <f t="shared" si="110"/>
        <v>0</v>
      </c>
    </row>
    <row r="382" spans="3:17" ht="15.95" hidden="1" customHeight="1">
      <c r="C382" s="665" t="s">
        <v>592</v>
      </c>
      <c r="D382" s="271"/>
      <c r="E382" s="307"/>
      <c r="F382" s="307"/>
      <c r="G382" s="307"/>
      <c r="H382" s="307"/>
      <c r="I382" s="307"/>
      <c r="J382" s="307"/>
      <c r="K382" s="307"/>
      <c r="L382" s="307"/>
      <c r="M382" s="307"/>
      <c r="N382" s="307"/>
      <c r="O382" s="307"/>
      <c r="P382" s="307"/>
      <c r="Q382" s="660">
        <f t="shared" si="110"/>
        <v>0</v>
      </c>
    </row>
    <row r="383" spans="3:17" ht="15.95" hidden="1" customHeight="1">
      <c r="C383" s="665" t="s">
        <v>702</v>
      </c>
      <c r="D383" s="271"/>
      <c r="E383" s="307"/>
      <c r="F383" s="307"/>
      <c r="G383" s="307"/>
      <c r="H383" s="307"/>
      <c r="I383" s="307"/>
      <c r="J383" s="307"/>
      <c r="K383" s="307"/>
      <c r="L383" s="307"/>
      <c r="M383" s="307"/>
      <c r="N383" s="307"/>
      <c r="O383" s="307"/>
      <c r="P383" s="307"/>
      <c r="Q383" s="660">
        <f t="shared" si="110"/>
        <v>0</v>
      </c>
    </row>
    <row r="384" spans="3:17" ht="15.95" hidden="1" customHeight="1">
      <c r="C384" s="665" t="s">
        <v>703</v>
      </c>
      <c r="D384" s="271"/>
      <c r="E384" s="307"/>
      <c r="F384" s="307"/>
      <c r="G384" s="307"/>
      <c r="H384" s="307"/>
      <c r="I384" s="307"/>
      <c r="J384" s="307"/>
      <c r="K384" s="307"/>
      <c r="L384" s="307"/>
      <c r="M384" s="307"/>
      <c r="N384" s="307"/>
      <c r="O384" s="307"/>
      <c r="P384" s="307"/>
      <c r="Q384" s="660">
        <f t="shared" si="110"/>
        <v>0</v>
      </c>
    </row>
    <row r="385" spans="3:17" ht="20.100000000000001" hidden="1" customHeight="1">
      <c r="C385" s="658" t="s">
        <v>714</v>
      </c>
      <c r="D385" s="659"/>
      <c r="E385" s="659">
        <f>SUM(E386:E389)</f>
        <v>0</v>
      </c>
      <c r="F385" s="659">
        <f t="shared" ref="F385:P385" si="116">SUM(F386:F389)</f>
        <v>0</v>
      </c>
      <c r="G385" s="659">
        <f t="shared" si="116"/>
        <v>0</v>
      </c>
      <c r="H385" s="659">
        <f t="shared" si="116"/>
        <v>0</v>
      </c>
      <c r="I385" s="659">
        <f t="shared" si="116"/>
        <v>0</v>
      </c>
      <c r="J385" s="659">
        <f t="shared" si="116"/>
        <v>0</v>
      </c>
      <c r="K385" s="659">
        <f t="shared" si="116"/>
        <v>0</v>
      </c>
      <c r="L385" s="659">
        <f t="shared" si="116"/>
        <v>0</v>
      </c>
      <c r="M385" s="659">
        <f t="shared" si="116"/>
        <v>0</v>
      </c>
      <c r="N385" s="659">
        <f t="shared" si="116"/>
        <v>0</v>
      </c>
      <c r="O385" s="659">
        <f t="shared" si="116"/>
        <v>0</v>
      </c>
      <c r="P385" s="659">
        <f t="shared" si="116"/>
        <v>0</v>
      </c>
      <c r="Q385" s="660">
        <f t="shared" si="110"/>
        <v>0</v>
      </c>
    </row>
    <row r="386" spans="3:17" ht="25.5" hidden="1">
      <c r="C386" s="665" t="s">
        <v>708</v>
      </c>
      <c r="D386" s="271"/>
      <c r="E386" s="307"/>
      <c r="F386" s="307"/>
      <c r="G386" s="307"/>
      <c r="H386" s="307"/>
      <c r="I386" s="307"/>
      <c r="J386" s="307"/>
      <c r="K386" s="307"/>
      <c r="L386" s="307"/>
      <c r="M386" s="307"/>
      <c r="N386" s="307"/>
      <c r="O386" s="307"/>
      <c r="P386" s="307"/>
      <c r="Q386" s="660">
        <f t="shared" si="110"/>
        <v>0</v>
      </c>
    </row>
    <row r="387" spans="3:17" ht="15.95" hidden="1" customHeight="1">
      <c r="C387" s="665" t="s">
        <v>687</v>
      </c>
      <c r="D387" s="271"/>
      <c r="E387" s="307"/>
      <c r="F387" s="307"/>
      <c r="G387" s="307"/>
      <c r="H387" s="307"/>
      <c r="I387" s="307"/>
      <c r="J387" s="307"/>
      <c r="K387" s="307"/>
      <c r="L387" s="307"/>
      <c r="M387" s="307"/>
      <c r="N387" s="307"/>
      <c r="O387" s="307"/>
      <c r="P387" s="307"/>
      <c r="Q387" s="660">
        <f t="shared" si="110"/>
        <v>0</v>
      </c>
    </row>
    <row r="388" spans="3:17" ht="15.95" hidden="1" customHeight="1">
      <c r="C388" s="665" t="s">
        <v>688</v>
      </c>
      <c r="D388" s="271"/>
      <c r="E388" s="307"/>
      <c r="F388" s="307"/>
      <c r="G388" s="307"/>
      <c r="H388" s="307"/>
      <c r="I388" s="307"/>
      <c r="J388" s="307"/>
      <c r="K388" s="307"/>
      <c r="L388" s="307"/>
      <c r="M388" s="307"/>
      <c r="N388" s="307"/>
      <c r="O388" s="307"/>
      <c r="P388" s="307"/>
      <c r="Q388" s="660">
        <f t="shared" si="110"/>
        <v>0</v>
      </c>
    </row>
    <row r="389" spans="3:17" ht="15.95" hidden="1" customHeight="1">
      <c r="C389" s="665" t="s">
        <v>704</v>
      </c>
      <c r="D389" s="271"/>
      <c r="E389" s="307"/>
      <c r="F389" s="307"/>
      <c r="G389" s="307"/>
      <c r="H389" s="307"/>
      <c r="I389" s="307"/>
      <c r="J389" s="307"/>
      <c r="K389" s="307"/>
      <c r="L389" s="307"/>
      <c r="M389" s="307"/>
      <c r="N389" s="307"/>
      <c r="O389" s="307"/>
      <c r="P389" s="307"/>
      <c r="Q389" s="660">
        <f t="shared" si="110"/>
        <v>0</v>
      </c>
    </row>
    <row r="390" spans="3:17" ht="20.100000000000001" hidden="1" customHeight="1">
      <c r="C390" s="658" t="s">
        <v>715</v>
      </c>
      <c r="D390" s="659"/>
      <c r="E390" s="659">
        <f>E391+E392+E395</f>
        <v>0</v>
      </c>
      <c r="F390" s="659">
        <f t="shared" ref="F390:P390" si="117">F391+F392+F395</f>
        <v>0</v>
      </c>
      <c r="G390" s="659">
        <f t="shared" si="117"/>
        <v>0</v>
      </c>
      <c r="H390" s="659">
        <f t="shared" si="117"/>
        <v>0</v>
      </c>
      <c r="I390" s="659">
        <f t="shared" si="117"/>
        <v>0</v>
      </c>
      <c r="J390" s="659">
        <f t="shared" si="117"/>
        <v>0</v>
      </c>
      <c r="K390" s="659">
        <f t="shared" si="117"/>
        <v>0</v>
      </c>
      <c r="L390" s="659">
        <f t="shared" si="117"/>
        <v>0</v>
      </c>
      <c r="M390" s="659">
        <f t="shared" si="117"/>
        <v>0</v>
      </c>
      <c r="N390" s="659">
        <f t="shared" si="117"/>
        <v>0</v>
      </c>
      <c r="O390" s="659">
        <f t="shared" si="117"/>
        <v>0</v>
      </c>
      <c r="P390" s="659">
        <f t="shared" si="117"/>
        <v>0</v>
      </c>
      <c r="Q390" s="660">
        <f t="shared" si="110"/>
        <v>0</v>
      </c>
    </row>
    <row r="391" spans="3:17" hidden="1">
      <c r="C391" s="665" t="s">
        <v>692</v>
      </c>
      <c r="D391" s="271"/>
      <c r="E391" s="307"/>
      <c r="F391" s="307"/>
      <c r="G391" s="307"/>
      <c r="H391" s="307"/>
      <c r="I391" s="307"/>
      <c r="J391" s="307"/>
      <c r="K391" s="307"/>
      <c r="L391" s="307"/>
      <c r="M391" s="307"/>
      <c r="N391" s="307"/>
      <c r="O391" s="307"/>
      <c r="P391" s="307"/>
      <c r="Q391" s="660">
        <f t="shared" si="110"/>
        <v>0</v>
      </c>
    </row>
    <row r="392" spans="3:17" ht="21.75" hidden="1" customHeight="1">
      <c r="C392" s="274" t="s">
        <v>693</v>
      </c>
      <c r="D392" s="271"/>
      <c r="E392" s="307"/>
      <c r="F392" s="307"/>
      <c r="G392" s="307"/>
      <c r="H392" s="307"/>
      <c r="I392" s="307"/>
      <c r="J392" s="307"/>
      <c r="K392" s="307"/>
      <c r="L392" s="307"/>
      <c r="M392" s="307"/>
      <c r="N392" s="307"/>
      <c r="O392" s="307"/>
      <c r="P392" s="307"/>
      <c r="Q392" s="660">
        <f t="shared" si="110"/>
        <v>0</v>
      </c>
    </row>
    <row r="393" spans="3:17" ht="20.100000000000001" hidden="1" customHeight="1">
      <c r="C393" s="665" t="s">
        <v>705</v>
      </c>
      <c r="D393" s="271"/>
      <c r="E393" s="307"/>
      <c r="F393" s="307"/>
      <c r="G393" s="307"/>
      <c r="H393" s="307"/>
      <c r="I393" s="307"/>
      <c r="J393" s="307"/>
      <c r="K393" s="307"/>
      <c r="L393" s="307"/>
      <c r="M393" s="307"/>
      <c r="N393" s="307"/>
      <c r="O393" s="307"/>
      <c r="P393" s="307"/>
      <c r="Q393" s="660">
        <f t="shared" si="110"/>
        <v>0</v>
      </c>
    </row>
    <row r="394" spans="3:17" ht="20.100000000000001" hidden="1" customHeight="1">
      <c r="C394" s="665" t="s">
        <v>706</v>
      </c>
      <c r="D394" s="271"/>
      <c r="E394" s="307"/>
      <c r="F394" s="307"/>
      <c r="G394" s="307"/>
      <c r="H394" s="307"/>
      <c r="I394" s="307"/>
      <c r="J394" s="307"/>
      <c r="K394" s="307"/>
      <c r="L394" s="307"/>
      <c r="M394" s="307"/>
      <c r="N394" s="307"/>
      <c r="O394" s="307"/>
      <c r="P394" s="307"/>
      <c r="Q394" s="660">
        <f t="shared" si="110"/>
        <v>0</v>
      </c>
    </row>
    <row r="395" spans="3:17" ht="20.100000000000001" hidden="1" customHeight="1">
      <c r="C395" s="665" t="s">
        <v>707</v>
      </c>
      <c r="D395" s="271"/>
      <c r="E395" s="307"/>
      <c r="F395" s="307"/>
      <c r="G395" s="307"/>
      <c r="H395" s="307"/>
      <c r="I395" s="307"/>
      <c r="J395" s="307"/>
      <c r="K395" s="307"/>
      <c r="L395" s="307"/>
      <c r="M395" s="307"/>
      <c r="N395" s="307"/>
      <c r="O395" s="307"/>
      <c r="P395" s="307"/>
      <c r="Q395" s="660">
        <f t="shared" si="110"/>
        <v>0</v>
      </c>
    </row>
    <row r="396" spans="3:17" ht="20.100000000000001" hidden="1" customHeight="1">
      <c r="C396" s="658" t="s">
        <v>716</v>
      </c>
      <c r="D396" s="659"/>
      <c r="E396" s="659"/>
      <c r="F396" s="659"/>
      <c r="G396" s="659"/>
      <c r="H396" s="659"/>
      <c r="I396" s="659"/>
      <c r="J396" s="659"/>
      <c r="K396" s="659"/>
      <c r="L396" s="659"/>
      <c r="M396" s="659"/>
      <c r="N396" s="659"/>
      <c r="O396" s="659"/>
      <c r="P396" s="659"/>
      <c r="Q396" s="660">
        <f t="shared" si="110"/>
        <v>0</v>
      </c>
    </row>
    <row r="397" spans="3:17" ht="20.100000000000001" hidden="1" customHeight="1">
      <c r="C397" s="662" t="s">
        <v>717</v>
      </c>
      <c r="D397" s="663"/>
      <c r="E397" s="663">
        <f>E398+E400+E407+E415+E420</f>
        <v>0</v>
      </c>
      <c r="F397" s="663">
        <f t="shared" ref="F397:P397" si="118">F398+F400+F407+F415+F420</f>
        <v>0</v>
      </c>
      <c r="G397" s="663">
        <f t="shared" si="118"/>
        <v>0</v>
      </c>
      <c r="H397" s="663">
        <f t="shared" si="118"/>
        <v>0</v>
      </c>
      <c r="I397" s="663">
        <f t="shared" si="118"/>
        <v>0</v>
      </c>
      <c r="J397" s="663">
        <f t="shared" si="118"/>
        <v>0</v>
      </c>
      <c r="K397" s="663">
        <f t="shared" si="118"/>
        <v>0</v>
      </c>
      <c r="L397" s="663">
        <f t="shared" si="118"/>
        <v>0</v>
      </c>
      <c r="M397" s="663">
        <f t="shared" si="118"/>
        <v>0</v>
      </c>
      <c r="N397" s="663">
        <f t="shared" si="118"/>
        <v>0</v>
      </c>
      <c r="O397" s="663">
        <f t="shared" si="118"/>
        <v>0</v>
      </c>
      <c r="P397" s="663">
        <f t="shared" si="118"/>
        <v>0</v>
      </c>
      <c r="Q397" s="664">
        <f t="shared" si="110"/>
        <v>0</v>
      </c>
    </row>
    <row r="398" spans="3:17" ht="20.100000000000001" hidden="1" customHeight="1">
      <c r="C398" s="658" t="s">
        <v>712</v>
      </c>
      <c r="D398" s="659"/>
      <c r="E398" s="659">
        <f>E399</f>
        <v>0</v>
      </c>
      <c r="F398" s="659">
        <f t="shared" ref="F398:P398" si="119">F399</f>
        <v>0</v>
      </c>
      <c r="G398" s="659">
        <f t="shared" si="119"/>
        <v>0</v>
      </c>
      <c r="H398" s="659">
        <f t="shared" si="119"/>
        <v>0</v>
      </c>
      <c r="I398" s="659">
        <f t="shared" si="119"/>
        <v>0</v>
      </c>
      <c r="J398" s="659">
        <f t="shared" si="119"/>
        <v>0</v>
      </c>
      <c r="K398" s="659">
        <f t="shared" si="119"/>
        <v>0</v>
      </c>
      <c r="L398" s="659">
        <f t="shared" si="119"/>
        <v>0</v>
      </c>
      <c r="M398" s="659">
        <f t="shared" si="119"/>
        <v>0</v>
      </c>
      <c r="N398" s="659">
        <f t="shared" si="119"/>
        <v>0</v>
      </c>
      <c r="O398" s="659">
        <f t="shared" si="119"/>
        <v>0</v>
      </c>
      <c r="P398" s="659">
        <f t="shared" si="119"/>
        <v>0</v>
      </c>
      <c r="Q398" s="660">
        <f t="shared" si="110"/>
        <v>0</v>
      </c>
    </row>
    <row r="399" spans="3:17" ht="25.5" hidden="1">
      <c r="C399" s="665" t="s">
        <v>718</v>
      </c>
      <c r="D399" s="271"/>
      <c r="E399" s="307"/>
      <c r="F399" s="307"/>
      <c r="G399" s="307"/>
      <c r="H399" s="307"/>
      <c r="I399" s="307"/>
      <c r="J399" s="307"/>
      <c r="K399" s="307"/>
      <c r="L399" s="307"/>
      <c r="M399" s="307"/>
      <c r="N399" s="307"/>
      <c r="O399" s="307"/>
      <c r="P399" s="307"/>
      <c r="Q399" s="660">
        <f t="shared" si="110"/>
        <v>0</v>
      </c>
    </row>
    <row r="400" spans="3:17" ht="20.100000000000001" hidden="1" customHeight="1">
      <c r="C400" s="658" t="s">
        <v>695</v>
      </c>
      <c r="D400" s="659"/>
      <c r="E400" s="659">
        <f t="shared" ref="E400:P400" si="120">SUM(E401:E406)</f>
        <v>0</v>
      </c>
      <c r="F400" s="659">
        <f t="shared" si="120"/>
        <v>0</v>
      </c>
      <c r="G400" s="659">
        <f t="shared" si="120"/>
        <v>0</v>
      </c>
      <c r="H400" s="659">
        <f t="shared" si="120"/>
        <v>0</v>
      </c>
      <c r="I400" s="659">
        <f t="shared" si="120"/>
        <v>0</v>
      </c>
      <c r="J400" s="659">
        <f t="shared" si="120"/>
        <v>0</v>
      </c>
      <c r="K400" s="659">
        <f t="shared" si="120"/>
        <v>0</v>
      </c>
      <c r="L400" s="659">
        <f t="shared" si="120"/>
        <v>0</v>
      </c>
      <c r="M400" s="659">
        <f t="shared" si="120"/>
        <v>0</v>
      </c>
      <c r="N400" s="659">
        <f t="shared" si="120"/>
        <v>0</v>
      </c>
      <c r="O400" s="659">
        <f t="shared" si="120"/>
        <v>0</v>
      </c>
      <c r="P400" s="659">
        <f t="shared" si="120"/>
        <v>0</v>
      </c>
      <c r="Q400" s="660">
        <f t="shared" si="110"/>
        <v>0</v>
      </c>
    </row>
    <row r="401" spans="3:17" hidden="1">
      <c r="C401" s="665" t="s">
        <v>986</v>
      </c>
      <c r="D401" s="271"/>
      <c r="E401" s="307"/>
      <c r="F401" s="307"/>
      <c r="G401" s="307"/>
      <c r="H401" s="307"/>
      <c r="I401" s="307"/>
      <c r="J401" s="307"/>
      <c r="K401" s="307"/>
      <c r="L401" s="307"/>
      <c r="M401" s="307"/>
      <c r="N401" s="307"/>
      <c r="O401" s="307"/>
      <c r="P401" s="307"/>
      <c r="Q401" s="660">
        <f t="shared" si="110"/>
        <v>0</v>
      </c>
    </row>
    <row r="402" spans="3:17" hidden="1">
      <c r="C402" s="665" t="s">
        <v>697</v>
      </c>
      <c r="D402" s="271"/>
      <c r="E402" s="307"/>
      <c r="F402" s="307"/>
      <c r="G402" s="307"/>
      <c r="H402" s="307"/>
      <c r="I402" s="307"/>
      <c r="J402" s="307"/>
      <c r="K402" s="307"/>
      <c r="L402" s="307"/>
      <c r="M402" s="307"/>
      <c r="N402" s="307"/>
      <c r="O402" s="307"/>
      <c r="P402" s="307"/>
      <c r="Q402" s="660">
        <f t="shared" si="110"/>
        <v>0</v>
      </c>
    </row>
    <row r="403" spans="3:17" hidden="1">
      <c r="C403" s="665" t="s">
        <v>987</v>
      </c>
      <c r="D403" s="271"/>
      <c r="E403" s="307"/>
      <c r="F403" s="307"/>
      <c r="G403" s="307"/>
      <c r="H403" s="307"/>
      <c r="I403" s="307"/>
      <c r="J403" s="307"/>
      <c r="K403" s="307"/>
      <c r="L403" s="307"/>
      <c r="M403" s="307"/>
      <c r="N403" s="307"/>
      <c r="O403" s="307"/>
      <c r="P403" s="307"/>
      <c r="Q403" s="660">
        <f t="shared" si="110"/>
        <v>0</v>
      </c>
    </row>
    <row r="404" spans="3:17" ht="20.100000000000001" hidden="1" customHeight="1">
      <c r="C404" s="665" t="s">
        <v>683</v>
      </c>
      <c r="D404" s="271"/>
      <c r="E404" s="307"/>
      <c r="F404" s="307"/>
      <c r="G404" s="307"/>
      <c r="H404" s="307"/>
      <c r="I404" s="307"/>
      <c r="J404" s="307"/>
      <c r="K404" s="307"/>
      <c r="L404" s="307"/>
      <c r="M404" s="307"/>
      <c r="N404" s="307"/>
      <c r="O404" s="307"/>
      <c r="P404" s="307"/>
      <c r="Q404" s="660">
        <f t="shared" si="110"/>
        <v>0</v>
      </c>
    </row>
    <row r="405" spans="3:17" ht="20.100000000000001" hidden="1" customHeight="1">
      <c r="C405" s="665" t="s">
        <v>684</v>
      </c>
      <c r="D405" s="271"/>
      <c r="E405" s="307"/>
      <c r="F405" s="307"/>
      <c r="G405" s="307"/>
      <c r="H405" s="307"/>
      <c r="I405" s="307"/>
      <c r="J405" s="307"/>
      <c r="K405" s="307"/>
      <c r="L405" s="307"/>
      <c r="M405" s="307"/>
      <c r="N405" s="307"/>
      <c r="O405" s="307"/>
      <c r="P405" s="307"/>
      <c r="Q405" s="660">
        <f t="shared" si="110"/>
        <v>0</v>
      </c>
    </row>
    <row r="406" spans="3:17" ht="20.100000000000001" hidden="1" customHeight="1">
      <c r="C406" s="665" t="s">
        <v>685</v>
      </c>
      <c r="D406" s="271"/>
      <c r="E406" s="307"/>
      <c r="F406" s="307"/>
      <c r="G406" s="307"/>
      <c r="H406" s="307"/>
      <c r="I406" s="307"/>
      <c r="J406" s="307"/>
      <c r="K406" s="307"/>
      <c r="L406" s="307"/>
      <c r="M406" s="307"/>
      <c r="N406" s="307"/>
      <c r="O406" s="307"/>
      <c r="P406" s="307"/>
      <c r="Q406" s="660">
        <f t="shared" si="110"/>
        <v>0</v>
      </c>
    </row>
    <row r="407" spans="3:17" ht="20.100000000000001" hidden="1" customHeight="1">
      <c r="C407" s="658" t="s">
        <v>698</v>
      </c>
      <c r="D407" s="659"/>
      <c r="E407" s="659">
        <f t="shared" ref="E407:P407" si="121">SUM(E409:E414)</f>
        <v>0</v>
      </c>
      <c r="F407" s="659">
        <f t="shared" si="121"/>
        <v>0</v>
      </c>
      <c r="G407" s="659">
        <f t="shared" si="121"/>
        <v>0</v>
      </c>
      <c r="H407" s="659">
        <f t="shared" si="121"/>
        <v>0</v>
      </c>
      <c r="I407" s="659">
        <f t="shared" si="121"/>
        <v>0</v>
      </c>
      <c r="J407" s="659">
        <f t="shared" si="121"/>
        <v>0</v>
      </c>
      <c r="K407" s="659">
        <f t="shared" si="121"/>
        <v>0</v>
      </c>
      <c r="L407" s="659">
        <f t="shared" si="121"/>
        <v>0</v>
      </c>
      <c r="M407" s="659">
        <f t="shared" si="121"/>
        <v>0</v>
      </c>
      <c r="N407" s="659">
        <f t="shared" si="121"/>
        <v>0</v>
      </c>
      <c r="O407" s="659">
        <f t="shared" si="121"/>
        <v>0</v>
      </c>
      <c r="P407" s="659">
        <f t="shared" si="121"/>
        <v>0</v>
      </c>
      <c r="Q407" s="660">
        <f t="shared" si="110"/>
        <v>0</v>
      </c>
    </row>
    <row r="408" spans="3:17" ht="20.100000000000001" hidden="1" customHeight="1">
      <c r="C408" s="665" t="s">
        <v>699</v>
      </c>
      <c r="D408" s="659"/>
      <c r="E408" s="659"/>
      <c r="F408" s="659"/>
      <c r="G408" s="659"/>
      <c r="H408" s="659"/>
      <c r="I408" s="659"/>
      <c r="J408" s="659"/>
      <c r="K408" s="659"/>
      <c r="L408" s="659"/>
      <c r="M408" s="659"/>
      <c r="N408" s="659"/>
      <c r="O408" s="659"/>
      <c r="P408" s="659"/>
      <c r="Q408" s="660"/>
    </row>
    <row r="409" spans="3:17" ht="20.100000000000001" hidden="1" customHeight="1">
      <c r="C409" s="665" t="s">
        <v>914</v>
      </c>
      <c r="D409" s="271"/>
      <c r="E409" s="307"/>
      <c r="F409" s="307"/>
      <c r="G409" s="307"/>
      <c r="H409" s="307"/>
      <c r="I409" s="307"/>
      <c r="J409" s="307"/>
      <c r="K409" s="307"/>
      <c r="L409" s="307"/>
      <c r="M409" s="307"/>
      <c r="N409" s="307"/>
      <c r="O409" s="307"/>
      <c r="P409" s="307"/>
      <c r="Q409" s="660">
        <f t="shared" si="110"/>
        <v>0</v>
      </c>
    </row>
    <row r="410" spans="3:17" ht="20.100000000000001" hidden="1" customHeight="1">
      <c r="C410" s="665" t="s">
        <v>915</v>
      </c>
      <c r="D410" s="271"/>
      <c r="E410" s="307"/>
      <c r="F410" s="307"/>
      <c r="G410" s="307"/>
      <c r="H410" s="307"/>
      <c r="I410" s="307"/>
      <c r="J410" s="307"/>
      <c r="K410" s="307"/>
      <c r="L410" s="307"/>
      <c r="M410" s="307"/>
      <c r="N410" s="307"/>
      <c r="O410" s="307"/>
      <c r="P410" s="307"/>
      <c r="Q410" s="660">
        <f t="shared" si="110"/>
        <v>0</v>
      </c>
    </row>
    <row r="411" spans="3:17" ht="20.100000000000001" hidden="1" customHeight="1">
      <c r="C411" s="665" t="s">
        <v>916</v>
      </c>
      <c r="D411" s="271"/>
      <c r="E411" s="307"/>
      <c r="F411" s="307"/>
      <c r="G411" s="307"/>
      <c r="H411" s="307"/>
      <c r="I411" s="307"/>
      <c r="J411" s="307"/>
      <c r="K411" s="307"/>
      <c r="L411" s="307"/>
      <c r="M411" s="307"/>
      <c r="N411" s="307"/>
      <c r="O411" s="307"/>
      <c r="P411" s="307"/>
      <c r="Q411" s="660">
        <f t="shared" si="110"/>
        <v>0</v>
      </c>
    </row>
    <row r="412" spans="3:17" ht="20.100000000000001" hidden="1" customHeight="1">
      <c r="C412" s="665" t="s">
        <v>592</v>
      </c>
      <c r="D412" s="271"/>
      <c r="E412" s="307"/>
      <c r="F412" s="307"/>
      <c r="G412" s="307"/>
      <c r="H412" s="307"/>
      <c r="I412" s="307"/>
      <c r="J412" s="307"/>
      <c r="K412" s="307"/>
      <c r="L412" s="307"/>
      <c r="M412" s="307"/>
      <c r="N412" s="307"/>
      <c r="O412" s="307"/>
      <c r="P412" s="307"/>
      <c r="Q412" s="660">
        <f t="shared" si="110"/>
        <v>0</v>
      </c>
    </row>
    <row r="413" spans="3:17" ht="20.100000000000001" hidden="1" customHeight="1">
      <c r="C413" s="665" t="s">
        <v>702</v>
      </c>
      <c r="D413" s="271"/>
      <c r="E413" s="307"/>
      <c r="F413" s="307"/>
      <c r="G413" s="307"/>
      <c r="H413" s="307"/>
      <c r="I413" s="307"/>
      <c r="J413" s="307"/>
      <c r="K413" s="307"/>
      <c r="L413" s="307"/>
      <c r="M413" s="307"/>
      <c r="N413" s="307"/>
      <c r="O413" s="307"/>
      <c r="P413" s="307"/>
      <c r="Q413" s="660">
        <f t="shared" si="110"/>
        <v>0</v>
      </c>
    </row>
    <row r="414" spans="3:17" ht="20.100000000000001" hidden="1" customHeight="1">
      <c r="C414" s="665" t="s">
        <v>703</v>
      </c>
      <c r="D414" s="271"/>
      <c r="E414" s="307"/>
      <c r="F414" s="307"/>
      <c r="G414" s="307"/>
      <c r="H414" s="307"/>
      <c r="I414" s="307"/>
      <c r="J414" s="307"/>
      <c r="K414" s="307"/>
      <c r="L414" s="307"/>
      <c r="M414" s="307"/>
      <c r="N414" s="307"/>
      <c r="O414" s="307"/>
      <c r="P414" s="307"/>
      <c r="Q414" s="660">
        <f t="shared" si="110"/>
        <v>0</v>
      </c>
    </row>
    <row r="415" spans="3:17" ht="20.100000000000001" hidden="1" customHeight="1">
      <c r="C415" s="658" t="s">
        <v>714</v>
      </c>
      <c r="D415" s="659"/>
      <c r="E415" s="659">
        <f>SUM(E416:E419)</f>
        <v>0</v>
      </c>
      <c r="F415" s="659">
        <f t="shared" ref="F415:P415" si="122">SUM(F416:F419)</f>
        <v>0</v>
      </c>
      <c r="G415" s="659">
        <f t="shared" si="122"/>
        <v>0</v>
      </c>
      <c r="H415" s="659">
        <f t="shared" si="122"/>
        <v>0</v>
      </c>
      <c r="I415" s="659">
        <f t="shared" si="122"/>
        <v>0</v>
      </c>
      <c r="J415" s="659">
        <f t="shared" si="122"/>
        <v>0</v>
      </c>
      <c r="K415" s="659">
        <f t="shared" si="122"/>
        <v>0</v>
      </c>
      <c r="L415" s="659">
        <f t="shared" si="122"/>
        <v>0</v>
      </c>
      <c r="M415" s="659">
        <f t="shared" si="122"/>
        <v>0</v>
      </c>
      <c r="N415" s="659">
        <f t="shared" si="122"/>
        <v>0</v>
      </c>
      <c r="O415" s="659">
        <f t="shared" si="122"/>
        <v>0</v>
      </c>
      <c r="P415" s="659">
        <f t="shared" si="122"/>
        <v>0</v>
      </c>
      <c r="Q415" s="660">
        <f t="shared" si="110"/>
        <v>0</v>
      </c>
    </row>
    <row r="416" spans="3:17" ht="25.5" hidden="1">
      <c r="C416" s="665" t="s">
        <v>708</v>
      </c>
      <c r="D416" s="271"/>
      <c r="E416" s="307"/>
      <c r="F416" s="307"/>
      <c r="G416" s="307"/>
      <c r="H416" s="307"/>
      <c r="I416" s="307"/>
      <c r="J416" s="307"/>
      <c r="K416" s="307"/>
      <c r="L416" s="307"/>
      <c r="M416" s="307"/>
      <c r="N416" s="307"/>
      <c r="O416" s="307"/>
      <c r="P416" s="307"/>
      <c r="Q416" s="660">
        <f t="shared" si="110"/>
        <v>0</v>
      </c>
    </row>
    <row r="417" spans="3:17" ht="20.100000000000001" hidden="1" customHeight="1">
      <c r="C417" s="665" t="s">
        <v>687</v>
      </c>
      <c r="D417" s="271"/>
      <c r="E417" s="307"/>
      <c r="F417" s="307"/>
      <c r="G417" s="307"/>
      <c r="H417" s="307"/>
      <c r="I417" s="307"/>
      <c r="J417" s="307"/>
      <c r="K417" s="307"/>
      <c r="L417" s="307"/>
      <c r="M417" s="307"/>
      <c r="N417" s="307"/>
      <c r="O417" s="307"/>
      <c r="P417" s="307"/>
      <c r="Q417" s="660">
        <f t="shared" si="110"/>
        <v>0</v>
      </c>
    </row>
    <row r="418" spans="3:17" ht="15.75" hidden="1" customHeight="1">
      <c r="C418" s="665" t="s">
        <v>688</v>
      </c>
      <c r="D418" s="271"/>
      <c r="E418" s="307"/>
      <c r="F418" s="307"/>
      <c r="G418" s="307"/>
      <c r="H418" s="307"/>
      <c r="I418" s="307"/>
      <c r="J418" s="307"/>
      <c r="K418" s="307"/>
      <c r="L418" s="307"/>
      <c r="M418" s="307"/>
      <c r="N418" s="307"/>
      <c r="O418" s="307"/>
      <c r="P418" s="307"/>
      <c r="Q418" s="660">
        <f t="shared" si="110"/>
        <v>0</v>
      </c>
    </row>
    <row r="419" spans="3:17" ht="15" hidden="1" customHeight="1">
      <c r="C419" s="665" t="s">
        <v>704</v>
      </c>
      <c r="D419" s="271"/>
      <c r="E419" s="307"/>
      <c r="F419" s="307"/>
      <c r="G419" s="307"/>
      <c r="H419" s="307"/>
      <c r="I419" s="307"/>
      <c r="J419" s="307"/>
      <c r="K419" s="307"/>
      <c r="L419" s="307"/>
      <c r="M419" s="307"/>
      <c r="N419" s="307"/>
      <c r="O419" s="307"/>
      <c r="P419" s="307"/>
      <c r="Q419" s="660">
        <f t="shared" si="110"/>
        <v>0</v>
      </c>
    </row>
    <row r="420" spans="3:17" ht="20.100000000000001" hidden="1" customHeight="1">
      <c r="C420" s="658" t="s">
        <v>715</v>
      </c>
      <c r="D420" s="659"/>
      <c r="E420" s="659">
        <f>E421+E422+E425</f>
        <v>0</v>
      </c>
      <c r="F420" s="659">
        <f t="shared" ref="F420:P420" si="123">F421+F422+F425</f>
        <v>0</v>
      </c>
      <c r="G420" s="659">
        <f t="shared" si="123"/>
        <v>0</v>
      </c>
      <c r="H420" s="659">
        <f t="shared" si="123"/>
        <v>0</v>
      </c>
      <c r="I420" s="659">
        <f t="shared" si="123"/>
        <v>0</v>
      </c>
      <c r="J420" s="659">
        <f t="shared" si="123"/>
        <v>0</v>
      </c>
      <c r="K420" s="659">
        <f t="shared" si="123"/>
        <v>0</v>
      </c>
      <c r="L420" s="659">
        <f t="shared" si="123"/>
        <v>0</v>
      </c>
      <c r="M420" s="659">
        <f t="shared" si="123"/>
        <v>0</v>
      </c>
      <c r="N420" s="659">
        <f t="shared" si="123"/>
        <v>0</v>
      </c>
      <c r="O420" s="659">
        <f t="shared" si="123"/>
        <v>0</v>
      </c>
      <c r="P420" s="659">
        <f t="shared" si="123"/>
        <v>0</v>
      </c>
      <c r="Q420" s="660">
        <f t="shared" si="110"/>
        <v>0</v>
      </c>
    </row>
    <row r="421" spans="3:17" ht="20.100000000000001" hidden="1" customHeight="1">
      <c r="C421" s="665" t="s">
        <v>692</v>
      </c>
      <c r="D421" s="271"/>
      <c r="E421" s="307"/>
      <c r="F421" s="307"/>
      <c r="G421" s="307"/>
      <c r="H421" s="307"/>
      <c r="I421" s="307"/>
      <c r="J421" s="307"/>
      <c r="K421" s="307"/>
      <c r="L421" s="307"/>
      <c r="M421" s="307"/>
      <c r="N421" s="307"/>
      <c r="O421" s="307"/>
      <c r="P421" s="307"/>
      <c r="Q421" s="660">
        <f t="shared" si="110"/>
        <v>0</v>
      </c>
    </row>
    <row r="422" spans="3:17" ht="20.100000000000001" hidden="1" customHeight="1">
      <c r="C422" s="665" t="s">
        <v>693</v>
      </c>
      <c r="D422" s="271"/>
      <c r="E422" s="307"/>
      <c r="F422" s="307"/>
      <c r="G422" s="307"/>
      <c r="H422" s="307"/>
      <c r="I422" s="307"/>
      <c r="J422" s="307"/>
      <c r="K422" s="307"/>
      <c r="L422" s="307"/>
      <c r="M422" s="307"/>
      <c r="N422" s="307"/>
      <c r="O422" s="307"/>
      <c r="P422" s="307"/>
      <c r="Q422" s="660">
        <f t="shared" si="110"/>
        <v>0</v>
      </c>
    </row>
    <row r="423" spans="3:17" ht="20.100000000000001" hidden="1" customHeight="1">
      <c r="C423" s="665" t="s">
        <v>705</v>
      </c>
      <c r="D423" s="271"/>
      <c r="E423" s="307"/>
      <c r="F423" s="307"/>
      <c r="G423" s="307"/>
      <c r="H423" s="307"/>
      <c r="I423" s="307"/>
      <c r="J423" s="307"/>
      <c r="K423" s="307"/>
      <c r="L423" s="307"/>
      <c r="M423" s="307"/>
      <c r="N423" s="307"/>
      <c r="O423" s="307"/>
      <c r="P423" s="307"/>
      <c r="Q423" s="660">
        <f t="shared" si="110"/>
        <v>0</v>
      </c>
    </row>
    <row r="424" spans="3:17" ht="20.100000000000001" hidden="1" customHeight="1">
      <c r="C424" s="665" t="s">
        <v>706</v>
      </c>
      <c r="D424" s="271"/>
      <c r="E424" s="307"/>
      <c r="F424" s="307"/>
      <c r="G424" s="307"/>
      <c r="H424" s="307"/>
      <c r="I424" s="307"/>
      <c r="J424" s="307"/>
      <c r="K424" s="307"/>
      <c r="L424" s="307"/>
      <c r="M424" s="307"/>
      <c r="N424" s="307"/>
      <c r="O424" s="307"/>
      <c r="P424" s="307"/>
      <c r="Q424" s="660">
        <f t="shared" ref="Q424:Q454" si="124">SUM(E424:P424)</f>
        <v>0</v>
      </c>
    </row>
    <row r="425" spans="3:17" ht="20.100000000000001" hidden="1" customHeight="1">
      <c r="C425" s="665" t="s">
        <v>707</v>
      </c>
      <c r="D425" s="271"/>
      <c r="E425" s="307"/>
      <c r="F425" s="307"/>
      <c r="G425" s="307"/>
      <c r="H425" s="307"/>
      <c r="I425" s="307"/>
      <c r="J425" s="307"/>
      <c r="K425" s="307"/>
      <c r="L425" s="307"/>
      <c r="M425" s="307"/>
      <c r="N425" s="307"/>
      <c r="O425" s="307"/>
      <c r="P425" s="307"/>
      <c r="Q425" s="660">
        <f t="shared" si="124"/>
        <v>0</v>
      </c>
    </row>
    <row r="426" spans="3:17" ht="20.100000000000001" hidden="1" customHeight="1">
      <c r="C426" s="662" t="s">
        <v>170</v>
      </c>
      <c r="D426" s="663"/>
      <c r="E426" s="663">
        <f>E427+E429+E436+E444+E449</f>
        <v>0</v>
      </c>
      <c r="F426" s="663">
        <f t="shared" ref="F426:P426" si="125">F427+F429+F436+F444+F449</f>
        <v>0</v>
      </c>
      <c r="G426" s="663">
        <f t="shared" si="125"/>
        <v>0</v>
      </c>
      <c r="H426" s="663">
        <f t="shared" si="125"/>
        <v>0</v>
      </c>
      <c r="I426" s="663">
        <f t="shared" si="125"/>
        <v>0</v>
      </c>
      <c r="J426" s="663">
        <f t="shared" si="125"/>
        <v>0</v>
      </c>
      <c r="K426" s="663">
        <f t="shared" si="125"/>
        <v>0</v>
      </c>
      <c r="L426" s="663">
        <f t="shared" si="125"/>
        <v>0</v>
      </c>
      <c r="M426" s="663">
        <f t="shared" si="125"/>
        <v>0</v>
      </c>
      <c r="N426" s="663">
        <f t="shared" si="125"/>
        <v>0</v>
      </c>
      <c r="O426" s="663">
        <f t="shared" si="125"/>
        <v>0</v>
      </c>
      <c r="P426" s="663">
        <f t="shared" si="125"/>
        <v>0</v>
      </c>
      <c r="Q426" s="664">
        <f t="shared" si="124"/>
        <v>0</v>
      </c>
    </row>
    <row r="427" spans="3:17" ht="20.100000000000001" hidden="1" customHeight="1">
      <c r="C427" s="658" t="s">
        <v>712</v>
      </c>
      <c r="D427" s="659"/>
      <c r="E427" s="659">
        <f>E428</f>
        <v>0</v>
      </c>
      <c r="F427" s="659">
        <f t="shared" ref="F427:P427" si="126">F428</f>
        <v>0</v>
      </c>
      <c r="G427" s="659">
        <f t="shared" si="126"/>
        <v>0</v>
      </c>
      <c r="H427" s="659">
        <f t="shared" si="126"/>
        <v>0</v>
      </c>
      <c r="I427" s="659">
        <f t="shared" si="126"/>
        <v>0</v>
      </c>
      <c r="J427" s="659">
        <f t="shared" si="126"/>
        <v>0</v>
      </c>
      <c r="K427" s="659">
        <f t="shared" si="126"/>
        <v>0</v>
      </c>
      <c r="L427" s="659">
        <f t="shared" si="126"/>
        <v>0</v>
      </c>
      <c r="M427" s="659">
        <f t="shared" si="126"/>
        <v>0</v>
      </c>
      <c r="N427" s="659">
        <f t="shared" si="126"/>
        <v>0</v>
      </c>
      <c r="O427" s="659">
        <f t="shared" si="126"/>
        <v>0</v>
      </c>
      <c r="P427" s="659">
        <f t="shared" si="126"/>
        <v>0</v>
      </c>
      <c r="Q427" s="660">
        <f t="shared" si="124"/>
        <v>0</v>
      </c>
    </row>
    <row r="428" spans="3:17" ht="21.75" hidden="1" customHeight="1">
      <c r="C428" s="665" t="s">
        <v>720</v>
      </c>
      <c r="D428" s="271"/>
      <c r="E428" s="307"/>
      <c r="F428" s="307"/>
      <c r="G428" s="307"/>
      <c r="H428" s="307"/>
      <c r="I428" s="307"/>
      <c r="J428" s="307"/>
      <c r="K428" s="307"/>
      <c r="L428" s="307"/>
      <c r="M428" s="307"/>
      <c r="N428" s="307"/>
      <c r="O428" s="307"/>
      <c r="P428" s="307"/>
      <c r="Q428" s="660">
        <f t="shared" si="124"/>
        <v>0</v>
      </c>
    </row>
    <row r="429" spans="3:17" ht="20.100000000000001" hidden="1" customHeight="1">
      <c r="C429" s="658" t="s">
        <v>695</v>
      </c>
      <c r="D429" s="659"/>
      <c r="E429" s="659">
        <f t="shared" ref="E429:P429" si="127">SUM(E430:E435)</f>
        <v>0</v>
      </c>
      <c r="F429" s="659">
        <f t="shared" si="127"/>
        <v>0</v>
      </c>
      <c r="G429" s="659">
        <f t="shared" si="127"/>
        <v>0</v>
      </c>
      <c r="H429" s="659">
        <f t="shared" si="127"/>
        <v>0</v>
      </c>
      <c r="I429" s="659">
        <f t="shared" si="127"/>
        <v>0</v>
      </c>
      <c r="J429" s="659">
        <f t="shared" si="127"/>
        <v>0</v>
      </c>
      <c r="K429" s="659">
        <f t="shared" si="127"/>
        <v>0</v>
      </c>
      <c r="L429" s="659">
        <f t="shared" si="127"/>
        <v>0</v>
      </c>
      <c r="M429" s="659">
        <f t="shared" si="127"/>
        <v>0</v>
      </c>
      <c r="N429" s="659">
        <f t="shared" si="127"/>
        <v>0</v>
      </c>
      <c r="O429" s="659">
        <f t="shared" si="127"/>
        <v>0</v>
      </c>
      <c r="P429" s="659">
        <f t="shared" si="127"/>
        <v>0</v>
      </c>
      <c r="Q429" s="660">
        <f t="shared" si="124"/>
        <v>0</v>
      </c>
    </row>
    <row r="430" spans="3:17" ht="15.75" hidden="1" customHeight="1">
      <c r="C430" s="665" t="s">
        <v>986</v>
      </c>
      <c r="D430" s="271"/>
      <c r="E430" s="307"/>
      <c r="F430" s="307"/>
      <c r="G430" s="307"/>
      <c r="H430" s="307"/>
      <c r="I430" s="307"/>
      <c r="J430" s="307"/>
      <c r="K430" s="307"/>
      <c r="L430" s="307"/>
      <c r="M430" s="307"/>
      <c r="N430" s="307"/>
      <c r="O430" s="307"/>
      <c r="P430" s="307"/>
      <c r="Q430" s="660">
        <f t="shared" si="124"/>
        <v>0</v>
      </c>
    </row>
    <row r="431" spans="3:17" ht="15.75" hidden="1" customHeight="1">
      <c r="C431" s="665" t="s">
        <v>697</v>
      </c>
      <c r="D431" s="271"/>
      <c r="E431" s="307"/>
      <c r="F431" s="307"/>
      <c r="G431" s="307"/>
      <c r="H431" s="307"/>
      <c r="I431" s="307"/>
      <c r="J431" s="307"/>
      <c r="K431" s="307"/>
      <c r="L431" s="307"/>
      <c r="M431" s="307"/>
      <c r="N431" s="307"/>
      <c r="O431" s="307"/>
      <c r="P431" s="307"/>
      <c r="Q431" s="660">
        <f t="shared" si="124"/>
        <v>0</v>
      </c>
    </row>
    <row r="432" spans="3:17" ht="15.75" hidden="1" customHeight="1">
      <c r="C432" s="665" t="s">
        <v>987</v>
      </c>
      <c r="D432" s="271"/>
      <c r="E432" s="307"/>
      <c r="F432" s="307"/>
      <c r="G432" s="307"/>
      <c r="H432" s="307"/>
      <c r="I432" s="307"/>
      <c r="J432" s="307"/>
      <c r="K432" s="307"/>
      <c r="L432" s="307"/>
      <c r="M432" s="307"/>
      <c r="N432" s="307"/>
      <c r="O432" s="307"/>
      <c r="P432" s="307"/>
      <c r="Q432" s="660">
        <f t="shared" si="124"/>
        <v>0</v>
      </c>
    </row>
    <row r="433" spans="3:17" ht="15.75" hidden="1" customHeight="1">
      <c r="C433" s="665" t="s">
        <v>683</v>
      </c>
      <c r="D433" s="271"/>
      <c r="E433" s="307"/>
      <c r="F433" s="307"/>
      <c r="G433" s="307"/>
      <c r="H433" s="307"/>
      <c r="I433" s="307"/>
      <c r="J433" s="307"/>
      <c r="K433" s="307"/>
      <c r="L433" s="307"/>
      <c r="M433" s="307"/>
      <c r="N433" s="307"/>
      <c r="O433" s="307"/>
      <c r="P433" s="307"/>
      <c r="Q433" s="660">
        <f t="shared" si="124"/>
        <v>0</v>
      </c>
    </row>
    <row r="434" spans="3:17" ht="15.75" hidden="1" customHeight="1">
      <c r="C434" s="665" t="s">
        <v>684</v>
      </c>
      <c r="D434" s="271"/>
      <c r="E434" s="307"/>
      <c r="F434" s="307"/>
      <c r="G434" s="307"/>
      <c r="H434" s="307"/>
      <c r="I434" s="307"/>
      <c r="J434" s="307"/>
      <c r="K434" s="307"/>
      <c r="L434" s="307"/>
      <c r="M434" s="307"/>
      <c r="N434" s="307"/>
      <c r="O434" s="307"/>
      <c r="P434" s="307"/>
      <c r="Q434" s="660">
        <f t="shared" si="124"/>
        <v>0</v>
      </c>
    </row>
    <row r="435" spans="3:17" ht="15.75" hidden="1" customHeight="1">
      <c r="C435" s="665" t="s">
        <v>685</v>
      </c>
      <c r="D435" s="271"/>
      <c r="E435" s="307"/>
      <c r="F435" s="307"/>
      <c r="G435" s="307"/>
      <c r="H435" s="307"/>
      <c r="I435" s="307"/>
      <c r="J435" s="307"/>
      <c r="K435" s="307"/>
      <c r="L435" s="307"/>
      <c r="M435" s="307"/>
      <c r="N435" s="307"/>
      <c r="O435" s="307"/>
      <c r="P435" s="307"/>
      <c r="Q435" s="660">
        <f t="shared" si="124"/>
        <v>0</v>
      </c>
    </row>
    <row r="436" spans="3:17" ht="20.100000000000001" hidden="1" customHeight="1">
      <c r="C436" s="658" t="s">
        <v>698</v>
      </c>
      <c r="D436" s="659"/>
      <c r="E436" s="659">
        <f t="shared" ref="E436:P436" si="128">SUM(E438:E443)</f>
        <v>0</v>
      </c>
      <c r="F436" s="659">
        <f t="shared" si="128"/>
        <v>0</v>
      </c>
      <c r="G436" s="659">
        <f t="shared" si="128"/>
        <v>0</v>
      </c>
      <c r="H436" s="659">
        <f t="shared" si="128"/>
        <v>0</v>
      </c>
      <c r="I436" s="659">
        <f t="shared" si="128"/>
        <v>0</v>
      </c>
      <c r="J436" s="659">
        <f t="shared" si="128"/>
        <v>0</v>
      </c>
      <c r="K436" s="659">
        <f t="shared" si="128"/>
        <v>0</v>
      </c>
      <c r="L436" s="659">
        <f t="shared" si="128"/>
        <v>0</v>
      </c>
      <c r="M436" s="659">
        <f t="shared" si="128"/>
        <v>0</v>
      </c>
      <c r="N436" s="659">
        <f t="shared" si="128"/>
        <v>0</v>
      </c>
      <c r="O436" s="659">
        <f t="shared" si="128"/>
        <v>0</v>
      </c>
      <c r="P436" s="659">
        <f t="shared" si="128"/>
        <v>0</v>
      </c>
      <c r="Q436" s="660">
        <f t="shared" si="124"/>
        <v>0</v>
      </c>
    </row>
    <row r="437" spans="3:17" ht="20.100000000000001" hidden="1" customHeight="1">
      <c r="C437" s="665" t="s">
        <v>699</v>
      </c>
      <c r="D437" s="659"/>
      <c r="E437" s="659"/>
      <c r="F437" s="659"/>
      <c r="G437" s="659"/>
      <c r="H437" s="659"/>
      <c r="I437" s="659"/>
      <c r="J437" s="659"/>
      <c r="K437" s="659"/>
      <c r="L437" s="659"/>
      <c r="M437" s="659"/>
      <c r="N437" s="659"/>
      <c r="O437" s="659"/>
      <c r="P437" s="659"/>
      <c r="Q437" s="660"/>
    </row>
    <row r="438" spans="3:17" ht="16.5" hidden="1" customHeight="1">
      <c r="C438" s="665" t="s">
        <v>914</v>
      </c>
      <c r="D438" s="271"/>
      <c r="E438" s="307"/>
      <c r="F438" s="307"/>
      <c r="G438" s="307"/>
      <c r="H438" s="307"/>
      <c r="I438" s="307"/>
      <c r="J438" s="307"/>
      <c r="K438" s="307"/>
      <c r="L438" s="307"/>
      <c r="M438" s="307"/>
      <c r="N438" s="307"/>
      <c r="O438" s="307"/>
      <c r="P438" s="307"/>
      <c r="Q438" s="660">
        <f t="shared" si="124"/>
        <v>0</v>
      </c>
    </row>
    <row r="439" spans="3:17" ht="16.5" hidden="1" customHeight="1">
      <c r="C439" s="665" t="s">
        <v>915</v>
      </c>
      <c r="D439" s="271"/>
      <c r="E439" s="307"/>
      <c r="F439" s="307"/>
      <c r="G439" s="307"/>
      <c r="H439" s="307"/>
      <c r="I439" s="307"/>
      <c r="J439" s="307"/>
      <c r="K439" s="307"/>
      <c r="L439" s="307"/>
      <c r="M439" s="307"/>
      <c r="N439" s="307"/>
      <c r="O439" s="307"/>
      <c r="P439" s="307"/>
      <c r="Q439" s="660">
        <f t="shared" si="124"/>
        <v>0</v>
      </c>
    </row>
    <row r="440" spans="3:17" ht="16.5" hidden="1" customHeight="1">
      <c r="C440" s="665" t="s">
        <v>916</v>
      </c>
      <c r="D440" s="271"/>
      <c r="E440" s="307"/>
      <c r="F440" s="307"/>
      <c r="G440" s="307"/>
      <c r="H440" s="307"/>
      <c r="I440" s="307"/>
      <c r="J440" s="307"/>
      <c r="K440" s="307"/>
      <c r="L440" s="307"/>
      <c r="M440" s="307"/>
      <c r="N440" s="307"/>
      <c r="O440" s="307"/>
      <c r="P440" s="307"/>
      <c r="Q440" s="660">
        <f t="shared" si="124"/>
        <v>0</v>
      </c>
    </row>
    <row r="441" spans="3:17" ht="16.5" hidden="1" customHeight="1">
      <c r="C441" s="665" t="s">
        <v>592</v>
      </c>
      <c r="D441" s="271"/>
      <c r="E441" s="307"/>
      <c r="F441" s="307"/>
      <c r="G441" s="307"/>
      <c r="H441" s="307"/>
      <c r="I441" s="307"/>
      <c r="J441" s="307"/>
      <c r="K441" s="307"/>
      <c r="L441" s="307"/>
      <c r="M441" s="307"/>
      <c r="N441" s="307"/>
      <c r="O441" s="307"/>
      <c r="P441" s="307"/>
      <c r="Q441" s="660">
        <f t="shared" si="124"/>
        <v>0</v>
      </c>
    </row>
    <row r="442" spans="3:17" ht="16.5" hidden="1" customHeight="1">
      <c r="C442" s="665" t="s">
        <v>702</v>
      </c>
      <c r="D442" s="271"/>
      <c r="E442" s="307"/>
      <c r="F442" s="307"/>
      <c r="G442" s="307"/>
      <c r="H442" s="307"/>
      <c r="I442" s="307"/>
      <c r="J442" s="307"/>
      <c r="K442" s="307"/>
      <c r="L442" s="307"/>
      <c r="M442" s="307"/>
      <c r="N442" s="307"/>
      <c r="O442" s="307"/>
      <c r="P442" s="307"/>
      <c r="Q442" s="660">
        <f t="shared" si="124"/>
        <v>0</v>
      </c>
    </row>
    <row r="443" spans="3:17" ht="16.5" hidden="1" customHeight="1">
      <c r="C443" s="665" t="s">
        <v>703</v>
      </c>
      <c r="D443" s="271"/>
      <c r="E443" s="307"/>
      <c r="F443" s="307"/>
      <c r="G443" s="307"/>
      <c r="H443" s="307"/>
      <c r="I443" s="307"/>
      <c r="J443" s="307"/>
      <c r="K443" s="307"/>
      <c r="L443" s="307"/>
      <c r="M443" s="307"/>
      <c r="N443" s="307"/>
      <c r="O443" s="307"/>
      <c r="P443" s="307"/>
      <c r="Q443" s="660">
        <f t="shared" si="124"/>
        <v>0</v>
      </c>
    </row>
    <row r="444" spans="3:17" ht="20.100000000000001" hidden="1" customHeight="1">
      <c r="C444" s="658" t="s">
        <v>714</v>
      </c>
      <c r="D444" s="659"/>
      <c r="E444" s="659">
        <f>SUM(E445:E448)</f>
        <v>0</v>
      </c>
      <c r="F444" s="659">
        <f t="shared" ref="F444:P444" si="129">SUM(F445:F448)</f>
        <v>0</v>
      </c>
      <c r="G444" s="659">
        <f t="shared" si="129"/>
        <v>0</v>
      </c>
      <c r="H444" s="659">
        <f t="shared" si="129"/>
        <v>0</v>
      </c>
      <c r="I444" s="659">
        <f t="shared" si="129"/>
        <v>0</v>
      </c>
      <c r="J444" s="659">
        <f t="shared" si="129"/>
        <v>0</v>
      </c>
      <c r="K444" s="659">
        <f t="shared" si="129"/>
        <v>0</v>
      </c>
      <c r="L444" s="659">
        <f t="shared" si="129"/>
        <v>0</v>
      </c>
      <c r="M444" s="659">
        <f t="shared" si="129"/>
        <v>0</v>
      </c>
      <c r="N444" s="659">
        <f t="shared" si="129"/>
        <v>0</v>
      </c>
      <c r="O444" s="659">
        <f t="shared" si="129"/>
        <v>0</v>
      </c>
      <c r="P444" s="659">
        <f t="shared" si="129"/>
        <v>0</v>
      </c>
      <c r="Q444" s="660">
        <f t="shared" si="124"/>
        <v>0</v>
      </c>
    </row>
    <row r="445" spans="3:17" ht="26.25" hidden="1" customHeight="1">
      <c r="C445" s="665" t="s">
        <v>708</v>
      </c>
      <c r="D445" s="271"/>
      <c r="E445" s="307"/>
      <c r="F445" s="307"/>
      <c r="G445" s="307"/>
      <c r="H445" s="307"/>
      <c r="I445" s="307"/>
      <c r="J445" s="307"/>
      <c r="K445" s="307"/>
      <c r="L445" s="307"/>
      <c r="M445" s="307"/>
      <c r="N445" s="307"/>
      <c r="O445" s="307"/>
      <c r="P445" s="307"/>
      <c r="Q445" s="660">
        <f t="shared" si="124"/>
        <v>0</v>
      </c>
    </row>
    <row r="446" spans="3:17" ht="15" hidden="1" customHeight="1">
      <c r="C446" s="665" t="s">
        <v>687</v>
      </c>
      <c r="D446" s="271"/>
      <c r="E446" s="307"/>
      <c r="F446" s="307"/>
      <c r="G446" s="307"/>
      <c r="H446" s="307"/>
      <c r="I446" s="307"/>
      <c r="J446" s="307"/>
      <c r="K446" s="307"/>
      <c r="L446" s="307"/>
      <c r="M446" s="307"/>
      <c r="N446" s="307"/>
      <c r="O446" s="307"/>
      <c r="P446" s="307"/>
      <c r="Q446" s="660">
        <f t="shared" si="124"/>
        <v>0</v>
      </c>
    </row>
    <row r="447" spans="3:17" ht="15" hidden="1" customHeight="1">
      <c r="C447" s="665" t="s">
        <v>688</v>
      </c>
      <c r="D447" s="271"/>
      <c r="E447" s="307"/>
      <c r="F447" s="307"/>
      <c r="G447" s="307"/>
      <c r="H447" s="307"/>
      <c r="I447" s="307"/>
      <c r="J447" s="307"/>
      <c r="K447" s="307"/>
      <c r="L447" s="307"/>
      <c r="M447" s="307"/>
      <c r="N447" s="307"/>
      <c r="O447" s="307"/>
      <c r="P447" s="307"/>
      <c r="Q447" s="660">
        <f t="shared" si="124"/>
        <v>0</v>
      </c>
    </row>
    <row r="448" spans="3:17" ht="15" hidden="1" customHeight="1">
      <c r="C448" s="665" t="s">
        <v>704</v>
      </c>
      <c r="D448" s="271"/>
      <c r="E448" s="307"/>
      <c r="F448" s="307"/>
      <c r="G448" s="307"/>
      <c r="H448" s="307"/>
      <c r="I448" s="307"/>
      <c r="J448" s="307"/>
      <c r="K448" s="307"/>
      <c r="L448" s="307"/>
      <c r="M448" s="307"/>
      <c r="N448" s="307"/>
      <c r="O448" s="307"/>
      <c r="P448" s="307"/>
      <c r="Q448" s="660">
        <f t="shared" si="124"/>
        <v>0</v>
      </c>
    </row>
    <row r="449" spans="3:17" ht="20.100000000000001" hidden="1" customHeight="1">
      <c r="C449" s="658" t="s">
        <v>715</v>
      </c>
      <c r="D449" s="659"/>
      <c r="E449" s="659">
        <f>E450+E451+E454</f>
        <v>0</v>
      </c>
      <c r="F449" s="659">
        <f t="shared" ref="F449:P449" si="130">F450+F451+F454</f>
        <v>0</v>
      </c>
      <c r="G449" s="659">
        <f t="shared" si="130"/>
        <v>0</v>
      </c>
      <c r="H449" s="659">
        <f t="shared" si="130"/>
        <v>0</v>
      </c>
      <c r="I449" s="659">
        <f t="shared" si="130"/>
        <v>0</v>
      </c>
      <c r="J449" s="659">
        <f t="shared" si="130"/>
        <v>0</v>
      </c>
      <c r="K449" s="659">
        <f t="shared" si="130"/>
        <v>0</v>
      </c>
      <c r="L449" s="659">
        <f t="shared" si="130"/>
        <v>0</v>
      </c>
      <c r="M449" s="659">
        <f t="shared" si="130"/>
        <v>0</v>
      </c>
      <c r="N449" s="659">
        <f t="shared" si="130"/>
        <v>0</v>
      </c>
      <c r="O449" s="659">
        <f t="shared" si="130"/>
        <v>0</v>
      </c>
      <c r="P449" s="659">
        <f t="shared" si="130"/>
        <v>0</v>
      </c>
      <c r="Q449" s="660">
        <f t="shared" si="124"/>
        <v>0</v>
      </c>
    </row>
    <row r="450" spans="3:17" ht="14.25" hidden="1" customHeight="1">
      <c r="C450" s="665" t="s">
        <v>692</v>
      </c>
      <c r="D450" s="271"/>
      <c r="E450" s="307"/>
      <c r="F450" s="307"/>
      <c r="G450" s="307"/>
      <c r="H450" s="307"/>
      <c r="I450" s="307"/>
      <c r="J450" s="307"/>
      <c r="K450" s="307"/>
      <c r="L450" s="307"/>
      <c r="M450" s="307"/>
      <c r="N450" s="307"/>
      <c r="O450" s="307"/>
      <c r="P450" s="307"/>
      <c r="Q450" s="660">
        <f t="shared" si="124"/>
        <v>0</v>
      </c>
    </row>
    <row r="451" spans="3:17" ht="14.25" hidden="1" customHeight="1">
      <c r="C451" s="665" t="s">
        <v>693</v>
      </c>
      <c r="D451" s="271"/>
      <c r="E451" s="307"/>
      <c r="F451" s="307"/>
      <c r="G451" s="307"/>
      <c r="H451" s="307"/>
      <c r="I451" s="307"/>
      <c r="J451" s="307"/>
      <c r="K451" s="307"/>
      <c r="L451" s="307"/>
      <c r="M451" s="307"/>
      <c r="N451" s="307"/>
      <c r="O451" s="307"/>
      <c r="P451" s="307"/>
      <c r="Q451" s="660">
        <f t="shared" si="124"/>
        <v>0</v>
      </c>
    </row>
    <row r="452" spans="3:17" ht="14.25" hidden="1" customHeight="1">
      <c r="C452" s="665" t="s">
        <v>705</v>
      </c>
      <c r="D452" s="271"/>
      <c r="E452" s="307"/>
      <c r="F452" s="307"/>
      <c r="G452" s="307"/>
      <c r="H452" s="307"/>
      <c r="I452" s="307"/>
      <c r="J452" s="307"/>
      <c r="K452" s="307"/>
      <c r="L452" s="307"/>
      <c r="M452" s="307"/>
      <c r="N452" s="307"/>
      <c r="O452" s="307"/>
      <c r="P452" s="307"/>
      <c r="Q452" s="660">
        <f t="shared" si="124"/>
        <v>0</v>
      </c>
    </row>
    <row r="453" spans="3:17" ht="14.25" hidden="1" customHeight="1">
      <c r="C453" s="665" t="s">
        <v>706</v>
      </c>
      <c r="D453" s="271"/>
      <c r="E453" s="307"/>
      <c r="F453" s="307"/>
      <c r="G453" s="307"/>
      <c r="H453" s="307"/>
      <c r="I453" s="307"/>
      <c r="J453" s="307"/>
      <c r="K453" s="307"/>
      <c r="L453" s="307"/>
      <c r="M453" s="307"/>
      <c r="N453" s="307"/>
      <c r="O453" s="307"/>
      <c r="P453" s="307"/>
      <c r="Q453" s="660">
        <f t="shared" si="124"/>
        <v>0</v>
      </c>
    </row>
    <row r="454" spans="3:17" ht="14.25" hidden="1" customHeight="1">
      <c r="C454" s="665" t="s">
        <v>707</v>
      </c>
      <c r="D454" s="271"/>
      <c r="E454" s="307"/>
      <c r="F454" s="307"/>
      <c r="G454" s="307"/>
      <c r="H454" s="307"/>
      <c r="I454" s="307"/>
      <c r="J454" s="307"/>
      <c r="K454" s="307"/>
      <c r="L454" s="307"/>
      <c r="M454" s="307"/>
      <c r="N454" s="307"/>
      <c r="O454" s="307"/>
      <c r="P454" s="307"/>
      <c r="Q454" s="660">
        <f t="shared" si="124"/>
        <v>0</v>
      </c>
    </row>
    <row r="455" spans="3:17" ht="20.100000000000001" hidden="1" customHeight="1">
      <c r="C455" s="662" t="s">
        <v>919</v>
      </c>
      <c r="D455" s="663"/>
      <c r="E455" s="663">
        <f>E456+E458+E465+E473+E478</f>
        <v>0</v>
      </c>
      <c r="F455" s="663">
        <f t="shared" ref="F455:P455" si="131">F456+F458+F465+F473+F478</f>
        <v>0</v>
      </c>
      <c r="G455" s="663">
        <f t="shared" si="131"/>
        <v>0</v>
      </c>
      <c r="H455" s="663">
        <f t="shared" si="131"/>
        <v>0</v>
      </c>
      <c r="I455" s="663">
        <f t="shared" si="131"/>
        <v>0</v>
      </c>
      <c r="J455" s="663">
        <f t="shared" si="131"/>
        <v>0</v>
      </c>
      <c r="K455" s="663">
        <f t="shared" si="131"/>
        <v>0</v>
      </c>
      <c r="L455" s="663">
        <f t="shared" si="131"/>
        <v>0</v>
      </c>
      <c r="M455" s="663">
        <f t="shared" si="131"/>
        <v>0</v>
      </c>
      <c r="N455" s="663">
        <f t="shared" si="131"/>
        <v>0</v>
      </c>
      <c r="O455" s="663">
        <f t="shared" si="131"/>
        <v>0</v>
      </c>
      <c r="P455" s="663">
        <f t="shared" si="131"/>
        <v>0</v>
      </c>
      <c r="Q455" s="664">
        <f t="shared" ref="Q455:Q483" si="132">SUM(E455:P455)</f>
        <v>0</v>
      </c>
    </row>
    <row r="456" spans="3:17" ht="20.100000000000001" hidden="1" customHeight="1">
      <c r="C456" s="658" t="s">
        <v>712</v>
      </c>
      <c r="D456" s="659"/>
      <c r="E456" s="659">
        <f>E457</f>
        <v>0</v>
      </c>
      <c r="F456" s="659">
        <f t="shared" ref="F456:P456" si="133">F457</f>
        <v>0</v>
      </c>
      <c r="G456" s="659">
        <f t="shared" si="133"/>
        <v>0</v>
      </c>
      <c r="H456" s="659">
        <f t="shared" si="133"/>
        <v>0</v>
      </c>
      <c r="I456" s="659">
        <f t="shared" si="133"/>
        <v>0</v>
      </c>
      <c r="J456" s="659">
        <f t="shared" si="133"/>
        <v>0</v>
      </c>
      <c r="K456" s="659">
        <f t="shared" si="133"/>
        <v>0</v>
      </c>
      <c r="L456" s="659">
        <f t="shared" si="133"/>
        <v>0</v>
      </c>
      <c r="M456" s="659">
        <f t="shared" si="133"/>
        <v>0</v>
      </c>
      <c r="N456" s="659">
        <f t="shared" si="133"/>
        <v>0</v>
      </c>
      <c r="O456" s="659">
        <f t="shared" si="133"/>
        <v>0</v>
      </c>
      <c r="P456" s="659">
        <f t="shared" si="133"/>
        <v>0</v>
      </c>
      <c r="Q456" s="660">
        <f t="shared" si="132"/>
        <v>0</v>
      </c>
    </row>
    <row r="457" spans="3:17" ht="21.75" hidden="1" customHeight="1">
      <c r="C457" s="665" t="s">
        <v>720</v>
      </c>
      <c r="D457" s="271"/>
      <c r="E457" s="307"/>
      <c r="F457" s="307"/>
      <c r="G457" s="307"/>
      <c r="H457" s="307"/>
      <c r="I457" s="307"/>
      <c r="J457" s="307"/>
      <c r="K457" s="307"/>
      <c r="L457" s="307"/>
      <c r="M457" s="307"/>
      <c r="N457" s="307"/>
      <c r="O457" s="307"/>
      <c r="P457" s="307"/>
      <c r="Q457" s="660">
        <f t="shared" si="132"/>
        <v>0</v>
      </c>
    </row>
    <row r="458" spans="3:17" ht="20.100000000000001" hidden="1" customHeight="1">
      <c r="C458" s="658" t="s">
        <v>695</v>
      </c>
      <c r="D458" s="659"/>
      <c r="E458" s="659">
        <f t="shared" ref="E458:P458" si="134">SUM(E459:E464)</f>
        <v>0</v>
      </c>
      <c r="F458" s="659">
        <f t="shared" si="134"/>
        <v>0</v>
      </c>
      <c r="G458" s="659">
        <f t="shared" si="134"/>
        <v>0</v>
      </c>
      <c r="H458" s="659">
        <f t="shared" si="134"/>
        <v>0</v>
      </c>
      <c r="I458" s="659">
        <f t="shared" si="134"/>
        <v>0</v>
      </c>
      <c r="J458" s="659">
        <f t="shared" si="134"/>
        <v>0</v>
      </c>
      <c r="K458" s="659">
        <f t="shared" si="134"/>
        <v>0</v>
      </c>
      <c r="L458" s="659">
        <f t="shared" si="134"/>
        <v>0</v>
      </c>
      <c r="M458" s="659">
        <f t="shared" si="134"/>
        <v>0</v>
      </c>
      <c r="N458" s="659">
        <f t="shared" si="134"/>
        <v>0</v>
      </c>
      <c r="O458" s="659">
        <f t="shared" si="134"/>
        <v>0</v>
      </c>
      <c r="P458" s="659">
        <f t="shared" si="134"/>
        <v>0</v>
      </c>
      <c r="Q458" s="660">
        <f t="shared" si="132"/>
        <v>0</v>
      </c>
    </row>
    <row r="459" spans="3:17" ht="15.75" hidden="1" customHeight="1">
      <c r="C459" s="665" t="s">
        <v>986</v>
      </c>
      <c r="D459" s="271"/>
      <c r="E459" s="307"/>
      <c r="F459" s="307"/>
      <c r="G459" s="307"/>
      <c r="H459" s="307"/>
      <c r="I459" s="307"/>
      <c r="J459" s="307"/>
      <c r="K459" s="307"/>
      <c r="L459" s="307"/>
      <c r="M459" s="307"/>
      <c r="N459" s="307"/>
      <c r="O459" s="307"/>
      <c r="P459" s="307"/>
      <c r="Q459" s="660">
        <f t="shared" si="132"/>
        <v>0</v>
      </c>
    </row>
    <row r="460" spans="3:17" ht="15.75" hidden="1" customHeight="1">
      <c r="C460" s="665" t="s">
        <v>697</v>
      </c>
      <c r="D460" s="271"/>
      <c r="E460" s="307"/>
      <c r="F460" s="307"/>
      <c r="G460" s="307"/>
      <c r="H460" s="307"/>
      <c r="I460" s="307"/>
      <c r="J460" s="307"/>
      <c r="K460" s="307"/>
      <c r="L460" s="307"/>
      <c r="M460" s="307"/>
      <c r="N460" s="307"/>
      <c r="O460" s="307"/>
      <c r="P460" s="307"/>
      <c r="Q460" s="660">
        <f t="shared" si="132"/>
        <v>0</v>
      </c>
    </row>
    <row r="461" spans="3:17" ht="15.75" hidden="1" customHeight="1">
      <c r="C461" s="665" t="s">
        <v>987</v>
      </c>
      <c r="D461" s="271"/>
      <c r="E461" s="307"/>
      <c r="F461" s="307"/>
      <c r="G461" s="307"/>
      <c r="H461" s="307"/>
      <c r="I461" s="307"/>
      <c r="J461" s="307"/>
      <c r="K461" s="307"/>
      <c r="L461" s="307"/>
      <c r="M461" s="307"/>
      <c r="N461" s="307"/>
      <c r="O461" s="307"/>
      <c r="P461" s="307"/>
      <c r="Q461" s="660">
        <f t="shared" si="132"/>
        <v>0</v>
      </c>
    </row>
    <row r="462" spans="3:17" ht="15.75" hidden="1" customHeight="1">
      <c r="C462" s="665" t="s">
        <v>683</v>
      </c>
      <c r="D462" s="271"/>
      <c r="E462" s="307"/>
      <c r="F462" s="307"/>
      <c r="G462" s="307"/>
      <c r="H462" s="307"/>
      <c r="I462" s="307"/>
      <c r="J462" s="307"/>
      <c r="K462" s="307"/>
      <c r="L462" s="307"/>
      <c r="M462" s="307"/>
      <c r="N462" s="307"/>
      <c r="O462" s="307"/>
      <c r="P462" s="307"/>
      <c r="Q462" s="660">
        <f t="shared" si="132"/>
        <v>0</v>
      </c>
    </row>
    <row r="463" spans="3:17" ht="15.75" hidden="1" customHeight="1">
      <c r="C463" s="665" t="s">
        <v>684</v>
      </c>
      <c r="D463" s="271"/>
      <c r="E463" s="307"/>
      <c r="F463" s="307"/>
      <c r="G463" s="307"/>
      <c r="H463" s="307"/>
      <c r="I463" s="307"/>
      <c r="J463" s="307"/>
      <c r="K463" s="307"/>
      <c r="L463" s="307"/>
      <c r="M463" s="307"/>
      <c r="N463" s="307"/>
      <c r="O463" s="307"/>
      <c r="P463" s="307"/>
      <c r="Q463" s="660">
        <f t="shared" si="132"/>
        <v>0</v>
      </c>
    </row>
    <row r="464" spans="3:17" ht="15.75" hidden="1" customHeight="1">
      <c r="C464" s="665" t="s">
        <v>685</v>
      </c>
      <c r="D464" s="271"/>
      <c r="E464" s="307"/>
      <c r="F464" s="307"/>
      <c r="G464" s="307"/>
      <c r="H464" s="307"/>
      <c r="I464" s="307"/>
      <c r="J464" s="307"/>
      <c r="K464" s="307"/>
      <c r="L464" s="307"/>
      <c r="M464" s="307"/>
      <c r="N464" s="307"/>
      <c r="O464" s="307"/>
      <c r="P464" s="307"/>
      <c r="Q464" s="660">
        <f t="shared" si="132"/>
        <v>0</v>
      </c>
    </row>
    <row r="465" spans="3:17" ht="20.100000000000001" hidden="1" customHeight="1">
      <c r="C465" s="658" t="s">
        <v>698</v>
      </c>
      <c r="D465" s="659"/>
      <c r="E465" s="659">
        <f t="shared" ref="E465:P465" si="135">SUM(E467:E472)</f>
        <v>0</v>
      </c>
      <c r="F465" s="659">
        <f t="shared" si="135"/>
        <v>0</v>
      </c>
      <c r="G465" s="659">
        <f t="shared" si="135"/>
        <v>0</v>
      </c>
      <c r="H465" s="659">
        <f t="shared" si="135"/>
        <v>0</v>
      </c>
      <c r="I465" s="659">
        <f t="shared" si="135"/>
        <v>0</v>
      </c>
      <c r="J465" s="659">
        <f t="shared" si="135"/>
        <v>0</v>
      </c>
      <c r="K465" s="659">
        <f t="shared" si="135"/>
        <v>0</v>
      </c>
      <c r="L465" s="659">
        <f t="shared" si="135"/>
        <v>0</v>
      </c>
      <c r="M465" s="659">
        <f t="shared" si="135"/>
        <v>0</v>
      </c>
      <c r="N465" s="659">
        <f t="shared" si="135"/>
        <v>0</v>
      </c>
      <c r="O465" s="659">
        <f t="shared" si="135"/>
        <v>0</v>
      </c>
      <c r="P465" s="659">
        <f t="shared" si="135"/>
        <v>0</v>
      </c>
      <c r="Q465" s="660">
        <f t="shared" si="132"/>
        <v>0</v>
      </c>
    </row>
    <row r="466" spans="3:17" ht="20.100000000000001" hidden="1" customHeight="1">
      <c r="C466" s="665" t="s">
        <v>699</v>
      </c>
      <c r="D466" s="659"/>
      <c r="E466" s="659"/>
      <c r="F466" s="659"/>
      <c r="G466" s="659"/>
      <c r="H466" s="659"/>
      <c r="I466" s="659"/>
      <c r="J466" s="659"/>
      <c r="K466" s="659"/>
      <c r="L466" s="659"/>
      <c r="M466" s="659"/>
      <c r="N466" s="659"/>
      <c r="O466" s="659"/>
      <c r="P466" s="659"/>
      <c r="Q466" s="660"/>
    </row>
    <row r="467" spans="3:17" ht="16.5" hidden="1" customHeight="1">
      <c r="C467" s="665" t="s">
        <v>914</v>
      </c>
      <c r="D467" s="271"/>
      <c r="E467" s="307"/>
      <c r="F467" s="307"/>
      <c r="G467" s="307"/>
      <c r="H467" s="307"/>
      <c r="I467" s="307"/>
      <c r="J467" s="307"/>
      <c r="K467" s="307"/>
      <c r="L467" s="307"/>
      <c r="M467" s="307"/>
      <c r="N467" s="307"/>
      <c r="O467" s="307"/>
      <c r="P467" s="307"/>
      <c r="Q467" s="660">
        <f t="shared" si="132"/>
        <v>0</v>
      </c>
    </row>
    <row r="468" spans="3:17" ht="16.5" hidden="1" customHeight="1">
      <c r="C468" s="665" t="s">
        <v>915</v>
      </c>
      <c r="D468" s="271"/>
      <c r="E468" s="307"/>
      <c r="F468" s="307"/>
      <c r="G468" s="307"/>
      <c r="H468" s="307"/>
      <c r="I468" s="307"/>
      <c r="J468" s="307"/>
      <c r="K468" s="307"/>
      <c r="L468" s="307"/>
      <c r="M468" s="307"/>
      <c r="N468" s="307"/>
      <c r="O468" s="307"/>
      <c r="P468" s="307"/>
      <c r="Q468" s="660">
        <f t="shared" si="132"/>
        <v>0</v>
      </c>
    </row>
    <row r="469" spans="3:17" ht="16.5" hidden="1" customHeight="1">
      <c r="C469" s="665" t="s">
        <v>916</v>
      </c>
      <c r="D469" s="271"/>
      <c r="E469" s="307"/>
      <c r="F469" s="307"/>
      <c r="G469" s="307"/>
      <c r="H469" s="307"/>
      <c r="I469" s="307"/>
      <c r="J469" s="307"/>
      <c r="K469" s="307"/>
      <c r="L469" s="307"/>
      <c r="M469" s="307"/>
      <c r="N469" s="307"/>
      <c r="O469" s="307"/>
      <c r="P469" s="307"/>
      <c r="Q469" s="660">
        <f t="shared" si="132"/>
        <v>0</v>
      </c>
    </row>
    <row r="470" spans="3:17" ht="16.5" hidden="1" customHeight="1">
      <c r="C470" s="665" t="s">
        <v>592</v>
      </c>
      <c r="D470" s="271"/>
      <c r="E470" s="307"/>
      <c r="F470" s="307"/>
      <c r="G470" s="307"/>
      <c r="H470" s="307"/>
      <c r="I470" s="307"/>
      <c r="J470" s="307"/>
      <c r="K470" s="307"/>
      <c r="L470" s="307"/>
      <c r="M470" s="307"/>
      <c r="N470" s="307"/>
      <c r="O470" s="307"/>
      <c r="P470" s="307"/>
      <c r="Q470" s="660">
        <f t="shared" si="132"/>
        <v>0</v>
      </c>
    </row>
    <row r="471" spans="3:17" ht="16.5" hidden="1" customHeight="1">
      <c r="C471" s="665" t="s">
        <v>702</v>
      </c>
      <c r="D471" s="271"/>
      <c r="E471" s="307"/>
      <c r="F471" s="307"/>
      <c r="G471" s="307"/>
      <c r="H471" s="307"/>
      <c r="I471" s="307"/>
      <c r="J471" s="307"/>
      <c r="K471" s="307"/>
      <c r="L471" s="307"/>
      <c r="M471" s="307"/>
      <c r="N471" s="307"/>
      <c r="O471" s="307"/>
      <c r="P471" s="307"/>
      <c r="Q471" s="660">
        <f t="shared" si="132"/>
        <v>0</v>
      </c>
    </row>
    <row r="472" spans="3:17" ht="16.5" hidden="1" customHeight="1">
      <c r="C472" s="665" t="s">
        <v>703</v>
      </c>
      <c r="D472" s="271"/>
      <c r="E472" s="307"/>
      <c r="F472" s="307"/>
      <c r="G472" s="307"/>
      <c r="H472" s="307"/>
      <c r="I472" s="307"/>
      <c r="J472" s="307"/>
      <c r="K472" s="307"/>
      <c r="L472" s="307"/>
      <c r="M472" s="307"/>
      <c r="N472" s="307"/>
      <c r="O472" s="307"/>
      <c r="P472" s="307"/>
      <c r="Q472" s="660">
        <f t="shared" si="132"/>
        <v>0</v>
      </c>
    </row>
    <row r="473" spans="3:17" ht="20.100000000000001" hidden="1" customHeight="1">
      <c r="C473" s="658" t="s">
        <v>714</v>
      </c>
      <c r="D473" s="659"/>
      <c r="E473" s="659">
        <f>SUM(E474:E477)</f>
        <v>0</v>
      </c>
      <c r="F473" s="659">
        <f t="shared" ref="F473:P473" si="136">SUM(F474:F477)</f>
        <v>0</v>
      </c>
      <c r="G473" s="659">
        <f t="shared" si="136"/>
        <v>0</v>
      </c>
      <c r="H473" s="659">
        <f t="shared" si="136"/>
        <v>0</v>
      </c>
      <c r="I473" s="659">
        <f t="shared" si="136"/>
        <v>0</v>
      </c>
      <c r="J473" s="659">
        <f t="shared" si="136"/>
        <v>0</v>
      </c>
      <c r="K473" s="659">
        <f t="shared" si="136"/>
        <v>0</v>
      </c>
      <c r="L473" s="659">
        <f t="shared" si="136"/>
        <v>0</v>
      </c>
      <c r="M473" s="659">
        <f t="shared" si="136"/>
        <v>0</v>
      </c>
      <c r="N473" s="659">
        <f t="shared" si="136"/>
        <v>0</v>
      </c>
      <c r="O473" s="659">
        <f t="shared" si="136"/>
        <v>0</v>
      </c>
      <c r="P473" s="659">
        <f t="shared" si="136"/>
        <v>0</v>
      </c>
      <c r="Q473" s="660">
        <f t="shared" si="132"/>
        <v>0</v>
      </c>
    </row>
    <row r="474" spans="3:17" ht="26.25" hidden="1" customHeight="1">
      <c r="C474" s="665" t="s">
        <v>708</v>
      </c>
      <c r="D474" s="271"/>
      <c r="E474" s="307"/>
      <c r="F474" s="307"/>
      <c r="G474" s="307"/>
      <c r="H474" s="307"/>
      <c r="I474" s="307"/>
      <c r="J474" s="307"/>
      <c r="K474" s="307"/>
      <c r="L474" s="307"/>
      <c r="M474" s="307"/>
      <c r="N474" s="307"/>
      <c r="O474" s="307"/>
      <c r="P474" s="307"/>
      <c r="Q474" s="660">
        <f t="shared" si="132"/>
        <v>0</v>
      </c>
    </row>
    <row r="475" spans="3:17" ht="15" hidden="1" customHeight="1">
      <c r="C475" s="665" t="s">
        <v>687</v>
      </c>
      <c r="D475" s="271"/>
      <c r="E475" s="307"/>
      <c r="F475" s="307"/>
      <c r="G475" s="307"/>
      <c r="H475" s="307"/>
      <c r="I475" s="307"/>
      <c r="J475" s="307"/>
      <c r="K475" s="307"/>
      <c r="L475" s="307"/>
      <c r="M475" s="307"/>
      <c r="N475" s="307"/>
      <c r="O475" s="307"/>
      <c r="P475" s="307"/>
      <c r="Q475" s="660">
        <f t="shared" si="132"/>
        <v>0</v>
      </c>
    </row>
    <row r="476" spans="3:17" ht="15" hidden="1" customHeight="1">
      <c r="C476" s="665" t="s">
        <v>688</v>
      </c>
      <c r="D476" s="271"/>
      <c r="E476" s="307"/>
      <c r="F476" s="307"/>
      <c r="G476" s="307"/>
      <c r="H476" s="307"/>
      <c r="I476" s="307"/>
      <c r="J476" s="307"/>
      <c r="K476" s="307"/>
      <c r="L476" s="307"/>
      <c r="M476" s="307"/>
      <c r="N476" s="307"/>
      <c r="O476" s="307"/>
      <c r="P476" s="307"/>
      <c r="Q476" s="660">
        <f t="shared" si="132"/>
        <v>0</v>
      </c>
    </row>
    <row r="477" spans="3:17" ht="15" hidden="1" customHeight="1">
      <c r="C477" s="665" t="s">
        <v>704</v>
      </c>
      <c r="D477" s="271"/>
      <c r="E477" s="307"/>
      <c r="F477" s="307"/>
      <c r="G477" s="307"/>
      <c r="H477" s="307"/>
      <c r="I477" s="307"/>
      <c r="J477" s="307"/>
      <c r="K477" s="307"/>
      <c r="L477" s="307"/>
      <c r="M477" s="307"/>
      <c r="N477" s="307"/>
      <c r="O477" s="307"/>
      <c r="P477" s="307"/>
      <c r="Q477" s="660">
        <f t="shared" si="132"/>
        <v>0</v>
      </c>
    </row>
    <row r="478" spans="3:17" ht="20.100000000000001" hidden="1" customHeight="1">
      <c r="C478" s="658" t="s">
        <v>715</v>
      </c>
      <c r="D478" s="659"/>
      <c r="E478" s="659">
        <f>E479+E480+E483</f>
        <v>0</v>
      </c>
      <c r="F478" s="659">
        <f t="shared" ref="F478:P478" si="137">F479+F480+F483</f>
        <v>0</v>
      </c>
      <c r="G478" s="659">
        <f t="shared" si="137"/>
        <v>0</v>
      </c>
      <c r="H478" s="659">
        <f t="shared" si="137"/>
        <v>0</v>
      </c>
      <c r="I478" s="659">
        <f t="shared" si="137"/>
        <v>0</v>
      </c>
      <c r="J478" s="659">
        <f t="shared" si="137"/>
        <v>0</v>
      </c>
      <c r="K478" s="659">
        <f t="shared" si="137"/>
        <v>0</v>
      </c>
      <c r="L478" s="659">
        <f t="shared" si="137"/>
        <v>0</v>
      </c>
      <c r="M478" s="659">
        <f t="shared" si="137"/>
        <v>0</v>
      </c>
      <c r="N478" s="659">
        <f t="shared" si="137"/>
        <v>0</v>
      </c>
      <c r="O478" s="659">
        <f t="shared" si="137"/>
        <v>0</v>
      </c>
      <c r="P478" s="659">
        <f t="shared" si="137"/>
        <v>0</v>
      </c>
      <c r="Q478" s="660">
        <f t="shared" si="132"/>
        <v>0</v>
      </c>
    </row>
    <row r="479" spans="3:17" ht="14.25" hidden="1" customHeight="1">
      <c r="C479" s="665" t="s">
        <v>692</v>
      </c>
      <c r="D479" s="271"/>
      <c r="E479" s="307"/>
      <c r="F479" s="307"/>
      <c r="G479" s="307"/>
      <c r="H479" s="307"/>
      <c r="I479" s="307"/>
      <c r="J479" s="307"/>
      <c r="K479" s="307"/>
      <c r="L479" s="307"/>
      <c r="M479" s="307"/>
      <c r="N479" s="307"/>
      <c r="O479" s="307"/>
      <c r="P479" s="307"/>
      <c r="Q479" s="660">
        <f t="shared" si="132"/>
        <v>0</v>
      </c>
    </row>
    <row r="480" spans="3:17" ht="14.25" hidden="1" customHeight="1">
      <c r="C480" s="665" t="s">
        <v>693</v>
      </c>
      <c r="D480" s="271"/>
      <c r="E480" s="307"/>
      <c r="F480" s="307"/>
      <c r="G480" s="307"/>
      <c r="H480" s="307"/>
      <c r="I480" s="307"/>
      <c r="J480" s="307"/>
      <c r="K480" s="307"/>
      <c r="L480" s="307"/>
      <c r="M480" s="307"/>
      <c r="N480" s="307"/>
      <c r="O480" s="307"/>
      <c r="P480" s="307"/>
      <c r="Q480" s="660">
        <f t="shared" si="132"/>
        <v>0</v>
      </c>
    </row>
    <row r="481" spans="3:17" ht="14.25" hidden="1" customHeight="1">
      <c r="C481" s="665" t="s">
        <v>705</v>
      </c>
      <c r="D481" s="271"/>
      <c r="E481" s="307"/>
      <c r="F481" s="307"/>
      <c r="G481" s="307"/>
      <c r="H481" s="307"/>
      <c r="I481" s="307"/>
      <c r="J481" s="307"/>
      <c r="K481" s="307"/>
      <c r="L481" s="307"/>
      <c r="M481" s="307"/>
      <c r="N481" s="307"/>
      <c r="O481" s="307"/>
      <c r="P481" s="307"/>
      <c r="Q481" s="660">
        <f t="shared" si="132"/>
        <v>0</v>
      </c>
    </row>
    <row r="482" spans="3:17" ht="14.25" hidden="1" customHeight="1">
      <c r="C482" s="665" t="s">
        <v>706</v>
      </c>
      <c r="D482" s="271"/>
      <c r="E482" s="307"/>
      <c r="F482" s="307"/>
      <c r="G482" s="307"/>
      <c r="H482" s="307"/>
      <c r="I482" s="307"/>
      <c r="J482" s="307"/>
      <c r="K482" s="307"/>
      <c r="L482" s="307"/>
      <c r="M482" s="307"/>
      <c r="N482" s="307"/>
      <c r="O482" s="307"/>
      <c r="P482" s="307"/>
      <c r="Q482" s="660">
        <f t="shared" si="132"/>
        <v>0</v>
      </c>
    </row>
    <row r="483" spans="3:17" ht="14.25" hidden="1" customHeight="1">
      <c r="C483" s="665" t="s">
        <v>707</v>
      </c>
      <c r="D483" s="271"/>
      <c r="E483" s="307"/>
      <c r="F483" s="307"/>
      <c r="G483" s="307"/>
      <c r="H483" s="307"/>
      <c r="I483" s="307"/>
      <c r="J483" s="307"/>
      <c r="K483" s="307"/>
      <c r="L483" s="307"/>
      <c r="M483" s="307"/>
      <c r="N483" s="307"/>
      <c r="O483" s="307"/>
      <c r="P483" s="307"/>
      <c r="Q483" s="660">
        <f t="shared" si="132"/>
        <v>0</v>
      </c>
    </row>
    <row r="484" spans="3:17" ht="20.100000000000001" hidden="1" customHeight="1">
      <c r="C484" s="393" t="s">
        <v>643</v>
      </c>
      <c r="D484" s="271"/>
      <c r="E484" s="528">
        <f>E375+E403+E430+E457</f>
        <v>0</v>
      </c>
      <c r="F484" s="528">
        <f t="shared" ref="F484:P484" si="138">F375+F403+F430+F457</f>
        <v>0</v>
      </c>
      <c r="G484" s="528">
        <f t="shared" si="138"/>
        <v>0</v>
      </c>
      <c r="H484" s="528">
        <f t="shared" si="138"/>
        <v>0</v>
      </c>
      <c r="I484" s="528">
        <f t="shared" si="138"/>
        <v>0</v>
      </c>
      <c r="J484" s="528">
        <f t="shared" si="138"/>
        <v>0</v>
      </c>
      <c r="K484" s="528">
        <f t="shared" si="138"/>
        <v>0</v>
      </c>
      <c r="L484" s="528">
        <f t="shared" si="138"/>
        <v>0</v>
      </c>
      <c r="M484" s="528">
        <f t="shared" si="138"/>
        <v>0</v>
      </c>
      <c r="N484" s="528">
        <f t="shared" si="138"/>
        <v>0</v>
      </c>
      <c r="O484" s="528">
        <f t="shared" si="138"/>
        <v>0</v>
      </c>
      <c r="P484" s="528">
        <f t="shared" si="138"/>
        <v>0</v>
      </c>
      <c r="Q484" s="529">
        <f>SUM(E484:P484)</f>
        <v>0</v>
      </c>
    </row>
    <row r="485" spans="3:17" ht="20.100000000000001" hidden="1" customHeight="1" thickBot="1">
      <c r="C485" s="669" t="s">
        <v>644</v>
      </c>
      <c r="D485" s="531"/>
      <c r="E485" s="280">
        <f t="shared" ref="E485:P485" si="139">E372+E484</f>
        <v>0</v>
      </c>
      <c r="F485" s="280">
        <f t="shared" si="139"/>
        <v>0</v>
      </c>
      <c r="G485" s="280">
        <f t="shared" si="139"/>
        <v>0</v>
      </c>
      <c r="H485" s="280">
        <f t="shared" si="139"/>
        <v>0</v>
      </c>
      <c r="I485" s="280">
        <f t="shared" si="139"/>
        <v>0</v>
      </c>
      <c r="J485" s="280">
        <f t="shared" si="139"/>
        <v>0</v>
      </c>
      <c r="K485" s="280">
        <f t="shared" si="139"/>
        <v>0</v>
      </c>
      <c r="L485" s="280">
        <f t="shared" si="139"/>
        <v>0</v>
      </c>
      <c r="M485" s="280">
        <f t="shared" si="139"/>
        <v>0</v>
      </c>
      <c r="N485" s="280">
        <f t="shared" si="139"/>
        <v>0</v>
      </c>
      <c r="O485" s="280">
        <f t="shared" si="139"/>
        <v>0</v>
      </c>
      <c r="P485" s="280">
        <f t="shared" si="139"/>
        <v>0</v>
      </c>
      <c r="Q485" s="281">
        <f t="shared" ref="Q485" si="140">SUM(E485:P485)</f>
        <v>0</v>
      </c>
    </row>
    <row r="486" spans="3:17" hidden="1">
      <c r="C486" s="682"/>
      <c r="D486" s="682"/>
      <c r="E486" s="683"/>
      <c r="F486" s="683"/>
      <c r="G486" s="683"/>
      <c r="H486" s="683"/>
      <c r="I486" s="683"/>
      <c r="J486" s="683"/>
      <c r="K486" s="683"/>
      <c r="L486" s="683"/>
      <c r="M486" s="683"/>
      <c r="N486" s="683"/>
      <c r="O486" s="683"/>
      <c r="P486" s="683"/>
      <c r="Q486" s="683"/>
    </row>
    <row r="487" spans="3:17" ht="13.5" hidden="1" thickBot="1">
      <c r="E487" s="452"/>
      <c r="F487" s="452"/>
      <c r="G487" s="452"/>
      <c r="H487" s="452"/>
      <c r="I487" s="452"/>
      <c r="J487" s="452"/>
      <c r="K487" s="452"/>
      <c r="L487" s="452"/>
      <c r="M487" s="452"/>
      <c r="N487" s="452"/>
      <c r="O487" s="452"/>
      <c r="P487" s="452"/>
      <c r="Q487" s="452"/>
    </row>
    <row r="488" spans="3:17" ht="13.5" hidden="1" thickBot="1">
      <c r="C488" s="686" t="str">
        <f>Notes!C8</f>
        <v>FY 2026-27</v>
      </c>
      <c r="D488" s="682"/>
      <c r="E488" s="683"/>
      <c r="F488" s="683"/>
      <c r="G488" s="683"/>
      <c r="H488" s="683"/>
      <c r="I488" s="683"/>
      <c r="J488" s="683"/>
      <c r="K488" s="683"/>
      <c r="L488" s="683"/>
      <c r="M488" s="683"/>
      <c r="N488" s="683"/>
      <c r="O488" s="683"/>
      <c r="P488" s="683"/>
      <c r="Q488" s="687"/>
    </row>
    <row r="489" spans="3:17" ht="20.100000000000001" hidden="1" customHeight="1">
      <c r="C489" s="651" t="s">
        <v>673</v>
      </c>
      <c r="D489" s="377" t="s">
        <v>93</v>
      </c>
      <c r="E489" s="673" t="s">
        <v>146</v>
      </c>
      <c r="F489" s="673" t="s">
        <v>147</v>
      </c>
      <c r="G489" s="673" t="s">
        <v>148</v>
      </c>
      <c r="H489" s="673" t="s">
        <v>149</v>
      </c>
      <c r="I489" s="673" t="s">
        <v>150</v>
      </c>
      <c r="J489" s="673" t="s">
        <v>151</v>
      </c>
      <c r="K489" s="673" t="s">
        <v>152</v>
      </c>
      <c r="L489" s="673" t="s">
        <v>153</v>
      </c>
      <c r="M489" s="673" t="s">
        <v>154</v>
      </c>
      <c r="N489" s="673" t="s">
        <v>155</v>
      </c>
      <c r="O489" s="673" t="s">
        <v>156</v>
      </c>
      <c r="P489" s="673" t="s">
        <v>157</v>
      </c>
      <c r="Q489" s="674" t="s">
        <v>98</v>
      </c>
    </row>
    <row r="490" spans="3:17" ht="18" hidden="1" customHeight="1">
      <c r="C490" s="393" t="s">
        <v>598</v>
      </c>
      <c r="D490" s="271"/>
      <c r="E490" s="528"/>
      <c r="F490" s="528"/>
      <c r="G490" s="528"/>
      <c r="H490" s="528"/>
      <c r="I490" s="528"/>
      <c r="J490" s="528"/>
      <c r="K490" s="528"/>
      <c r="L490" s="528"/>
      <c r="M490" s="528"/>
      <c r="N490" s="528"/>
      <c r="O490" s="528"/>
      <c r="P490" s="528"/>
      <c r="Q490" s="529"/>
    </row>
    <row r="491" spans="3:17" ht="18" hidden="1" customHeight="1">
      <c r="C491" s="667" t="s">
        <v>591</v>
      </c>
      <c r="D491" s="271"/>
      <c r="E491" s="307"/>
      <c r="F491" s="307"/>
      <c r="G491" s="307"/>
      <c r="H491" s="307"/>
      <c r="I491" s="307"/>
      <c r="J491" s="307"/>
      <c r="K491" s="307"/>
      <c r="L491" s="307"/>
      <c r="M491" s="307"/>
      <c r="N491" s="307"/>
      <c r="O491" s="307"/>
      <c r="P491" s="307"/>
      <c r="Q491" s="660">
        <f t="shared" ref="Q491:Q552" si="141">SUM(E491:P491)</f>
        <v>0</v>
      </c>
    </row>
    <row r="492" spans="3:17" ht="18" hidden="1" customHeight="1">
      <c r="C492" s="667" t="s">
        <v>599</v>
      </c>
      <c r="D492" s="271"/>
      <c r="E492" s="307"/>
      <c r="F492" s="307"/>
      <c r="G492" s="307"/>
      <c r="H492" s="307"/>
      <c r="I492" s="307"/>
      <c r="J492" s="307"/>
      <c r="K492" s="307"/>
      <c r="L492" s="307"/>
      <c r="M492" s="307"/>
      <c r="N492" s="307"/>
      <c r="O492" s="307"/>
      <c r="P492" s="307"/>
      <c r="Q492" s="660">
        <f t="shared" si="141"/>
        <v>0</v>
      </c>
    </row>
    <row r="493" spans="3:17" ht="18" hidden="1" customHeight="1">
      <c r="C493" s="667" t="s">
        <v>596</v>
      </c>
      <c r="D493" s="271"/>
      <c r="E493" s="307"/>
      <c r="F493" s="307"/>
      <c r="G493" s="307"/>
      <c r="H493" s="307"/>
      <c r="I493" s="307"/>
      <c r="J493" s="307"/>
      <c r="K493" s="307"/>
      <c r="L493" s="307"/>
      <c r="M493" s="307"/>
      <c r="N493" s="307"/>
      <c r="O493" s="307"/>
      <c r="P493" s="307"/>
      <c r="Q493" s="660">
        <f t="shared" si="141"/>
        <v>0</v>
      </c>
    </row>
    <row r="494" spans="3:17" ht="18" hidden="1" customHeight="1">
      <c r="C494" s="667" t="s">
        <v>632</v>
      </c>
      <c r="D494" s="271"/>
      <c r="E494" s="307"/>
      <c r="F494" s="307"/>
      <c r="G494" s="307"/>
      <c r="H494" s="307"/>
      <c r="I494" s="307"/>
      <c r="J494" s="307"/>
      <c r="K494" s="307"/>
      <c r="L494" s="307"/>
      <c r="M494" s="307"/>
      <c r="N494" s="307"/>
      <c r="O494" s="307"/>
      <c r="P494" s="307"/>
      <c r="Q494" s="660">
        <f t="shared" si="141"/>
        <v>0</v>
      </c>
    </row>
    <row r="495" spans="3:17" ht="18" hidden="1" customHeight="1">
      <c r="C495" s="667" t="s">
        <v>597</v>
      </c>
      <c r="D495" s="271"/>
      <c r="E495" s="307"/>
      <c r="F495" s="307"/>
      <c r="G495" s="307"/>
      <c r="H495" s="307"/>
      <c r="I495" s="307"/>
      <c r="J495" s="307"/>
      <c r="K495" s="307"/>
      <c r="L495" s="307"/>
      <c r="M495" s="307"/>
      <c r="N495" s="307"/>
      <c r="O495" s="307"/>
      <c r="P495" s="307"/>
      <c r="Q495" s="660">
        <f t="shared" si="141"/>
        <v>0</v>
      </c>
    </row>
    <row r="496" spans="3:17" ht="18" hidden="1" customHeight="1">
      <c r="C496" s="274" t="s">
        <v>944</v>
      </c>
      <c r="D496" s="271"/>
      <c r="E496" s="679"/>
      <c r="F496" s="679"/>
      <c r="G496" s="679"/>
      <c r="H496" s="679"/>
      <c r="I496" s="679"/>
      <c r="J496" s="679"/>
      <c r="K496" s="679"/>
      <c r="L496" s="679"/>
      <c r="M496" s="679"/>
      <c r="N496" s="679"/>
      <c r="O496" s="679"/>
      <c r="P496" s="679"/>
      <c r="Q496" s="660">
        <f t="shared" si="141"/>
        <v>0</v>
      </c>
    </row>
    <row r="497" spans="3:17" ht="18" hidden="1" customHeight="1">
      <c r="C497" s="274" t="s">
        <v>943</v>
      </c>
      <c r="D497" s="271"/>
      <c r="E497" s="307"/>
      <c r="F497" s="307"/>
      <c r="G497" s="307"/>
      <c r="H497" s="307"/>
      <c r="I497" s="307"/>
      <c r="J497" s="307"/>
      <c r="K497" s="307"/>
      <c r="L497" s="307"/>
      <c r="M497" s="307"/>
      <c r="N497" s="307"/>
      <c r="O497" s="307"/>
      <c r="P497" s="307"/>
      <c r="Q497" s="660">
        <f t="shared" si="141"/>
        <v>0</v>
      </c>
    </row>
    <row r="498" spans="3:17" ht="18" hidden="1" customHeight="1">
      <c r="C498" s="658" t="s">
        <v>600</v>
      </c>
      <c r="D498" s="271"/>
      <c r="E498" s="659">
        <f>SUM(E491:E495)</f>
        <v>0</v>
      </c>
      <c r="F498" s="659">
        <f t="shared" ref="F498:P498" si="142">SUM(F491:F495)</f>
        <v>0</v>
      </c>
      <c r="G498" s="659">
        <f t="shared" si="142"/>
        <v>0</v>
      </c>
      <c r="H498" s="659">
        <f t="shared" si="142"/>
        <v>0</v>
      </c>
      <c r="I498" s="659">
        <f t="shared" si="142"/>
        <v>0</v>
      </c>
      <c r="J498" s="659">
        <f t="shared" si="142"/>
        <v>0</v>
      </c>
      <c r="K498" s="659">
        <f t="shared" si="142"/>
        <v>0</v>
      </c>
      <c r="L498" s="659">
        <f t="shared" si="142"/>
        <v>0</v>
      </c>
      <c r="M498" s="659">
        <f t="shared" si="142"/>
        <v>0</v>
      </c>
      <c r="N498" s="659">
        <f t="shared" si="142"/>
        <v>0</v>
      </c>
      <c r="O498" s="659">
        <f t="shared" si="142"/>
        <v>0</v>
      </c>
      <c r="P498" s="659">
        <f t="shared" si="142"/>
        <v>0</v>
      </c>
      <c r="Q498" s="660">
        <f t="shared" si="141"/>
        <v>0</v>
      </c>
    </row>
    <row r="499" spans="3:17" ht="18" hidden="1" customHeight="1">
      <c r="C499" s="392"/>
      <c r="D499" s="271"/>
      <c r="E499" s="307"/>
      <c r="F499" s="307"/>
      <c r="G499" s="307"/>
      <c r="H499" s="307"/>
      <c r="I499" s="307"/>
      <c r="J499" s="307"/>
      <c r="K499" s="307"/>
      <c r="L499" s="307"/>
      <c r="M499" s="307"/>
      <c r="N499" s="307"/>
      <c r="O499" s="307"/>
      <c r="P499" s="307"/>
      <c r="Q499" s="660"/>
    </row>
    <row r="500" spans="3:17" ht="18" hidden="1" customHeight="1">
      <c r="C500" s="662" t="s">
        <v>601</v>
      </c>
      <c r="D500" s="663"/>
      <c r="E500" s="663"/>
      <c r="F500" s="663"/>
      <c r="G500" s="663"/>
      <c r="H500" s="663"/>
      <c r="I500" s="663"/>
      <c r="J500" s="663"/>
      <c r="K500" s="663"/>
      <c r="L500" s="663"/>
      <c r="M500" s="663"/>
      <c r="N500" s="663"/>
      <c r="O500" s="663"/>
      <c r="P500" s="663"/>
      <c r="Q500" s="664"/>
    </row>
    <row r="501" spans="3:17" ht="18" hidden="1" customHeight="1">
      <c r="C501" s="662" t="s">
        <v>602</v>
      </c>
      <c r="D501" s="663"/>
      <c r="E501" s="663">
        <f>E502+E504+E511+E519+E524+E527</f>
        <v>0</v>
      </c>
      <c r="F501" s="663">
        <f t="shared" ref="F501:P501" si="143">F502+F504+F511+F519+F524+F527</f>
        <v>0</v>
      </c>
      <c r="G501" s="663">
        <f t="shared" si="143"/>
        <v>0</v>
      </c>
      <c r="H501" s="663">
        <f t="shared" si="143"/>
        <v>0</v>
      </c>
      <c r="I501" s="663">
        <f t="shared" si="143"/>
        <v>0</v>
      </c>
      <c r="J501" s="663">
        <f t="shared" si="143"/>
        <v>0</v>
      </c>
      <c r="K501" s="663">
        <f t="shared" si="143"/>
        <v>0</v>
      </c>
      <c r="L501" s="663">
        <f t="shared" si="143"/>
        <v>0</v>
      </c>
      <c r="M501" s="663">
        <f t="shared" si="143"/>
        <v>0</v>
      </c>
      <c r="N501" s="663">
        <f t="shared" si="143"/>
        <v>0</v>
      </c>
      <c r="O501" s="663">
        <f t="shared" si="143"/>
        <v>0</v>
      </c>
      <c r="P501" s="663">
        <f t="shared" si="143"/>
        <v>0</v>
      </c>
      <c r="Q501" s="664">
        <f t="shared" si="141"/>
        <v>0</v>
      </c>
    </row>
    <row r="502" spans="3:17" ht="20.100000000000001" hidden="1" customHeight="1">
      <c r="C502" s="658" t="s">
        <v>712</v>
      </c>
      <c r="D502" s="659"/>
      <c r="E502" s="659">
        <f>E503</f>
        <v>0</v>
      </c>
      <c r="F502" s="659">
        <f t="shared" ref="F502:P502" si="144">F503</f>
        <v>0</v>
      </c>
      <c r="G502" s="659">
        <f t="shared" si="144"/>
        <v>0</v>
      </c>
      <c r="H502" s="659">
        <f t="shared" si="144"/>
        <v>0</v>
      </c>
      <c r="I502" s="659">
        <f t="shared" si="144"/>
        <v>0</v>
      </c>
      <c r="J502" s="659">
        <f t="shared" si="144"/>
        <v>0</v>
      </c>
      <c r="K502" s="659">
        <f t="shared" si="144"/>
        <v>0</v>
      </c>
      <c r="L502" s="659">
        <f t="shared" si="144"/>
        <v>0</v>
      </c>
      <c r="M502" s="659">
        <f t="shared" si="144"/>
        <v>0</v>
      </c>
      <c r="N502" s="659">
        <f t="shared" si="144"/>
        <v>0</v>
      </c>
      <c r="O502" s="659">
        <f t="shared" si="144"/>
        <v>0</v>
      </c>
      <c r="P502" s="659">
        <f t="shared" si="144"/>
        <v>0</v>
      </c>
      <c r="Q502" s="660">
        <f t="shared" si="141"/>
        <v>0</v>
      </c>
    </row>
    <row r="503" spans="3:17" ht="18" hidden="1" customHeight="1">
      <c r="C503" s="665" t="s">
        <v>713</v>
      </c>
      <c r="D503" s="271"/>
      <c r="E503" s="307"/>
      <c r="F503" s="307"/>
      <c r="G503" s="307"/>
      <c r="H503" s="307"/>
      <c r="I503" s="307"/>
      <c r="J503" s="307"/>
      <c r="K503" s="307"/>
      <c r="L503" s="307"/>
      <c r="M503" s="307"/>
      <c r="N503" s="307"/>
      <c r="O503" s="307"/>
      <c r="P503" s="307"/>
      <c r="Q503" s="660">
        <f t="shared" si="141"/>
        <v>0</v>
      </c>
    </row>
    <row r="504" spans="3:17" ht="20.100000000000001" hidden="1" customHeight="1">
      <c r="C504" s="658" t="s">
        <v>695</v>
      </c>
      <c r="D504" s="659"/>
      <c r="E504" s="659">
        <f>SUM(E505:E510)</f>
        <v>0</v>
      </c>
      <c r="F504" s="659">
        <f t="shared" ref="F504:P504" si="145">SUM(F505:F510)</f>
        <v>0</v>
      </c>
      <c r="G504" s="659">
        <f t="shared" si="145"/>
        <v>0</v>
      </c>
      <c r="H504" s="659">
        <f t="shared" si="145"/>
        <v>0</v>
      </c>
      <c r="I504" s="659">
        <f t="shared" si="145"/>
        <v>0</v>
      </c>
      <c r="J504" s="659">
        <f t="shared" si="145"/>
        <v>0</v>
      </c>
      <c r="K504" s="659">
        <f t="shared" si="145"/>
        <v>0</v>
      </c>
      <c r="L504" s="659">
        <f t="shared" si="145"/>
        <v>0</v>
      </c>
      <c r="M504" s="659">
        <f t="shared" si="145"/>
        <v>0</v>
      </c>
      <c r="N504" s="659">
        <f t="shared" si="145"/>
        <v>0</v>
      </c>
      <c r="O504" s="659">
        <f t="shared" si="145"/>
        <v>0</v>
      </c>
      <c r="P504" s="659">
        <f t="shared" si="145"/>
        <v>0</v>
      </c>
      <c r="Q504" s="660">
        <f t="shared" si="141"/>
        <v>0</v>
      </c>
    </row>
    <row r="505" spans="3:17" ht="18" hidden="1" customHeight="1">
      <c r="C505" s="665" t="s">
        <v>986</v>
      </c>
      <c r="D505" s="271"/>
      <c r="E505" s="307"/>
      <c r="F505" s="307"/>
      <c r="G505" s="307"/>
      <c r="H505" s="307"/>
      <c r="I505" s="307"/>
      <c r="J505" s="307"/>
      <c r="K505" s="307"/>
      <c r="L505" s="307"/>
      <c r="M505" s="307"/>
      <c r="N505" s="307"/>
      <c r="O505" s="307"/>
      <c r="P505" s="307"/>
      <c r="Q505" s="660">
        <f t="shared" si="141"/>
        <v>0</v>
      </c>
    </row>
    <row r="506" spans="3:17" ht="18" hidden="1" customHeight="1">
      <c r="C506" s="665" t="s">
        <v>697</v>
      </c>
      <c r="D506" s="271"/>
      <c r="E506" s="307"/>
      <c r="F506" s="307"/>
      <c r="G506" s="307"/>
      <c r="H506" s="307"/>
      <c r="I506" s="307"/>
      <c r="J506" s="307"/>
      <c r="K506" s="307"/>
      <c r="L506" s="307"/>
      <c r="M506" s="307"/>
      <c r="N506" s="307"/>
      <c r="O506" s="307"/>
      <c r="P506" s="307"/>
      <c r="Q506" s="660">
        <f t="shared" si="141"/>
        <v>0</v>
      </c>
    </row>
    <row r="507" spans="3:17" ht="18" hidden="1" customHeight="1">
      <c r="C507" s="665" t="s">
        <v>987</v>
      </c>
      <c r="D507" s="271"/>
      <c r="E507" s="307"/>
      <c r="F507" s="307"/>
      <c r="G507" s="307"/>
      <c r="H507" s="307"/>
      <c r="I507" s="307"/>
      <c r="J507" s="307"/>
      <c r="K507" s="307"/>
      <c r="L507" s="307"/>
      <c r="M507" s="307"/>
      <c r="N507" s="307"/>
      <c r="O507" s="307"/>
      <c r="P507" s="307"/>
      <c r="Q507" s="660">
        <f t="shared" si="141"/>
        <v>0</v>
      </c>
    </row>
    <row r="508" spans="3:17" ht="18" hidden="1" customHeight="1">
      <c r="C508" s="665" t="s">
        <v>683</v>
      </c>
      <c r="D508" s="271"/>
      <c r="E508" s="307"/>
      <c r="F508" s="307"/>
      <c r="G508" s="307"/>
      <c r="H508" s="307"/>
      <c r="I508" s="307"/>
      <c r="J508" s="307"/>
      <c r="K508" s="307"/>
      <c r="L508" s="307"/>
      <c r="M508" s="307"/>
      <c r="N508" s="307"/>
      <c r="O508" s="307"/>
      <c r="P508" s="307"/>
      <c r="Q508" s="660">
        <f t="shared" si="141"/>
        <v>0</v>
      </c>
    </row>
    <row r="509" spans="3:17" ht="18" hidden="1" customHeight="1">
      <c r="C509" s="665" t="s">
        <v>684</v>
      </c>
      <c r="D509" s="271"/>
      <c r="E509" s="307"/>
      <c r="F509" s="307"/>
      <c r="G509" s="307"/>
      <c r="H509" s="307"/>
      <c r="I509" s="307"/>
      <c r="J509" s="307"/>
      <c r="K509" s="307"/>
      <c r="L509" s="307"/>
      <c r="M509" s="307"/>
      <c r="N509" s="307"/>
      <c r="O509" s="307"/>
      <c r="P509" s="307"/>
      <c r="Q509" s="660">
        <f t="shared" si="141"/>
        <v>0</v>
      </c>
    </row>
    <row r="510" spans="3:17" ht="18" hidden="1" customHeight="1">
      <c r="C510" s="665" t="s">
        <v>685</v>
      </c>
      <c r="D510" s="271"/>
      <c r="E510" s="307"/>
      <c r="F510" s="307"/>
      <c r="G510" s="307"/>
      <c r="H510" s="307"/>
      <c r="I510" s="307"/>
      <c r="J510" s="307"/>
      <c r="K510" s="307"/>
      <c r="L510" s="307"/>
      <c r="M510" s="307"/>
      <c r="N510" s="307"/>
      <c r="O510" s="307"/>
      <c r="P510" s="307"/>
      <c r="Q510" s="660">
        <f t="shared" si="141"/>
        <v>0</v>
      </c>
    </row>
    <row r="511" spans="3:17" ht="20.100000000000001" hidden="1" customHeight="1">
      <c r="C511" s="658" t="s">
        <v>698</v>
      </c>
      <c r="D511" s="659"/>
      <c r="E511" s="659">
        <f>SUM(E513:E518)</f>
        <v>0</v>
      </c>
      <c r="F511" s="659">
        <f t="shared" ref="F511:P511" si="146">SUM(F513:F518)</f>
        <v>0</v>
      </c>
      <c r="G511" s="659">
        <f t="shared" si="146"/>
        <v>0</v>
      </c>
      <c r="H511" s="659">
        <f t="shared" si="146"/>
        <v>0</v>
      </c>
      <c r="I511" s="659">
        <f t="shared" si="146"/>
        <v>0</v>
      </c>
      <c r="J511" s="659">
        <f t="shared" si="146"/>
        <v>0</v>
      </c>
      <c r="K511" s="659">
        <f t="shared" si="146"/>
        <v>0</v>
      </c>
      <c r="L511" s="659">
        <f t="shared" si="146"/>
        <v>0</v>
      </c>
      <c r="M511" s="659">
        <f t="shared" si="146"/>
        <v>0</v>
      </c>
      <c r="N511" s="659">
        <f t="shared" si="146"/>
        <v>0</v>
      </c>
      <c r="O511" s="659">
        <f t="shared" si="146"/>
        <v>0</v>
      </c>
      <c r="P511" s="659">
        <f t="shared" si="146"/>
        <v>0</v>
      </c>
      <c r="Q511" s="660">
        <f t="shared" si="141"/>
        <v>0</v>
      </c>
    </row>
    <row r="512" spans="3:17" ht="20.100000000000001" hidden="1" customHeight="1">
      <c r="C512" s="665" t="s">
        <v>699</v>
      </c>
      <c r="D512" s="659"/>
      <c r="E512" s="659"/>
      <c r="F512" s="659"/>
      <c r="G512" s="659"/>
      <c r="H512" s="659"/>
      <c r="I512" s="659"/>
      <c r="J512" s="659"/>
      <c r="K512" s="659"/>
      <c r="L512" s="659"/>
      <c r="M512" s="659"/>
      <c r="N512" s="659"/>
      <c r="O512" s="659"/>
      <c r="P512" s="659"/>
      <c r="Q512" s="660"/>
    </row>
    <row r="513" spans="3:17" ht="18" hidden="1" customHeight="1">
      <c r="C513" s="665" t="s">
        <v>914</v>
      </c>
      <c r="D513" s="271"/>
      <c r="E513" s="688"/>
      <c r="F513" s="688"/>
      <c r="G513" s="688"/>
      <c r="H513" s="688"/>
      <c r="I513" s="688"/>
      <c r="J513" s="688"/>
      <c r="K513" s="688"/>
      <c r="L513" s="688"/>
      <c r="M513" s="688"/>
      <c r="N513" s="688"/>
      <c r="O513" s="688"/>
      <c r="P513" s="688"/>
      <c r="Q513" s="660">
        <f t="shared" si="141"/>
        <v>0</v>
      </c>
    </row>
    <row r="514" spans="3:17" ht="18" hidden="1" customHeight="1">
      <c r="C514" s="665" t="s">
        <v>915</v>
      </c>
      <c r="D514" s="271"/>
      <c r="E514" s="688"/>
      <c r="F514" s="688"/>
      <c r="G514" s="688"/>
      <c r="H514" s="688"/>
      <c r="I514" s="688"/>
      <c r="J514" s="688"/>
      <c r="K514" s="688"/>
      <c r="L514" s="688"/>
      <c r="M514" s="688"/>
      <c r="N514" s="688"/>
      <c r="O514" s="688"/>
      <c r="P514" s="688"/>
      <c r="Q514" s="660">
        <f t="shared" si="141"/>
        <v>0</v>
      </c>
    </row>
    <row r="515" spans="3:17" ht="18" hidden="1" customHeight="1">
      <c r="C515" s="665" t="s">
        <v>916</v>
      </c>
      <c r="D515" s="271"/>
      <c r="E515" s="688"/>
      <c r="F515" s="688"/>
      <c r="G515" s="688"/>
      <c r="H515" s="688"/>
      <c r="I515" s="688"/>
      <c r="J515" s="688"/>
      <c r="K515" s="688"/>
      <c r="L515" s="688"/>
      <c r="M515" s="688"/>
      <c r="N515" s="688"/>
      <c r="O515" s="688"/>
      <c r="P515" s="688"/>
      <c r="Q515" s="660">
        <f t="shared" si="141"/>
        <v>0</v>
      </c>
    </row>
    <row r="516" spans="3:17" ht="18" hidden="1" customHeight="1">
      <c r="C516" s="665" t="s">
        <v>592</v>
      </c>
      <c r="D516" s="271"/>
      <c r="E516" s="688"/>
      <c r="F516" s="688"/>
      <c r="G516" s="688"/>
      <c r="H516" s="688"/>
      <c r="I516" s="688"/>
      <c r="J516" s="688"/>
      <c r="K516" s="688"/>
      <c r="L516" s="688"/>
      <c r="M516" s="688"/>
      <c r="N516" s="688"/>
      <c r="O516" s="688"/>
      <c r="P516" s="688"/>
      <c r="Q516" s="660">
        <f t="shared" si="141"/>
        <v>0</v>
      </c>
    </row>
    <row r="517" spans="3:17" ht="18" hidden="1" customHeight="1">
      <c r="C517" s="665" t="s">
        <v>702</v>
      </c>
      <c r="D517" s="271"/>
      <c r="E517" s="688"/>
      <c r="F517" s="688"/>
      <c r="G517" s="688"/>
      <c r="H517" s="688"/>
      <c r="I517" s="688"/>
      <c r="J517" s="688"/>
      <c r="K517" s="688"/>
      <c r="L517" s="688"/>
      <c r="M517" s="688"/>
      <c r="N517" s="688"/>
      <c r="O517" s="688"/>
      <c r="P517" s="688"/>
      <c r="Q517" s="660">
        <f t="shared" si="141"/>
        <v>0</v>
      </c>
    </row>
    <row r="518" spans="3:17" ht="18" hidden="1" customHeight="1">
      <c r="C518" s="665" t="s">
        <v>703</v>
      </c>
      <c r="D518" s="271"/>
      <c r="E518" s="307"/>
      <c r="F518" s="307"/>
      <c r="G518" s="307"/>
      <c r="H518" s="307"/>
      <c r="I518" s="307"/>
      <c r="J518" s="307"/>
      <c r="K518" s="307"/>
      <c r="L518" s="307"/>
      <c r="M518" s="307"/>
      <c r="N518" s="307"/>
      <c r="O518" s="307"/>
      <c r="P518" s="307"/>
      <c r="Q518" s="660">
        <f t="shared" si="141"/>
        <v>0</v>
      </c>
    </row>
    <row r="519" spans="3:17" ht="20.100000000000001" hidden="1" customHeight="1">
      <c r="C519" s="658" t="s">
        <v>714</v>
      </c>
      <c r="D519" s="659"/>
      <c r="E519" s="659">
        <f>SUM(E520:E523)</f>
        <v>0</v>
      </c>
      <c r="F519" s="659">
        <f t="shared" ref="F519:P519" si="147">SUM(F520:F523)</f>
        <v>0</v>
      </c>
      <c r="G519" s="659">
        <f t="shared" si="147"/>
        <v>0</v>
      </c>
      <c r="H519" s="659">
        <f t="shared" si="147"/>
        <v>0</v>
      </c>
      <c r="I519" s="659">
        <f t="shared" si="147"/>
        <v>0</v>
      </c>
      <c r="J519" s="659">
        <f t="shared" si="147"/>
        <v>0</v>
      </c>
      <c r="K519" s="659">
        <f t="shared" si="147"/>
        <v>0</v>
      </c>
      <c r="L519" s="659">
        <f t="shared" si="147"/>
        <v>0</v>
      </c>
      <c r="M519" s="659">
        <f t="shared" si="147"/>
        <v>0</v>
      </c>
      <c r="N519" s="659">
        <f t="shared" si="147"/>
        <v>0</v>
      </c>
      <c r="O519" s="659">
        <f t="shared" si="147"/>
        <v>0</v>
      </c>
      <c r="P519" s="659">
        <f t="shared" si="147"/>
        <v>0</v>
      </c>
      <c r="Q519" s="660">
        <f t="shared" si="141"/>
        <v>0</v>
      </c>
    </row>
    <row r="520" spans="3:17" ht="25.5" hidden="1">
      <c r="C520" s="665" t="s">
        <v>708</v>
      </c>
      <c r="D520" s="271"/>
      <c r="E520" s="689"/>
      <c r="F520" s="689"/>
      <c r="G520" s="689"/>
      <c r="H520" s="689"/>
      <c r="I520" s="689"/>
      <c r="J520" s="689"/>
      <c r="K520" s="689"/>
      <c r="L520" s="689"/>
      <c r="M520" s="689"/>
      <c r="N520" s="689"/>
      <c r="O520" s="689"/>
      <c r="P520" s="689"/>
      <c r="Q520" s="660">
        <f t="shared" si="141"/>
        <v>0</v>
      </c>
    </row>
    <row r="521" spans="3:17" ht="18" hidden="1" customHeight="1">
      <c r="C521" s="665" t="s">
        <v>687</v>
      </c>
      <c r="D521" s="271"/>
      <c r="E521" s="689"/>
      <c r="F521" s="689"/>
      <c r="G521" s="689"/>
      <c r="H521" s="689"/>
      <c r="I521" s="689"/>
      <c r="J521" s="689"/>
      <c r="K521" s="689"/>
      <c r="L521" s="689"/>
      <c r="M521" s="689"/>
      <c r="N521" s="689"/>
      <c r="O521" s="689"/>
      <c r="P521" s="689"/>
      <c r="Q521" s="660">
        <f t="shared" si="141"/>
        <v>0</v>
      </c>
    </row>
    <row r="522" spans="3:17" ht="18" hidden="1" customHeight="1">
      <c r="C522" s="665" t="s">
        <v>688</v>
      </c>
      <c r="D522" s="271"/>
      <c r="E522" s="689"/>
      <c r="F522" s="689"/>
      <c r="G522" s="689"/>
      <c r="H522" s="689"/>
      <c r="I522" s="689"/>
      <c r="J522" s="689"/>
      <c r="K522" s="689"/>
      <c r="L522" s="689"/>
      <c r="M522" s="689"/>
      <c r="N522" s="689"/>
      <c r="O522" s="689"/>
      <c r="P522" s="689"/>
      <c r="Q522" s="660">
        <f t="shared" si="141"/>
        <v>0</v>
      </c>
    </row>
    <row r="523" spans="3:17" ht="18" hidden="1" customHeight="1">
      <c r="C523" s="665" t="s">
        <v>704</v>
      </c>
      <c r="D523" s="271"/>
      <c r="E523" s="307"/>
      <c r="F523" s="307"/>
      <c r="G523" s="307"/>
      <c r="H523" s="307"/>
      <c r="I523" s="307"/>
      <c r="J523" s="307"/>
      <c r="K523" s="307"/>
      <c r="L523" s="307"/>
      <c r="M523" s="307"/>
      <c r="N523" s="307"/>
      <c r="O523" s="307"/>
      <c r="P523" s="307"/>
      <c r="Q523" s="660">
        <f t="shared" si="141"/>
        <v>0</v>
      </c>
    </row>
    <row r="524" spans="3:17" ht="20.100000000000001" hidden="1" customHeight="1">
      <c r="C524" s="658" t="s">
        <v>715</v>
      </c>
      <c r="D524" s="659"/>
      <c r="E524" s="659">
        <f>E525+E526</f>
        <v>0</v>
      </c>
      <c r="F524" s="659">
        <f t="shared" ref="F524:P524" si="148">F525+F526</f>
        <v>0</v>
      </c>
      <c r="G524" s="659">
        <f t="shared" si="148"/>
        <v>0</v>
      </c>
      <c r="H524" s="659">
        <f t="shared" si="148"/>
        <v>0</v>
      </c>
      <c r="I524" s="659">
        <f t="shared" si="148"/>
        <v>0</v>
      </c>
      <c r="J524" s="659">
        <f t="shared" si="148"/>
        <v>0</v>
      </c>
      <c r="K524" s="659">
        <f t="shared" si="148"/>
        <v>0</v>
      </c>
      <c r="L524" s="659">
        <f t="shared" si="148"/>
        <v>0</v>
      </c>
      <c r="M524" s="659">
        <f t="shared" si="148"/>
        <v>0</v>
      </c>
      <c r="N524" s="659">
        <f t="shared" si="148"/>
        <v>0</v>
      </c>
      <c r="O524" s="659">
        <f t="shared" si="148"/>
        <v>0</v>
      </c>
      <c r="P524" s="659">
        <f t="shared" si="148"/>
        <v>0</v>
      </c>
      <c r="Q524" s="660">
        <f t="shared" si="141"/>
        <v>0</v>
      </c>
    </row>
    <row r="525" spans="3:17" ht="18" hidden="1" customHeight="1">
      <c r="C525" s="665" t="s">
        <v>692</v>
      </c>
      <c r="D525" s="271"/>
      <c r="E525" s="690"/>
      <c r="F525" s="690"/>
      <c r="G525" s="690"/>
      <c r="H525" s="690"/>
      <c r="I525" s="690"/>
      <c r="J525" s="690"/>
      <c r="K525" s="690"/>
      <c r="L525" s="690"/>
      <c r="M525" s="690"/>
      <c r="N525" s="690"/>
      <c r="O525" s="690"/>
      <c r="P525" s="690"/>
      <c r="Q525" s="660">
        <f t="shared" si="141"/>
        <v>0</v>
      </c>
    </row>
    <row r="526" spans="3:17" ht="18" hidden="1" customHeight="1">
      <c r="C526" s="665" t="s">
        <v>707</v>
      </c>
      <c r="D526" s="271"/>
      <c r="E526" s="690"/>
      <c r="F526" s="690"/>
      <c r="G526" s="690"/>
      <c r="H526" s="690"/>
      <c r="I526" s="690"/>
      <c r="J526" s="690"/>
      <c r="K526" s="690"/>
      <c r="L526" s="690"/>
      <c r="M526" s="690"/>
      <c r="N526" s="690"/>
      <c r="O526" s="690"/>
      <c r="P526" s="690"/>
      <c r="Q526" s="660">
        <f t="shared" si="141"/>
        <v>0</v>
      </c>
    </row>
    <row r="527" spans="3:17" ht="18" hidden="1" customHeight="1">
      <c r="C527" s="274"/>
      <c r="D527" s="271"/>
      <c r="E527" s="379"/>
      <c r="F527" s="379"/>
      <c r="G527" s="379"/>
      <c r="H527" s="379"/>
      <c r="I527" s="379"/>
      <c r="J527" s="379"/>
      <c r="K527" s="379"/>
      <c r="L527" s="379"/>
      <c r="M527" s="379"/>
      <c r="N527" s="379"/>
      <c r="O527" s="379"/>
      <c r="P527" s="379"/>
      <c r="Q527" s="660">
        <f t="shared" si="141"/>
        <v>0</v>
      </c>
    </row>
    <row r="528" spans="3:17" ht="18" hidden="1" customHeight="1">
      <c r="C528" s="662" t="s">
        <v>717</v>
      </c>
      <c r="D528" s="663"/>
      <c r="E528" s="663">
        <f>E529+E531+E538+E546+E551</f>
        <v>0</v>
      </c>
      <c r="F528" s="663">
        <f t="shared" ref="F528:P528" si="149">F529+F531+F538+F546+F551</f>
        <v>0</v>
      </c>
      <c r="G528" s="663">
        <f t="shared" si="149"/>
        <v>0</v>
      </c>
      <c r="H528" s="663">
        <f t="shared" si="149"/>
        <v>0</v>
      </c>
      <c r="I528" s="663">
        <f t="shared" si="149"/>
        <v>0</v>
      </c>
      <c r="J528" s="663">
        <f t="shared" si="149"/>
        <v>0</v>
      </c>
      <c r="K528" s="663">
        <f t="shared" si="149"/>
        <v>0</v>
      </c>
      <c r="L528" s="663">
        <f t="shared" si="149"/>
        <v>0</v>
      </c>
      <c r="M528" s="663">
        <f t="shared" si="149"/>
        <v>0</v>
      </c>
      <c r="N528" s="663">
        <f t="shared" si="149"/>
        <v>0</v>
      </c>
      <c r="O528" s="663">
        <f t="shared" si="149"/>
        <v>0</v>
      </c>
      <c r="P528" s="663">
        <f t="shared" si="149"/>
        <v>0</v>
      </c>
      <c r="Q528" s="664">
        <f t="shared" si="141"/>
        <v>0</v>
      </c>
    </row>
    <row r="529" spans="3:17" ht="20.100000000000001" hidden="1" customHeight="1">
      <c r="C529" s="658" t="s">
        <v>712</v>
      </c>
      <c r="D529" s="659"/>
      <c r="E529" s="659">
        <f>E530</f>
        <v>0</v>
      </c>
      <c r="F529" s="659">
        <f t="shared" ref="F529:P529" si="150">F530</f>
        <v>0</v>
      </c>
      <c r="G529" s="659">
        <f t="shared" si="150"/>
        <v>0</v>
      </c>
      <c r="H529" s="659">
        <f t="shared" si="150"/>
        <v>0</v>
      </c>
      <c r="I529" s="659">
        <f t="shared" si="150"/>
        <v>0</v>
      </c>
      <c r="J529" s="659">
        <f t="shared" si="150"/>
        <v>0</v>
      </c>
      <c r="K529" s="659">
        <f t="shared" si="150"/>
        <v>0</v>
      </c>
      <c r="L529" s="659">
        <f t="shared" si="150"/>
        <v>0</v>
      </c>
      <c r="M529" s="659">
        <f t="shared" si="150"/>
        <v>0</v>
      </c>
      <c r="N529" s="659">
        <f t="shared" si="150"/>
        <v>0</v>
      </c>
      <c r="O529" s="659">
        <f t="shared" si="150"/>
        <v>0</v>
      </c>
      <c r="P529" s="659">
        <f t="shared" si="150"/>
        <v>0</v>
      </c>
      <c r="Q529" s="660">
        <f t="shared" si="141"/>
        <v>0</v>
      </c>
    </row>
    <row r="530" spans="3:17" ht="25.5" hidden="1">
      <c r="C530" s="665" t="s">
        <v>718</v>
      </c>
      <c r="D530" s="271"/>
      <c r="E530" s="691"/>
      <c r="F530" s="691"/>
      <c r="G530" s="691"/>
      <c r="H530" s="691"/>
      <c r="I530" s="691"/>
      <c r="J530" s="691"/>
      <c r="K530" s="691"/>
      <c r="L530" s="691"/>
      <c r="M530" s="691"/>
      <c r="N530" s="691"/>
      <c r="O530" s="691"/>
      <c r="P530" s="691"/>
      <c r="Q530" s="660">
        <f t="shared" si="141"/>
        <v>0</v>
      </c>
    </row>
    <row r="531" spans="3:17" ht="20.100000000000001" hidden="1" customHeight="1">
      <c r="C531" s="658" t="s">
        <v>695</v>
      </c>
      <c r="D531" s="659"/>
      <c r="E531" s="659">
        <f>SUM(E532:E537)</f>
        <v>0</v>
      </c>
      <c r="F531" s="659">
        <f t="shared" ref="F531:P531" si="151">SUM(F532:F537)</f>
        <v>0</v>
      </c>
      <c r="G531" s="659">
        <f t="shared" si="151"/>
        <v>0</v>
      </c>
      <c r="H531" s="659">
        <f t="shared" si="151"/>
        <v>0</v>
      </c>
      <c r="I531" s="659">
        <f t="shared" si="151"/>
        <v>0</v>
      </c>
      <c r="J531" s="659">
        <f t="shared" si="151"/>
        <v>0</v>
      </c>
      <c r="K531" s="659">
        <f t="shared" si="151"/>
        <v>0</v>
      </c>
      <c r="L531" s="659">
        <f t="shared" si="151"/>
        <v>0</v>
      </c>
      <c r="M531" s="659">
        <f t="shared" si="151"/>
        <v>0</v>
      </c>
      <c r="N531" s="659">
        <f t="shared" si="151"/>
        <v>0</v>
      </c>
      <c r="O531" s="659">
        <f t="shared" si="151"/>
        <v>0</v>
      </c>
      <c r="P531" s="659">
        <f t="shared" si="151"/>
        <v>0</v>
      </c>
      <c r="Q531" s="660">
        <f t="shared" si="141"/>
        <v>0</v>
      </c>
    </row>
    <row r="532" spans="3:17" ht="20.100000000000001" hidden="1" customHeight="1">
      <c r="C532" s="665" t="s">
        <v>696</v>
      </c>
      <c r="D532" s="271"/>
      <c r="E532" s="692"/>
      <c r="F532" s="692"/>
      <c r="G532" s="692"/>
      <c r="H532" s="692"/>
      <c r="I532" s="692"/>
      <c r="J532" s="692"/>
      <c r="K532" s="692"/>
      <c r="L532" s="692"/>
      <c r="M532" s="692"/>
      <c r="N532" s="692"/>
      <c r="O532" s="692"/>
      <c r="P532" s="692"/>
      <c r="Q532" s="660">
        <f t="shared" si="141"/>
        <v>0</v>
      </c>
    </row>
    <row r="533" spans="3:17" ht="20.100000000000001" hidden="1" customHeight="1">
      <c r="C533" s="665" t="s">
        <v>719</v>
      </c>
      <c r="D533" s="271"/>
      <c r="E533" s="692"/>
      <c r="F533" s="692"/>
      <c r="G533" s="692"/>
      <c r="H533" s="692"/>
      <c r="I533" s="692"/>
      <c r="J533" s="692"/>
      <c r="K533" s="692"/>
      <c r="L533" s="692"/>
      <c r="M533" s="692"/>
      <c r="N533" s="692"/>
      <c r="O533" s="692"/>
      <c r="P533" s="692"/>
      <c r="Q533" s="660">
        <f t="shared" si="141"/>
        <v>0</v>
      </c>
    </row>
    <row r="534" spans="3:17" ht="20.100000000000001" hidden="1" customHeight="1">
      <c r="C534" s="665" t="s">
        <v>682</v>
      </c>
      <c r="D534" s="271"/>
      <c r="E534" s="692"/>
      <c r="F534" s="692"/>
      <c r="G534" s="692"/>
      <c r="H534" s="692"/>
      <c r="I534" s="692"/>
      <c r="J534" s="692"/>
      <c r="K534" s="692"/>
      <c r="L534" s="692"/>
      <c r="M534" s="692"/>
      <c r="N534" s="692"/>
      <c r="O534" s="692"/>
      <c r="P534" s="692"/>
      <c r="Q534" s="660">
        <f t="shared" si="141"/>
        <v>0</v>
      </c>
    </row>
    <row r="535" spans="3:17" ht="20.100000000000001" hidden="1" customHeight="1">
      <c r="C535" s="665" t="s">
        <v>683</v>
      </c>
      <c r="D535" s="271"/>
      <c r="E535" s="692"/>
      <c r="F535" s="692"/>
      <c r="G535" s="692"/>
      <c r="H535" s="692"/>
      <c r="I535" s="692"/>
      <c r="J535" s="692"/>
      <c r="K535" s="692"/>
      <c r="L535" s="692"/>
      <c r="M535" s="692"/>
      <c r="N535" s="692"/>
      <c r="O535" s="692"/>
      <c r="P535" s="692"/>
      <c r="Q535" s="660">
        <f t="shared" si="141"/>
        <v>0</v>
      </c>
    </row>
    <row r="536" spans="3:17" ht="20.100000000000001" hidden="1" customHeight="1">
      <c r="C536" s="665" t="s">
        <v>684</v>
      </c>
      <c r="D536" s="271"/>
      <c r="E536" s="307"/>
      <c r="F536" s="307"/>
      <c r="G536" s="307"/>
      <c r="H536" s="307"/>
      <c r="I536" s="307"/>
      <c r="J536" s="307"/>
      <c r="K536" s="307"/>
      <c r="L536" s="307"/>
      <c r="M536" s="307"/>
      <c r="N536" s="307"/>
      <c r="O536" s="307"/>
      <c r="P536" s="307"/>
      <c r="Q536" s="660">
        <f t="shared" si="141"/>
        <v>0</v>
      </c>
    </row>
    <row r="537" spans="3:17" ht="20.100000000000001" hidden="1" customHeight="1">
      <c r="C537" s="665" t="s">
        <v>685</v>
      </c>
      <c r="D537" s="271"/>
      <c r="E537" s="307"/>
      <c r="F537" s="307"/>
      <c r="G537" s="307"/>
      <c r="H537" s="307"/>
      <c r="I537" s="307"/>
      <c r="J537" s="307"/>
      <c r="K537" s="307"/>
      <c r="L537" s="307"/>
      <c r="M537" s="307"/>
      <c r="N537" s="307"/>
      <c r="O537" s="307"/>
      <c r="P537" s="307"/>
      <c r="Q537" s="660">
        <f t="shared" si="141"/>
        <v>0</v>
      </c>
    </row>
    <row r="538" spans="3:17" ht="20.100000000000001" hidden="1" customHeight="1">
      <c r="C538" s="658" t="s">
        <v>698</v>
      </c>
      <c r="D538" s="659"/>
      <c r="E538" s="659">
        <f>SUM(E540:E545)</f>
        <v>0</v>
      </c>
      <c r="F538" s="659">
        <f t="shared" ref="F538:P538" si="152">SUM(F540:F545)</f>
        <v>0</v>
      </c>
      <c r="G538" s="659">
        <f t="shared" si="152"/>
        <v>0</v>
      </c>
      <c r="H538" s="659">
        <f t="shared" si="152"/>
        <v>0</v>
      </c>
      <c r="I538" s="659">
        <f t="shared" si="152"/>
        <v>0</v>
      </c>
      <c r="J538" s="659">
        <f t="shared" si="152"/>
        <v>0</v>
      </c>
      <c r="K538" s="659">
        <f t="shared" si="152"/>
        <v>0</v>
      </c>
      <c r="L538" s="659">
        <f t="shared" si="152"/>
        <v>0</v>
      </c>
      <c r="M538" s="659">
        <f t="shared" si="152"/>
        <v>0</v>
      </c>
      <c r="N538" s="659">
        <f t="shared" si="152"/>
        <v>0</v>
      </c>
      <c r="O538" s="659">
        <f t="shared" si="152"/>
        <v>0</v>
      </c>
      <c r="P538" s="659">
        <f t="shared" si="152"/>
        <v>0</v>
      </c>
      <c r="Q538" s="660">
        <f t="shared" si="141"/>
        <v>0</v>
      </c>
    </row>
    <row r="539" spans="3:17" ht="20.100000000000001" hidden="1" customHeight="1">
      <c r="C539" s="665" t="s">
        <v>699</v>
      </c>
      <c r="D539" s="659"/>
      <c r="E539" s="659"/>
      <c r="F539" s="659"/>
      <c r="G539" s="659"/>
      <c r="H539" s="659"/>
      <c r="I539" s="659"/>
      <c r="J539" s="659"/>
      <c r="K539" s="659"/>
      <c r="L539" s="659"/>
      <c r="M539" s="659"/>
      <c r="N539" s="659"/>
      <c r="O539" s="659"/>
      <c r="P539" s="659"/>
      <c r="Q539" s="660"/>
    </row>
    <row r="540" spans="3:17" ht="20.100000000000001" hidden="1" customHeight="1">
      <c r="C540" s="665" t="s">
        <v>914</v>
      </c>
      <c r="D540" s="271"/>
      <c r="E540" s="693"/>
      <c r="F540" s="693"/>
      <c r="G540" s="693"/>
      <c r="H540" s="693"/>
      <c r="I540" s="693"/>
      <c r="J540" s="693"/>
      <c r="K540" s="693"/>
      <c r="L540" s="693"/>
      <c r="M540" s="693"/>
      <c r="N540" s="693"/>
      <c r="O540" s="693"/>
      <c r="P540" s="693"/>
      <c r="Q540" s="660">
        <f t="shared" si="141"/>
        <v>0</v>
      </c>
    </row>
    <row r="541" spans="3:17" ht="20.100000000000001" hidden="1" customHeight="1">
      <c r="C541" s="665" t="s">
        <v>915</v>
      </c>
      <c r="D541" s="271"/>
      <c r="E541" s="693"/>
      <c r="F541" s="693"/>
      <c r="G541" s="693"/>
      <c r="H541" s="693"/>
      <c r="I541" s="693"/>
      <c r="J541" s="693"/>
      <c r="K541" s="693"/>
      <c r="L541" s="693"/>
      <c r="M541" s="693"/>
      <c r="N541" s="693"/>
      <c r="O541" s="693"/>
      <c r="P541" s="693"/>
      <c r="Q541" s="660">
        <f t="shared" si="141"/>
        <v>0</v>
      </c>
    </row>
    <row r="542" spans="3:17" ht="20.100000000000001" hidden="1" customHeight="1">
      <c r="C542" s="665" t="s">
        <v>916</v>
      </c>
      <c r="D542" s="271"/>
      <c r="E542" s="693"/>
      <c r="F542" s="693"/>
      <c r="G542" s="693"/>
      <c r="H542" s="693"/>
      <c r="I542" s="693"/>
      <c r="J542" s="693"/>
      <c r="K542" s="693"/>
      <c r="L542" s="693"/>
      <c r="M542" s="693"/>
      <c r="N542" s="693"/>
      <c r="O542" s="693"/>
      <c r="P542" s="693"/>
      <c r="Q542" s="660">
        <f t="shared" si="141"/>
        <v>0</v>
      </c>
    </row>
    <row r="543" spans="3:17" ht="20.100000000000001" hidden="1" customHeight="1">
      <c r="C543" s="665" t="s">
        <v>592</v>
      </c>
      <c r="D543" s="271"/>
      <c r="E543" s="693"/>
      <c r="F543" s="693"/>
      <c r="G543" s="693"/>
      <c r="H543" s="693"/>
      <c r="I543" s="693"/>
      <c r="J543" s="693"/>
      <c r="K543" s="693"/>
      <c r="L543" s="693"/>
      <c r="M543" s="693"/>
      <c r="N543" s="693"/>
      <c r="O543" s="693"/>
      <c r="P543" s="693"/>
      <c r="Q543" s="660">
        <f t="shared" si="141"/>
        <v>0</v>
      </c>
    </row>
    <row r="544" spans="3:17" ht="20.100000000000001" hidden="1" customHeight="1">
      <c r="C544" s="665" t="s">
        <v>702</v>
      </c>
      <c r="D544" s="271"/>
      <c r="E544" s="693"/>
      <c r="F544" s="693"/>
      <c r="G544" s="693"/>
      <c r="H544" s="693"/>
      <c r="I544" s="693"/>
      <c r="J544" s="693"/>
      <c r="K544" s="693"/>
      <c r="L544" s="693"/>
      <c r="M544" s="693"/>
      <c r="N544" s="693"/>
      <c r="O544" s="693"/>
      <c r="P544" s="693"/>
      <c r="Q544" s="660">
        <f t="shared" si="141"/>
        <v>0</v>
      </c>
    </row>
    <row r="545" spans="3:17" ht="20.100000000000001" hidden="1" customHeight="1">
      <c r="C545" s="665" t="s">
        <v>703</v>
      </c>
      <c r="D545" s="271"/>
      <c r="E545" s="693"/>
      <c r="F545" s="693"/>
      <c r="G545" s="693"/>
      <c r="H545" s="693"/>
      <c r="I545" s="693"/>
      <c r="J545" s="693"/>
      <c r="K545" s="693"/>
      <c r="L545" s="693"/>
      <c r="M545" s="693"/>
      <c r="N545" s="693"/>
      <c r="O545" s="693"/>
      <c r="P545" s="693"/>
      <c r="Q545" s="660">
        <f t="shared" si="141"/>
        <v>0</v>
      </c>
    </row>
    <row r="546" spans="3:17" ht="20.100000000000001" hidden="1" customHeight="1">
      <c r="C546" s="658" t="s">
        <v>714</v>
      </c>
      <c r="D546" s="659"/>
      <c r="E546" s="659">
        <f>SUM(E547:E550)</f>
        <v>0</v>
      </c>
      <c r="F546" s="659">
        <f t="shared" ref="F546:P546" si="153">SUM(F547:F550)</f>
        <v>0</v>
      </c>
      <c r="G546" s="659">
        <f t="shared" si="153"/>
        <v>0</v>
      </c>
      <c r="H546" s="659">
        <f t="shared" si="153"/>
        <v>0</v>
      </c>
      <c r="I546" s="659">
        <f t="shared" si="153"/>
        <v>0</v>
      </c>
      <c r="J546" s="659">
        <f t="shared" si="153"/>
        <v>0</v>
      </c>
      <c r="K546" s="659">
        <f t="shared" si="153"/>
        <v>0</v>
      </c>
      <c r="L546" s="659">
        <f t="shared" si="153"/>
        <v>0</v>
      </c>
      <c r="M546" s="659">
        <f t="shared" si="153"/>
        <v>0</v>
      </c>
      <c r="N546" s="659">
        <f t="shared" si="153"/>
        <v>0</v>
      </c>
      <c r="O546" s="659">
        <f t="shared" si="153"/>
        <v>0</v>
      </c>
      <c r="P546" s="659">
        <f t="shared" si="153"/>
        <v>0</v>
      </c>
      <c r="Q546" s="660">
        <f t="shared" si="141"/>
        <v>0</v>
      </c>
    </row>
    <row r="547" spans="3:17" ht="25.5" hidden="1">
      <c r="C547" s="665" t="s">
        <v>708</v>
      </c>
      <c r="D547" s="271"/>
      <c r="E547" s="694"/>
      <c r="F547" s="694"/>
      <c r="G547" s="694"/>
      <c r="H547" s="694"/>
      <c r="I547" s="694"/>
      <c r="J547" s="694"/>
      <c r="K547" s="694"/>
      <c r="L547" s="694"/>
      <c r="M547" s="694"/>
      <c r="N547" s="694"/>
      <c r="O547" s="694"/>
      <c r="P547" s="694"/>
      <c r="Q547" s="660">
        <f t="shared" si="141"/>
        <v>0</v>
      </c>
    </row>
    <row r="548" spans="3:17" ht="20.100000000000001" hidden="1" customHeight="1">
      <c r="C548" s="665" t="s">
        <v>687</v>
      </c>
      <c r="D548" s="271"/>
      <c r="E548" s="307"/>
      <c r="F548" s="307"/>
      <c r="G548" s="307"/>
      <c r="H548" s="307"/>
      <c r="I548" s="307"/>
      <c r="J548" s="307"/>
      <c r="K548" s="307"/>
      <c r="L548" s="307"/>
      <c r="M548" s="307"/>
      <c r="N548" s="307"/>
      <c r="O548" s="307"/>
      <c r="P548" s="307"/>
      <c r="Q548" s="660">
        <f t="shared" si="141"/>
        <v>0</v>
      </c>
    </row>
    <row r="549" spans="3:17" ht="20.100000000000001" hidden="1" customHeight="1">
      <c r="C549" s="665" t="s">
        <v>688</v>
      </c>
      <c r="D549" s="271"/>
      <c r="E549" s="307"/>
      <c r="F549" s="307"/>
      <c r="G549" s="307"/>
      <c r="H549" s="307"/>
      <c r="I549" s="307"/>
      <c r="J549" s="307"/>
      <c r="K549" s="307"/>
      <c r="L549" s="307"/>
      <c r="M549" s="307"/>
      <c r="N549" s="307"/>
      <c r="O549" s="307"/>
      <c r="P549" s="307"/>
      <c r="Q549" s="660">
        <f t="shared" si="141"/>
        <v>0</v>
      </c>
    </row>
    <row r="550" spans="3:17" ht="20.100000000000001" hidden="1" customHeight="1">
      <c r="C550" s="665" t="s">
        <v>704</v>
      </c>
      <c r="D550" s="271"/>
      <c r="E550" s="307"/>
      <c r="F550" s="307"/>
      <c r="G550" s="307"/>
      <c r="H550" s="307"/>
      <c r="I550" s="307"/>
      <c r="J550" s="307"/>
      <c r="K550" s="307"/>
      <c r="L550" s="307"/>
      <c r="M550" s="307"/>
      <c r="N550" s="307"/>
      <c r="O550" s="307"/>
      <c r="P550" s="307"/>
      <c r="Q550" s="660">
        <f t="shared" si="141"/>
        <v>0</v>
      </c>
    </row>
    <row r="551" spans="3:17" ht="20.100000000000001" hidden="1" customHeight="1">
      <c r="C551" s="658" t="s">
        <v>715</v>
      </c>
      <c r="D551" s="659"/>
      <c r="E551" s="659">
        <f>E552+E553</f>
        <v>0</v>
      </c>
      <c r="F551" s="659">
        <f t="shared" ref="F551:P551" si="154">F552+F553</f>
        <v>0</v>
      </c>
      <c r="G551" s="659">
        <f t="shared" si="154"/>
        <v>0</v>
      </c>
      <c r="H551" s="659">
        <f t="shared" si="154"/>
        <v>0</v>
      </c>
      <c r="I551" s="659">
        <f t="shared" si="154"/>
        <v>0</v>
      </c>
      <c r="J551" s="659">
        <f t="shared" si="154"/>
        <v>0</v>
      </c>
      <c r="K551" s="659">
        <f t="shared" si="154"/>
        <v>0</v>
      </c>
      <c r="L551" s="659">
        <f t="shared" si="154"/>
        <v>0</v>
      </c>
      <c r="M551" s="659">
        <f t="shared" si="154"/>
        <v>0</v>
      </c>
      <c r="N551" s="659">
        <f t="shared" si="154"/>
        <v>0</v>
      </c>
      <c r="O551" s="659">
        <f t="shared" si="154"/>
        <v>0</v>
      </c>
      <c r="P551" s="659">
        <f t="shared" si="154"/>
        <v>0</v>
      </c>
      <c r="Q551" s="660">
        <f t="shared" si="141"/>
        <v>0</v>
      </c>
    </row>
    <row r="552" spans="3:17" ht="20.100000000000001" hidden="1" customHeight="1">
      <c r="C552" s="665" t="s">
        <v>692</v>
      </c>
      <c r="D552" s="271"/>
      <c r="E552" s="695"/>
      <c r="F552" s="695"/>
      <c r="G552" s="695"/>
      <c r="H552" s="695"/>
      <c r="I552" s="695"/>
      <c r="J552" s="695"/>
      <c r="K552" s="695"/>
      <c r="L552" s="695"/>
      <c r="M552" s="695"/>
      <c r="N552" s="695"/>
      <c r="O552" s="695"/>
      <c r="P552" s="695"/>
      <c r="Q552" s="660">
        <f t="shared" si="141"/>
        <v>0</v>
      </c>
    </row>
    <row r="553" spans="3:17" ht="20.100000000000001" hidden="1" customHeight="1">
      <c r="C553" s="665" t="s">
        <v>707</v>
      </c>
      <c r="D553" s="271"/>
      <c r="E553" s="695"/>
      <c r="F553" s="695"/>
      <c r="G553" s="695"/>
      <c r="H553" s="695"/>
      <c r="I553" s="695"/>
      <c r="J553" s="695"/>
      <c r="K553" s="695"/>
      <c r="L553" s="695"/>
      <c r="M553" s="695"/>
      <c r="N553" s="695"/>
      <c r="O553" s="695"/>
      <c r="P553" s="695"/>
      <c r="Q553" s="660">
        <f t="shared" ref="Q553:Q579" si="155">SUM(E553:P553)</f>
        <v>0</v>
      </c>
    </row>
    <row r="554" spans="3:17" ht="18" hidden="1" customHeight="1">
      <c r="C554" s="662" t="s">
        <v>170</v>
      </c>
      <c r="D554" s="663"/>
      <c r="E554" s="663">
        <f>E555+E557+E564+E572+E577</f>
        <v>0</v>
      </c>
      <c r="F554" s="663">
        <f t="shared" ref="F554:P554" si="156">F555+F557+F564+F572+F577</f>
        <v>0</v>
      </c>
      <c r="G554" s="663">
        <f t="shared" si="156"/>
        <v>0</v>
      </c>
      <c r="H554" s="663">
        <f t="shared" si="156"/>
        <v>0</v>
      </c>
      <c r="I554" s="663">
        <f t="shared" si="156"/>
        <v>0</v>
      </c>
      <c r="J554" s="663">
        <f t="shared" si="156"/>
        <v>0</v>
      </c>
      <c r="K554" s="663">
        <f t="shared" si="156"/>
        <v>0</v>
      </c>
      <c r="L554" s="663">
        <f t="shared" si="156"/>
        <v>0</v>
      </c>
      <c r="M554" s="663">
        <f t="shared" si="156"/>
        <v>0</v>
      </c>
      <c r="N554" s="663">
        <f t="shared" si="156"/>
        <v>0</v>
      </c>
      <c r="O554" s="663">
        <f t="shared" si="156"/>
        <v>0</v>
      </c>
      <c r="P554" s="663">
        <f t="shared" si="156"/>
        <v>0</v>
      </c>
      <c r="Q554" s="664">
        <f t="shared" si="155"/>
        <v>0</v>
      </c>
    </row>
    <row r="555" spans="3:17" ht="20.100000000000001" hidden="1" customHeight="1">
      <c r="C555" s="658" t="s">
        <v>712</v>
      </c>
      <c r="D555" s="659"/>
      <c r="E555" s="659">
        <f>E556</f>
        <v>0</v>
      </c>
      <c r="F555" s="659">
        <f t="shared" ref="F555:P555" si="157">F556</f>
        <v>0</v>
      </c>
      <c r="G555" s="659">
        <f t="shared" si="157"/>
        <v>0</v>
      </c>
      <c r="H555" s="659">
        <f t="shared" si="157"/>
        <v>0</v>
      </c>
      <c r="I555" s="659">
        <f t="shared" si="157"/>
        <v>0</v>
      </c>
      <c r="J555" s="659">
        <f t="shared" si="157"/>
        <v>0</v>
      </c>
      <c r="K555" s="659">
        <f t="shared" si="157"/>
        <v>0</v>
      </c>
      <c r="L555" s="659">
        <f t="shared" si="157"/>
        <v>0</v>
      </c>
      <c r="M555" s="659">
        <f t="shared" si="157"/>
        <v>0</v>
      </c>
      <c r="N555" s="659">
        <f t="shared" si="157"/>
        <v>0</v>
      </c>
      <c r="O555" s="659">
        <f t="shared" si="157"/>
        <v>0</v>
      </c>
      <c r="P555" s="659">
        <f t="shared" si="157"/>
        <v>0</v>
      </c>
      <c r="Q555" s="660">
        <f t="shared" si="155"/>
        <v>0</v>
      </c>
    </row>
    <row r="556" spans="3:17" ht="20.100000000000001" hidden="1" customHeight="1">
      <c r="C556" s="665" t="s">
        <v>720</v>
      </c>
      <c r="D556" s="271"/>
      <c r="E556" s="307"/>
      <c r="F556" s="307"/>
      <c r="G556" s="307"/>
      <c r="H556" s="307"/>
      <c r="I556" s="307"/>
      <c r="J556" s="307"/>
      <c r="K556" s="307"/>
      <c r="L556" s="307"/>
      <c r="M556" s="307"/>
      <c r="N556" s="307"/>
      <c r="O556" s="307"/>
      <c r="P556" s="307"/>
      <c r="Q556" s="660">
        <f t="shared" si="155"/>
        <v>0</v>
      </c>
    </row>
    <row r="557" spans="3:17" ht="20.100000000000001" hidden="1" customHeight="1">
      <c r="C557" s="658" t="s">
        <v>695</v>
      </c>
      <c r="D557" s="659"/>
      <c r="E557" s="659">
        <f>SUM(E558:E563)</f>
        <v>0</v>
      </c>
      <c r="F557" s="659">
        <f t="shared" ref="F557:P557" si="158">SUM(F558:F563)</f>
        <v>0</v>
      </c>
      <c r="G557" s="659">
        <f t="shared" si="158"/>
        <v>0</v>
      </c>
      <c r="H557" s="659">
        <f t="shared" si="158"/>
        <v>0</v>
      </c>
      <c r="I557" s="659">
        <f t="shared" si="158"/>
        <v>0</v>
      </c>
      <c r="J557" s="659">
        <f t="shared" si="158"/>
        <v>0</v>
      </c>
      <c r="K557" s="659">
        <f t="shared" si="158"/>
        <v>0</v>
      </c>
      <c r="L557" s="659">
        <f t="shared" si="158"/>
        <v>0</v>
      </c>
      <c r="M557" s="659">
        <f t="shared" si="158"/>
        <v>0</v>
      </c>
      <c r="N557" s="659">
        <f t="shared" si="158"/>
        <v>0</v>
      </c>
      <c r="O557" s="659">
        <f t="shared" si="158"/>
        <v>0</v>
      </c>
      <c r="P557" s="659">
        <f t="shared" si="158"/>
        <v>0</v>
      </c>
      <c r="Q557" s="660">
        <f t="shared" si="155"/>
        <v>0</v>
      </c>
    </row>
    <row r="558" spans="3:17" ht="20.100000000000001" hidden="1" customHeight="1">
      <c r="C558" s="665" t="s">
        <v>696</v>
      </c>
      <c r="D558" s="271"/>
      <c r="E558" s="696"/>
      <c r="F558" s="696"/>
      <c r="G558" s="696"/>
      <c r="H558" s="696"/>
      <c r="I558" s="696"/>
      <c r="J558" s="696"/>
      <c r="K558" s="696"/>
      <c r="L558" s="696"/>
      <c r="M558" s="696"/>
      <c r="N558" s="696"/>
      <c r="O558" s="696"/>
      <c r="P558" s="696"/>
      <c r="Q558" s="660">
        <f t="shared" si="155"/>
        <v>0</v>
      </c>
    </row>
    <row r="559" spans="3:17" ht="20.100000000000001" hidden="1" customHeight="1">
      <c r="C559" s="665" t="s">
        <v>697</v>
      </c>
      <c r="D559" s="271"/>
      <c r="E559" s="696"/>
      <c r="F559" s="696"/>
      <c r="G559" s="696"/>
      <c r="H559" s="696"/>
      <c r="I559" s="696"/>
      <c r="J559" s="696"/>
      <c r="K559" s="696"/>
      <c r="L559" s="696"/>
      <c r="M559" s="696"/>
      <c r="N559" s="696"/>
      <c r="O559" s="696"/>
      <c r="P559" s="696"/>
      <c r="Q559" s="660">
        <f t="shared" si="155"/>
        <v>0</v>
      </c>
    </row>
    <row r="560" spans="3:17" ht="20.100000000000001" hidden="1" customHeight="1">
      <c r="C560" s="665" t="s">
        <v>682</v>
      </c>
      <c r="D560" s="271"/>
      <c r="E560" s="696"/>
      <c r="F560" s="696"/>
      <c r="G560" s="696"/>
      <c r="H560" s="696"/>
      <c r="I560" s="696"/>
      <c r="J560" s="696"/>
      <c r="K560" s="696"/>
      <c r="L560" s="696"/>
      <c r="M560" s="696"/>
      <c r="N560" s="696"/>
      <c r="O560" s="696"/>
      <c r="P560" s="696"/>
      <c r="Q560" s="660">
        <f t="shared" si="155"/>
        <v>0</v>
      </c>
    </row>
    <row r="561" spans="3:17" ht="20.100000000000001" hidden="1" customHeight="1">
      <c r="C561" s="665" t="s">
        <v>683</v>
      </c>
      <c r="D561" s="271"/>
      <c r="E561" s="696"/>
      <c r="F561" s="696"/>
      <c r="G561" s="696"/>
      <c r="H561" s="696"/>
      <c r="I561" s="696"/>
      <c r="J561" s="696"/>
      <c r="K561" s="696"/>
      <c r="L561" s="696"/>
      <c r="M561" s="696"/>
      <c r="N561" s="696"/>
      <c r="O561" s="696"/>
      <c r="P561" s="696"/>
      <c r="Q561" s="660">
        <f t="shared" si="155"/>
        <v>0</v>
      </c>
    </row>
    <row r="562" spans="3:17" ht="20.100000000000001" hidden="1" customHeight="1">
      <c r="C562" s="665" t="s">
        <v>684</v>
      </c>
      <c r="D562" s="271"/>
      <c r="E562" s="307"/>
      <c r="F562" s="307"/>
      <c r="G562" s="307"/>
      <c r="H562" s="307"/>
      <c r="I562" s="307"/>
      <c r="J562" s="307"/>
      <c r="K562" s="307"/>
      <c r="L562" s="307"/>
      <c r="M562" s="307"/>
      <c r="N562" s="307"/>
      <c r="O562" s="307"/>
      <c r="P562" s="307"/>
      <c r="Q562" s="660">
        <f t="shared" si="155"/>
        <v>0</v>
      </c>
    </row>
    <row r="563" spans="3:17" ht="20.100000000000001" hidden="1" customHeight="1">
      <c r="C563" s="665" t="s">
        <v>685</v>
      </c>
      <c r="D563" s="271"/>
      <c r="E563" s="307"/>
      <c r="F563" s="307"/>
      <c r="G563" s="307"/>
      <c r="H563" s="307"/>
      <c r="I563" s="307"/>
      <c r="J563" s="307"/>
      <c r="K563" s="307"/>
      <c r="L563" s="307"/>
      <c r="M563" s="307"/>
      <c r="N563" s="307"/>
      <c r="O563" s="307"/>
      <c r="P563" s="307"/>
      <c r="Q563" s="660">
        <f t="shared" si="155"/>
        <v>0</v>
      </c>
    </row>
    <row r="564" spans="3:17" ht="20.100000000000001" hidden="1" customHeight="1">
      <c r="C564" s="658" t="s">
        <v>698</v>
      </c>
      <c r="D564" s="659"/>
      <c r="E564" s="659">
        <f>SUM(E566:E571)</f>
        <v>0</v>
      </c>
      <c r="F564" s="659">
        <f t="shared" ref="F564:P564" si="159">SUM(F566:F571)</f>
        <v>0</v>
      </c>
      <c r="G564" s="659">
        <f t="shared" si="159"/>
        <v>0</v>
      </c>
      <c r="H564" s="659">
        <f t="shared" si="159"/>
        <v>0</v>
      </c>
      <c r="I564" s="659">
        <f t="shared" si="159"/>
        <v>0</v>
      </c>
      <c r="J564" s="659">
        <f t="shared" si="159"/>
        <v>0</v>
      </c>
      <c r="K564" s="659">
        <f t="shared" si="159"/>
        <v>0</v>
      </c>
      <c r="L564" s="659">
        <f t="shared" si="159"/>
        <v>0</v>
      </c>
      <c r="M564" s="659">
        <f t="shared" si="159"/>
        <v>0</v>
      </c>
      <c r="N564" s="659">
        <f t="shared" si="159"/>
        <v>0</v>
      </c>
      <c r="O564" s="659">
        <f t="shared" si="159"/>
        <v>0</v>
      </c>
      <c r="P564" s="659">
        <f t="shared" si="159"/>
        <v>0</v>
      </c>
      <c r="Q564" s="660">
        <f t="shared" si="155"/>
        <v>0</v>
      </c>
    </row>
    <row r="565" spans="3:17" ht="20.100000000000001" hidden="1" customHeight="1">
      <c r="C565" s="665" t="s">
        <v>699</v>
      </c>
      <c r="D565" s="659"/>
      <c r="E565" s="659"/>
      <c r="F565" s="659"/>
      <c r="G565" s="659"/>
      <c r="H565" s="659"/>
      <c r="I565" s="659"/>
      <c r="J565" s="659"/>
      <c r="K565" s="659"/>
      <c r="L565" s="659"/>
      <c r="M565" s="659"/>
      <c r="N565" s="659"/>
      <c r="O565" s="659"/>
      <c r="P565" s="659"/>
      <c r="Q565" s="660"/>
    </row>
    <row r="566" spans="3:17" ht="20.100000000000001" hidden="1" customHeight="1">
      <c r="C566" s="665" t="s">
        <v>914</v>
      </c>
      <c r="D566" s="271"/>
      <c r="E566" s="696"/>
      <c r="F566" s="696"/>
      <c r="G566" s="696"/>
      <c r="H566" s="696"/>
      <c r="I566" s="696"/>
      <c r="J566" s="696"/>
      <c r="K566" s="696"/>
      <c r="L566" s="696"/>
      <c r="M566" s="696"/>
      <c r="N566" s="696"/>
      <c r="O566" s="696"/>
      <c r="P566" s="696"/>
      <c r="Q566" s="660">
        <f t="shared" si="155"/>
        <v>0</v>
      </c>
    </row>
    <row r="567" spans="3:17" ht="20.100000000000001" hidden="1" customHeight="1">
      <c r="C567" s="665" t="s">
        <v>915</v>
      </c>
      <c r="D567" s="271"/>
      <c r="E567" s="696"/>
      <c r="F567" s="696"/>
      <c r="G567" s="696"/>
      <c r="H567" s="696"/>
      <c r="I567" s="696"/>
      <c r="J567" s="696"/>
      <c r="K567" s="696"/>
      <c r="L567" s="696"/>
      <c r="M567" s="696"/>
      <c r="N567" s="696"/>
      <c r="O567" s="696"/>
      <c r="P567" s="696"/>
      <c r="Q567" s="660">
        <f t="shared" si="155"/>
        <v>0</v>
      </c>
    </row>
    <row r="568" spans="3:17" ht="20.100000000000001" hidden="1" customHeight="1">
      <c r="C568" s="665" t="s">
        <v>916</v>
      </c>
      <c r="D568" s="271"/>
      <c r="E568" s="696"/>
      <c r="F568" s="696"/>
      <c r="G568" s="696"/>
      <c r="H568" s="696"/>
      <c r="I568" s="696"/>
      <c r="J568" s="696"/>
      <c r="K568" s="696"/>
      <c r="L568" s="696"/>
      <c r="M568" s="696"/>
      <c r="N568" s="696"/>
      <c r="O568" s="696"/>
      <c r="P568" s="696"/>
      <c r="Q568" s="660">
        <f t="shared" si="155"/>
        <v>0</v>
      </c>
    </row>
    <row r="569" spans="3:17" ht="20.100000000000001" hidden="1" customHeight="1">
      <c r="C569" s="665" t="s">
        <v>592</v>
      </c>
      <c r="D569" s="271"/>
      <c r="E569" s="696"/>
      <c r="F569" s="696"/>
      <c r="G569" s="696"/>
      <c r="H569" s="696"/>
      <c r="I569" s="696"/>
      <c r="J569" s="696"/>
      <c r="K569" s="696"/>
      <c r="L569" s="696"/>
      <c r="M569" s="696"/>
      <c r="N569" s="696"/>
      <c r="O569" s="696"/>
      <c r="P569" s="696"/>
      <c r="Q569" s="660">
        <f t="shared" si="155"/>
        <v>0</v>
      </c>
    </row>
    <row r="570" spans="3:17" ht="20.100000000000001" hidden="1" customHeight="1">
      <c r="C570" s="665" t="s">
        <v>702</v>
      </c>
      <c r="D570" s="271"/>
      <c r="E570" s="696"/>
      <c r="F570" s="696"/>
      <c r="G570" s="696"/>
      <c r="H570" s="696"/>
      <c r="I570" s="696"/>
      <c r="J570" s="696"/>
      <c r="K570" s="696"/>
      <c r="L570" s="696"/>
      <c r="M570" s="696"/>
      <c r="N570" s="696"/>
      <c r="O570" s="696"/>
      <c r="P570" s="696"/>
      <c r="Q570" s="660">
        <f t="shared" si="155"/>
        <v>0</v>
      </c>
    </row>
    <row r="571" spans="3:17" ht="20.100000000000001" hidden="1" customHeight="1">
      <c r="C571" s="665" t="s">
        <v>703</v>
      </c>
      <c r="D571" s="271"/>
      <c r="E571" s="696"/>
      <c r="F571" s="696"/>
      <c r="G571" s="696"/>
      <c r="H571" s="696"/>
      <c r="I571" s="696"/>
      <c r="J571" s="696"/>
      <c r="K571" s="696"/>
      <c r="L571" s="696"/>
      <c r="M571" s="696"/>
      <c r="N571" s="696"/>
      <c r="O571" s="696"/>
      <c r="P571" s="696"/>
      <c r="Q571" s="660">
        <f t="shared" si="155"/>
        <v>0</v>
      </c>
    </row>
    <row r="572" spans="3:17" ht="20.100000000000001" hidden="1" customHeight="1">
      <c r="C572" s="658" t="s">
        <v>714</v>
      </c>
      <c r="D572" s="659"/>
      <c r="E572" s="659">
        <f>SUM(E573:E576)</f>
        <v>0</v>
      </c>
      <c r="F572" s="659">
        <f t="shared" ref="F572:P572" si="160">SUM(F573:F576)</f>
        <v>0</v>
      </c>
      <c r="G572" s="659">
        <f t="shared" si="160"/>
        <v>0</v>
      </c>
      <c r="H572" s="659">
        <f t="shared" si="160"/>
        <v>0</v>
      </c>
      <c r="I572" s="659">
        <f t="shared" si="160"/>
        <v>0</v>
      </c>
      <c r="J572" s="659">
        <f t="shared" si="160"/>
        <v>0</v>
      </c>
      <c r="K572" s="659">
        <f t="shared" si="160"/>
        <v>0</v>
      </c>
      <c r="L572" s="659">
        <f t="shared" si="160"/>
        <v>0</v>
      </c>
      <c r="M572" s="659">
        <f t="shared" si="160"/>
        <v>0</v>
      </c>
      <c r="N572" s="659">
        <f t="shared" si="160"/>
        <v>0</v>
      </c>
      <c r="O572" s="659">
        <f t="shared" si="160"/>
        <v>0</v>
      </c>
      <c r="P572" s="659">
        <f t="shared" si="160"/>
        <v>0</v>
      </c>
      <c r="Q572" s="660">
        <f t="shared" si="155"/>
        <v>0</v>
      </c>
    </row>
    <row r="573" spans="3:17" ht="25.5" hidden="1">
      <c r="C573" s="665" t="s">
        <v>708</v>
      </c>
      <c r="D573" s="271"/>
      <c r="E573" s="307"/>
      <c r="F573" s="307"/>
      <c r="G573" s="307"/>
      <c r="H573" s="307"/>
      <c r="I573" s="307"/>
      <c r="J573" s="307"/>
      <c r="K573" s="307"/>
      <c r="L573" s="307"/>
      <c r="M573" s="307"/>
      <c r="N573" s="307"/>
      <c r="O573" s="307"/>
      <c r="P573" s="307"/>
      <c r="Q573" s="660">
        <f t="shared" si="155"/>
        <v>0</v>
      </c>
    </row>
    <row r="574" spans="3:17" ht="20.100000000000001" hidden="1" customHeight="1">
      <c r="C574" s="665" t="s">
        <v>687</v>
      </c>
      <c r="D574" s="271"/>
      <c r="E574" s="307"/>
      <c r="F574" s="307"/>
      <c r="G574" s="307"/>
      <c r="H574" s="307"/>
      <c r="I574" s="307"/>
      <c r="J574" s="307"/>
      <c r="K574" s="307"/>
      <c r="L574" s="307"/>
      <c r="M574" s="307"/>
      <c r="N574" s="307"/>
      <c r="O574" s="307"/>
      <c r="P574" s="307"/>
      <c r="Q574" s="660">
        <f t="shared" si="155"/>
        <v>0</v>
      </c>
    </row>
    <row r="575" spans="3:17" ht="20.100000000000001" hidden="1" customHeight="1">
      <c r="C575" s="665" t="s">
        <v>688</v>
      </c>
      <c r="D575" s="271"/>
      <c r="E575" s="307"/>
      <c r="F575" s="307"/>
      <c r="G575" s="307"/>
      <c r="H575" s="307"/>
      <c r="I575" s="307"/>
      <c r="J575" s="307"/>
      <c r="K575" s="307"/>
      <c r="L575" s="307"/>
      <c r="M575" s="307"/>
      <c r="N575" s="307"/>
      <c r="O575" s="307"/>
      <c r="P575" s="307"/>
      <c r="Q575" s="660">
        <f t="shared" si="155"/>
        <v>0</v>
      </c>
    </row>
    <row r="576" spans="3:17" ht="20.100000000000001" hidden="1" customHeight="1">
      <c r="C576" s="665" t="s">
        <v>704</v>
      </c>
      <c r="D576" s="271"/>
      <c r="E576" s="697"/>
      <c r="F576" s="697"/>
      <c r="G576" s="697"/>
      <c r="H576" s="697"/>
      <c r="I576" s="697"/>
      <c r="J576" s="697"/>
      <c r="K576" s="697"/>
      <c r="L576" s="697"/>
      <c r="M576" s="697"/>
      <c r="N576" s="697"/>
      <c r="O576" s="697"/>
      <c r="P576" s="697"/>
      <c r="Q576" s="660">
        <f t="shared" si="155"/>
        <v>0</v>
      </c>
    </row>
    <row r="577" spans="3:17" ht="20.100000000000001" hidden="1" customHeight="1">
      <c r="C577" s="658" t="s">
        <v>715</v>
      </c>
      <c r="D577" s="659"/>
      <c r="E577" s="659">
        <f>E578+E579</f>
        <v>0</v>
      </c>
      <c r="F577" s="659">
        <f t="shared" ref="F577:P577" si="161">F578+F579</f>
        <v>0</v>
      </c>
      <c r="G577" s="659">
        <f t="shared" si="161"/>
        <v>0</v>
      </c>
      <c r="H577" s="659">
        <f t="shared" si="161"/>
        <v>0</v>
      </c>
      <c r="I577" s="659">
        <f t="shared" si="161"/>
        <v>0</v>
      </c>
      <c r="J577" s="659">
        <f t="shared" si="161"/>
        <v>0</v>
      </c>
      <c r="K577" s="659">
        <f t="shared" si="161"/>
        <v>0</v>
      </c>
      <c r="L577" s="659">
        <f t="shared" si="161"/>
        <v>0</v>
      </c>
      <c r="M577" s="659">
        <f t="shared" si="161"/>
        <v>0</v>
      </c>
      <c r="N577" s="659">
        <f t="shared" si="161"/>
        <v>0</v>
      </c>
      <c r="O577" s="659">
        <f t="shared" si="161"/>
        <v>0</v>
      </c>
      <c r="P577" s="659">
        <f t="shared" si="161"/>
        <v>0</v>
      </c>
      <c r="Q577" s="660">
        <f t="shared" si="155"/>
        <v>0</v>
      </c>
    </row>
    <row r="578" spans="3:17" ht="20.100000000000001" hidden="1" customHeight="1">
      <c r="C578" s="665" t="s">
        <v>692</v>
      </c>
      <c r="D578" s="271"/>
      <c r="E578" s="307"/>
      <c r="F578" s="307"/>
      <c r="G578" s="307"/>
      <c r="H578" s="307"/>
      <c r="I578" s="307"/>
      <c r="J578" s="307"/>
      <c r="K578" s="307"/>
      <c r="L578" s="307"/>
      <c r="M578" s="307"/>
      <c r="N578" s="307"/>
      <c r="O578" s="307"/>
      <c r="P578" s="307"/>
      <c r="Q578" s="660">
        <f t="shared" si="155"/>
        <v>0</v>
      </c>
    </row>
    <row r="579" spans="3:17" ht="20.100000000000001" hidden="1" customHeight="1">
      <c r="C579" s="665" t="s">
        <v>707</v>
      </c>
      <c r="D579" s="271"/>
      <c r="E579" s="698"/>
      <c r="F579" s="698"/>
      <c r="G579" s="698"/>
      <c r="H579" s="698"/>
      <c r="I579" s="698"/>
      <c r="J579" s="698"/>
      <c r="K579" s="698"/>
      <c r="L579" s="698"/>
      <c r="M579" s="698"/>
      <c r="N579" s="698"/>
      <c r="O579" s="698"/>
      <c r="P579" s="698"/>
      <c r="Q579" s="660">
        <f t="shared" si="155"/>
        <v>0</v>
      </c>
    </row>
    <row r="580" spans="3:17" ht="18" hidden="1" customHeight="1">
      <c r="C580" s="662" t="s">
        <v>919</v>
      </c>
      <c r="D580" s="663"/>
      <c r="E580" s="663">
        <f>E581+E583+E590+E598+E603</f>
        <v>0</v>
      </c>
      <c r="F580" s="663">
        <f t="shared" ref="F580:P580" si="162">F581+F583+F590+F598+F603</f>
        <v>0</v>
      </c>
      <c r="G580" s="663">
        <f t="shared" si="162"/>
        <v>0</v>
      </c>
      <c r="H580" s="663">
        <f t="shared" si="162"/>
        <v>0</v>
      </c>
      <c r="I580" s="663">
        <f t="shared" si="162"/>
        <v>0</v>
      </c>
      <c r="J580" s="663">
        <f t="shared" si="162"/>
        <v>0</v>
      </c>
      <c r="K580" s="663">
        <f t="shared" si="162"/>
        <v>0</v>
      </c>
      <c r="L580" s="663">
        <f t="shared" si="162"/>
        <v>0</v>
      </c>
      <c r="M580" s="663">
        <f t="shared" si="162"/>
        <v>0</v>
      </c>
      <c r="N580" s="663">
        <f t="shared" si="162"/>
        <v>0</v>
      </c>
      <c r="O580" s="663">
        <f t="shared" si="162"/>
        <v>0</v>
      </c>
      <c r="P580" s="663">
        <f t="shared" si="162"/>
        <v>0</v>
      </c>
      <c r="Q580" s="664">
        <f t="shared" ref="Q580:Q605" si="163">SUM(E580:P580)</f>
        <v>0</v>
      </c>
    </row>
    <row r="581" spans="3:17" ht="20.100000000000001" hidden="1" customHeight="1">
      <c r="C581" s="658" t="s">
        <v>712</v>
      </c>
      <c r="D581" s="659"/>
      <c r="E581" s="659">
        <f>E582</f>
        <v>0</v>
      </c>
      <c r="F581" s="659">
        <f t="shared" ref="F581:P581" si="164">F582</f>
        <v>0</v>
      </c>
      <c r="G581" s="659">
        <f t="shared" si="164"/>
        <v>0</v>
      </c>
      <c r="H581" s="659">
        <f t="shared" si="164"/>
        <v>0</v>
      </c>
      <c r="I581" s="659">
        <f t="shared" si="164"/>
        <v>0</v>
      </c>
      <c r="J581" s="659">
        <f t="shared" si="164"/>
        <v>0</v>
      </c>
      <c r="K581" s="659">
        <f t="shared" si="164"/>
        <v>0</v>
      </c>
      <c r="L581" s="659">
        <f t="shared" si="164"/>
        <v>0</v>
      </c>
      <c r="M581" s="659">
        <f t="shared" si="164"/>
        <v>0</v>
      </c>
      <c r="N581" s="659">
        <f t="shared" si="164"/>
        <v>0</v>
      </c>
      <c r="O581" s="659">
        <f t="shared" si="164"/>
        <v>0</v>
      </c>
      <c r="P581" s="659">
        <f t="shared" si="164"/>
        <v>0</v>
      </c>
      <c r="Q581" s="660">
        <f t="shared" si="163"/>
        <v>0</v>
      </c>
    </row>
    <row r="582" spans="3:17" ht="20.100000000000001" hidden="1" customHeight="1">
      <c r="C582" s="665" t="s">
        <v>720</v>
      </c>
      <c r="D582" s="271"/>
      <c r="E582" s="307"/>
      <c r="F582" s="307"/>
      <c r="G582" s="307"/>
      <c r="H582" s="307"/>
      <c r="I582" s="307"/>
      <c r="J582" s="307"/>
      <c r="K582" s="307"/>
      <c r="L582" s="307"/>
      <c r="M582" s="307"/>
      <c r="N582" s="307"/>
      <c r="O582" s="307"/>
      <c r="P582" s="307"/>
      <c r="Q582" s="660">
        <f t="shared" si="163"/>
        <v>0</v>
      </c>
    </row>
    <row r="583" spans="3:17" ht="20.100000000000001" hidden="1" customHeight="1">
      <c r="C583" s="658" t="s">
        <v>695</v>
      </c>
      <c r="D583" s="659"/>
      <c r="E583" s="659">
        <f>SUM(E584:E589)</f>
        <v>0</v>
      </c>
      <c r="F583" s="659">
        <f t="shared" ref="F583:P583" si="165">SUM(F584:F589)</f>
        <v>0</v>
      </c>
      <c r="G583" s="659">
        <f t="shared" si="165"/>
        <v>0</v>
      </c>
      <c r="H583" s="659">
        <f t="shared" si="165"/>
        <v>0</v>
      </c>
      <c r="I583" s="659">
        <f t="shared" si="165"/>
        <v>0</v>
      </c>
      <c r="J583" s="659">
        <f t="shared" si="165"/>
        <v>0</v>
      </c>
      <c r="K583" s="659">
        <f t="shared" si="165"/>
        <v>0</v>
      </c>
      <c r="L583" s="659">
        <f t="shared" si="165"/>
        <v>0</v>
      </c>
      <c r="M583" s="659">
        <f t="shared" si="165"/>
        <v>0</v>
      </c>
      <c r="N583" s="659">
        <f t="shared" si="165"/>
        <v>0</v>
      </c>
      <c r="O583" s="659">
        <f t="shared" si="165"/>
        <v>0</v>
      </c>
      <c r="P583" s="659">
        <f t="shared" si="165"/>
        <v>0</v>
      </c>
      <c r="Q583" s="660">
        <f t="shared" si="163"/>
        <v>0</v>
      </c>
    </row>
    <row r="584" spans="3:17" ht="20.100000000000001" hidden="1" customHeight="1">
      <c r="C584" s="665" t="s">
        <v>696</v>
      </c>
      <c r="D584" s="271"/>
      <c r="E584" s="696"/>
      <c r="F584" s="696"/>
      <c r="G584" s="696"/>
      <c r="H584" s="696"/>
      <c r="I584" s="696"/>
      <c r="J584" s="696"/>
      <c r="K584" s="696"/>
      <c r="L584" s="696"/>
      <c r="M584" s="696"/>
      <c r="N584" s="696"/>
      <c r="O584" s="696"/>
      <c r="P584" s="696"/>
      <c r="Q584" s="660">
        <f t="shared" si="163"/>
        <v>0</v>
      </c>
    </row>
    <row r="585" spans="3:17" ht="20.100000000000001" hidden="1" customHeight="1">
      <c r="C585" s="665" t="s">
        <v>697</v>
      </c>
      <c r="D585" s="271"/>
      <c r="E585" s="696"/>
      <c r="F585" s="696"/>
      <c r="G585" s="696"/>
      <c r="H585" s="696"/>
      <c r="I585" s="696"/>
      <c r="J585" s="696"/>
      <c r="K585" s="696"/>
      <c r="L585" s="696"/>
      <c r="M585" s="696"/>
      <c r="N585" s="696"/>
      <c r="O585" s="696"/>
      <c r="P585" s="696"/>
      <c r="Q585" s="660">
        <f t="shared" si="163"/>
        <v>0</v>
      </c>
    </row>
    <row r="586" spans="3:17" ht="20.100000000000001" hidden="1" customHeight="1">
      <c r="C586" s="665" t="s">
        <v>682</v>
      </c>
      <c r="D586" s="271"/>
      <c r="E586" s="696"/>
      <c r="F586" s="696"/>
      <c r="G586" s="696"/>
      <c r="H586" s="696"/>
      <c r="I586" s="696"/>
      <c r="J586" s="696"/>
      <c r="K586" s="696"/>
      <c r="L586" s="696"/>
      <c r="M586" s="696"/>
      <c r="N586" s="696"/>
      <c r="O586" s="696"/>
      <c r="P586" s="696"/>
      <c r="Q586" s="660">
        <f t="shared" si="163"/>
        <v>0</v>
      </c>
    </row>
    <row r="587" spans="3:17" ht="20.100000000000001" hidden="1" customHeight="1">
      <c r="C587" s="665" t="s">
        <v>683</v>
      </c>
      <c r="D587" s="271"/>
      <c r="E587" s="696"/>
      <c r="F587" s="696"/>
      <c r="G587" s="696"/>
      <c r="H587" s="696"/>
      <c r="I587" s="696"/>
      <c r="J587" s="696"/>
      <c r="K587" s="696"/>
      <c r="L587" s="696"/>
      <c r="M587" s="696"/>
      <c r="N587" s="696"/>
      <c r="O587" s="696"/>
      <c r="P587" s="696"/>
      <c r="Q587" s="660">
        <f t="shared" si="163"/>
        <v>0</v>
      </c>
    </row>
    <row r="588" spans="3:17" ht="20.100000000000001" hidden="1" customHeight="1">
      <c r="C588" s="665" t="s">
        <v>684</v>
      </c>
      <c r="D588" s="271"/>
      <c r="E588" s="307"/>
      <c r="F588" s="307"/>
      <c r="G588" s="307"/>
      <c r="H588" s="307"/>
      <c r="I588" s="307"/>
      <c r="J588" s="307"/>
      <c r="K588" s="307"/>
      <c r="L588" s="307"/>
      <c r="M588" s="307"/>
      <c r="N588" s="307"/>
      <c r="O588" s="307"/>
      <c r="P588" s="307"/>
      <c r="Q588" s="660">
        <f t="shared" si="163"/>
        <v>0</v>
      </c>
    </row>
    <row r="589" spans="3:17" ht="20.100000000000001" hidden="1" customHeight="1">
      <c r="C589" s="665" t="s">
        <v>685</v>
      </c>
      <c r="D589" s="271"/>
      <c r="E589" s="307"/>
      <c r="F589" s="307"/>
      <c r="G589" s="307"/>
      <c r="H589" s="307"/>
      <c r="I589" s="307"/>
      <c r="J589" s="307"/>
      <c r="K589" s="307"/>
      <c r="L589" s="307"/>
      <c r="M589" s="307"/>
      <c r="N589" s="307"/>
      <c r="O589" s="307"/>
      <c r="P589" s="307"/>
      <c r="Q589" s="660">
        <f t="shared" si="163"/>
        <v>0</v>
      </c>
    </row>
    <row r="590" spans="3:17" ht="20.100000000000001" hidden="1" customHeight="1">
      <c r="C590" s="658" t="s">
        <v>698</v>
      </c>
      <c r="D590" s="659"/>
      <c r="E590" s="659">
        <f>SUM(E592:E597)</f>
        <v>0</v>
      </c>
      <c r="F590" s="659">
        <f t="shared" ref="F590:P590" si="166">SUM(F592:F597)</f>
        <v>0</v>
      </c>
      <c r="G590" s="659">
        <f t="shared" si="166"/>
        <v>0</v>
      </c>
      <c r="H590" s="659">
        <f t="shared" si="166"/>
        <v>0</v>
      </c>
      <c r="I590" s="659">
        <f t="shared" si="166"/>
        <v>0</v>
      </c>
      <c r="J590" s="659">
        <f t="shared" si="166"/>
        <v>0</v>
      </c>
      <c r="K590" s="659">
        <f t="shared" si="166"/>
        <v>0</v>
      </c>
      <c r="L590" s="659">
        <f t="shared" si="166"/>
        <v>0</v>
      </c>
      <c r="M590" s="659">
        <f t="shared" si="166"/>
        <v>0</v>
      </c>
      <c r="N590" s="659">
        <f t="shared" si="166"/>
        <v>0</v>
      </c>
      <c r="O590" s="659">
        <f t="shared" si="166"/>
        <v>0</v>
      </c>
      <c r="P590" s="659">
        <f t="shared" si="166"/>
        <v>0</v>
      </c>
      <c r="Q590" s="660">
        <f t="shared" si="163"/>
        <v>0</v>
      </c>
    </row>
    <row r="591" spans="3:17" ht="20.100000000000001" hidden="1" customHeight="1">
      <c r="C591" s="665" t="s">
        <v>699</v>
      </c>
      <c r="D591" s="659"/>
      <c r="E591" s="659"/>
      <c r="F591" s="659"/>
      <c r="G591" s="659"/>
      <c r="H591" s="659"/>
      <c r="I591" s="659"/>
      <c r="J591" s="659"/>
      <c r="K591" s="659"/>
      <c r="L591" s="659"/>
      <c r="M591" s="659"/>
      <c r="N591" s="659"/>
      <c r="O591" s="659"/>
      <c r="P591" s="659"/>
      <c r="Q591" s="660"/>
    </row>
    <row r="592" spans="3:17" ht="20.100000000000001" hidden="1" customHeight="1">
      <c r="C592" s="665" t="s">
        <v>914</v>
      </c>
      <c r="D592" s="271"/>
      <c r="E592" s="696"/>
      <c r="F592" s="696"/>
      <c r="G592" s="696"/>
      <c r="H592" s="696"/>
      <c r="I592" s="696"/>
      <c r="J592" s="696"/>
      <c r="K592" s="696"/>
      <c r="L592" s="696"/>
      <c r="M592" s="696"/>
      <c r="N592" s="696"/>
      <c r="O592" s="696"/>
      <c r="P592" s="696"/>
      <c r="Q592" s="660">
        <f t="shared" si="163"/>
        <v>0</v>
      </c>
    </row>
    <row r="593" spans="3:17" ht="20.100000000000001" hidden="1" customHeight="1">
      <c r="C593" s="665" t="s">
        <v>915</v>
      </c>
      <c r="D593" s="271"/>
      <c r="E593" s="696"/>
      <c r="F593" s="696"/>
      <c r="G593" s="696"/>
      <c r="H593" s="696"/>
      <c r="I593" s="696"/>
      <c r="J593" s="696"/>
      <c r="K593" s="696"/>
      <c r="L593" s="696"/>
      <c r="M593" s="696"/>
      <c r="N593" s="696"/>
      <c r="O593" s="696"/>
      <c r="P593" s="696"/>
      <c r="Q593" s="660">
        <f t="shared" si="163"/>
        <v>0</v>
      </c>
    </row>
    <row r="594" spans="3:17" ht="20.100000000000001" hidden="1" customHeight="1">
      <c r="C594" s="665" t="s">
        <v>916</v>
      </c>
      <c r="D594" s="271"/>
      <c r="E594" s="696"/>
      <c r="F594" s="696"/>
      <c r="G594" s="696"/>
      <c r="H594" s="696"/>
      <c r="I594" s="696"/>
      <c r="J594" s="696"/>
      <c r="K594" s="696"/>
      <c r="L594" s="696"/>
      <c r="M594" s="696"/>
      <c r="N594" s="696"/>
      <c r="O594" s="696"/>
      <c r="P594" s="696"/>
      <c r="Q594" s="660">
        <f t="shared" si="163"/>
        <v>0</v>
      </c>
    </row>
    <row r="595" spans="3:17" ht="20.100000000000001" hidden="1" customHeight="1">
      <c r="C595" s="665" t="s">
        <v>592</v>
      </c>
      <c r="D595" s="271"/>
      <c r="E595" s="696"/>
      <c r="F595" s="696"/>
      <c r="G595" s="696"/>
      <c r="H595" s="696"/>
      <c r="I595" s="696"/>
      <c r="J595" s="696"/>
      <c r="K595" s="696"/>
      <c r="L595" s="696"/>
      <c r="M595" s="696"/>
      <c r="N595" s="696"/>
      <c r="O595" s="696"/>
      <c r="P595" s="696"/>
      <c r="Q595" s="660">
        <f t="shared" si="163"/>
        <v>0</v>
      </c>
    </row>
    <row r="596" spans="3:17" ht="20.100000000000001" hidden="1" customHeight="1">
      <c r="C596" s="665" t="s">
        <v>702</v>
      </c>
      <c r="D596" s="271"/>
      <c r="E596" s="696"/>
      <c r="F596" s="696"/>
      <c r="G596" s="696"/>
      <c r="H596" s="696"/>
      <c r="I596" s="696"/>
      <c r="J596" s="696"/>
      <c r="K596" s="696"/>
      <c r="L596" s="696"/>
      <c r="M596" s="696"/>
      <c r="N596" s="696"/>
      <c r="O596" s="696"/>
      <c r="P596" s="696"/>
      <c r="Q596" s="660">
        <f t="shared" si="163"/>
        <v>0</v>
      </c>
    </row>
    <row r="597" spans="3:17" ht="20.100000000000001" hidden="1" customHeight="1">
      <c r="C597" s="665" t="s">
        <v>703</v>
      </c>
      <c r="D597" s="271"/>
      <c r="E597" s="696"/>
      <c r="F597" s="696"/>
      <c r="G597" s="696"/>
      <c r="H597" s="696"/>
      <c r="I597" s="696"/>
      <c r="J597" s="696"/>
      <c r="K597" s="696"/>
      <c r="L597" s="696"/>
      <c r="M597" s="696"/>
      <c r="N597" s="696"/>
      <c r="O597" s="696"/>
      <c r="P597" s="696"/>
      <c r="Q597" s="660">
        <f t="shared" si="163"/>
        <v>0</v>
      </c>
    </row>
    <row r="598" spans="3:17" ht="20.100000000000001" hidden="1" customHeight="1">
      <c r="C598" s="658" t="s">
        <v>714</v>
      </c>
      <c r="D598" s="659"/>
      <c r="E598" s="659">
        <f>SUM(E599:E602)</f>
        <v>0</v>
      </c>
      <c r="F598" s="659">
        <f t="shared" ref="F598:P598" si="167">SUM(F599:F602)</f>
        <v>0</v>
      </c>
      <c r="G598" s="659">
        <f t="shared" si="167"/>
        <v>0</v>
      </c>
      <c r="H598" s="659">
        <f t="shared" si="167"/>
        <v>0</v>
      </c>
      <c r="I598" s="659">
        <f t="shared" si="167"/>
        <v>0</v>
      </c>
      <c r="J598" s="659">
        <f t="shared" si="167"/>
        <v>0</v>
      </c>
      <c r="K598" s="659">
        <f t="shared" si="167"/>
        <v>0</v>
      </c>
      <c r="L598" s="659">
        <f t="shared" si="167"/>
        <v>0</v>
      </c>
      <c r="M598" s="659">
        <f t="shared" si="167"/>
        <v>0</v>
      </c>
      <c r="N598" s="659">
        <f t="shared" si="167"/>
        <v>0</v>
      </c>
      <c r="O598" s="659">
        <f t="shared" si="167"/>
        <v>0</v>
      </c>
      <c r="P598" s="659">
        <f t="shared" si="167"/>
        <v>0</v>
      </c>
      <c r="Q598" s="660">
        <f t="shared" si="163"/>
        <v>0</v>
      </c>
    </row>
    <row r="599" spans="3:17" ht="25.5" hidden="1">
      <c r="C599" s="665" t="s">
        <v>708</v>
      </c>
      <c r="D599" s="271"/>
      <c r="E599" s="307"/>
      <c r="F599" s="307"/>
      <c r="G599" s="307"/>
      <c r="H599" s="307"/>
      <c r="I599" s="307"/>
      <c r="J599" s="307"/>
      <c r="K599" s="307"/>
      <c r="L599" s="307"/>
      <c r="M599" s="307"/>
      <c r="N599" s="307"/>
      <c r="O599" s="307"/>
      <c r="P599" s="307"/>
      <c r="Q599" s="660">
        <f t="shared" si="163"/>
        <v>0</v>
      </c>
    </row>
    <row r="600" spans="3:17" ht="20.100000000000001" hidden="1" customHeight="1">
      <c r="C600" s="665" t="s">
        <v>687</v>
      </c>
      <c r="D600" s="271"/>
      <c r="E600" s="307"/>
      <c r="F600" s="307"/>
      <c r="G600" s="307"/>
      <c r="H600" s="307"/>
      <c r="I600" s="307"/>
      <c r="J600" s="307"/>
      <c r="K600" s="307"/>
      <c r="L600" s="307"/>
      <c r="M600" s="307"/>
      <c r="N600" s="307"/>
      <c r="O600" s="307"/>
      <c r="P600" s="307"/>
      <c r="Q600" s="660">
        <f t="shared" si="163"/>
        <v>0</v>
      </c>
    </row>
    <row r="601" spans="3:17" ht="20.100000000000001" hidden="1" customHeight="1">
      <c r="C601" s="665" t="s">
        <v>688</v>
      </c>
      <c r="D601" s="271"/>
      <c r="E601" s="307"/>
      <c r="F601" s="307"/>
      <c r="G601" s="307"/>
      <c r="H601" s="307"/>
      <c r="I601" s="307"/>
      <c r="J601" s="307"/>
      <c r="K601" s="307"/>
      <c r="L601" s="307"/>
      <c r="M601" s="307"/>
      <c r="N601" s="307"/>
      <c r="O601" s="307"/>
      <c r="P601" s="307"/>
      <c r="Q601" s="660">
        <f t="shared" si="163"/>
        <v>0</v>
      </c>
    </row>
    <row r="602" spans="3:17" ht="20.100000000000001" hidden="1" customHeight="1">
      <c r="C602" s="665" t="s">
        <v>704</v>
      </c>
      <c r="D602" s="271"/>
      <c r="E602" s="697"/>
      <c r="F602" s="697"/>
      <c r="G602" s="697"/>
      <c r="H602" s="697"/>
      <c r="I602" s="697"/>
      <c r="J602" s="697"/>
      <c r="K602" s="697"/>
      <c r="L602" s="697"/>
      <c r="M602" s="697"/>
      <c r="N602" s="697"/>
      <c r="O602" s="697"/>
      <c r="P602" s="697"/>
      <c r="Q602" s="660">
        <f t="shared" si="163"/>
        <v>0</v>
      </c>
    </row>
    <row r="603" spans="3:17" ht="20.100000000000001" hidden="1" customHeight="1">
      <c r="C603" s="658" t="s">
        <v>715</v>
      </c>
      <c r="D603" s="659"/>
      <c r="E603" s="659">
        <f>E604+E605</f>
        <v>0</v>
      </c>
      <c r="F603" s="659">
        <f t="shared" ref="F603:P603" si="168">F604+F605</f>
        <v>0</v>
      </c>
      <c r="G603" s="659">
        <f t="shared" si="168"/>
        <v>0</v>
      </c>
      <c r="H603" s="659">
        <f t="shared" si="168"/>
        <v>0</v>
      </c>
      <c r="I603" s="659">
        <f t="shared" si="168"/>
        <v>0</v>
      </c>
      <c r="J603" s="659">
        <f t="shared" si="168"/>
        <v>0</v>
      </c>
      <c r="K603" s="659">
        <f t="shared" si="168"/>
        <v>0</v>
      </c>
      <c r="L603" s="659">
        <f t="shared" si="168"/>
        <v>0</v>
      </c>
      <c r="M603" s="659">
        <f t="shared" si="168"/>
        <v>0</v>
      </c>
      <c r="N603" s="659">
        <f t="shared" si="168"/>
        <v>0</v>
      </c>
      <c r="O603" s="659">
        <f t="shared" si="168"/>
        <v>0</v>
      </c>
      <c r="P603" s="659">
        <f t="shared" si="168"/>
        <v>0</v>
      </c>
      <c r="Q603" s="660">
        <f t="shared" si="163"/>
        <v>0</v>
      </c>
    </row>
    <row r="604" spans="3:17" ht="20.100000000000001" hidden="1" customHeight="1">
      <c r="C604" s="665" t="s">
        <v>692</v>
      </c>
      <c r="D604" s="271"/>
      <c r="E604" s="307"/>
      <c r="F604" s="307"/>
      <c r="G604" s="307"/>
      <c r="H604" s="307"/>
      <c r="I604" s="307"/>
      <c r="J604" s="307"/>
      <c r="K604" s="307"/>
      <c r="L604" s="307"/>
      <c r="M604" s="307"/>
      <c r="N604" s="307"/>
      <c r="O604" s="307"/>
      <c r="P604" s="307"/>
      <c r="Q604" s="660">
        <f t="shared" si="163"/>
        <v>0</v>
      </c>
    </row>
    <row r="605" spans="3:17" ht="20.100000000000001" hidden="1" customHeight="1">
      <c r="C605" s="665" t="s">
        <v>707</v>
      </c>
      <c r="D605" s="271"/>
      <c r="E605" s="698"/>
      <c r="F605" s="698"/>
      <c r="G605" s="698"/>
      <c r="H605" s="698"/>
      <c r="I605" s="698"/>
      <c r="J605" s="698"/>
      <c r="K605" s="698"/>
      <c r="L605" s="698"/>
      <c r="M605" s="698"/>
      <c r="N605" s="698"/>
      <c r="O605" s="698"/>
      <c r="P605" s="698"/>
      <c r="Q605" s="660">
        <f t="shared" si="163"/>
        <v>0</v>
      </c>
    </row>
    <row r="606" spans="3:17" ht="20.100000000000001" hidden="1" customHeight="1">
      <c r="C606" s="393" t="s">
        <v>643</v>
      </c>
      <c r="D606" s="271"/>
      <c r="E606" s="528">
        <f>E497+E525+E552+E579</f>
        <v>0</v>
      </c>
      <c r="F606" s="528">
        <f t="shared" ref="F606:P606" si="169">F497+F525+F552+F579</f>
        <v>0</v>
      </c>
      <c r="G606" s="528">
        <f t="shared" si="169"/>
        <v>0</v>
      </c>
      <c r="H606" s="528">
        <f t="shared" si="169"/>
        <v>0</v>
      </c>
      <c r="I606" s="528">
        <f t="shared" si="169"/>
        <v>0</v>
      </c>
      <c r="J606" s="528">
        <f t="shared" si="169"/>
        <v>0</v>
      </c>
      <c r="K606" s="528">
        <f t="shared" si="169"/>
        <v>0</v>
      </c>
      <c r="L606" s="528">
        <f t="shared" si="169"/>
        <v>0</v>
      </c>
      <c r="M606" s="528">
        <f t="shared" si="169"/>
        <v>0</v>
      </c>
      <c r="N606" s="528">
        <f t="shared" si="169"/>
        <v>0</v>
      </c>
      <c r="O606" s="528">
        <f t="shared" si="169"/>
        <v>0</v>
      </c>
      <c r="P606" s="528">
        <f t="shared" si="169"/>
        <v>0</v>
      </c>
      <c r="Q606" s="529">
        <f>SUM(E606:P606)</f>
        <v>0</v>
      </c>
    </row>
    <row r="607" spans="3:17" ht="20.100000000000001" hidden="1" customHeight="1" thickBot="1">
      <c r="C607" s="669" t="s">
        <v>644</v>
      </c>
      <c r="D607" s="531"/>
      <c r="E607" s="280">
        <f t="shared" ref="E607:P607" si="170">E494+E606</f>
        <v>0</v>
      </c>
      <c r="F607" s="280">
        <f t="shared" si="170"/>
        <v>0</v>
      </c>
      <c r="G607" s="280">
        <f t="shared" si="170"/>
        <v>0</v>
      </c>
      <c r="H607" s="280">
        <f t="shared" si="170"/>
        <v>0</v>
      </c>
      <c r="I607" s="280">
        <f t="shared" si="170"/>
        <v>0</v>
      </c>
      <c r="J607" s="280">
        <f t="shared" si="170"/>
        <v>0</v>
      </c>
      <c r="K607" s="280">
        <f t="shared" si="170"/>
        <v>0</v>
      </c>
      <c r="L607" s="280">
        <f t="shared" si="170"/>
        <v>0</v>
      </c>
      <c r="M607" s="280">
        <f t="shared" si="170"/>
        <v>0</v>
      </c>
      <c r="N607" s="280">
        <f t="shared" si="170"/>
        <v>0</v>
      </c>
      <c r="O607" s="280">
        <f t="shared" si="170"/>
        <v>0</v>
      </c>
      <c r="P607" s="280">
        <f t="shared" si="170"/>
        <v>0</v>
      </c>
      <c r="Q607" s="281">
        <f t="shared" ref="Q607" si="171">SUM(E607:P607)</f>
        <v>0</v>
      </c>
    </row>
    <row r="608" spans="3:17" hidden="1">
      <c r="C608" s="682"/>
      <c r="D608" s="682"/>
      <c r="E608" s="683"/>
      <c r="F608" s="683"/>
      <c r="G608" s="683"/>
      <c r="H608" s="683"/>
      <c r="I608" s="683"/>
      <c r="J608" s="683"/>
      <c r="K608" s="683"/>
      <c r="L608" s="683"/>
      <c r="M608" s="683"/>
      <c r="N608" s="683"/>
      <c r="O608" s="683"/>
      <c r="P608" s="683"/>
      <c r="Q608" s="683"/>
    </row>
    <row r="609" spans="3:17" hidden="1">
      <c r="E609" s="452"/>
      <c r="F609" s="452"/>
      <c r="G609" s="452"/>
      <c r="H609" s="452"/>
      <c r="I609" s="452"/>
      <c r="J609" s="452"/>
      <c r="K609" s="452"/>
      <c r="L609" s="452"/>
      <c r="M609" s="452"/>
      <c r="N609" s="452"/>
      <c r="O609" s="452"/>
      <c r="P609" s="452"/>
      <c r="Q609" s="452"/>
    </row>
    <row r="610" spans="3:17" ht="13.5" hidden="1" thickBot="1">
      <c r="C610" s="699" t="str">
        <f>Notes!C9</f>
        <v>FY 2027-28</v>
      </c>
      <c r="D610" s="700"/>
      <c r="E610" s="701"/>
      <c r="F610" s="701"/>
      <c r="G610" s="701"/>
      <c r="H610" s="701"/>
      <c r="I610" s="701"/>
      <c r="J610" s="701"/>
      <c r="K610" s="701"/>
      <c r="L610" s="701"/>
      <c r="M610" s="701"/>
      <c r="N610" s="701"/>
      <c r="O610" s="701"/>
      <c r="P610" s="701"/>
      <c r="Q610" s="702"/>
    </row>
    <row r="611" spans="3:17" ht="19.5" hidden="1" customHeight="1">
      <c r="C611" s="651" t="s">
        <v>673</v>
      </c>
      <c r="D611" s="377" t="s">
        <v>93</v>
      </c>
      <c r="E611" s="673" t="s">
        <v>146</v>
      </c>
      <c r="F611" s="673" t="s">
        <v>147</v>
      </c>
      <c r="G611" s="673" t="s">
        <v>148</v>
      </c>
      <c r="H611" s="673" t="s">
        <v>149</v>
      </c>
      <c r="I611" s="673" t="s">
        <v>150</v>
      </c>
      <c r="J611" s="673" t="s">
        <v>151</v>
      </c>
      <c r="K611" s="673" t="s">
        <v>152</v>
      </c>
      <c r="L611" s="673" t="s">
        <v>153</v>
      </c>
      <c r="M611" s="673" t="s">
        <v>154</v>
      </c>
      <c r="N611" s="673" t="s">
        <v>155</v>
      </c>
      <c r="O611" s="673" t="s">
        <v>156</v>
      </c>
      <c r="P611" s="673" t="s">
        <v>157</v>
      </c>
      <c r="Q611" s="674" t="s">
        <v>98</v>
      </c>
    </row>
    <row r="612" spans="3:17" ht="19.5" hidden="1" customHeight="1">
      <c r="C612" s="393" t="s">
        <v>598</v>
      </c>
      <c r="D612" s="271"/>
      <c r="E612" s="528"/>
      <c r="F612" s="528"/>
      <c r="G612" s="528"/>
      <c r="H612" s="528"/>
      <c r="I612" s="528"/>
      <c r="J612" s="528"/>
      <c r="K612" s="528"/>
      <c r="L612" s="528"/>
      <c r="M612" s="528"/>
      <c r="N612" s="528"/>
      <c r="O612" s="528"/>
      <c r="P612" s="528"/>
      <c r="Q612" s="529"/>
    </row>
    <row r="613" spans="3:17" ht="18.75" hidden="1" customHeight="1">
      <c r="C613" s="667" t="s">
        <v>591</v>
      </c>
      <c r="D613" s="271"/>
      <c r="E613" s="307"/>
      <c r="F613" s="307"/>
      <c r="G613" s="307"/>
      <c r="H613" s="307"/>
      <c r="I613" s="307"/>
      <c r="J613" s="307"/>
      <c r="K613" s="307"/>
      <c r="L613" s="307"/>
      <c r="M613" s="307"/>
      <c r="N613" s="307"/>
      <c r="O613" s="307"/>
      <c r="P613" s="307"/>
      <c r="Q613" s="660">
        <f t="shared" ref="Q613:Q673" si="172">SUM(E613:P613)</f>
        <v>0</v>
      </c>
    </row>
    <row r="614" spans="3:17" ht="18.75" hidden="1" customHeight="1">
      <c r="C614" s="667" t="s">
        <v>929</v>
      </c>
      <c r="D614" s="271"/>
      <c r="E614" s="307"/>
      <c r="F614" s="307"/>
      <c r="G614" s="307"/>
      <c r="H614" s="307"/>
      <c r="I614" s="307"/>
      <c r="J614" s="307"/>
      <c r="K614" s="307"/>
      <c r="L614" s="307"/>
      <c r="M614" s="307"/>
      <c r="N614" s="307"/>
      <c r="O614" s="307"/>
      <c r="P614" s="307"/>
      <c r="Q614" s="660">
        <f t="shared" si="172"/>
        <v>0</v>
      </c>
    </row>
    <row r="615" spans="3:17" ht="18.75" hidden="1" customHeight="1">
      <c r="C615" s="667" t="s">
        <v>596</v>
      </c>
      <c r="D615" s="271"/>
      <c r="E615" s="307"/>
      <c r="F615" s="307"/>
      <c r="G615" s="307"/>
      <c r="H615" s="307"/>
      <c r="I615" s="307"/>
      <c r="J615" s="307"/>
      <c r="K615" s="307"/>
      <c r="L615" s="307"/>
      <c r="M615" s="307"/>
      <c r="N615" s="307"/>
      <c r="O615" s="307"/>
      <c r="P615" s="307"/>
      <c r="Q615" s="660">
        <f t="shared" si="172"/>
        <v>0</v>
      </c>
    </row>
    <row r="616" spans="3:17" ht="18.75" hidden="1" customHeight="1">
      <c r="C616" s="667" t="s">
        <v>632</v>
      </c>
      <c r="D616" s="271"/>
      <c r="E616" s="307"/>
      <c r="F616" s="307"/>
      <c r="G616" s="307"/>
      <c r="H616" s="307"/>
      <c r="I616" s="307"/>
      <c r="J616" s="307"/>
      <c r="K616" s="307"/>
      <c r="L616" s="307"/>
      <c r="M616" s="307"/>
      <c r="N616" s="307"/>
      <c r="O616" s="307"/>
      <c r="P616" s="307"/>
      <c r="Q616" s="660">
        <f t="shared" si="172"/>
        <v>0</v>
      </c>
    </row>
    <row r="617" spans="3:17" ht="18.75" hidden="1" customHeight="1">
      <c r="C617" s="667" t="s">
        <v>597</v>
      </c>
      <c r="D617" s="271"/>
      <c r="E617" s="307"/>
      <c r="F617" s="307"/>
      <c r="G617" s="307"/>
      <c r="H617" s="307"/>
      <c r="I617" s="307"/>
      <c r="J617" s="307"/>
      <c r="K617" s="307"/>
      <c r="L617" s="307"/>
      <c r="M617" s="307"/>
      <c r="N617" s="307"/>
      <c r="O617" s="307"/>
      <c r="P617" s="307"/>
      <c r="Q617" s="660">
        <f t="shared" si="172"/>
        <v>0</v>
      </c>
    </row>
    <row r="618" spans="3:17" ht="18.75" hidden="1" customHeight="1">
      <c r="C618" s="274" t="s">
        <v>944</v>
      </c>
      <c r="D618" s="271"/>
      <c r="E618" s="307"/>
      <c r="F618" s="307"/>
      <c r="G618" s="307"/>
      <c r="H618" s="307"/>
      <c r="I618" s="307"/>
      <c r="J618" s="307"/>
      <c r="K618" s="307"/>
      <c r="L618" s="307"/>
      <c r="M618" s="307"/>
      <c r="N618" s="307"/>
      <c r="O618" s="307"/>
      <c r="P618" s="307"/>
      <c r="Q618" s="660">
        <f t="shared" si="172"/>
        <v>0</v>
      </c>
    </row>
    <row r="619" spans="3:17" ht="18.75" hidden="1" customHeight="1">
      <c r="C619" s="274" t="s">
        <v>943</v>
      </c>
      <c r="D619" s="271"/>
      <c r="E619" s="307"/>
      <c r="F619" s="307"/>
      <c r="G619" s="307"/>
      <c r="H619" s="307"/>
      <c r="I619" s="307"/>
      <c r="J619" s="307"/>
      <c r="K619" s="307"/>
      <c r="L619" s="307"/>
      <c r="M619" s="307"/>
      <c r="N619" s="307"/>
      <c r="O619" s="307"/>
      <c r="P619" s="307"/>
      <c r="Q619" s="660">
        <f t="shared" si="172"/>
        <v>0</v>
      </c>
    </row>
    <row r="620" spans="3:17" ht="18.75" hidden="1" customHeight="1">
      <c r="C620" s="658" t="s">
        <v>600</v>
      </c>
      <c r="D620" s="659"/>
      <c r="E620" s="659">
        <f>SUM(E613:E617)</f>
        <v>0</v>
      </c>
      <c r="F620" s="659">
        <f t="shared" ref="F620:P620" si="173">SUM(F613:F617)</f>
        <v>0</v>
      </c>
      <c r="G620" s="659">
        <f t="shared" si="173"/>
        <v>0</v>
      </c>
      <c r="H620" s="659">
        <f t="shared" si="173"/>
        <v>0</v>
      </c>
      <c r="I620" s="659">
        <f t="shared" si="173"/>
        <v>0</v>
      </c>
      <c r="J620" s="659">
        <f t="shared" si="173"/>
        <v>0</v>
      </c>
      <c r="K620" s="659">
        <f t="shared" si="173"/>
        <v>0</v>
      </c>
      <c r="L620" s="659">
        <f t="shared" si="173"/>
        <v>0</v>
      </c>
      <c r="M620" s="659">
        <f t="shared" si="173"/>
        <v>0</v>
      </c>
      <c r="N620" s="659">
        <f t="shared" si="173"/>
        <v>0</v>
      </c>
      <c r="O620" s="659">
        <f t="shared" si="173"/>
        <v>0</v>
      </c>
      <c r="P620" s="659">
        <f t="shared" si="173"/>
        <v>0</v>
      </c>
      <c r="Q620" s="660">
        <f t="shared" si="172"/>
        <v>0</v>
      </c>
    </row>
    <row r="621" spans="3:17" hidden="1">
      <c r="C621" s="392"/>
      <c r="D621" s="271"/>
      <c r="E621" s="307"/>
      <c r="F621" s="307"/>
      <c r="G621" s="307"/>
      <c r="H621" s="307"/>
      <c r="I621" s="307"/>
      <c r="J621" s="307"/>
      <c r="K621" s="307"/>
      <c r="L621" s="307"/>
      <c r="M621" s="307"/>
      <c r="N621" s="307"/>
      <c r="O621" s="307"/>
      <c r="P621" s="307"/>
      <c r="Q621" s="660">
        <f t="shared" si="172"/>
        <v>0</v>
      </c>
    </row>
    <row r="622" spans="3:17" ht="18" hidden="1" customHeight="1">
      <c r="C622" s="393" t="s">
        <v>601</v>
      </c>
      <c r="D622" s="271"/>
      <c r="E622" s="528"/>
      <c r="F622" s="528"/>
      <c r="G622" s="528"/>
      <c r="H622" s="528"/>
      <c r="I622" s="528"/>
      <c r="J622" s="528"/>
      <c r="K622" s="528"/>
      <c r="L622" s="528"/>
      <c r="M622" s="528"/>
      <c r="N622" s="528"/>
      <c r="O622" s="528"/>
      <c r="P622" s="528"/>
      <c r="Q622" s="660">
        <f t="shared" si="172"/>
        <v>0</v>
      </c>
    </row>
    <row r="623" spans="3:17" ht="18" hidden="1" customHeight="1">
      <c r="C623" s="662" t="s">
        <v>602</v>
      </c>
      <c r="D623" s="663"/>
      <c r="E623" s="663">
        <f t="shared" ref="E623:P623" si="174">E624+E626+E633+E641+E646+E649</f>
        <v>0</v>
      </c>
      <c r="F623" s="663">
        <f t="shared" si="174"/>
        <v>0</v>
      </c>
      <c r="G623" s="663">
        <f t="shared" si="174"/>
        <v>0</v>
      </c>
      <c r="H623" s="663">
        <f t="shared" si="174"/>
        <v>0</v>
      </c>
      <c r="I623" s="663">
        <f t="shared" si="174"/>
        <v>0</v>
      </c>
      <c r="J623" s="663">
        <f t="shared" si="174"/>
        <v>0</v>
      </c>
      <c r="K623" s="663">
        <f t="shared" si="174"/>
        <v>0</v>
      </c>
      <c r="L623" s="663">
        <f t="shared" si="174"/>
        <v>0</v>
      </c>
      <c r="M623" s="663">
        <f t="shared" si="174"/>
        <v>0</v>
      </c>
      <c r="N623" s="663">
        <f t="shared" si="174"/>
        <v>0</v>
      </c>
      <c r="O623" s="663">
        <f t="shared" si="174"/>
        <v>0</v>
      </c>
      <c r="P623" s="663">
        <f t="shared" si="174"/>
        <v>0</v>
      </c>
      <c r="Q623" s="664">
        <f t="shared" si="172"/>
        <v>0</v>
      </c>
    </row>
    <row r="624" spans="3:17" ht="18" hidden="1" customHeight="1">
      <c r="C624" s="703" t="s">
        <v>712</v>
      </c>
      <c r="D624" s="659"/>
      <c r="E624" s="659">
        <f>E625</f>
        <v>0</v>
      </c>
      <c r="F624" s="659">
        <f t="shared" ref="F624:P624" si="175">F625</f>
        <v>0</v>
      </c>
      <c r="G624" s="659">
        <f t="shared" si="175"/>
        <v>0</v>
      </c>
      <c r="H624" s="659">
        <f t="shared" si="175"/>
        <v>0</v>
      </c>
      <c r="I624" s="659">
        <f t="shared" si="175"/>
        <v>0</v>
      </c>
      <c r="J624" s="659">
        <f t="shared" si="175"/>
        <v>0</v>
      </c>
      <c r="K624" s="659">
        <f t="shared" si="175"/>
        <v>0</v>
      </c>
      <c r="L624" s="659">
        <f t="shared" si="175"/>
        <v>0</v>
      </c>
      <c r="M624" s="659">
        <f t="shared" si="175"/>
        <v>0</v>
      </c>
      <c r="N624" s="659">
        <f t="shared" si="175"/>
        <v>0</v>
      </c>
      <c r="O624" s="659">
        <f t="shared" si="175"/>
        <v>0</v>
      </c>
      <c r="P624" s="659">
        <f t="shared" si="175"/>
        <v>0</v>
      </c>
      <c r="Q624" s="660">
        <f t="shared" si="172"/>
        <v>0</v>
      </c>
    </row>
    <row r="625" spans="3:17" ht="18" hidden="1" customHeight="1">
      <c r="C625" s="665" t="s">
        <v>713</v>
      </c>
      <c r="D625" s="271"/>
      <c r="E625" s="307"/>
      <c r="F625" s="307"/>
      <c r="G625" s="307"/>
      <c r="H625" s="307"/>
      <c r="I625" s="307"/>
      <c r="J625" s="307"/>
      <c r="K625" s="307"/>
      <c r="L625" s="307"/>
      <c r="M625" s="307"/>
      <c r="N625" s="307"/>
      <c r="O625" s="307"/>
      <c r="P625" s="307"/>
      <c r="Q625" s="660">
        <f t="shared" si="172"/>
        <v>0</v>
      </c>
    </row>
    <row r="626" spans="3:17" ht="18" hidden="1" customHeight="1">
      <c r="C626" s="703" t="s">
        <v>695</v>
      </c>
      <c r="D626" s="659"/>
      <c r="E626" s="659">
        <f>SUM(E627:E632)</f>
        <v>0</v>
      </c>
      <c r="F626" s="659">
        <f t="shared" ref="F626:P626" si="176">SUM(F627:F632)</f>
        <v>0</v>
      </c>
      <c r="G626" s="659">
        <f t="shared" si="176"/>
        <v>0</v>
      </c>
      <c r="H626" s="659">
        <f t="shared" si="176"/>
        <v>0</v>
      </c>
      <c r="I626" s="659">
        <f t="shared" si="176"/>
        <v>0</v>
      </c>
      <c r="J626" s="659">
        <f t="shared" si="176"/>
        <v>0</v>
      </c>
      <c r="K626" s="659">
        <f t="shared" si="176"/>
        <v>0</v>
      </c>
      <c r="L626" s="659">
        <f t="shared" si="176"/>
        <v>0</v>
      </c>
      <c r="M626" s="659">
        <f t="shared" si="176"/>
        <v>0</v>
      </c>
      <c r="N626" s="659">
        <f t="shared" si="176"/>
        <v>0</v>
      </c>
      <c r="O626" s="659">
        <f t="shared" si="176"/>
        <v>0</v>
      </c>
      <c r="P626" s="659">
        <f t="shared" si="176"/>
        <v>0</v>
      </c>
      <c r="Q626" s="660">
        <f t="shared" si="172"/>
        <v>0</v>
      </c>
    </row>
    <row r="627" spans="3:17" ht="18" hidden="1" customHeight="1">
      <c r="C627" s="665" t="s">
        <v>696</v>
      </c>
      <c r="D627" s="271"/>
      <c r="E627" s="307"/>
      <c r="F627" s="307"/>
      <c r="G627" s="307"/>
      <c r="H627" s="307"/>
      <c r="I627" s="307"/>
      <c r="J627" s="307"/>
      <c r="K627" s="307"/>
      <c r="L627" s="307"/>
      <c r="M627" s="307"/>
      <c r="N627" s="307"/>
      <c r="O627" s="307"/>
      <c r="P627" s="307"/>
      <c r="Q627" s="660">
        <f t="shared" si="172"/>
        <v>0</v>
      </c>
    </row>
    <row r="628" spans="3:17" ht="18" hidden="1" customHeight="1">
      <c r="C628" s="665" t="s">
        <v>697</v>
      </c>
      <c r="D628" s="271"/>
      <c r="E628" s="307"/>
      <c r="F628" s="307"/>
      <c r="G628" s="307"/>
      <c r="H628" s="307"/>
      <c r="I628" s="307"/>
      <c r="J628" s="307"/>
      <c r="K628" s="307"/>
      <c r="L628" s="307"/>
      <c r="M628" s="307"/>
      <c r="N628" s="307"/>
      <c r="O628" s="307"/>
      <c r="P628" s="307"/>
      <c r="Q628" s="660">
        <f t="shared" si="172"/>
        <v>0</v>
      </c>
    </row>
    <row r="629" spans="3:17" ht="18" hidden="1" customHeight="1">
      <c r="C629" s="665" t="s">
        <v>682</v>
      </c>
      <c r="D629" s="271"/>
      <c r="E629" s="307"/>
      <c r="F629" s="307"/>
      <c r="G629" s="307"/>
      <c r="H629" s="307"/>
      <c r="I629" s="307"/>
      <c r="J629" s="307"/>
      <c r="K629" s="307"/>
      <c r="L629" s="307"/>
      <c r="M629" s="307"/>
      <c r="N629" s="307"/>
      <c r="O629" s="307"/>
      <c r="P629" s="307"/>
      <c r="Q629" s="660">
        <f t="shared" si="172"/>
        <v>0</v>
      </c>
    </row>
    <row r="630" spans="3:17" ht="18" hidden="1" customHeight="1">
      <c r="C630" s="665" t="s">
        <v>683</v>
      </c>
      <c r="D630" s="271"/>
      <c r="E630" s="307"/>
      <c r="F630" s="307"/>
      <c r="G630" s="307"/>
      <c r="H630" s="307"/>
      <c r="I630" s="307"/>
      <c r="J630" s="307"/>
      <c r="K630" s="307"/>
      <c r="L630" s="307"/>
      <c r="M630" s="307"/>
      <c r="N630" s="307"/>
      <c r="O630" s="307"/>
      <c r="P630" s="307"/>
      <c r="Q630" s="660">
        <f t="shared" si="172"/>
        <v>0</v>
      </c>
    </row>
    <row r="631" spans="3:17" ht="18" hidden="1" customHeight="1">
      <c r="C631" s="665" t="s">
        <v>684</v>
      </c>
      <c r="D631" s="271"/>
      <c r="E631" s="307"/>
      <c r="F631" s="307"/>
      <c r="G631" s="307"/>
      <c r="H631" s="307"/>
      <c r="I631" s="307"/>
      <c r="J631" s="307"/>
      <c r="K631" s="307"/>
      <c r="L631" s="307"/>
      <c r="M631" s="307"/>
      <c r="N631" s="307"/>
      <c r="O631" s="307"/>
      <c r="P631" s="307"/>
      <c r="Q631" s="660">
        <f t="shared" si="172"/>
        <v>0</v>
      </c>
    </row>
    <row r="632" spans="3:17" ht="18" hidden="1" customHeight="1">
      <c r="C632" s="665" t="s">
        <v>685</v>
      </c>
      <c r="D632" s="271"/>
      <c r="E632" s="307"/>
      <c r="F632" s="307"/>
      <c r="G632" s="307"/>
      <c r="H632" s="307"/>
      <c r="I632" s="307"/>
      <c r="J632" s="307"/>
      <c r="K632" s="307"/>
      <c r="L632" s="307"/>
      <c r="M632" s="307"/>
      <c r="N632" s="307"/>
      <c r="O632" s="307"/>
      <c r="P632" s="307"/>
      <c r="Q632" s="660">
        <f t="shared" si="172"/>
        <v>0</v>
      </c>
    </row>
    <row r="633" spans="3:17" ht="18" hidden="1" customHeight="1">
      <c r="C633" s="703" t="s">
        <v>698</v>
      </c>
      <c r="D633" s="659"/>
      <c r="E633" s="659">
        <f t="shared" ref="E633:P633" si="177">SUM(E635:E640)</f>
        <v>0</v>
      </c>
      <c r="F633" s="659">
        <f t="shared" si="177"/>
        <v>0</v>
      </c>
      <c r="G633" s="659">
        <f t="shared" si="177"/>
        <v>0</v>
      </c>
      <c r="H633" s="659">
        <f t="shared" si="177"/>
        <v>0</v>
      </c>
      <c r="I633" s="659">
        <f t="shared" si="177"/>
        <v>0</v>
      </c>
      <c r="J633" s="659">
        <f t="shared" si="177"/>
        <v>0</v>
      </c>
      <c r="K633" s="659">
        <f t="shared" si="177"/>
        <v>0</v>
      </c>
      <c r="L633" s="659">
        <f t="shared" si="177"/>
        <v>0</v>
      </c>
      <c r="M633" s="659">
        <f t="shared" si="177"/>
        <v>0</v>
      </c>
      <c r="N633" s="659">
        <f t="shared" si="177"/>
        <v>0</v>
      </c>
      <c r="O633" s="659">
        <f t="shared" si="177"/>
        <v>0</v>
      </c>
      <c r="P633" s="659">
        <f t="shared" si="177"/>
        <v>0</v>
      </c>
      <c r="Q633" s="660">
        <f t="shared" si="172"/>
        <v>0</v>
      </c>
    </row>
    <row r="634" spans="3:17" ht="18" hidden="1" customHeight="1">
      <c r="C634" s="665" t="s">
        <v>699</v>
      </c>
      <c r="D634" s="659"/>
      <c r="E634" s="659"/>
      <c r="F634" s="659"/>
      <c r="G634" s="659"/>
      <c r="H634" s="659"/>
      <c r="I634" s="659"/>
      <c r="J634" s="659"/>
      <c r="K634" s="659"/>
      <c r="L634" s="659"/>
      <c r="M634" s="659"/>
      <c r="N634" s="659"/>
      <c r="O634" s="659"/>
      <c r="P634" s="659"/>
      <c r="Q634" s="660"/>
    </row>
    <row r="635" spans="3:17" ht="18" hidden="1" customHeight="1">
      <c r="C635" s="665" t="s">
        <v>914</v>
      </c>
      <c r="D635" s="271"/>
      <c r="E635" s="307"/>
      <c r="F635" s="307"/>
      <c r="G635" s="307"/>
      <c r="H635" s="307"/>
      <c r="I635" s="307"/>
      <c r="J635" s="307"/>
      <c r="K635" s="307"/>
      <c r="L635" s="307"/>
      <c r="M635" s="307"/>
      <c r="N635" s="307"/>
      <c r="O635" s="307"/>
      <c r="P635" s="307"/>
      <c r="Q635" s="660"/>
    </row>
    <row r="636" spans="3:17" ht="18" hidden="1" customHeight="1">
      <c r="C636" s="665" t="s">
        <v>915</v>
      </c>
      <c r="D636" s="271"/>
      <c r="E636" s="307"/>
      <c r="F636" s="307"/>
      <c r="G636" s="307"/>
      <c r="H636" s="307"/>
      <c r="I636" s="307"/>
      <c r="J636" s="307"/>
      <c r="K636" s="307"/>
      <c r="L636" s="307"/>
      <c r="M636" s="307"/>
      <c r="N636" s="307"/>
      <c r="O636" s="307"/>
      <c r="P636" s="307"/>
      <c r="Q636" s="660">
        <f t="shared" si="172"/>
        <v>0</v>
      </c>
    </row>
    <row r="637" spans="3:17" ht="18" hidden="1" customHeight="1">
      <c r="C637" s="665" t="s">
        <v>916</v>
      </c>
      <c r="D637" s="271"/>
      <c r="E637" s="307"/>
      <c r="F637" s="307"/>
      <c r="G637" s="307"/>
      <c r="H637" s="307"/>
      <c r="I637" s="307"/>
      <c r="J637" s="307"/>
      <c r="K637" s="307"/>
      <c r="L637" s="307"/>
      <c r="M637" s="307"/>
      <c r="N637" s="307"/>
      <c r="O637" s="307"/>
      <c r="P637" s="307"/>
      <c r="Q637" s="660">
        <f t="shared" si="172"/>
        <v>0</v>
      </c>
    </row>
    <row r="638" spans="3:17" ht="18" hidden="1" customHeight="1">
      <c r="C638" s="665" t="s">
        <v>592</v>
      </c>
      <c r="D638" s="271"/>
      <c r="E638" s="307"/>
      <c r="F638" s="307"/>
      <c r="G638" s="307"/>
      <c r="H638" s="307"/>
      <c r="I638" s="307"/>
      <c r="J638" s="307"/>
      <c r="K638" s="307"/>
      <c r="L638" s="307"/>
      <c r="M638" s="307"/>
      <c r="N638" s="307"/>
      <c r="O638" s="307"/>
      <c r="P638" s="307"/>
      <c r="Q638" s="660">
        <f t="shared" si="172"/>
        <v>0</v>
      </c>
    </row>
    <row r="639" spans="3:17" ht="18" hidden="1" customHeight="1">
      <c r="C639" s="665" t="s">
        <v>702</v>
      </c>
      <c r="D639" s="271"/>
      <c r="E639" s="307"/>
      <c r="F639" s="307"/>
      <c r="G639" s="307"/>
      <c r="H639" s="307"/>
      <c r="I639" s="307"/>
      <c r="J639" s="307"/>
      <c r="K639" s="307"/>
      <c r="L639" s="307"/>
      <c r="M639" s="307"/>
      <c r="N639" s="307"/>
      <c r="O639" s="307"/>
      <c r="P639" s="307"/>
      <c r="Q639" s="660">
        <f t="shared" si="172"/>
        <v>0</v>
      </c>
    </row>
    <row r="640" spans="3:17" ht="18" hidden="1" customHeight="1">
      <c r="C640" s="665" t="s">
        <v>703</v>
      </c>
      <c r="D640" s="271"/>
      <c r="E640" s="307"/>
      <c r="F640" s="307"/>
      <c r="G640" s="307"/>
      <c r="H640" s="307"/>
      <c r="I640" s="307"/>
      <c r="J640" s="307"/>
      <c r="K640" s="307"/>
      <c r="L640" s="307"/>
      <c r="M640" s="307"/>
      <c r="N640" s="307"/>
      <c r="O640" s="307"/>
      <c r="P640" s="307"/>
      <c r="Q640" s="660">
        <f t="shared" si="172"/>
        <v>0</v>
      </c>
    </row>
    <row r="641" spans="3:18" ht="18" hidden="1" customHeight="1">
      <c r="C641" s="703" t="s">
        <v>714</v>
      </c>
      <c r="D641" s="659"/>
      <c r="E641" s="659">
        <f>SUM(E642:E645)</f>
        <v>0</v>
      </c>
      <c r="F641" s="659">
        <f t="shared" ref="F641:P641" si="178">SUM(F642:F645)</f>
        <v>0</v>
      </c>
      <c r="G641" s="659">
        <f t="shared" si="178"/>
        <v>0</v>
      </c>
      <c r="H641" s="659">
        <f t="shared" si="178"/>
        <v>0</v>
      </c>
      <c r="I641" s="659">
        <f t="shared" si="178"/>
        <v>0</v>
      </c>
      <c r="J641" s="659">
        <f t="shared" si="178"/>
        <v>0</v>
      </c>
      <c r="K641" s="659">
        <f t="shared" si="178"/>
        <v>0</v>
      </c>
      <c r="L641" s="659">
        <f t="shared" si="178"/>
        <v>0</v>
      </c>
      <c r="M641" s="659">
        <f t="shared" si="178"/>
        <v>0</v>
      </c>
      <c r="N641" s="659">
        <f t="shared" si="178"/>
        <v>0</v>
      </c>
      <c r="O641" s="659">
        <f t="shared" si="178"/>
        <v>0</v>
      </c>
      <c r="P641" s="659">
        <f t="shared" si="178"/>
        <v>0</v>
      </c>
      <c r="Q641" s="660">
        <f t="shared" si="172"/>
        <v>0</v>
      </c>
    </row>
    <row r="642" spans="3:18" ht="30" hidden="1" customHeight="1">
      <c r="C642" s="665" t="s">
        <v>708</v>
      </c>
      <c r="D642" s="271"/>
      <c r="E642" s="307"/>
      <c r="F642" s="307"/>
      <c r="G642" s="307"/>
      <c r="H642" s="307"/>
      <c r="I642" s="307"/>
      <c r="J642" s="307"/>
      <c r="K642" s="307"/>
      <c r="L642" s="307"/>
      <c r="M642" s="307"/>
      <c r="N642" s="307"/>
      <c r="O642" s="307"/>
      <c r="P642" s="307"/>
      <c r="Q642" s="660">
        <f t="shared" si="172"/>
        <v>0</v>
      </c>
    </row>
    <row r="643" spans="3:18" ht="18" hidden="1" customHeight="1">
      <c r="C643" s="665" t="s">
        <v>687</v>
      </c>
      <c r="D643" s="271"/>
      <c r="E643" s="307"/>
      <c r="F643" s="307"/>
      <c r="G643" s="307"/>
      <c r="H643" s="307"/>
      <c r="I643" s="307"/>
      <c r="J643" s="307"/>
      <c r="K643" s="307"/>
      <c r="L643" s="307"/>
      <c r="M643" s="307"/>
      <c r="N643" s="307"/>
      <c r="O643" s="307"/>
      <c r="P643" s="307"/>
      <c r="Q643" s="660">
        <f t="shared" si="172"/>
        <v>0</v>
      </c>
    </row>
    <row r="644" spans="3:18" ht="18" hidden="1" customHeight="1">
      <c r="C644" s="665" t="s">
        <v>688</v>
      </c>
      <c r="D644" s="271"/>
      <c r="E644" s="307"/>
      <c r="F644" s="307"/>
      <c r="G644" s="307"/>
      <c r="H644" s="307"/>
      <c r="I644" s="307"/>
      <c r="J644" s="307"/>
      <c r="K644" s="307"/>
      <c r="L644" s="307"/>
      <c r="M644" s="307"/>
      <c r="N644" s="307"/>
      <c r="O644" s="307"/>
      <c r="P644" s="307"/>
      <c r="Q644" s="660">
        <f t="shared" si="172"/>
        <v>0</v>
      </c>
    </row>
    <row r="645" spans="3:18" ht="18" hidden="1" customHeight="1">
      <c r="C645" s="665" t="s">
        <v>704</v>
      </c>
      <c r="D645" s="271"/>
      <c r="E645" s="307"/>
      <c r="F645" s="307"/>
      <c r="G645" s="307"/>
      <c r="H645" s="307"/>
      <c r="I645" s="307"/>
      <c r="J645" s="307"/>
      <c r="K645" s="307"/>
      <c r="L645" s="307"/>
      <c r="M645" s="307"/>
      <c r="N645" s="307"/>
      <c r="O645" s="307"/>
      <c r="P645" s="307"/>
      <c r="Q645" s="660">
        <f t="shared" si="172"/>
        <v>0</v>
      </c>
    </row>
    <row r="646" spans="3:18" ht="18" hidden="1" customHeight="1">
      <c r="C646" s="703" t="s">
        <v>715</v>
      </c>
      <c r="D646" s="659"/>
      <c r="E646" s="659">
        <f>E647+E648</f>
        <v>0</v>
      </c>
      <c r="F646" s="659">
        <f t="shared" ref="F646:P646" si="179">F647+F648</f>
        <v>0</v>
      </c>
      <c r="G646" s="659">
        <f t="shared" si="179"/>
        <v>0</v>
      </c>
      <c r="H646" s="659">
        <f t="shared" si="179"/>
        <v>0</v>
      </c>
      <c r="I646" s="659">
        <f t="shared" si="179"/>
        <v>0</v>
      </c>
      <c r="J646" s="659">
        <f t="shared" si="179"/>
        <v>0</v>
      </c>
      <c r="K646" s="659">
        <f t="shared" si="179"/>
        <v>0</v>
      </c>
      <c r="L646" s="659">
        <f t="shared" si="179"/>
        <v>0</v>
      </c>
      <c r="M646" s="659">
        <f t="shared" si="179"/>
        <v>0</v>
      </c>
      <c r="N646" s="659">
        <f t="shared" si="179"/>
        <v>0</v>
      </c>
      <c r="O646" s="659">
        <f t="shared" si="179"/>
        <v>0</v>
      </c>
      <c r="P646" s="659">
        <f t="shared" si="179"/>
        <v>0</v>
      </c>
      <c r="Q646" s="660">
        <f t="shared" si="172"/>
        <v>0</v>
      </c>
    </row>
    <row r="647" spans="3:18" ht="18" hidden="1" customHeight="1">
      <c r="C647" s="665" t="s">
        <v>692</v>
      </c>
      <c r="D647" s="271"/>
      <c r="E647" s="307"/>
      <c r="F647" s="307"/>
      <c r="G647" s="307"/>
      <c r="H647" s="307"/>
      <c r="I647" s="307"/>
      <c r="J647" s="307"/>
      <c r="K647" s="307"/>
      <c r="L647" s="307"/>
      <c r="M647" s="307"/>
      <c r="N647" s="307"/>
      <c r="O647" s="307"/>
      <c r="P647" s="307"/>
      <c r="Q647" s="660">
        <f t="shared" si="172"/>
        <v>0</v>
      </c>
    </row>
    <row r="648" spans="3:18" ht="18" hidden="1" customHeight="1">
      <c r="C648" s="665" t="s">
        <v>707</v>
      </c>
      <c r="D648" s="271"/>
      <c r="E648" s="307"/>
      <c r="F648" s="307"/>
      <c r="G648" s="307"/>
      <c r="H648" s="307"/>
      <c r="I648" s="307"/>
      <c r="J648" s="307"/>
      <c r="K648" s="307"/>
      <c r="L648" s="307"/>
      <c r="M648" s="307"/>
      <c r="N648" s="307"/>
      <c r="O648" s="307"/>
      <c r="P648" s="307"/>
      <c r="Q648" s="660">
        <f t="shared" si="172"/>
        <v>0</v>
      </c>
    </row>
    <row r="649" spans="3:18" ht="18" hidden="1" customHeight="1">
      <c r="C649" s="274"/>
      <c r="D649" s="271"/>
      <c r="E649" s="307"/>
      <c r="F649" s="307"/>
      <c r="G649" s="307"/>
      <c r="H649" s="307"/>
      <c r="I649" s="307"/>
      <c r="J649" s="307"/>
      <c r="K649" s="307"/>
      <c r="L649" s="307"/>
      <c r="M649" s="307"/>
      <c r="N649" s="307"/>
      <c r="O649" s="307"/>
      <c r="P649" s="307"/>
      <c r="Q649" s="436"/>
    </row>
    <row r="650" spans="3:18" s="705" customFormat="1" ht="18" hidden="1" customHeight="1">
      <c r="C650" s="662" t="s">
        <v>717</v>
      </c>
      <c r="D650" s="663"/>
      <c r="E650" s="663">
        <f t="shared" ref="E650:P650" si="180">E651+E653+E660+E668+E673</f>
        <v>0</v>
      </c>
      <c r="F650" s="663">
        <f t="shared" si="180"/>
        <v>0</v>
      </c>
      <c r="G650" s="663">
        <f t="shared" si="180"/>
        <v>0</v>
      </c>
      <c r="H650" s="663">
        <f t="shared" si="180"/>
        <v>0</v>
      </c>
      <c r="I650" s="663">
        <f t="shared" si="180"/>
        <v>0</v>
      </c>
      <c r="J650" s="663">
        <f t="shared" si="180"/>
        <v>0</v>
      </c>
      <c r="K650" s="663">
        <f t="shared" si="180"/>
        <v>0</v>
      </c>
      <c r="L650" s="663">
        <f t="shared" si="180"/>
        <v>0</v>
      </c>
      <c r="M650" s="663">
        <f t="shared" si="180"/>
        <v>0</v>
      </c>
      <c r="N650" s="663">
        <f t="shared" si="180"/>
        <v>0</v>
      </c>
      <c r="O650" s="663">
        <f t="shared" si="180"/>
        <v>0</v>
      </c>
      <c r="P650" s="663">
        <f t="shared" si="180"/>
        <v>0</v>
      </c>
      <c r="Q650" s="664">
        <f t="shared" si="172"/>
        <v>0</v>
      </c>
      <c r="R650" s="704"/>
    </row>
    <row r="651" spans="3:18" ht="18" hidden="1" customHeight="1">
      <c r="C651" s="703" t="s">
        <v>712</v>
      </c>
      <c r="D651" s="659"/>
      <c r="E651" s="659">
        <f>E652</f>
        <v>0</v>
      </c>
      <c r="F651" s="659">
        <f t="shared" ref="F651:P651" si="181">F652</f>
        <v>0</v>
      </c>
      <c r="G651" s="659">
        <f t="shared" si="181"/>
        <v>0</v>
      </c>
      <c r="H651" s="659">
        <f t="shared" si="181"/>
        <v>0</v>
      </c>
      <c r="I651" s="659">
        <f t="shared" si="181"/>
        <v>0</v>
      </c>
      <c r="J651" s="659">
        <f t="shared" si="181"/>
        <v>0</v>
      </c>
      <c r="K651" s="659">
        <f t="shared" si="181"/>
        <v>0</v>
      </c>
      <c r="L651" s="659">
        <f t="shared" si="181"/>
        <v>0</v>
      </c>
      <c r="M651" s="659">
        <f t="shared" si="181"/>
        <v>0</v>
      </c>
      <c r="N651" s="659">
        <f t="shared" si="181"/>
        <v>0</v>
      </c>
      <c r="O651" s="659">
        <f t="shared" si="181"/>
        <v>0</v>
      </c>
      <c r="P651" s="659">
        <f t="shared" si="181"/>
        <v>0</v>
      </c>
      <c r="Q651" s="660">
        <f t="shared" si="172"/>
        <v>0</v>
      </c>
    </row>
    <row r="652" spans="3:18" ht="27" hidden="1" customHeight="1">
      <c r="C652" s="665" t="s">
        <v>718</v>
      </c>
      <c r="D652" s="271"/>
      <c r="E652" s="307"/>
      <c r="F652" s="307"/>
      <c r="G652" s="307"/>
      <c r="H652" s="307"/>
      <c r="I652" s="307"/>
      <c r="J652" s="307"/>
      <c r="K652" s="307"/>
      <c r="L652" s="307"/>
      <c r="M652" s="307"/>
      <c r="N652" s="307"/>
      <c r="O652" s="307"/>
      <c r="P652" s="307"/>
      <c r="Q652" s="660">
        <f t="shared" si="172"/>
        <v>0</v>
      </c>
    </row>
    <row r="653" spans="3:18" ht="18" hidden="1" customHeight="1">
      <c r="C653" s="703" t="s">
        <v>695</v>
      </c>
      <c r="D653" s="659"/>
      <c r="E653" s="659">
        <f>SUM(E654:E659)</f>
        <v>0</v>
      </c>
      <c r="F653" s="659">
        <f t="shared" ref="F653:P653" si="182">SUM(F654:F659)</f>
        <v>0</v>
      </c>
      <c r="G653" s="659">
        <f t="shared" si="182"/>
        <v>0</v>
      </c>
      <c r="H653" s="659">
        <f t="shared" si="182"/>
        <v>0</v>
      </c>
      <c r="I653" s="659">
        <f t="shared" si="182"/>
        <v>0</v>
      </c>
      <c r="J653" s="659">
        <f t="shared" si="182"/>
        <v>0</v>
      </c>
      <c r="K653" s="659">
        <f t="shared" si="182"/>
        <v>0</v>
      </c>
      <c r="L653" s="659">
        <f t="shared" si="182"/>
        <v>0</v>
      </c>
      <c r="M653" s="659">
        <f t="shared" si="182"/>
        <v>0</v>
      </c>
      <c r="N653" s="659">
        <f t="shared" si="182"/>
        <v>0</v>
      </c>
      <c r="O653" s="659">
        <f t="shared" si="182"/>
        <v>0</v>
      </c>
      <c r="P653" s="659">
        <f t="shared" si="182"/>
        <v>0</v>
      </c>
      <c r="Q653" s="660">
        <f t="shared" si="172"/>
        <v>0</v>
      </c>
    </row>
    <row r="654" spans="3:18" ht="18" hidden="1" customHeight="1">
      <c r="C654" s="665" t="s">
        <v>696</v>
      </c>
      <c r="D654" s="271"/>
      <c r="E654" s="307"/>
      <c r="F654" s="307"/>
      <c r="G654" s="307"/>
      <c r="H654" s="307"/>
      <c r="I654" s="307"/>
      <c r="J654" s="307"/>
      <c r="K654" s="307"/>
      <c r="L654" s="307"/>
      <c r="M654" s="307"/>
      <c r="N654" s="307"/>
      <c r="O654" s="307"/>
      <c r="P654" s="307"/>
      <c r="Q654" s="660">
        <f t="shared" si="172"/>
        <v>0</v>
      </c>
    </row>
    <row r="655" spans="3:18" ht="18" hidden="1" customHeight="1">
      <c r="C655" s="665" t="s">
        <v>719</v>
      </c>
      <c r="D655" s="271"/>
      <c r="E655" s="307"/>
      <c r="F655" s="307"/>
      <c r="G655" s="307"/>
      <c r="H655" s="307"/>
      <c r="I655" s="307"/>
      <c r="J655" s="307"/>
      <c r="K655" s="307"/>
      <c r="L655" s="307"/>
      <c r="M655" s="307"/>
      <c r="N655" s="307"/>
      <c r="O655" s="307"/>
      <c r="P655" s="307"/>
      <c r="Q655" s="660">
        <f t="shared" si="172"/>
        <v>0</v>
      </c>
    </row>
    <row r="656" spans="3:18" ht="18" hidden="1" customHeight="1">
      <c r="C656" s="665" t="s">
        <v>682</v>
      </c>
      <c r="D656" s="271"/>
      <c r="E656" s="307"/>
      <c r="F656" s="307"/>
      <c r="G656" s="307"/>
      <c r="H656" s="307"/>
      <c r="I656" s="307"/>
      <c r="J656" s="307"/>
      <c r="K656" s="307"/>
      <c r="L656" s="307"/>
      <c r="M656" s="307"/>
      <c r="N656" s="307"/>
      <c r="O656" s="307"/>
      <c r="P656" s="307"/>
      <c r="Q656" s="660">
        <f t="shared" si="172"/>
        <v>0</v>
      </c>
    </row>
    <row r="657" spans="3:17" ht="18" hidden="1" customHeight="1">
      <c r="C657" s="665" t="s">
        <v>683</v>
      </c>
      <c r="D657" s="271"/>
      <c r="E657" s="307"/>
      <c r="F657" s="307"/>
      <c r="G657" s="307"/>
      <c r="H657" s="307"/>
      <c r="I657" s="307"/>
      <c r="J657" s="307"/>
      <c r="K657" s="307"/>
      <c r="L657" s="307"/>
      <c r="M657" s="307"/>
      <c r="N657" s="307"/>
      <c r="O657" s="307"/>
      <c r="P657" s="307"/>
      <c r="Q657" s="660">
        <f t="shared" si="172"/>
        <v>0</v>
      </c>
    </row>
    <row r="658" spans="3:17" ht="18" hidden="1" customHeight="1">
      <c r="C658" s="665" t="s">
        <v>684</v>
      </c>
      <c r="D658" s="271"/>
      <c r="E658" s="307"/>
      <c r="F658" s="307"/>
      <c r="G658" s="307"/>
      <c r="H658" s="307"/>
      <c r="I658" s="307"/>
      <c r="J658" s="307"/>
      <c r="K658" s="307"/>
      <c r="L658" s="307"/>
      <c r="M658" s="307"/>
      <c r="N658" s="307"/>
      <c r="O658" s="307"/>
      <c r="P658" s="307"/>
      <c r="Q658" s="660">
        <f t="shared" si="172"/>
        <v>0</v>
      </c>
    </row>
    <row r="659" spans="3:17" ht="18" hidden="1" customHeight="1">
      <c r="C659" s="665" t="s">
        <v>685</v>
      </c>
      <c r="D659" s="271"/>
      <c r="E659" s="307"/>
      <c r="F659" s="307"/>
      <c r="G659" s="307"/>
      <c r="H659" s="307"/>
      <c r="I659" s="307"/>
      <c r="J659" s="307"/>
      <c r="K659" s="307"/>
      <c r="L659" s="307"/>
      <c r="M659" s="307"/>
      <c r="N659" s="307"/>
      <c r="O659" s="307"/>
      <c r="P659" s="307"/>
      <c r="Q659" s="660">
        <f t="shared" si="172"/>
        <v>0</v>
      </c>
    </row>
    <row r="660" spans="3:17" ht="18" hidden="1" customHeight="1">
      <c r="C660" s="703" t="s">
        <v>698</v>
      </c>
      <c r="D660" s="659"/>
      <c r="E660" s="659">
        <f t="shared" ref="E660:P660" si="183">SUM(E662:E667)</f>
        <v>0</v>
      </c>
      <c r="F660" s="659">
        <f t="shared" si="183"/>
        <v>0</v>
      </c>
      <c r="G660" s="659">
        <f t="shared" si="183"/>
        <v>0</v>
      </c>
      <c r="H660" s="659">
        <f t="shared" si="183"/>
        <v>0</v>
      </c>
      <c r="I660" s="659">
        <f t="shared" si="183"/>
        <v>0</v>
      </c>
      <c r="J660" s="659">
        <f t="shared" si="183"/>
        <v>0</v>
      </c>
      <c r="K660" s="659">
        <f t="shared" si="183"/>
        <v>0</v>
      </c>
      <c r="L660" s="659">
        <f t="shared" si="183"/>
        <v>0</v>
      </c>
      <c r="M660" s="659">
        <f t="shared" si="183"/>
        <v>0</v>
      </c>
      <c r="N660" s="659">
        <f t="shared" si="183"/>
        <v>0</v>
      </c>
      <c r="O660" s="659">
        <f t="shared" si="183"/>
        <v>0</v>
      </c>
      <c r="P660" s="659">
        <f t="shared" si="183"/>
        <v>0</v>
      </c>
      <c r="Q660" s="660">
        <f t="shared" si="172"/>
        <v>0</v>
      </c>
    </row>
    <row r="661" spans="3:17" ht="18" hidden="1" customHeight="1">
      <c r="C661" s="665" t="s">
        <v>699</v>
      </c>
      <c r="D661" s="659"/>
      <c r="E661" s="659"/>
      <c r="F661" s="659"/>
      <c r="G661" s="659"/>
      <c r="H661" s="659"/>
      <c r="I661" s="659"/>
      <c r="J661" s="659"/>
      <c r="K661" s="659"/>
      <c r="L661" s="659"/>
      <c r="M661" s="659"/>
      <c r="N661" s="659"/>
      <c r="O661" s="659"/>
      <c r="P661" s="659"/>
      <c r="Q661" s="660"/>
    </row>
    <row r="662" spans="3:17" ht="18" hidden="1" customHeight="1">
      <c r="C662" s="665" t="s">
        <v>914</v>
      </c>
      <c r="D662" s="271"/>
      <c r="E662" s="307"/>
      <c r="F662" s="307"/>
      <c r="G662" s="307"/>
      <c r="H662" s="307"/>
      <c r="I662" s="307"/>
      <c r="J662" s="307"/>
      <c r="K662" s="307"/>
      <c r="L662" s="307"/>
      <c r="M662" s="307"/>
      <c r="N662" s="307"/>
      <c r="O662" s="307"/>
      <c r="P662" s="307"/>
      <c r="Q662" s="660">
        <f t="shared" si="172"/>
        <v>0</v>
      </c>
    </row>
    <row r="663" spans="3:17" ht="18" hidden="1" customHeight="1">
      <c r="C663" s="665" t="s">
        <v>915</v>
      </c>
      <c r="D663" s="271"/>
      <c r="E663" s="307"/>
      <c r="F663" s="307"/>
      <c r="G663" s="307"/>
      <c r="H663" s="307"/>
      <c r="I663" s="307"/>
      <c r="J663" s="307"/>
      <c r="K663" s="307"/>
      <c r="L663" s="307"/>
      <c r="M663" s="307"/>
      <c r="N663" s="307"/>
      <c r="O663" s="307"/>
      <c r="P663" s="307"/>
      <c r="Q663" s="660">
        <f t="shared" si="172"/>
        <v>0</v>
      </c>
    </row>
    <row r="664" spans="3:17" ht="31.5" hidden="1" customHeight="1">
      <c r="C664" s="665" t="s">
        <v>916</v>
      </c>
      <c r="D664" s="271"/>
      <c r="E664" s="307"/>
      <c r="F664" s="307"/>
      <c r="G664" s="307"/>
      <c r="H664" s="307"/>
      <c r="I664" s="307"/>
      <c r="J664" s="307"/>
      <c r="K664" s="307"/>
      <c r="L664" s="307"/>
      <c r="M664" s="307"/>
      <c r="N664" s="307"/>
      <c r="O664" s="307"/>
      <c r="P664" s="307"/>
      <c r="Q664" s="660">
        <f t="shared" si="172"/>
        <v>0</v>
      </c>
    </row>
    <row r="665" spans="3:17" ht="18" hidden="1" customHeight="1">
      <c r="C665" s="665" t="s">
        <v>592</v>
      </c>
      <c r="D665" s="271"/>
      <c r="E665" s="307"/>
      <c r="F665" s="307"/>
      <c r="G665" s="307"/>
      <c r="H665" s="307"/>
      <c r="I665" s="307"/>
      <c r="J665" s="307"/>
      <c r="K665" s="307"/>
      <c r="L665" s="307"/>
      <c r="M665" s="307"/>
      <c r="N665" s="307"/>
      <c r="O665" s="307"/>
      <c r="P665" s="307"/>
      <c r="Q665" s="660">
        <f t="shared" si="172"/>
        <v>0</v>
      </c>
    </row>
    <row r="666" spans="3:17" ht="18" hidden="1" customHeight="1">
      <c r="C666" s="665" t="s">
        <v>702</v>
      </c>
      <c r="D666" s="271"/>
      <c r="E666" s="307"/>
      <c r="F666" s="307"/>
      <c r="G666" s="307"/>
      <c r="H666" s="307"/>
      <c r="I666" s="307"/>
      <c r="J666" s="307"/>
      <c r="K666" s="307"/>
      <c r="L666" s="307"/>
      <c r="M666" s="307"/>
      <c r="N666" s="307"/>
      <c r="O666" s="307"/>
      <c r="P666" s="307"/>
      <c r="Q666" s="660">
        <f t="shared" si="172"/>
        <v>0</v>
      </c>
    </row>
    <row r="667" spans="3:17" ht="18" hidden="1" customHeight="1">
      <c r="C667" s="665" t="s">
        <v>703</v>
      </c>
      <c r="D667" s="271"/>
      <c r="E667" s="307"/>
      <c r="F667" s="307"/>
      <c r="G667" s="307"/>
      <c r="H667" s="307"/>
      <c r="I667" s="307"/>
      <c r="J667" s="307"/>
      <c r="K667" s="307"/>
      <c r="L667" s="307"/>
      <c r="M667" s="307"/>
      <c r="N667" s="307"/>
      <c r="O667" s="307"/>
      <c r="P667" s="307"/>
      <c r="Q667" s="660">
        <f t="shared" si="172"/>
        <v>0</v>
      </c>
    </row>
    <row r="668" spans="3:17" ht="18" hidden="1" customHeight="1">
      <c r="C668" s="703" t="s">
        <v>714</v>
      </c>
      <c r="D668" s="659"/>
      <c r="E668" s="659">
        <f>SUM(E669:E672)</f>
        <v>0</v>
      </c>
      <c r="F668" s="659">
        <f t="shared" ref="F668:P668" si="184">SUM(F669:F672)</f>
        <v>0</v>
      </c>
      <c r="G668" s="659">
        <f t="shared" si="184"/>
        <v>0</v>
      </c>
      <c r="H668" s="659">
        <f t="shared" si="184"/>
        <v>0</v>
      </c>
      <c r="I668" s="659">
        <f t="shared" si="184"/>
        <v>0</v>
      </c>
      <c r="J668" s="659">
        <f t="shared" si="184"/>
        <v>0</v>
      </c>
      <c r="K668" s="659">
        <f t="shared" si="184"/>
        <v>0</v>
      </c>
      <c r="L668" s="659">
        <f t="shared" si="184"/>
        <v>0</v>
      </c>
      <c r="M668" s="659">
        <f t="shared" si="184"/>
        <v>0</v>
      </c>
      <c r="N668" s="659">
        <f t="shared" si="184"/>
        <v>0</v>
      </c>
      <c r="O668" s="659">
        <f t="shared" si="184"/>
        <v>0</v>
      </c>
      <c r="P668" s="659">
        <f t="shared" si="184"/>
        <v>0</v>
      </c>
      <c r="Q668" s="660">
        <f t="shared" si="172"/>
        <v>0</v>
      </c>
    </row>
    <row r="669" spans="3:17" ht="25.5" hidden="1" customHeight="1">
      <c r="C669" s="665" t="s">
        <v>708</v>
      </c>
      <c r="D669" s="271"/>
      <c r="E669" s="307"/>
      <c r="F669" s="307"/>
      <c r="G669" s="307"/>
      <c r="H669" s="307"/>
      <c r="I669" s="307"/>
      <c r="J669" s="307"/>
      <c r="K669" s="307"/>
      <c r="L669" s="307"/>
      <c r="M669" s="307"/>
      <c r="N669" s="307"/>
      <c r="O669" s="307"/>
      <c r="P669" s="307"/>
      <c r="Q669" s="660">
        <f t="shared" si="172"/>
        <v>0</v>
      </c>
    </row>
    <row r="670" spans="3:17" ht="18" hidden="1" customHeight="1">
      <c r="C670" s="665" t="s">
        <v>687</v>
      </c>
      <c r="D670" s="271"/>
      <c r="E670" s="307"/>
      <c r="F670" s="307"/>
      <c r="G670" s="307"/>
      <c r="H670" s="307"/>
      <c r="I670" s="307"/>
      <c r="J670" s="307"/>
      <c r="K670" s="307"/>
      <c r="L670" s="307"/>
      <c r="M670" s="307"/>
      <c r="N670" s="307"/>
      <c r="O670" s="307"/>
      <c r="P670" s="307"/>
      <c r="Q670" s="660">
        <f t="shared" si="172"/>
        <v>0</v>
      </c>
    </row>
    <row r="671" spans="3:17" ht="18" hidden="1" customHeight="1">
      <c r="C671" s="665" t="s">
        <v>688</v>
      </c>
      <c r="D671" s="271"/>
      <c r="E671" s="307"/>
      <c r="F671" s="307"/>
      <c r="G671" s="307"/>
      <c r="H671" s="307"/>
      <c r="I671" s="307"/>
      <c r="J671" s="307"/>
      <c r="K671" s="307"/>
      <c r="L671" s="307"/>
      <c r="M671" s="307"/>
      <c r="N671" s="307"/>
      <c r="O671" s="307"/>
      <c r="P671" s="307"/>
      <c r="Q671" s="660">
        <f t="shared" si="172"/>
        <v>0</v>
      </c>
    </row>
    <row r="672" spans="3:17" ht="18" hidden="1" customHeight="1">
      <c r="C672" s="665" t="s">
        <v>704</v>
      </c>
      <c r="D672" s="271"/>
      <c r="E672" s="307"/>
      <c r="F672" s="307"/>
      <c r="G672" s="307"/>
      <c r="H672" s="307"/>
      <c r="I672" s="307"/>
      <c r="J672" s="307"/>
      <c r="K672" s="307"/>
      <c r="L672" s="307"/>
      <c r="M672" s="307"/>
      <c r="N672" s="307"/>
      <c r="O672" s="307"/>
      <c r="P672" s="307"/>
      <c r="Q672" s="660">
        <f t="shared" si="172"/>
        <v>0</v>
      </c>
    </row>
    <row r="673" spans="3:18" ht="18" hidden="1" customHeight="1">
      <c r="C673" s="703" t="s">
        <v>715</v>
      </c>
      <c r="D673" s="659"/>
      <c r="E673" s="659">
        <f>E674+E675</f>
        <v>0</v>
      </c>
      <c r="F673" s="659">
        <f t="shared" ref="F673:O673" si="185">F674+F675</f>
        <v>0</v>
      </c>
      <c r="G673" s="659">
        <f t="shared" si="185"/>
        <v>0</v>
      </c>
      <c r="H673" s="659">
        <f t="shared" si="185"/>
        <v>0</v>
      </c>
      <c r="I673" s="659">
        <f t="shared" si="185"/>
        <v>0</v>
      </c>
      <c r="J673" s="659">
        <f t="shared" si="185"/>
        <v>0</v>
      </c>
      <c r="K673" s="659">
        <f t="shared" si="185"/>
        <v>0</v>
      </c>
      <c r="L673" s="659">
        <f t="shared" si="185"/>
        <v>0</v>
      </c>
      <c r="M673" s="659">
        <f t="shared" si="185"/>
        <v>0</v>
      </c>
      <c r="N673" s="659">
        <f t="shared" si="185"/>
        <v>0</v>
      </c>
      <c r="O673" s="659">
        <f t="shared" si="185"/>
        <v>0</v>
      </c>
      <c r="P673" s="659">
        <f>P674+P675</f>
        <v>0</v>
      </c>
      <c r="Q673" s="660">
        <f t="shared" si="172"/>
        <v>0</v>
      </c>
    </row>
    <row r="674" spans="3:18" ht="18" hidden="1" customHeight="1">
      <c r="C674" s="665" t="s">
        <v>692</v>
      </c>
      <c r="D674" s="271"/>
      <c r="E674" s="307"/>
      <c r="F674" s="307"/>
      <c r="G674" s="307"/>
      <c r="H674" s="307"/>
      <c r="I674" s="307"/>
      <c r="J674" s="307"/>
      <c r="K674" s="307"/>
      <c r="L674" s="307"/>
      <c r="M674" s="307"/>
      <c r="N674" s="307"/>
      <c r="O674" s="307"/>
      <c r="P674" s="307"/>
      <c r="Q674" s="660">
        <f>SUM(E674:P674)</f>
        <v>0</v>
      </c>
    </row>
    <row r="675" spans="3:18" ht="18" hidden="1" customHeight="1">
      <c r="C675" s="665" t="s">
        <v>707</v>
      </c>
      <c r="D675" s="271"/>
      <c r="E675" s="307"/>
      <c r="F675" s="307"/>
      <c r="G675" s="307"/>
      <c r="H675" s="307"/>
      <c r="I675" s="307"/>
      <c r="J675" s="307"/>
      <c r="K675" s="307"/>
      <c r="L675" s="307"/>
      <c r="M675" s="307"/>
      <c r="N675" s="307"/>
      <c r="O675" s="307"/>
      <c r="P675" s="307"/>
      <c r="Q675" s="660">
        <f>SUM(E675:P675)</f>
        <v>0</v>
      </c>
    </row>
    <row r="676" spans="3:18" s="705" customFormat="1" ht="18" hidden="1" customHeight="1">
      <c r="C676" s="662" t="s">
        <v>170</v>
      </c>
      <c r="D676" s="663"/>
      <c r="E676" s="663">
        <f t="shared" ref="E676:P676" si="186">E677+E679+E686+E694+E699</f>
        <v>0</v>
      </c>
      <c r="F676" s="663">
        <f t="shared" si="186"/>
        <v>0</v>
      </c>
      <c r="G676" s="663">
        <f t="shared" si="186"/>
        <v>0</v>
      </c>
      <c r="H676" s="663">
        <f t="shared" si="186"/>
        <v>0</v>
      </c>
      <c r="I676" s="663">
        <f t="shared" si="186"/>
        <v>0</v>
      </c>
      <c r="J676" s="663">
        <f t="shared" si="186"/>
        <v>0</v>
      </c>
      <c r="K676" s="663">
        <f t="shared" si="186"/>
        <v>0</v>
      </c>
      <c r="L676" s="663">
        <f t="shared" si="186"/>
        <v>0</v>
      </c>
      <c r="M676" s="663">
        <f t="shared" si="186"/>
        <v>0</v>
      </c>
      <c r="N676" s="663">
        <f t="shared" si="186"/>
        <v>0</v>
      </c>
      <c r="O676" s="663">
        <f t="shared" si="186"/>
        <v>0</v>
      </c>
      <c r="P676" s="663">
        <f t="shared" si="186"/>
        <v>0</v>
      </c>
      <c r="Q676" s="664">
        <f t="shared" ref="Q676:Q729" si="187">SUM(E676:P676)</f>
        <v>0</v>
      </c>
      <c r="R676" s="704"/>
    </row>
    <row r="677" spans="3:18" ht="18" hidden="1" customHeight="1">
      <c r="C677" s="703" t="s">
        <v>712</v>
      </c>
      <c r="D677" s="659"/>
      <c r="E677" s="659">
        <f>E678</f>
        <v>0</v>
      </c>
      <c r="F677" s="659">
        <f t="shared" ref="F677:P677" si="188">F678</f>
        <v>0</v>
      </c>
      <c r="G677" s="659">
        <f t="shared" si="188"/>
        <v>0</v>
      </c>
      <c r="H677" s="659">
        <f t="shared" si="188"/>
        <v>0</v>
      </c>
      <c r="I677" s="659">
        <f t="shared" si="188"/>
        <v>0</v>
      </c>
      <c r="J677" s="659">
        <f t="shared" si="188"/>
        <v>0</v>
      </c>
      <c r="K677" s="659">
        <f t="shared" si="188"/>
        <v>0</v>
      </c>
      <c r="L677" s="659">
        <f t="shared" si="188"/>
        <v>0</v>
      </c>
      <c r="M677" s="659">
        <f t="shared" si="188"/>
        <v>0</v>
      </c>
      <c r="N677" s="659">
        <f t="shared" si="188"/>
        <v>0</v>
      </c>
      <c r="O677" s="659">
        <f t="shared" si="188"/>
        <v>0</v>
      </c>
      <c r="P677" s="659">
        <f t="shared" si="188"/>
        <v>0</v>
      </c>
      <c r="Q677" s="660">
        <f t="shared" si="187"/>
        <v>0</v>
      </c>
    </row>
    <row r="678" spans="3:18" ht="35.25" hidden="1" customHeight="1">
      <c r="C678" s="665" t="s">
        <v>720</v>
      </c>
      <c r="D678" s="271"/>
      <c r="E678" s="307"/>
      <c r="F678" s="307"/>
      <c r="G678" s="307"/>
      <c r="H678" s="307"/>
      <c r="I678" s="307"/>
      <c r="J678" s="307"/>
      <c r="K678" s="307"/>
      <c r="L678" s="307"/>
      <c r="M678" s="307"/>
      <c r="N678" s="307"/>
      <c r="O678" s="307"/>
      <c r="P678" s="307"/>
      <c r="Q678" s="660">
        <f t="shared" si="187"/>
        <v>0</v>
      </c>
    </row>
    <row r="679" spans="3:18" ht="18" hidden="1" customHeight="1">
      <c r="C679" s="703" t="s">
        <v>695</v>
      </c>
      <c r="D679" s="659"/>
      <c r="E679" s="659">
        <f>SUM(E680:E685)</f>
        <v>0</v>
      </c>
      <c r="F679" s="659">
        <f t="shared" ref="F679:P679" si="189">SUM(F680:F685)</f>
        <v>0</v>
      </c>
      <c r="G679" s="659">
        <f t="shared" si="189"/>
        <v>0</v>
      </c>
      <c r="H679" s="659">
        <f t="shared" si="189"/>
        <v>0</v>
      </c>
      <c r="I679" s="659">
        <f t="shared" si="189"/>
        <v>0</v>
      </c>
      <c r="J679" s="659">
        <f t="shared" si="189"/>
        <v>0</v>
      </c>
      <c r="K679" s="659">
        <f t="shared" si="189"/>
        <v>0</v>
      </c>
      <c r="L679" s="659">
        <f t="shared" si="189"/>
        <v>0</v>
      </c>
      <c r="M679" s="659">
        <f t="shared" si="189"/>
        <v>0</v>
      </c>
      <c r="N679" s="659">
        <f t="shared" si="189"/>
        <v>0</v>
      </c>
      <c r="O679" s="659">
        <f t="shared" si="189"/>
        <v>0</v>
      </c>
      <c r="P679" s="659">
        <f t="shared" si="189"/>
        <v>0</v>
      </c>
      <c r="Q679" s="660">
        <f t="shared" si="187"/>
        <v>0</v>
      </c>
    </row>
    <row r="680" spans="3:18" ht="18" hidden="1" customHeight="1">
      <c r="C680" s="665" t="s">
        <v>696</v>
      </c>
      <c r="D680" s="271"/>
      <c r="E680" s="307"/>
      <c r="F680" s="307"/>
      <c r="G680" s="307"/>
      <c r="H680" s="307"/>
      <c r="I680" s="307"/>
      <c r="J680" s="307"/>
      <c r="K680" s="307"/>
      <c r="L680" s="307"/>
      <c r="M680" s="307"/>
      <c r="N680" s="307"/>
      <c r="O680" s="307"/>
      <c r="P680" s="307"/>
      <c r="Q680" s="660">
        <f t="shared" si="187"/>
        <v>0</v>
      </c>
    </row>
    <row r="681" spans="3:18" ht="18" hidden="1" customHeight="1">
      <c r="C681" s="665" t="s">
        <v>697</v>
      </c>
      <c r="D681" s="271"/>
      <c r="E681" s="307"/>
      <c r="F681" s="307"/>
      <c r="G681" s="307"/>
      <c r="H681" s="307"/>
      <c r="I681" s="307"/>
      <c r="J681" s="307"/>
      <c r="K681" s="307"/>
      <c r="L681" s="307"/>
      <c r="M681" s="307"/>
      <c r="N681" s="307"/>
      <c r="O681" s="307"/>
      <c r="P681" s="307"/>
      <c r="Q681" s="660">
        <f t="shared" si="187"/>
        <v>0</v>
      </c>
    </row>
    <row r="682" spans="3:18" ht="18" hidden="1" customHeight="1">
      <c r="C682" s="665" t="s">
        <v>682</v>
      </c>
      <c r="D682" s="271"/>
      <c r="E682" s="307"/>
      <c r="F682" s="307"/>
      <c r="G682" s="307"/>
      <c r="H682" s="307"/>
      <c r="I682" s="307"/>
      <c r="J682" s="307"/>
      <c r="K682" s="307"/>
      <c r="L682" s="307"/>
      <c r="M682" s="307"/>
      <c r="N682" s="307"/>
      <c r="O682" s="307"/>
      <c r="P682" s="307"/>
      <c r="Q682" s="660">
        <f t="shared" si="187"/>
        <v>0</v>
      </c>
    </row>
    <row r="683" spans="3:18" ht="18" hidden="1" customHeight="1">
      <c r="C683" s="665" t="s">
        <v>683</v>
      </c>
      <c r="D683" s="271"/>
      <c r="E683" s="307"/>
      <c r="F683" s="307"/>
      <c r="G683" s="307"/>
      <c r="H683" s="307"/>
      <c r="I683" s="307"/>
      <c r="J683" s="307"/>
      <c r="K683" s="307"/>
      <c r="L683" s="307"/>
      <c r="M683" s="307"/>
      <c r="N683" s="307"/>
      <c r="O683" s="307"/>
      <c r="P683" s="307"/>
      <c r="Q683" s="660">
        <f t="shared" si="187"/>
        <v>0</v>
      </c>
    </row>
    <row r="684" spans="3:18" ht="18" hidden="1" customHeight="1">
      <c r="C684" s="665" t="s">
        <v>684</v>
      </c>
      <c r="D684" s="271"/>
      <c r="E684" s="307"/>
      <c r="F684" s="307"/>
      <c r="G684" s="307"/>
      <c r="H684" s="307"/>
      <c r="I684" s="307"/>
      <c r="J684" s="307"/>
      <c r="K684" s="307"/>
      <c r="L684" s="307"/>
      <c r="M684" s="307"/>
      <c r="N684" s="307"/>
      <c r="O684" s="307"/>
      <c r="P684" s="307"/>
      <c r="Q684" s="660">
        <f t="shared" si="187"/>
        <v>0</v>
      </c>
    </row>
    <row r="685" spans="3:18" ht="18" hidden="1" customHeight="1">
      <c r="C685" s="665" t="s">
        <v>685</v>
      </c>
      <c r="D685" s="271"/>
      <c r="E685" s="307"/>
      <c r="F685" s="307"/>
      <c r="G685" s="307"/>
      <c r="H685" s="307"/>
      <c r="I685" s="307"/>
      <c r="J685" s="307"/>
      <c r="K685" s="307"/>
      <c r="L685" s="307"/>
      <c r="M685" s="307"/>
      <c r="N685" s="307"/>
      <c r="O685" s="307"/>
      <c r="P685" s="307"/>
      <c r="Q685" s="660">
        <f t="shared" si="187"/>
        <v>0</v>
      </c>
    </row>
    <row r="686" spans="3:18" ht="18" hidden="1" customHeight="1">
      <c r="C686" s="703" t="s">
        <v>698</v>
      </c>
      <c r="D686" s="659"/>
      <c r="E686" s="659">
        <f t="shared" ref="E686:P686" si="190">SUM(E689:E693)</f>
        <v>0</v>
      </c>
      <c r="F686" s="659">
        <f t="shared" si="190"/>
        <v>0</v>
      </c>
      <c r="G686" s="659">
        <f t="shared" si="190"/>
        <v>0</v>
      </c>
      <c r="H686" s="659">
        <f t="shared" si="190"/>
        <v>0</v>
      </c>
      <c r="I686" s="659">
        <f t="shared" si="190"/>
        <v>0</v>
      </c>
      <c r="J686" s="659">
        <f t="shared" si="190"/>
        <v>0</v>
      </c>
      <c r="K686" s="659">
        <f t="shared" si="190"/>
        <v>0</v>
      </c>
      <c r="L686" s="659">
        <f t="shared" si="190"/>
        <v>0</v>
      </c>
      <c r="M686" s="659">
        <f t="shared" si="190"/>
        <v>0</v>
      </c>
      <c r="N686" s="659">
        <f t="shared" si="190"/>
        <v>0</v>
      </c>
      <c r="O686" s="659">
        <f t="shared" si="190"/>
        <v>0</v>
      </c>
      <c r="P686" s="659">
        <f t="shared" si="190"/>
        <v>0</v>
      </c>
      <c r="Q686" s="660">
        <f t="shared" si="187"/>
        <v>0</v>
      </c>
    </row>
    <row r="687" spans="3:18" ht="18" hidden="1" customHeight="1">
      <c r="C687" s="665" t="s">
        <v>699</v>
      </c>
      <c r="D687" s="659"/>
      <c r="E687" s="659"/>
      <c r="F687" s="659"/>
      <c r="G687" s="659"/>
      <c r="H687" s="659"/>
      <c r="I687" s="659"/>
      <c r="J687" s="659"/>
      <c r="K687" s="659"/>
      <c r="L687" s="659"/>
      <c r="M687" s="659"/>
      <c r="N687" s="659"/>
      <c r="O687" s="659"/>
      <c r="P687" s="659"/>
      <c r="Q687" s="660"/>
    </row>
    <row r="688" spans="3:18" ht="18" hidden="1" customHeight="1">
      <c r="C688" s="665" t="s">
        <v>914</v>
      </c>
      <c r="D688" s="271"/>
      <c r="E688" s="307"/>
      <c r="F688" s="307"/>
      <c r="G688" s="307"/>
      <c r="H688" s="307"/>
      <c r="I688" s="307"/>
      <c r="J688" s="307"/>
      <c r="K688" s="307"/>
      <c r="L688" s="307"/>
      <c r="M688" s="307"/>
      <c r="N688" s="307"/>
      <c r="O688" s="307"/>
      <c r="P688" s="307"/>
      <c r="Q688" s="660">
        <f t="shared" si="187"/>
        <v>0</v>
      </c>
    </row>
    <row r="689" spans="3:18" ht="18" hidden="1" customHeight="1">
      <c r="C689" s="665" t="s">
        <v>915</v>
      </c>
      <c r="D689" s="271"/>
      <c r="E689" s="307"/>
      <c r="F689" s="307"/>
      <c r="G689" s="307"/>
      <c r="H689" s="307"/>
      <c r="I689" s="307"/>
      <c r="J689" s="307"/>
      <c r="K689" s="307"/>
      <c r="L689" s="307"/>
      <c r="M689" s="307"/>
      <c r="N689" s="307"/>
      <c r="O689" s="307"/>
      <c r="P689" s="307"/>
      <c r="Q689" s="660">
        <f t="shared" si="187"/>
        <v>0</v>
      </c>
    </row>
    <row r="690" spans="3:18" ht="26.25" hidden="1" customHeight="1">
      <c r="C690" s="665" t="s">
        <v>916</v>
      </c>
      <c r="D690" s="271"/>
      <c r="E690" s="307"/>
      <c r="F690" s="307"/>
      <c r="G690" s="307"/>
      <c r="H690" s="307"/>
      <c r="I690" s="307"/>
      <c r="J690" s="307"/>
      <c r="K690" s="307"/>
      <c r="L690" s="307"/>
      <c r="M690" s="307"/>
      <c r="N690" s="307"/>
      <c r="O690" s="307"/>
      <c r="P690" s="307"/>
      <c r="Q690" s="660">
        <f t="shared" si="187"/>
        <v>0</v>
      </c>
    </row>
    <row r="691" spans="3:18" ht="18" hidden="1" customHeight="1">
      <c r="C691" s="665" t="s">
        <v>592</v>
      </c>
      <c r="D691" s="271"/>
      <c r="E691" s="307"/>
      <c r="F691" s="307"/>
      <c r="G691" s="307"/>
      <c r="H691" s="307"/>
      <c r="I691" s="307"/>
      <c r="J691" s="307"/>
      <c r="K691" s="307"/>
      <c r="L691" s="307"/>
      <c r="M691" s="307"/>
      <c r="N691" s="307"/>
      <c r="O691" s="307"/>
      <c r="P691" s="307"/>
      <c r="Q691" s="660">
        <f t="shared" si="187"/>
        <v>0</v>
      </c>
    </row>
    <row r="692" spans="3:18" ht="18" hidden="1" customHeight="1">
      <c r="C692" s="665" t="s">
        <v>702</v>
      </c>
      <c r="D692" s="271"/>
      <c r="E692" s="307"/>
      <c r="F692" s="307"/>
      <c r="G692" s="307"/>
      <c r="H692" s="307"/>
      <c r="I692" s="307"/>
      <c r="J692" s="307"/>
      <c r="K692" s="307"/>
      <c r="L692" s="307"/>
      <c r="M692" s="307"/>
      <c r="N692" s="307"/>
      <c r="O692" s="307"/>
      <c r="P692" s="307"/>
      <c r="Q692" s="660">
        <f t="shared" si="187"/>
        <v>0</v>
      </c>
    </row>
    <row r="693" spans="3:18" ht="18" hidden="1" customHeight="1">
      <c r="C693" s="665" t="s">
        <v>703</v>
      </c>
      <c r="D693" s="271"/>
      <c r="E693" s="307"/>
      <c r="F693" s="307"/>
      <c r="G693" s="307"/>
      <c r="H693" s="307"/>
      <c r="I693" s="307"/>
      <c r="J693" s="307"/>
      <c r="K693" s="307"/>
      <c r="L693" s="307"/>
      <c r="M693" s="307"/>
      <c r="N693" s="307"/>
      <c r="O693" s="307"/>
      <c r="P693" s="307"/>
      <c r="Q693" s="660">
        <f t="shared" si="187"/>
        <v>0</v>
      </c>
    </row>
    <row r="694" spans="3:18" ht="18" hidden="1" customHeight="1">
      <c r="C694" s="703" t="s">
        <v>714</v>
      </c>
      <c r="D694" s="659"/>
      <c r="E694" s="659">
        <f>SUM(E695:E698)</f>
        <v>0</v>
      </c>
      <c r="F694" s="659">
        <f t="shared" ref="F694:P694" si="191">SUM(F695:F698)</f>
        <v>0</v>
      </c>
      <c r="G694" s="659">
        <f t="shared" si="191"/>
        <v>0</v>
      </c>
      <c r="H694" s="659">
        <f t="shared" si="191"/>
        <v>0</v>
      </c>
      <c r="I694" s="659">
        <f t="shared" si="191"/>
        <v>0</v>
      </c>
      <c r="J694" s="659">
        <f t="shared" si="191"/>
        <v>0</v>
      </c>
      <c r="K694" s="659">
        <f t="shared" si="191"/>
        <v>0</v>
      </c>
      <c r="L694" s="659">
        <f t="shared" si="191"/>
        <v>0</v>
      </c>
      <c r="M694" s="659">
        <f t="shared" si="191"/>
        <v>0</v>
      </c>
      <c r="N694" s="659">
        <f t="shared" si="191"/>
        <v>0</v>
      </c>
      <c r="O694" s="659">
        <f t="shared" si="191"/>
        <v>0</v>
      </c>
      <c r="P694" s="659">
        <f t="shared" si="191"/>
        <v>0</v>
      </c>
      <c r="Q694" s="660">
        <f t="shared" si="187"/>
        <v>0</v>
      </c>
    </row>
    <row r="695" spans="3:18" ht="33" hidden="1" customHeight="1">
      <c r="C695" s="665" t="s">
        <v>708</v>
      </c>
      <c r="D695" s="271"/>
      <c r="E695" s="307"/>
      <c r="F695" s="307"/>
      <c r="G695" s="307"/>
      <c r="H695" s="307"/>
      <c r="I695" s="307"/>
      <c r="J695" s="307"/>
      <c r="K695" s="307"/>
      <c r="L695" s="307"/>
      <c r="M695" s="307"/>
      <c r="N695" s="307"/>
      <c r="O695" s="307"/>
      <c r="P695" s="307"/>
      <c r="Q695" s="660">
        <f t="shared" si="187"/>
        <v>0</v>
      </c>
    </row>
    <row r="696" spans="3:18" ht="18" hidden="1" customHeight="1">
      <c r="C696" s="665" t="s">
        <v>687</v>
      </c>
      <c r="D696" s="271"/>
      <c r="E696" s="307"/>
      <c r="F696" s="307"/>
      <c r="G696" s="307"/>
      <c r="H696" s="307"/>
      <c r="I696" s="307"/>
      <c r="J696" s="307"/>
      <c r="K696" s="307"/>
      <c r="L696" s="307"/>
      <c r="M696" s="307"/>
      <c r="N696" s="307"/>
      <c r="O696" s="307"/>
      <c r="P696" s="307"/>
      <c r="Q696" s="660">
        <f t="shared" si="187"/>
        <v>0</v>
      </c>
    </row>
    <row r="697" spans="3:18" ht="18" hidden="1" customHeight="1">
      <c r="C697" s="665" t="s">
        <v>688</v>
      </c>
      <c r="D697" s="271"/>
      <c r="E697" s="307"/>
      <c r="F697" s="307"/>
      <c r="G697" s="307"/>
      <c r="H697" s="307"/>
      <c r="I697" s="307"/>
      <c r="J697" s="307"/>
      <c r="K697" s="307"/>
      <c r="L697" s="307"/>
      <c r="M697" s="307"/>
      <c r="N697" s="307"/>
      <c r="O697" s="307"/>
      <c r="P697" s="307"/>
      <c r="Q697" s="660">
        <f t="shared" si="187"/>
        <v>0</v>
      </c>
    </row>
    <row r="698" spans="3:18" ht="18" hidden="1" customHeight="1">
      <c r="C698" s="665" t="s">
        <v>704</v>
      </c>
      <c r="D698" s="271"/>
      <c r="E698" s="307"/>
      <c r="F698" s="307"/>
      <c r="G698" s="307"/>
      <c r="H698" s="307"/>
      <c r="I698" s="307"/>
      <c r="J698" s="307"/>
      <c r="K698" s="307"/>
      <c r="L698" s="307"/>
      <c r="M698" s="307"/>
      <c r="N698" s="307"/>
      <c r="O698" s="307"/>
      <c r="P698" s="307"/>
      <c r="Q698" s="660">
        <f t="shared" si="187"/>
        <v>0</v>
      </c>
    </row>
    <row r="699" spans="3:18" ht="18" hidden="1" customHeight="1">
      <c r="C699" s="703" t="s">
        <v>715</v>
      </c>
      <c r="D699" s="659"/>
      <c r="E699" s="659">
        <f>E700+E701</f>
        <v>0</v>
      </c>
      <c r="F699" s="659">
        <f t="shared" ref="F699:P699" si="192">F700+F701</f>
        <v>0</v>
      </c>
      <c r="G699" s="659">
        <f t="shared" si="192"/>
        <v>0</v>
      </c>
      <c r="H699" s="659">
        <f t="shared" si="192"/>
        <v>0</v>
      </c>
      <c r="I699" s="659">
        <f t="shared" si="192"/>
        <v>0</v>
      </c>
      <c r="J699" s="659">
        <f t="shared" si="192"/>
        <v>0</v>
      </c>
      <c r="K699" s="659">
        <f t="shared" si="192"/>
        <v>0</v>
      </c>
      <c r="L699" s="659">
        <f t="shared" si="192"/>
        <v>0</v>
      </c>
      <c r="M699" s="659">
        <f t="shared" si="192"/>
        <v>0</v>
      </c>
      <c r="N699" s="659">
        <f t="shared" si="192"/>
        <v>0</v>
      </c>
      <c r="O699" s="659">
        <f t="shared" si="192"/>
        <v>0</v>
      </c>
      <c r="P699" s="659">
        <f t="shared" si="192"/>
        <v>0</v>
      </c>
      <c r="Q699" s="660">
        <f t="shared" si="187"/>
        <v>0</v>
      </c>
    </row>
    <row r="700" spans="3:18" ht="18" hidden="1" customHeight="1">
      <c r="C700" s="665" t="s">
        <v>692</v>
      </c>
      <c r="D700" s="271"/>
      <c r="E700" s="307"/>
      <c r="F700" s="307"/>
      <c r="G700" s="307"/>
      <c r="H700" s="307"/>
      <c r="I700" s="307"/>
      <c r="J700" s="307"/>
      <c r="K700" s="307"/>
      <c r="L700" s="307"/>
      <c r="M700" s="307"/>
      <c r="N700" s="307"/>
      <c r="O700" s="307"/>
      <c r="P700" s="307"/>
      <c r="Q700" s="660">
        <f t="shared" si="187"/>
        <v>0</v>
      </c>
    </row>
    <row r="701" spans="3:18" ht="18" hidden="1" customHeight="1">
      <c r="C701" s="665" t="s">
        <v>707</v>
      </c>
      <c r="D701" s="271"/>
      <c r="E701" s="307"/>
      <c r="F701" s="307"/>
      <c r="G701" s="307"/>
      <c r="H701" s="307"/>
      <c r="I701" s="307"/>
      <c r="J701" s="307"/>
      <c r="K701" s="307"/>
      <c r="L701" s="307"/>
      <c r="M701" s="307"/>
      <c r="N701" s="307"/>
      <c r="O701" s="307"/>
      <c r="P701" s="307"/>
      <c r="Q701" s="660">
        <f t="shared" si="187"/>
        <v>0</v>
      </c>
    </row>
    <row r="702" spans="3:18" s="705" customFormat="1" ht="18" hidden="1" customHeight="1">
      <c r="C702" s="662" t="s">
        <v>903</v>
      </c>
      <c r="D702" s="706"/>
      <c r="E702" s="663">
        <f t="shared" ref="E702:P702" si="193">E703+E705+E712+E720+E725</f>
        <v>0</v>
      </c>
      <c r="F702" s="663">
        <f t="shared" si="193"/>
        <v>0</v>
      </c>
      <c r="G702" s="663">
        <f t="shared" si="193"/>
        <v>0</v>
      </c>
      <c r="H702" s="663">
        <f t="shared" si="193"/>
        <v>0</v>
      </c>
      <c r="I702" s="663">
        <f t="shared" si="193"/>
        <v>0</v>
      </c>
      <c r="J702" s="663">
        <f t="shared" si="193"/>
        <v>0</v>
      </c>
      <c r="K702" s="663">
        <f t="shared" si="193"/>
        <v>0</v>
      </c>
      <c r="L702" s="663">
        <f t="shared" si="193"/>
        <v>0</v>
      </c>
      <c r="M702" s="663">
        <f t="shared" si="193"/>
        <v>0</v>
      </c>
      <c r="N702" s="663">
        <f t="shared" si="193"/>
        <v>0</v>
      </c>
      <c r="O702" s="663">
        <f t="shared" si="193"/>
        <v>0</v>
      </c>
      <c r="P702" s="663">
        <f t="shared" si="193"/>
        <v>0</v>
      </c>
      <c r="Q702" s="707">
        <f t="shared" ref="Q702:Q727" si="194">SUM(E702:P702)</f>
        <v>0</v>
      </c>
      <c r="R702" s="704"/>
    </row>
    <row r="703" spans="3:18" ht="18" hidden="1" customHeight="1">
      <c r="C703" s="703" t="s">
        <v>712</v>
      </c>
      <c r="D703" s="659"/>
      <c r="E703" s="659">
        <f>E704</f>
        <v>0</v>
      </c>
      <c r="F703" s="659">
        <f t="shared" ref="F703:P703" si="195">F704</f>
        <v>0</v>
      </c>
      <c r="G703" s="659">
        <f t="shared" si="195"/>
        <v>0</v>
      </c>
      <c r="H703" s="659">
        <f t="shared" si="195"/>
        <v>0</v>
      </c>
      <c r="I703" s="659">
        <f t="shared" si="195"/>
        <v>0</v>
      </c>
      <c r="J703" s="659">
        <f t="shared" si="195"/>
        <v>0</v>
      </c>
      <c r="K703" s="659">
        <f t="shared" si="195"/>
        <v>0</v>
      </c>
      <c r="L703" s="659">
        <f t="shared" si="195"/>
        <v>0</v>
      </c>
      <c r="M703" s="659">
        <f t="shared" si="195"/>
        <v>0</v>
      </c>
      <c r="N703" s="659">
        <f t="shared" si="195"/>
        <v>0</v>
      </c>
      <c r="O703" s="659">
        <f t="shared" si="195"/>
        <v>0</v>
      </c>
      <c r="P703" s="659">
        <f t="shared" si="195"/>
        <v>0</v>
      </c>
      <c r="Q703" s="660">
        <f t="shared" si="194"/>
        <v>0</v>
      </c>
    </row>
    <row r="704" spans="3:18" ht="18" hidden="1" customHeight="1">
      <c r="C704" s="665" t="s">
        <v>720</v>
      </c>
      <c r="D704" s="271"/>
      <c r="E704" s="307"/>
      <c r="F704" s="307"/>
      <c r="G704" s="307"/>
      <c r="H704" s="307"/>
      <c r="I704" s="307"/>
      <c r="J704" s="307"/>
      <c r="K704" s="307"/>
      <c r="L704" s="307"/>
      <c r="M704" s="307"/>
      <c r="N704" s="307"/>
      <c r="O704" s="307"/>
      <c r="P704" s="307"/>
      <c r="Q704" s="660">
        <f t="shared" si="194"/>
        <v>0</v>
      </c>
    </row>
    <row r="705" spans="3:17" ht="18" hidden="1" customHeight="1">
      <c r="C705" s="703" t="s">
        <v>695</v>
      </c>
      <c r="D705" s="659"/>
      <c r="E705" s="659">
        <f>SUM(E706:E711)</f>
        <v>0</v>
      </c>
      <c r="F705" s="659">
        <f t="shared" ref="F705:P705" si="196">SUM(F706:F711)</f>
        <v>0</v>
      </c>
      <c r="G705" s="659">
        <f t="shared" si="196"/>
        <v>0</v>
      </c>
      <c r="H705" s="659">
        <f t="shared" si="196"/>
        <v>0</v>
      </c>
      <c r="I705" s="659">
        <f t="shared" si="196"/>
        <v>0</v>
      </c>
      <c r="J705" s="659">
        <f t="shared" si="196"/>
        <v>0</v>
      </c>
      <c r="K705" s="659">
        <f t="shared" si="196"/>
        <v>0</v>
      </c>
      <c r="L705" s="659">
        <f t="shared" si="196"/>
        <v>0</v>
      </c>
      <c r="M705" s="659">
        <f t="shared" si="196"/>
        <v>0</v>
      </c>
      <c r="N705" s="659">
        <f t="shared" si="196"/>
        <v>0</v>
      </c>
      <c r="O705" s="659">
        <f t="shared" si="196"/>
        <v>0</v>
      </c>
      <c r="P705" s="659">
        <f t="shared" si="196"/>
        <v>0</v>
      </c>
      <c r="Q705" s="660">
        <f t="shared" si="194"/>
        <v>0</v>
      </c>
    </row>
    <row r="706" spans="3:17" ht="16.5" hidden="1" customHeight="1">
      <c r="C706" s="665" t="s">
        <v>696</v>
      </c>
      <c r="D706" s="271"/>
      <c r="E706" s="307"/>
      <c r="F706" s="307"/>
      <c r="G706" s="307"/>
      <c r="H706" s="307"/>
      <c r="I706" s="307"/>
      <c r="J706" s="307"/>
      <c r="K706" s="307"/>
      <c r="L706" s="307"/>
      <c r="M706" s="307"/>
      <c r="N706" s="307"/>
      <c r="O706" s="307"/>
      <c r="P706" s="307"/>
      <c r="Q706" s="660">
        <f t="shared" si="194"/>
        <v>0</v>
      </c>
    </row>
    <row r="707" spans="3:17" ht="16.5" hidden="1" customHeight="1">
      <c r="C707" s="665" t="s">
        <v>697</v>
      </c>
      <c r="D707" s="271"/>
      <c r="E707" s="307"/>
      <c r="F707" s="307"/>
      <c r="G707" s="307"/>
      <c r="H707" s="307"/>
      <c r="I707" s="307"/>
      <c r="J707" s="307"/>
      <c r="K707" s="307"/>
      <c r="L707" s="307"/>
      <c r="M707" s="307"/>
      <c r="N707" s="307"/>
      <c r="O707" s="307"/>
      <c r="P707" s="307"/>
      <c r="Q707" s="660">
        <f t="shared" si="194"/>
        <v>0</v>
      </c>
    </row>
    <row r="708" spans="3:17" ht="16.5" hidden="1" customHeight="1">
      <c r="C708" s="665" t="s">
        <v>682</v>
      </c>
      <c r="D708" s="271"/>
      <c r="E708" s="307"/>
      <c r="F708" s="307"/>
      <c r="G708" s="307"/>
      <c r="H708" s="307"/>
      <c r="I708" s="307"/>
      <c r="J708" s="307"/>
      <c r="K708" s="307"/>
      <c r="L708" s="307"/>
      <c r="M708" s="307"/>
      <c r="N708" s="307"/>
      <c r="O708" s="307"/>
      <c r="P708" s="307"/>
      <c r="Q708" s="660">
        <f t="shared" si="194"/>
        <v>0</v>
      </c>
    </row>
    <row r="709" spans="3:17" ht="16.5" hidden="1" customHeight="1">
      <c r="C709" s="665" t="s">
        <v>683</v>
      </c>
      <c r="D709" s="271"/>
      <c r="E709" s="307"/>
      <c r="F709" s="307"/>
      <c r="G709" s="307"/>
      <c r="H709" s="307"/>
      <c r="I709" s="307"/>
      <c r="J709" s="307"/>
      <c r="K709" s="307"/>
      <c r="L709" s="307"/>
      <c r="M709" s="307"/>
      <c r="N709" s="307"/>
      <c r="O709" s="307"/>
      <c r="P709" s="307"/>
      <c r="Q709" s="660">
        <f t="shared" si="194"/>
        <v>0</v>
      </c>
    </row>
    <row r="710" spans="3:17" ht="16.5" hidden="1" customHeight="1">
      <c r="C710" s="665" t="s">
        <v>684</v>
      </c>
      <c r="D710" s="271"/>
      <c r="E710" s="307"/>
      <c r="F710" s="307"/>
      <c r="G710" s="307"/>
      <c r="H710" s="307"/>
      <c r="I710" s="307"/>
      <c r="J710" s="307"/>
      <c r="K710" s="307"/>
      <c r="L710" s="307"/>
      <c r="M710" s="307"/>
      <c r="N710" s="307"/>
      <c r="O710" s="307"/>
      <c r="P710" s="307"/>
      <c r="Q710" s="660">
        <f t="shared" si="194"/>
        <v>0</v>
      </c>
    </row>
    <row r="711" spans="3:17" ht="16.5" hidden="1" customHeight="1">
      <c r="C711" s="665" t="s">
        <v>685</v>
      </c>
      <c r="D711" s="271"/>
      <c r="E711" s="307"/>
      <c r="F711" s="307"/>
      <c r="G711" s="307"/>
      <c r="H711" s="307"/>
      <c r="I711" s="307"/>
      <c r="J711" s="307"/>
      <c r="K711" s="307"/>
      <c r="L711" s="307"/>
      <c r="M711" s="307"/>
      <c r="N711" s="307"/>
      <c r="O711" s="307"/>
      <c r="P711" s="307"/>
      <c r="Q711" s="660">
        <f t="shared" si="194"/>
        <v>0</v>
      </c>
    </row>
    <row r="712" spans="3:17" ht="18" hidden="1" customHeight="1">
      <c r="C712" s="703" t="s">
        <v>698</v>
      </c>
      <c r="D712" s="659"/>
      <c r="E712" s="659">
        <f t="shared" ref="E712:P712" si="197">SUM(E715:E719)</f>
        <v>0</v>
      </c>
      <c r="F712" s="659">
        <f t="shared" si="197"/>
        <v>0</v>
      </c>
      <c r="G712" s="659">
        <f t="shared" si="197"/>
        <v>0</v>
      </c>
      <c r="H712" s="659">
        <f t="shared" si="197"/>
        <v>0</v>
      </c>
      <c r="I712" s="659">
        <f t="shared" si="197"/>
        <v>0</v>
      </c>
      <c r="J712" s="659">
        <f t="shared" si="197"/>
        <v>0</v>
      </c>
      <c r="K712" s="659">
        <f t="shared" si="197"/>
        <v>0</v>
      </c>
      <c r="L712" s="659">
        <f t="shared" si="197"/>
        <v>0</v>
      </c>
      <c r="M712" s="659">
        <f t="shared" si="197"/>
        <v>0</v>
      </c>
      <c r="N712" s="659">
        <f t="shared" si="197"/>
        <v>0</v>
      </c>
      <c r="O712" s="659">
        <f t="shared" si="197"/>
        <v>0</v>
      </c>
      <c r="P712" s="659">
        <f t="shared" si="197"/>
        <v>0</v>
      </c>
      <c r="Q712" s="660">
        <f t="shared" si="194"/>
        <v>0</v>
      </c>
    </row>
    <row r="713" spans="3:17" ht="18" hidden="1" customHeight="1">
      <c r="C713" s="665" t="s">
        <v>699</v>
      </c>
      <c r="D713" s="659"/>
      <c r="E713" s="659"/>
      <c r="F713" s="659"/>
      <c r="G713" s="659"/>
      <c r="H713" s="659"/>
      <c r="I713" s="659"/>
      <c r="J713" s="659"/>
      <c r="K713" s="659"/>
      <c r="L713" s="659"/>
      <c r="M713" s="659"/>
      <c r="N713" s="659"/>
      <c r="O713" s="659"/>
      <c r="P713" s="659"/>
      <c r="Q713" s="660"/>
    </row>
    <row r="714" spans="3:17" ht="18" hidden="1" customHeight="1">
      <c r="C714" s="665" t="s">
        <v>914</v>
      </c>
      <c r="D714" s="271"/>
      <c r="E714" s="307"/>
      <c r="F714" s="307"/>
      <c r="G714" s="307"/>
      <c r="H714" s="307"/>
      <c r="I714" s="307"/>
      <c r="J714" s="307"/>
      <c r="K714" s="307"/>
      <c r="L714" s="307"/>
      <c r="M714" s="307"/>
      <c r="N714" s="307"/>
      <c r="O714" s="307"/>
      <c r="P714" s="307"/>
      <c r="Q714" s="660"/>
    </row>
    <row r="715" spans="3:17" ht="18" hidden="1" customHeight="1">
      <c r="C715" s="665" t="s">
        <v>915</v>
      </c>
      <c r="D715" s="271"/>
      <c r="E715" s="307"/>
      <c r="F715" s="307"/>
      <c r="G715" s="307"/>
      <c r="H715" s="307"/>
      <c r="I715" s="307"/>
      <c r="J715" s="307"/>
      <c r="K715" s="307"/>
      <c r="L715" s="307"/>
      <c r="M715" s="307"/>
      <c r="N715" s="307"/>
      <c r="O715" s="307"/>
      <c r="P715" s="307"/>
      <c r="Q715" s="660">
        <f t="shared" si="194"/>
        <v>0</v>
      </c>
    </row>
    <row r="716" spans="3:17" ht="18" hidden="1" customHeight="1">
      <c r="C716" s="665" t="s">
        <v>916</v>
      </c>
      <c r="D716" s="271"/>
      <c r="E716" s="307"/>
      <c r="F716" s="307"/>
      <c r="G716" s="307"/>
      <c r="H716" s="307"/>
      <c r="I716" s="307"/>
      <c r="J716" s="307"/>
      <c r="K716" s="307"/>
      <c r="L716" s="307"/>
      <c r="M716" s="307"/>
      <c r="N716" s="307"/>
      <c r="O716" s="307"/>
      <c r="P716" s="307"/>
      <c r="Q716" s="660">
        <f t="shared" si="194"/>
        <v>0</v>
      </c>
    </row>
    <row r="717" spans="3:17" ht="18" hidden="1" customHeight="1">
      <c r="C717" s="665" t="s">
        <v>592</v>
      </c>
      <c r="D717" s="271"/>
      <c r="E717" s="307"/>
      <c r="F717" s="307"/>
      <c r="G717" s="307"/>
      <c r="H717" s="307"/>
      <c r="I717" s="307"/>
      <c r="J717" s="307"/>
      <c r="K717" s="307"/>
      <c r="L717" s="307"/>
      <c r="M717" s="307"/>
      <c r="N717" s="307"/>
      <c r="O717" s="307"/>
      <c r="P717" s="307"/>
      <c r="Q717" s="660">
        <f t="shared" si="194"/>
        <v>0</v>
      </c>
    </row>
    <row r="718" spans="3:17" ht="18" hidden="1" customHeight="1">
      <c r="C718" s="665" t="s">
        <v>702</v>
      </c>
      <c r="D718" s="271"/>
      <c r="E718" s="307"/>
      <c r="F718" s="307"/>
      <c r="G718" s="307"/>
      <c r="H718" s="307"/>
      <c r="I718" s="307"/>
      <c r="J718" s="307"/>
      <c r="K718" s="307"/>
      <c r="L718" s="307"/>
      <c r="M718" s="307"/>
      <c r="N718" s="307"/>
      <c r="O718" s="307"/>
      <c r="P718" s="307"/>
      <c r="Q718" s="660">
        <f t="shared" si="194"/>
        <v>0</v>
      </c>
    </row>
    <row r="719" spans="3:17" ht="18" hidden="1" customHeight="1">
      <c r="C719" s="665" t="s">
        <v>703</v>
      </c>
      <c r="D719" s="271"/>
      <c r="E719" s="307"/>
      <c r="F719" s="307"/>
      <c r="G719" s="307"/>
      <c r="H719" s="307"/>
      <c r="I719" s="307"/>
      <c r="J719" s="307"/>
      <c r="K719" s="307"/>
      <c r="L719" s="307"/>
      <c r="M719" s="307"/>
      <c r="N719" s="307"/>
      <c r="O719" s="307"/>
      <c r="P719" s="307"/>
      <c r="Q719" s="660">
        <f t="shared" si="194"/>
        <v>0</v>
      </c>
    </row>
    <row r="720" spans="3:17" ht="18" hidden="1" customHeight="1">
      <c r="C720" s="703" t="s">
        <v>714</v>
      </c>
      <c r="D720" s="659"/>
      <c r="E720" s="659">
        <f>SUM(E721:E724)</f>
        <v>0</v>
      </c>
      <c r="F720" s="659">
        <f t="shared" ref="F720:P720" si="198">SUM(F721:F724)</f>
        <v>0</v>
      </c>
      <c r="G720" s="659">
        <f t="shared" si="198"/>
        <v>0</v>
      </c>
      <c r="H720" s="659">
        <f t="shared" si="198"/>
        <v>0</v>
      </c>
      <c r="I720" s="659">
        <f t="shared" si="198"/>
        <v>0</v>
      </c>
      <c r="J720" s="659">
        <f t="shared" si="198"/>
        <v>0</v>
      </c>
      <c r="K720" s="659">
        <f t="shared" si="198"/>
        <v>0</v>
      </c>
      <c r="L720" s="659">
        <f t="shared" si="198"/>
        <v>0</v>
      </c>
      <c r="M720" s="659">
        <f t="shared" si="198"/>
        <v>0</v>
      </c>
      <c r="N720" s="659">
        <f t="shared" si="198"/>
        <v>0</v>
      </c>
      <c r="O720" s="659">
        <f t="shared" si="198"/>
        <v>0</v>
      </c>
      <c r="P720" s="659">
        <f t="shared" si="198"/>
        <v>0</v>
      </c>
      <c r="Q720" s="660">
        <f t="shared" si="194"/>
        <v>0</v>
      </c>
    </row>
    <row r="721" spans="3:17" ht="33" hidden="1" customHeight="1">
      <c r="C721" s="665" t="s">
        <v>708</v>
      </c>
      <c r="D721" s="271"/>
      <c r="E721" s="307"/>
      <c r="F721" s="307"/>
      <c r="G721" s="307"/>
      <c r="H721" s="307"/>
      <c r="I721" s="307"/>
      <c r="J721" s="307"/>
      <c r="K721" s="307"/>
      <c r="L721" s="307"/>
      <c r="M721" s="307"/>
      <c r="N721" s="307"/>
      <c r="O721" s="307"/>
      <c r="P721" s="307"/>
      <c r="Q721" s="660">
        <f t="shared" si="194"/>
        <v>0</v>
      </c>
    </row>
    <row r="722" spans="3:17" ht="16.5" hidden="1" customHeight="1">
      <c r="C722" s="665" t="s">
        <v>687</v>
      </c>
      <c r="D722" s="271"/>
      <c r="E722" s="307"/>
      <c r="F722" s="307"/>
      <c r="G722" s="307"/>
      <c r="H722" s="307"/>
      <c r="I722" s="307"/>
      <c r="J722" s="307"/>
      <c r="K722" s="307"/>
      <c r="L722" s="307"/>
      <c r="M722" s="307"/>
      <c r="N722" s="307"/>
      <c r="O722" s="307"/>
      <c r="P722" s="307"/>
      <c r="Q722" s="660">
        <f t="shared" si="194"/>
        <v>0</v>
      </c>
    </row>
    <row r="723" spans="3:17" ht="16.5" hidden="1" customHeight="1">
      <c r="C723" s="665" t="s">
        <v>688</v>
      </c>
      <c r="D723" s="271"/>
      <c r="E723" s="307"/>
      <c r="F723" s="307"/>
      <c r="G723" s="307"/>
      <c r="H723" s="307"/>
      <c r="I723" s="307"/>
      <c r="J723" s="307"/>
      <c r="K723" s="307"/>
      <c r="L723" s="307"/>
      <c r="M723" s="307"/>
      <c r="N723" s="307"/>
      <c r="O723" s="307"/>
      <c r="P723" s="307"/>
      <c r="Q723" s="660">
        <f t="shared" si="194"/>
        <v>0</v>
      </c>
    </row>
    <row r="724" spans="3:17" ht="16.5" hidden="1" customHeight="1">
      <c r="C724" s="665" t="s">
        <v>704</v>
      </c>
      <c r="D724" s="271"/>
      <c r="E724" s="307"/>
      <c r="F724" s="307"/>
      <c r="G724" s="307"/>
      <c r="H724" s="307"/>
      <c r="I724" s="307"/>
      <c r="J724" s="307"/>
      <c r="K724" s="307"/>
      <c r="L724" s="307"/>
      <c r="M724" s="307"/>
      <c r="N724" s="307"/>
      <c r="O724" s="307"/>
      <c r="P724" s="307"/>
      <c r="Q724" s="660">
        <f t="shared" si="194"/>
        <v>0</v>
      </c>
    </row>
    <row r="725" spans="3:17" ht="18" hidden="1" customHeight="1">
      <c r="C725" s="703" t="s">
        <v>715</v>
      </c>
      <c r="D725" s="659"/>
      <c r="E725" s="659">
        <f>E726+E727</f>
        <v>0</v>
      </c>
      <c r="F725" s="659">
        <f t="shared" ref="F725:P725" si="199">F726+F727</f>
        <v>0</v>
      </c>
      <c r="G725" s="659">
        <f t="shared" si="199"/>
        <v>0</v>
      </c>
      <c r="H725" s="659">
        <f t="shared" si="199"/>
        <v>0</v>
      </c>
      <c r="I725" s="659">
        <f t="shared" si="199"/>
        <v>0</v>
      </c>
      <c r="J725" s="659">
        <f t="shared" si="199"/>
        <v>0</v>
      </c>
      <c r="K725" s="659">
        <f t="shared" si="199"/>
        <v>0</v>
      </c>
      <c r="L725" s="659">
        <f t="shared" si="199"/>
        <v>0</v>
      </c>
      <c r="M725" s="659">
        <f t="shared" si="199"/>
        <v>0</v>
      </c>
      <c r="N725" s="659">
        <f t="shared" si="199"/>
        <v>0</v>
      </c>
      <c r="O725" s="659">
        <f t="shared" si="199"/>
        <v>0</v>
      </c>
      <c r="P725" s="659">
        <f t="shared" si="199"/>
        <v>0</v>
      </c>
      <c r="Q725" s="660">
        <f t="shared" si="194"/>
        <v>0</v>
      </c>
    </row>
    <row r="726" spans="3:17" ht="17.25" hidden="1" customHeight="1">
      <c r="C726" s="665" t="s">
        <v>692</v>
      </c>
      <c r="D726" s="271"/>
      <c r="E726" s="307"/>
      <c r="F726" s="307"/>
      <c r="G726" s="307"/>
      <c r="H726" s="307"/>
      <c r="I726" s="307"/>
      <c r="J726" s="307"/>
      <c r="K726" s="307"/>
      <c r="L726" s="307"/>
      <c r="M726" s="307"/>
      <c r="N726" s="307"/>
      <c r="O726" s="307"/>
      <c r="P726" s="307"/>
      <c r="Q726" s="660">
        <f t="shared" si="194"/>
        <v>0</v>
      </c>
    </row>
    <row r="727" spans="3:17" ht="17.25" hidden="1" customHeight="1">
      <c r="C727" s="665" t="s">
        <v>707</v>
      </c>
      <c r="D727" s="271"/>
      <c r="E727" s="307"/>
      <c r="F727" s="307"/>
      <c r="G727" s="307"/>
      <c r="H727" s="307"/>
      <c r="I727" s="307"/>
      <c r="J727" s="307"/>
      <c r="K727" s="307"/>
      <c r="L727" s="307"/>
      <c r="M727" s="307"/>
      <c r="N727" s="307"/>
      <c r="O727" s="307"/>
      <c r="P727" s="307"/>
      <c r="Q727" s="660">
        <f t="shared" si="194"/>
        <v>0</v>
      </c>
    </row>
    <row r="728" spans="3:17" ht="18" hidden="1" customHeight="1">
      <c r="C728" s="393" t="s">
        <v>643</v>
      </c>
      <c r="D728" s="271"/>
      <c r="E728" s="528">
        <f t="shared" ref="E728:P728" si="200">E623+E650+E676+E702</f>
        <v>0</v>
      </c>
      <c r="F728" s="528">
        <f t="shared" si="200"/>
        <v>0</v>
      </c>
      <c r="G728" s="528">
        <f t="shared" si="200"/>
        <v>0</v>
      </c>
      <c r="H728" s="528">
        <f t="shared" si="200"/>
        <v>0</v>
      </c>
      <c r="I728" s="528">
        <f t="shared" si="200"/>
        <v>0</v>
      </c>
      <c r="J728" s="528">
        <f t="shared" si="200"/>
        <v>0</v>
      </c>
      <c r="K728" s="528">
        <f t="shared" si="200"/>
        <v>0</v>
      </c>
      <c r="L728" s="528">
        <f t="shared" si="200"/>
        <v>0</v>
      </c>
      <c r="M728" s="528">
        <f t="shared" si="200"/>
        <v>0</v>
      </c>
      <c r="N728" s="528">
        <f t="shared" si="200"/>
        <v>0</v>
      </c>
      <c r="O728" s="528">
        <f t="shared" si="200"/>
        <v>0</v>
      </c>
      <c r="P728" s="528">
        <f t="shared" si="200"/>
        <v>0</v>
      </c>
      <c r="Q728" s="529">
        <f>SUM(E728:P728)</f>
        <v>0</v>
      </c>
    </row>
    <row r="729" spans="3:17" ht="18" hidden="1" customHeight="1" thickBot="1">
      <c r="C729" s="669" t="s">
        <v>644</v>
      </c>
      <c r="D729" s="531"/>
      <c r="E729" s="280">
        <f t="shared" ref="E729:P729" si="201">E620+E728</f>
        <v>0</v>
      </c>
      <c r="F729" s="280">
        <f t="shared" si="201"/>
        <v>0</v>
      </c>
      <c r="G729" s="280">
        <f t="shared" si="201"/>
        <v>0</v>
      </c>
      <c r="H729" s="280">
        <f t="shared" si="201"/>
        <v>0</v>
      </c>
      <c r="I729" s="280">
        <f t="shared" si="201"/>
        <v>0</v>
      </c>
      <c r="J729" s="280">
        <f t="shared" si="201"/>
        <v>0</v>
      </c>
      <c r="K729" s="280">
        <f t="shared" si="201"/>
        <v>0</v>
      </c>
      <c r="L729" s="280">
        <f t="shared" si="201"/>
        <v>0</v>
      </c>
      <c r="M729" s="280">
        <f t="shared" si="201"/>
        <v>0</v>
      </c>
      <c r="N729" s="280">
        <f t="shared" si="201"/>
        <v>0</v>
      </c>
      <c r="O729" s="280">
        <f t="shared" si="201"/>
        <v>0</v>
      </c>
      <c r="P729" s="280">
        <f t="shared" si="201"/>
        <v>0</v>
      </c>
      <c r="Q729" s="281">
        <f t="shared" si="187"/>
        <v>0</v>
      </c>
    </row>
    <row r="730" spans="3:17" hidden="1"/>
    <row r="731" spans="3:17" ht="13.5" hidden="1" thickBot="1">
      <c r="C731" s="699" t="str">
        <f>Notes!C10</f>
        <v>FY 2028-29</v>
      </c>
      <c r="D731" s="700"/>
      <c r="E731" s="701"/>
      <c r="F731" s="701"/>
      <c r="G731" s="701"/>
      <c r="H731" s="701"/>
      <c r="I731" s="701"/>
      <c r="J731" s="701"/>
      <c r="K731" s="701"/>
      <c r="L731" s="701"/>
      <c r="M731" s="701"/>
      <c r="N731" s="701"/>
      <c r="O731" s="701"/>
      <c r="P731" s="701"/>
      <c r="Q731" s="702"/>
    </row>
    <row r="732" spans="3:17" hidden="1">
      <c r="C732" s="651" t="s">
        <v>673</v>
      </c>
      <c r="D732" s="377" t="s">
        <v>93</v>
      </c>
      <c r="E732" s="673" t="s">
        <v>146</v>
      </c>
      <c r="F732" s="673" t="s">
        <v>147</v>
      </c>
      <c r="G732" s="673" t="s">
        <v>148</v>
      </c>
      <c r="H732" s="673" t="s">
        <v>149</v>
      </c>
      <c r="I732" s="673" t="s">
        <v>150</v>
      </c>
      <c r="J732" s="673" t="s">
        <v>151</v>
      </c>
      <c r="K732" s="673" t="s">
        <v>152</v>
      </c>
      <c r="L732" s="673" t="s">
        <v>153</v>
      </c>
      <c r="M732" s="673" t="s">
        <v>154</v>
      </c>
      <c r="N732" s="673" t="s">
        <v>155</v>
      </c>
      <c r="O732" s="673" t="s">
        <v>156</v>
      </c>
      <c r="P732" s="673" t="s">
        <v>157</v>
      </c>
      <c r="Q732" s="674" t="s">
        <v>98</v>
      </c>
    </row>
    <row r="733" spans="3:17" hidden="1">
      <c r="C733" s="662" t="s">
        <v>598</v>
      </c>
      <c r="D733" s="663"/>
      <c r="E733" s="663"/>
      <c r="F733" s="663"/>
      <c r="G733" s="663"/>
      <c r="H733" s="663"/>
      <c r="I733" s="663"/>
      <c r="J733" s="663"/>
      <c r="K733" s="663"/>
      <c r="L733" s="663"/>
      <c r="M733" s="663"/>
      <c r="N733" s="663"/>
      <c r="O733" s="663"/>
      <c r="P733" s="663"/>
      <c r="Q733" s="664"/>
    </row>
    <row r="734" spans="3:17" ht="15" hidden="1" customHeight="1">
      <c r="C734" s="667" t="s">
        <v>591</v>
      </c>
      <c r="D734" s="271"/>
      <c r="E734" s="307"/>
      <c r="F734" s="307"/>
      <c r="G734" s="307"/>
      <c r="H734" s="307"/>
      <c r="I734" s="307"/>
      <c r="J734" s="307"/>
      <c r="K734" s="307"/>
      <c r="L734" s="307"/>
      <c r="M734" s="307"/>
      <c r="N734" s="307"/>
      <c r="O734" s="307"/>
      <c r="P734" s="307"/>
      <c r="Q734" s="660">
        <f t="shared" ref="Q734:Q795" si="202">SUM(E734:P734)</f>
        <v>0</v>
      </c>
    </row>
    <row r="735" spans="3:17" ht="15" hidden="1" customHeight="1">
      <c r="C735" s="667" t="s">
        <v>599</v>
      </c>
      <c r="D735" s="271"/>
      <c r="E735" s="307"/>
      <c r="F735" s="307"/>
      <c r="G735" s="307"/>
      <c r="H735" s="307"/>
      <c r="I735" s="307"/>
      <c r="J735" s="307"/>
      <c r="K735" s="307"/>
      <c r="L735" s="307"/>
      <c r="M735" s="307"/>
      <c r="N735" s="307"/>
      <c r="O735" s="307"/>
      <c r="P735" s="307"/>
      <c r="Q735" s="660">
        <f t="shared" si="202"/>
        <v>0</v>
      </c>
    </row>
    <row r="736" spans="3:17" ht="15" hidden="1" customHeight="1">
      <c r="C736" s="667" t="s">
        <v>596</v>
      </c>
      <c r="D736" s="271"/>
      <c r="E736" s="307"/>
      <c r="F736" s="307"/>
      <c r="G736" s="307"/>
      <c r="H736" s="307"/>
      <c r="I736" s="307"/>
      <c r="J736" s="307"/>
      <c r="K736" s="307"/>
      <c r="L736" s="307"/>
      <c r="M736" s="307"/>
      <c r="N736" s="307"/>
      <c r="O736" s="307"/>
      <c r="P736" s="307"/>
      <c r="Q736" s="660">
        <f t="shared" si="202"/>
        <v>0</v>
      </c>
    </row>
    <row r="737" spans="3:17" ht="15" hidden="1" customHeight="1">
      <c r="C737" s="667" t="s">
        <v>632</v>
      </c>
      <c r="D737" s="271"/>
      <c r="E737" s="307"/>
      <c r="F737" s="307"/>
      <c r="G737" s="307"/>
      <c r="H737" s="307"/>
      <c r="I737" s="307"/>
      <c r="J737" s="307"/>
      <c r="K737" s="307"/>
      <c r="L737" s="307"/>
      <c r="M737" s="307"/>
      <c r="N737" s="307"/>
      <c r="O737" s="307"/>
      <c r="P737" s="307"/>
      <c r="Q737" s="660">
        <f t="shared" si="202"/>
        <v>0</v>
      </c>
    </row>
    <row r="738" spans="3:17" ht="15" hidden="1" customHeight="1">
      <c r="C738" s="667" t="s">
        <v>597</v>
      </c>
      <c r="D738" s="271"/>
      <c r="E738" s="307"/>
      <c r="F738" s="307"/>
      <c r="G738" s="307"/>
      <c r="H738" s="307"/>
      <c r="I738" s="307"/>
      <c r="J738" s="307"/>
      <c r="K738" s="307"/>
      <c r="L738" s="307"/>
      <c r="M738" s="307"/>
      <c r="N738" s="307"/>
      <c r="O738" s="307"/>
      <c r="P738" s="307"/>
      <c r="Q738" s="660">
        <f t="shared" si="202"/>
        <v>0</v>
      </c>
    </row>
    <row r="739" spans="3:17" ht="15" hidden="1" customHeight="1">
      <c r="C739" s="274" t="s">
        <v>904</v>
      </c>
      <c r="D739" s="271"/>
      <c r="E739" s="307"/>
      <c r="F739" s="307"/>
      <c r="G739" s="307"/>
      <c r="H739" s="307"/>
      <c r="I739" s="307"/>
      <c r="J739" s="307"/>
      <c r="K739" s="307"/>
      <c r="L739" s="307"/>
      <c r="M739" s="307"/>
      <c r="N739" s="307"/>
      <c r="O739" s="307"/>
      <c r="P739" s="307"/>
      <c r="Q739" s="660">
        <f t="shared" si="202"/>
        <v>0</v>
      </c>
    </row>
    <row r="740" spans="3:17" ht="18.75" hidden="1" customHeight="1">
      <c r="C740" s="274" t="s">
        <v>905</v>
      </c>
      <c r="D740" s="271"/>
      <c r="E740" s="307"/>
      <c r="F740" s="307"/>
      <c r="G740" s="307"/>
      <c r="H740" s="307"/>
      <c r="I740" s="307"/>
      <c r="J740" s="307"/>
      <c r="K740" s="307"/>
      <c r="L740" s="307"/>
      <c r="M740" s="307"/>
      <c r="N740" s="307"/>
      <c r="O740" s="307"/>
      <c r="P740" s="307"/>
      <c r="Q740" s="660">
        <f t="shared" si="202"/>
        <v>0</v>
      </c>
    </row>
    <row r="741" spans="3:17" ht="21" hidden="1" customHeight="1">
      <c r="C741" s="658" t="s">
        <v>600</v>
      </c>
      <c r="D741" s="659"/>
      <c r="E741" s="659">
        <f>SUM(E734:E738)</f>
        <v>0</v>
      </c>
      <c r="F741" s="659">
        <f t="shared" ref="F741:P741" si="203">SUM(F734:F738)</f>
        <v>0</v>
      </c>
      <c r="G741" s="659">
        <f t="shared" si="203"/>
        <v>0</v>
      </c>
      <c r="H741" s="659">
        <f t="shared" si="203"/>
        <v>0</v>
      </c>
      <c r="I741" s="659">
        <f t="shared" si="203"/>
        <v>0</v>
      </c>
      <c r="J741" s="659">
        <f t="shared" si="203"/>
        <v>0</v>
      </c>
      <c r="K741" s="659">
        <f t="shared" si="203"/>
        <v>0</v>
      </c>
      <c r="L741" s="659">
        <f t="shared" si="203"/>
        <v>0</v>
      </c>
      <c r="M741" s="659">
        <f t="shared" si="203"/>
        <v>0</v>
      </c>
      <c r="N741" s="659">
        <f t="shared" si="203"/>
        <v>0</v>
      </c>
      <c r="O741" s="659">
        <f t="shared" si="203"/>
        <v>0</v>
      </c>
      <c r="P741" s="659">
        <f t="shared" si="203"/>
        <v>0</v>
      </c>
      <c r="Q741" s="660">
        <f t="shared" si="202"/>
        <v>0</v>
      </c>
    </row>
    <row r="742" spans="3:17" hidden="1">
      <c r="C742" s="392"/>
      <c r="D742" s="271"/>
      <c r="E742" s="307"/>
      <c r="F742" s="307"/>
      <c r="G742" s="307"/>
      <c r="H742" s="307"/>
      <c r="I742" s="307"/>
      <c r="J742" s="307"/>
      <c r="K742" s="307"/>
      <c r="L742" s="307"/>
      <c r="M742" s="307"/>
      <c r="N742" s="307"/>
      <c r="O742" s="307"/>
      <c r="P742" s="307"/>
      <c r="Q742" s="436"/>
    </row>
    <row r="743" spans="3:17" hidden="1">
      <c r="C743" s="393" t="s">
        <v>601</v>
      </c>
      <c r="D743" s="528"/>
      <c r="E743" s="528"/>
      <c r="F743" s="528"/>
      <c r="G743" s="528"/>
      <c r="H743" s="528"/>
      <c r="I743" s="528"/>
      <c r="J743" s="528"/>
      <c r="K743" s="528"/>
      <c r="L743" s="528"/>
      <c r="M743" s="528"/>
      <c r="N743" s="528"/>
      <c r="O743" s="528"/>
      <c r="P743" s="528"/>
      <c r="Q743" s="708"/>
    </row>
    <row r="744" spans="3:17" hidden="1">
      <c r="C744" s="662" t="s">
        <v>602</v>
      </c>
      <c r="D744" s="663"/>
      <c r="E744" s="663">
        <f t="shared" ref="E744:P744" si="204">E745+E747+E754+E762+E767+E770</f>
        <v>0</v>
      </c>
      <c r="F744" s="663">
        <f t="shared" si="204"/>
        <v>0</v>
      </c>
      <c r="G744" s="663">
        <f t="shared" si="204"/>
        <v>0</v>
      </c>
      <c r="H744" s="663">
        <f t="shared" si="204"/>
        <v>0</v>
      </c>
      <c r="I744" s="663">
        <f t="shared" si="204"/>
        <v>0</v>
      </c>
      <c r="J744" s="663">
        <f t="shared" si="204"/>
        <v>0</v>
      </c>
      <c r="K744" s="663">
        <f t="shared" si="204"/>
        <v>0</v>
      </c>
      <c r="L744" s="663">
        <f t="shared" si="204"/>
        <v>0</v>
      </c>
      <c r="M744" s="663">
        <f t="shared" si="204"/>
        <v>0</v>
      </c>
      <c r="N744" s="663">
        <f t="shared" si="204"/>
        <v>0</v>
      </c>
      <c r="O744" s="663">
        <f t="shared" si="204"/>
        <v>0</v>
      </c>
      <c r="P744" s="663">
        <f t="shared" si="204"/>
        <v>0</v>
      </c>
      <c r="Q744" s="664">
        <f t="shared" si="202"/>
        <v>0</v>
      </c>
    </row>
    <row r="745" spans="3:17" hidden="1">
      <c r="C745" s="703" t="s">
        <v>712</v>
      </c>
      <c r="D745" s="659"/>
      <c r="E745" s="659">
        <f>E746</f>
        <v>0</v>
      </c>
      <c r="F745" s="659">
        <f t="shared" ref="F745:P745" si="205">F746</f>
        <v>0</v>
      </c>
      <c r="G745" s="659">
        <f t="shared" si="205"/>
        <v>0</v>
      </c>
      <c r="H745" s="659">
        <f t="shared" si="205"/>
        <v>0</v>
      </c>
      <c r="I745" s="659">
        <f t="shared" si="205"/>
        <v>0</v>
      </c>
      <c r="J745" s="659">
        <f t="shared" si="205"/>
        <v>0</v>
      </c>
      <c r="K745" s="659">
        <f t="shared" si="205"/>
        <v>0</v>
      </c>
      <c r="L745" s="659">
        <f t="shared" si="205"/>
        <v>0</v>
      </c>
      <c r="M745" s="659">
        <f t="shared" si="205"/>
        <v>0</v>
      </c>
      <c r="N745" s="659">
        <f t="shared" si="205"/>
        <v>0</v>
      </c>
      <c r="O745" s="659">
        <f t="shared" si="205"/>
        <v>0</v>
      </c>
      <c r="P745" s="659">
        <f t="shared" si="205"/>
        <v>0</v>
      </c>
      <c r="Q745" s="660">
        <f t="shared" si="202"/>
        <v>0</v>
      </c>
    </row>
    <row r="746" spans="3:17" hidden="1">
      <c r="C746" s="665" t="s">
        <v>713</v>
      </c>
      <c r="D746" s="271"/>
      <c r="E746" s="307"/>
      <c r="F746" s="307"/>
      <c r="G746" s="307"/>
      <c r="H746" s="307"/>
      <c r="I746" s="307"/>
      <c r="J746" s="307"/>
      <c r="K746" s="307"/>
      <c r="L746" s="307"/>
      <c r="M746" s="307"/>
      <c r="N746" s="307"/>
      <c r="O746" s="307"/>
      <c r="P746" s="307"/>
      <c r="Q746" s="660">
        <f t="shared" si="202"/>
        <v>0</v>
      </c>
    </row>
    <row r="747" spans="3:17" hidden="1">
      <c r="C747" s="703" t="s">
        <v>695</v>
      </c>
      <c r="D747" s="659"/>
      <c r="E747" s="659">
        <f>SUM(E748:E753)</f>
        <v>0</v>
      </c>
      <c r="F747" s="659">
        <f t="shared" ref="F747:P747" si="206">SUM(F748:F753)</f>
        <v>0</v>
      </c>
      <c r="G747" s="659">
        <f t="shared" si="206"/>
        <v>0</v>
      </c>
      <c r="H747" s="659">
        <f t="shared" si="206"/>
        <v>0</v>
      </c>
      <c r="I747" s="659">
        <f t="shared" si="206"/>
        <v>0</v>
      </c>
      <c r="J747" s="659">
        <f t="shared" si="206"/>
        <v>0</v>
      </c>
      <c r="K747" s="659">
        <f t="shared" si="206"/>
        <v>0</v>
      </c>
      <c r="L747" s="659">
        <f t="shared" si="206"/>
        <v>0</v>
      </c>
      <c r="M747" s="659">
        <f t="shared" si="206"/>
        <v>0</v>
      </c>
      <c r="N747" s="659">
        <f t="shared" si="206"/>
        <v>0</v>
      </c>
      <c r="O747" s="659">
        <f t="shared" si="206"/>
        <v>0</v>
      </c>
      <c r="P747" s="659">
        <f t="shared" si="206"/>
        <v>0</v>
      </c>
      <c r="Q747" s="660">
        <f t="shared" si="202"/>
        <v>0</v>
      </c>
    </row>
    <row r="748" spans="3:17" hidden="1">
      <c r="C748" s="665" t="s">
        <v>696</v>
      </c>
      <c r="D748" s="271"/>
      <c r="E748" s="307"/>
      <c r="F748" s="307"/>
      <c r="G748" s="307"/>
      <c r="H748" s="307"/>
      <c r="I748" s="307"/>
      <c r="J748" s="307"/>
      <c r="K748" s="307"/>
      <c r="L748" s="307"/>
      <c r="M748" s="307"/>
      <c r="N748" s="307"/>
      <c r="O748" s="307"/>
      <c r="P748" s="307"/>
      <c r="Q748" s="660">
        <f t="shared" si="202"/>
        <v>0</v>
      </c>
    </row>
    <row r="749" spans="3:17" hidden="1">
      <c r="C749" s="665" t="s">
        <v>697</v>
      </c>
      <c r="D749" s="271"/>
      <c r="E749" s="307"/>
      <c r="F749" s="307"/>
      <c r="G749" s="307"/>
      <c r="H749" s="307"/>
      <c r="I749" s="307"/>
      <c r="J749" s="307"/>
      <c r="K749" s="307"/>
      <c r="L749" s="307"/>
      <c r="M749" s="307"/>
      <c r="N749" s="307"/>
      <c r="O749" s="307"/>
      <c r="P749" s="307"/>
      <c r="Q749" s="660">
        <f t="shared" si="202"/>
        <v>0</v>
      </c>
    </row>
    <row r="750" spans="3:17" hidden="1">
      <c r="C750" s="665" t="s">
        <v>682</v>
      </c>
      <c r="D750" s="271"/>
      <c r="E750" s="307"/>
      <c r="F750" s="307"/>
      <c r="G750" s="307"/>
      <c r="H750" s="307"/>
      <c r="I750" s="307"/>
      <c r="J750" s="307"/>
      <c r="K750" s="307"/>
      <c r="L750" s="307"/>
      <c r="M750" s="307"/>
      <c r="N750" s="307"/>
      <c r="O750" s="307"/>
      <c r="P750" s="307"/>
      <c r="Q750" s="660">
        <f t="shared" si="202"/>
        <v>0</v>
      </c>
    </row>
    <row r="751" spans="3:17" hidden="1">
      <c r="C751" s="665" t="s">
        <v>683</v>
      </c>
      <c r="D751" s="271"/>
      <c r="E751" s="307"/>
      <c r="F751" s="307"/>
      <c r="G751" s="307"/>
      <c r="H751" s="307"/>
      <c r="I751" s="307"/>
      <c r="J751" s="307"/>
      <c r="K751" s="307"/>
      <c r="L751" s="307"/>
      <c r="M751" s="307"/>
      <c r="N751" s="307"/>
      <c r="O751" s="307"/>
      <c r="P751" s="307"/>
      <c r="Q751" s="660">
        <f t="shared" si="202"/>
        <v>0</v>
      </c>
    </row>
    <row r="752" spans="3:17" hidden="1">
      <c r="C752" s="665" t="s">
        <v>684</v>
      </c>
      <c r="D752" s="271"/>
      <c r="E752" s="307"/>
      <c r="F752" s="307"/>
      <c r="G752" s="307"/>
      <c r="H752" s="307"/>
      <c r="I752" s="307"/>
      <c r="J752" s="307"/>
      <c r="K752" s="307"/>
      <c r="L752" s="307"/>
      <c r="M752" s="307"/>
      <c r="N752" s="307"/>
      <c r="O752" s="307"/>
      <c r="P752" s="307"/>
      <c r="Q752" s="660">
        <f t="shared" si="202"/>
        <v>0</v>
      </c>
    </row>
    <row r="753" spans="3:17" hidden="1">
      <c r="C753" s="665" t="s">
        <v>685</v>
      </c>
      <c r="D753" s="271"/>
      <c r="E753" s="307"/>
      <c r="F753" s="307"/>
      <c r="G753" s="307"/>
      <c r="H753" s="307"/>
      <c r="I753" s="307"/>
      <c r="J753" s="307"/>
      <c r="K753" s="307"/>
      <c r="L753" s="307"/>
      <c r="M753" s="307"/>
      <c r="N753" s="307"/>
      <c r="O753" s="307"/>
      <c r="P753" s="307"/>
      <c r="Q753" s="660">
        <f t="shared" si="202"/>
        <v>0</v>
      </c>
    </row>
    <row r="754" spans="3:17" hidden="1">
      <c r="C754" s="703" t="s">
        <v>698</v>
      </c>
      <c r="D754" s="659"/>
      <c r="E754" s="659">
        <f t="shared" ref="E754:P754" si="207">SUM(E756:E761)</f>
        <v>0</v>
      </c>
      <c r="F754" s="659">
        <f t="shared" si="207"/>
        <v>0</v>
      </c>
      <c r="G754" s="659">
        <f t="shared" si="207"/>
        <v>0</v>
      </c>
      <c r="H754" s="659">
        <f t="shared" si="207"/>
        <v>0</v>
      </c>
      <c r="I754" s="659">
        <f t="shared" si="207"/>
        <v>0</v>
      </c>
      <c r="J754" s="659">
        <f t="shared" si="207"/>
        <v>0</v>
      </c>
      <c r="K754" s="659">
        <f t="shared" si="207"/>
        <v>0</v>
      </c>
      <c r="L754" s="659">
        <f t="shared" si="207"/>
        <v>0</v>
      </c>
      <c r="M754" s="659">
        <f t="shared" si="207"/>
        <v>0</v>
      </c>
      <c r="N754" s="659">
        <f t="shared" si="207"/>
        <v>0</v>
      </c>
      <c r="O754" s="659">
        <f t="shared" si="207"/>
        <v>0</v>
      </c>
      <c r="P754" s="659">
        <f t="shared" si="207"/>
        <v>0</v>
      </c>
      <c r="Q754" s="660">
        <f t="shared" si="202"/>
        <v>0</v>
      </c>
    </row>
    <row r="755" spans="3:17" hidden="1">
      <c r="C755" s="665" t="s">
        <v>699</v>
      </c>
      <c r="D755" s="659"/>
      <c r="E755" s="659"/>
      <c r="F755" s="659"/>
      <c r="G755" s="659"/>
      <c r="H755" s="659"/>
      <c r="I755" s="659"/>
      <c r="J755" s="659"/>
      <c r="K755" s="659"/>
      <c r="L755" s="659"/>
      <c r="M755" s="659"/>
      <c r="N755" s="659"/>
      <c r="O755" s="659"/>
      <c r="P755" s="659"/>
      <c r="Q755" s="660"/>
    </row>
    <row r="756" spans="3:17" hidden="1">
      <c r="C756" s="665" t="s">
        <v>914</v>
      </c>
      <c r="D756" s="271"/>
      <c r="E756" s="307"/>
      <c r="F756" s="307"/>
      <c r="G756" s="307"/>
      <c r="H756" s="307"/>
      <c r="I756" s="307"/>
      <c r="J756" s="307"/>
      <c r="K756" s="307"/>
      <c r="L756" s="307"/>
      <c r="M756" s="307"/>
      <c r="N756" s="307"/>
      <c r="O756" s="307"/>
      <c r="P756" s="307"/>
      <c r="Q756" s="660">
        <f t="shared" si="202"/>
        <v>0</v>
      </c>
    </row>
    <row r="757" spans="3:17" hidden="1">
      <c r="C757" s="665" t="s">
        <v>915</v>
      </c>
      <c r="D757" s="271"/>
      <c r="E757" s="307"/>
      <c r="F757" s="307"/>
      <c r="G757" s="307"/>
      <c r="H757" s="307"/>
      <c r="I757" s="307"/>
      <c r="J757" s="307"/>
      <c r="K757" s="307"/>
      <c r="L757" s="307"/>
      <c r="M757" s="307"/>
      <c r="N757" s="307"/>
      <c r="O757" s="307"/>
      <c r="P757" s="307"/>
      <c r="Q757" s="660">
        <f t="shared" si="202"/>
        <v>0</v>
      </c>
    </row>
    <row r="758" spans="3:17" hidden="1">
      <c r="C758" s="665" t="s">
        <v>916</v>
      </c>
      <c r="D758" s="271"/>
      <c r="E758" s="307"/>
      <c r="F758" s="307"/>
      <c r="G758" s="307"/>
      <c r="H758" s="307"/>
      <c r="I758" s="307"/>
      <c r="J758" s="307"/>
      <c r="K758" s="307"/>
      <c r="L758" s="307"/>
      <c r="M758" s="307"/>
      <c r="N758" s="307"/>
      <c r="O758" s="307"/>
      <c r="P758" s="307"/>
      <c r="Q758" s="660">
        <f t="shared" si="202"/>
        <v>0</v>
      </c>
    </row>
    <row r="759" spans="3:17" hidden="1">
      <c r="C759" s="665" t="s">
        <v>592</v>
      </c>
      <c r="D759" s="271"/>
      <c r="E759" s="307"/>
      <c r="F759" s="307"/>
      <c r="G759" s="307"/>
      <c r="H759" s="307"/>
      <c r="I759" s="307"/>
      <c r="J759" s="307"/>
      <c r="K759" s="307"/>
      <c r="L759" s="307"/>
      <c r="M759" s="307"/>
      <c r="N759" s="307"/>
      <c r="O759" s="307"/>
      <c r="P759" s="307"/>
      <c r="Q759" s="660">
        <f t="shared" si="202"/>
        <v>0</v>
      </c>
    </row>
    <row r="760" spans="3:17" hidden="1">
      <c r="C760" s="665" t="s">
        <v>702</v>
      </c>
      <c r="D760" s="271"/>
      <c r="E760" s="307"/>
      <c r="F760" s="307"/>
      <c r="G760" s="307"/>
      <c r="H760" s="307"/>
      <c r="I760" s="307"/>
      <c r="J760" s="307"/>
      <c r="K760" s="307"/>
      <c r="L760" s="307"/>
      <c r="M760" s="307"/>
      <c r="N760" s="307"/>
      <c r="O760" s="307"/>
      <c r="P760" s="307"/>
      <c r="Q760" s="660">
        <f t="shared" si="202"/>
        <v>0</v>
      </c>
    </row>
    <row r="761" spans="3:17" hidden="1">
      <c r="C761" s="665" t="s">
        <v>703</v>
      </c>
      <c r="D761" s="271"/>
      <c r="E761" s="307"/>
      <c r="F761" s="307"/>
      <c r="G761" s="307"/>
      <c r="H761" s="307"/>
      <c r="I761" s="307"/>
      <c r="J761" s="307"/>
      <c r="K761" s="307"/>
      <c r="L761" s="307"/>
      <c r="M761" s="307"/>
      <c r="N761" s="307"/>
      <c r="O761" s="307"/>
      <c r="P761" s="307"/>
      <c r="Q761" s="660">
        <f t="shared" si="202"/>
        <v>0</v>
      </c>
    </row>
    <row r="762" spans="3:17" hidden="1">
      <c r="C762" s="703" t="s">
        <v>714</v>
      </c>
      <c r="D762" s="659"/>
      <c r="E762" s="659">
        <f>SUM(E763:E766)</f>
        <v>0</v>
      </c>
      <c r="F762" s="659">
        <f t="shared" ref="F762:P762" si="208">SUM(F763:F766)</f>
        <v>0</v>
      </c>
      <c r="G762" s="659">
        <f t="shared" si="208"/>
        <v>0</v>
      </c>
      <c r="H762" s="659">
        <f t="shared" si="208"/>
        <v>0</v>
      </c>
      <c r="I762" s="659">
        <f t="shared" si="208"/>
        <v>0</v>
      </c>
      <c r="J762" s="659">
        <f t="shared" si="208"/>
        <v>0</v>
      </c>
      <c r="K762" s="659">
        <f t="shared" si="208"/>
        <v>0</v>
      </c>
      <c r="L762" s="659">
        <f t="shared" si="208"/>
        <v>0</v>
      </c>
      <c r="M762" s="659">
        <f t="shared" si="208"/>
        <v>0</v>
      </c>
      <c r="N762" s="659">
        <f t="shared" si="208"/>
        <v>0</v>
      </c>
      <c r="O762" s="659">
        <f t="shared" si="208"/>
        <v>0</v>
      </c>
      <c r="P762" s="659">
        <f t="shared" si="208"/>
        <v>0</v>
      </c>
      <c r="Q762" s="660">
        <f t="shared" si="202"/>
        <v>0</v>
      </c>
    </row>
    <row r="763" spans="3:17" ht="25.5" hidden="1">
      <c r="C763" s="665" t="s">
        <v>708</v>
      </c>
      <c r="D763" s="271"/>
      <c r="E763" s="307"/>
      <c r="F763" s="307"/>
      <c r="G763" s="307"/>
      <c r="H763" s="307"/>
      <c r="I763" s="307"/>
      <c r="J763" s="307"/>
      <c r="K763" s="307"/>
      <c r="L763" s="307"/>
      <c r="M763" s="307"/>
      <c r="N763" s="307"/>
      <c r="O763" s="307"/>
      <c r="P763" s="307"/>
      <c r="Q763" s="660">
        <f t="shared" si="202"/>
        <v>0</v>
      </c>
    </row>
    <row r="764" spans="3:17" hidden="1">
      <c r="C764" s="665" t="s">
        <v>687</v>
      </c>
      <c r="D764" s="271"/>
      <c r="E764" s="307"/>
      <c r="F764" s="307"/>
      <c r="G764" s="307"/>
      <c r="H764" s="307"/>
      <c r="I764" s="307"/>
      <c r="J764" s="307"/>
      <c r="K764" s="307"/>
      <c r="L764" s="307"/>
      <c r="M764" s="307"/>
      <c r="N764" s="307"/>
      <c r="O764" s="307"/>
      <c r="P764" s="307"/>
      <c r="Q764" s="660">
        <f t="shared" si="202"/>
        <v>0</v>
      </c>
    </row>
    <row r="765" spans="3:17" hidden="1">
      <c r="C765" s="665" t="s">
        <v>688</v>
      </c>
      <c r="D765" s="271"/>
      <c r="E765" s="307"/>
      <c r="F765" s="307"/>
      <c r="G765" s="307"/>
      <c r="H765" s="307"/>
      <c r="I765" s="307"/>
      <c r="J765" s="307"/>
      <c r="K765" s="307"/>
      <c r="L765" s="307"/>
      <c r="M765" s="307"/>
      <c r="N765" s="307"/>
      <c r="O765" s="307"/>
      <c r="P765" s="307"/>
      <c r="Q765" s="660">
        <f t="shared" si="202"/>
        <v>0</v>
      </c>
    </row>
    <row r="766" spans="3:17" hidden="1">
      <c r="C766" s="665" t="s">
        <v>704</v>
      </c>
      <c r="D766" s="271"/>
      <c r="E766" s="307"/>
      <c r="F766" s="307"/>
      <c r="G766" s="307"/>
      <c r="H766" s="307"/>
      <c r="I766" s="307"/>
      <c r="J766" s="307"/>
      <c r="K766" s="307"/>
      <c r="L766" s="307"/>
      <c r="M766" s="307"/>
      <c r="N766" s="307"/>
      <c r="O766" s="307"/>
      <c r="P766" s="307"/>
      <c r="Q766" s="660">
        <f t="shared" si="202"/>
        <v>0</v>
      </c>
    </row>
    <row r="767" spans="3:17" hidden="1">
      <c r="C767" s="703" t="s">
        <v>715</v>
      </c>
      <c r="D767" s="659"/>
      <c r="E767" s="659">
        <f>E768+E769</f>
        <v>0</v>
      </c>
      <c r="F767" s="659">
        <f t="shared" ref="F767:P767" si="209">F768+F769</f>
        <v>0</v>
      </c>
      <c r="G767" s="659">
        <f t="shared" si="209"/>
        <v>0</v>
      </c>
      <c r="H767" s="659">
        <f t="shared" si="209"/>
        <v>0</v>
      </c>
      <c r="I767" s="659">
        <f t="shared" si="209"/>
        <v>0</v>
      </c>
      <c r="J767" s="659">
        <f t="shared" si="209"/>
        <v>0</v>
      </c>
      <c r="K767" s="659">
        <f t="shared" si="209"/>
        <v>0</v>
      </c>
      <c r="L767" s="659">
        <f t="shared" si="209"/>
        <v>0</v>
      </c>
      <c r="M767" s="659">
        <f t="shared" si="209"/>
        <v>0</v>
      </c>
      <c r="N767" s="659">
        <f t="shared" si="209"/>
        <v>0</v>
      </c>
      <c r="O767" s="659">
        <f t="shared" si="209"/>
        <v>0</v>
      </c>
      <c r="P767" s="659">
        <f t="shared" si="209"/>
        <v>0</v>
      </c>
      <c r="Q767" s="660">
        <f t="shared" si="202"/>
        <v>0</v>
      </c>
    </row>
    <row r="768" spans="3:17" ht="18.75" hidden="1" customHeight="1">
      <c r="C768" s="665" t="s">
        <v>692</v>
      </c>
      <c r="D768" s="271"/>
      <c r="E768" s="307"/>
      <c r="F768" s="307"/>
      <c r="G768" s="307"/>
      <c r="H768" s="307"/>
      <c r="I768" s="307"/>
      <c r="J768" s="307"/>
      <c r="K768" s="307"/>
      <c r="L768" s="307"/>
      <c r="M768" s="307"/>
      <c r="N768" s="307"/>
      <c r="O768" s="307"/>
      <c r="P768" s="307"/>
      <c r="Q768" s="660">
        <f t="shared" si="202"/>
        <v>0</v>
      </c>
    </row>
    <row r="769" spans="3:17" ht="18.75" hidden="1" customHeight="1">
      <c r="C769" s="665" t="s">
        <v>707</v>
      </c>
      <c r="D769" s="271"/>
      <c r="E769" s="307"/>
      <c r="F769" s="307"/>
      <c r="G769" s="307"/>
      <c r="H769" s="307"/>
      <c r="I769" s="307"/>
      <c r="J769" s="307"/>
      <c r="K769" s="307"/>
      <c r="L769" s="307"/>
      <c r="M769" s="307"/>
      <c r="N769" s="307"/>
      <c r="O769" s="307"/>
      <c r="P769" s="307"/>
      <c r="Q769" s="660">
        <f t="shared" si="202"/>
        <v>0</v>
      </c>
    </row>
    <row r="770" spans="3:17" hidden="1">
      <c r="C770" s="274"/>
      <c r="D770" s="271"/>
      <c r="E770" s="307"/>
      <c r="F770" s="307"/>
      <c r="G770" s="307"/>
      <c r="H770" s="307"/>
      <c r="I770" s="307"/>
      <c r="J770" s="307"/>
      <c r="K770" s="307"/>
      <c r="L770" s="307"/>
      <c r="M770" s="307"/>
      <c r="N770" s="307"/>
      <c r="O770" s="307"/>
      <c r="P770" s="307"/>
      <c r="Q770" s="436"/>
    </row>
    <row r="771" spans="3:17" hidden="1">
      <c r="C771" s="662" t="s">
        <v>717</v>
      </c>
      <c r="D771" s="663"/>
      <c r="E771" s="663">
        <f t="shared" ref="E771:P771" si="210">E772+E774+E781+E789+E794</f>
        <v>0</v>
      </c>
      <c r="F771" s="663">
        <f t="shared" si="210"/>
        <v>0</v>
      </c>
      <c r="G771" s="663">
        <f t="shared" si="210"/>
        <v>0</v>
      </c>
      <c r="H771" s="663">
        <f t="shared" si="210"/>
        <v>0</v>
      </c>
      <c r="I771" s="663">
        <f t="shared" si="210"/>
        <v>0</v>
      </c>
      <c r="J771" s="663">
        <f t="shared" si="210"/>
        <v>0</v>
      </c>
      <c r="K771" s="663">
        <f t="shared" si="210"/>
        <v>0</v>
      </c>
      <c r="L771" s="663">
        <f t="shared" si="210"/>
        <v>0</v>
      </c>
      <c r="M771" s="663">
        <f t="shared" si="210"/>
        <v>0</v>
      </c>
      <c r="N771" s="663">
        <f t="shared" si="210"/>
        <v>0</v>
      </c>
      <c r="O771" s="663">
        <f t="shared" si="210"/>
        <v>0</v>
      </c>
      <c r="P771" s="663">
        <f t="shared" si="210"/>
        <v>0</v>
      </c>
      <c r="Q771" s="664">
        <f t="shared" si="202"/>
        <v>0</v>
      </c>
    </row>
    <row r="772" spans="3:17" hidden="1">
      <c r="C772" s="703" t="s">
        <v>712</v>
      </c>
      <c r="D772" s="659"/>
      <c r="E772" s="660">
        <f>E773</f>
        <v>0</v>
      </c>
      <c r="F772" s="660">
        <f t="shared" ref="F772:P772" si="211">F773</f>
        <v>0</v>
      </c>
      <c r="G772" s="660">
        <f t="shared" si="211"/>
        <v>0</v>
      </c>
      <c r="H772" s="660">
        <f t="shared" si="211"/>
        <v>0</v>
      </c>
      <c r="I772" s="660">
        <f t="shared" si="211"/>
        <v>0</v>
      </c>
      <c r="J772" s="660">
        <f t="shared" si="211"/>
        <v>0</v>
      </c>
      <c r="K772" s="660">
        <f t="shared" si="211"/>
        <v>0</v>
      </c>
      <c r="L772" s="660">
        <f t="shared" si="211"/>
        <v>0</v>
      </c>
      <c r="M772" s="660">
        <f t="shared" si="211"/>
        <v>0</v>
      </c>
      <c r="N772" s="660">
        <f t="shared" si="211"/>
        <v>0</v>
      </c>
      <c r="O772" s="660">
        <f t="shared" si="211"/>
        <v>0</v>
      </c>
      <c r="P772" s="660">
        <f t="shared" si="211"/>
        <v>0</v>
      </c>
      <c r="Q772" s="660">
        <f t="shared" si="202"/>
        <v>0</v>
      </c>
    </row>
    <row r="773" spans="3:17" ht="29.25" hidden="1" customHeight="1">
      <c r="C773" s="665" t="s">
        <v>718</v>
      </c>
      <c r="D773" s="271"/>
      <c r="E773" s="307"/>
      <c r="F773" s="307"/>
      <c r="G773" s="307"/>
      <c r="H773" s="307"/>
      <c r="I773" s="307"/>
      <c r="J773" s="307"/>
      <c r="K773" s="307"/>
      <c r="L773" s="307"/>
      <c r="M773" s="307"/>
      <c r="N773" s="307"/>
      <c r="O773" s="307"/>
      <c r="P773" s="307"/>
      <c r="Q773" s="660">
        <f t="shared" si="202"/>
        <v>0</v>
      </c>
    </row>
    <row r="774" spans="3:17" hidden="1">
      <c r="C774" s="703" t="s">
        <v>695</v>
      </c>
      <c r="D774" s="659"/>
      <c r="E774" s="659">
        <f>SUM(E775:E780)</f>
        <v>0</v>
      </c>
      <c r="F774" s="659">
        <f t="shared" ref="F774:P774" si="212">SUM(F775:F780)</f>
        <v>0</v>
      </c>
      <c r="G774" s="659">
        <f t="shared" si="212"/>
        <v>0</v>
      </c>
      <c r="H774" s="659">
        <f t="shared" si="212"/>
        <v>0</v>
      </c>
      <c r="I774" s="659">
        <f t="shared" si="212"/>
        <v>0</v>
      </c>
      <c r="J774" s="659">
        <f t="shared" si="212"/>
        <v>0</v>
      </c>
      <c r="K774" s="659">
        <f t="shared" si="212"/>
        <v>0</v>
      </c>
      <c r="L774" s="659">
        <f t="shared" si="212"/>
        <v>0</v>
      </c>
      <c r="M774" s="659">
        <f t="shared" si="212"/>
        <v>0</v>
      </c>
      <c r="N774" s="659">
        <f t="shared" si="212"/>
        <v>0</v>
      </c>
      <c r="O774" s="659">
        <f t="shared" si="212"/>
        <v>0</v>
      </c>
      <c r="P774" s="659">
        <f t="shared" si="212"/>
        <v>0</v>
      </c>
      <c r="Q774" s="660">
        <f t="shared" si="202"/>
        <v>0</v>
      </c>
    </row>
    <row r="775" spans="3:17" hidden="1">
      <c r="C775" s="665" t="s">
        <v>696</v>
      </c>
      <c r="D775" s="271"/>
      <c r="E775" s="307"/>
      <c r="F775" s="307"/>
      <c r="G775" s="307"/>
      <c r="H775" s="307"/>
      <c r="I775" s="307"/>
      <c r="J775" s="307"/>
      <c r="K775" s="307"/>
      <c r="L775" s="307"/>
      <c r="M775" s="307"/>
      <c r="N775" s="307"/>
      <c r="O775" s="307"/>
      <c r="P775" s="307"/>
      <c r="Q775" s="660">
        <f t="shared" si="202"/>
        <v>0</v>
      </c>
    </row>
    <row r="776" spans="3:17" ht="18.75" hidden="1" customHeight="1">
      <c r="C776" s="665" t="s">
        <v>719</v>
      </c>
      <c r="D776" s="271"/>
      <c r="E776" s="307"/>
      <c r="F776" s="307"/>
      <c r="G776" s="307"/>
      <c r="H776" s="307"/>
      <c r="I776" s="307"/>
      <c r="J776" s="307"/>
      <c r="K776" s="307"/>
      <c r="L776" s="307"/>
      <c r="M776" s="307"/>
      <c r="N776" s="307"/>
      <c r="O776" s="307"/>
      <c r="P776" s="307"/>
      <c r="Q776" s="660">
        <f t="shared" si="202"/>
        <v>0</v>
      </c>
    </row>
    <row r="777" spans="3:17" hidden="1">
      <c r="C777" s="665" t="s">
        <v>682</v>
      </c>
      <c r="D777" s="271"/>
      <c r="E777" s="307"/>
      <c r="F777" s="307"/>
      <c r="G777" s="307"/>
      <c r="H777" s="307"/>
      <c r="I777" s="307"/>
      <c r="J777" s="307"/>
      <c r="K777" s="307"/>
      <c r="L777" s="307"/>
      <c r="M777" s="307"/>
      <c r="N777" s="307"/>
      <c r="O777" s="307"/>
      <c r="P777" s="307"/>
      <c r="Q777" s="660">
        <f t="shared" si="202"/>
        <v>0</v>
      </c>
    </row>
    <row r="778" spans="3:17" hidden="1">
      <c r="C778" s="665" t="s">
        <v>683</v>
      </c>
      <c r="D778" s="271"/>
      <c r="E778" s="307"/>
      <c r="F778" s="307"/>
      <c r="G778" s="307"/>
      <c r="H778" s="307"/>
      <c r="I778" s="307"/>
      <c r="J778" s="307"/>
      <c r="K778" s="307"/>
      <c r="L778" s="307"/>
      <c r="M778" s="307"/>
      <c r="N778" s="307"/>
      <c r="O778" s="307"/>
      <c r="P778" s="307"/>
      <c r="Q778" s="660">
        <f t="shared" si="202"/>
        <v>0</v>
      </c>
    </row>
    <row r="779" spans="3:17" hidden="1">
      <c r="C779" s="665" t="s">
        <v>684</v>
      </c>
      <c r="D779" s="271"/>
      <c r="E779" s="307"/>
      <c r="F779" s="307"/>
      <c r="G779" s="307"/>
      <c r="H779" s="307"/>
      <c r="I779" s="307"/>
      <c r="J779" s="307"/>
      <c r="K779" s="307"/>
      <c r="L779" s="307"/>
      <c r="M779" s="307"/>
      <c r="N779" s="307"/>
      <c r="O779" s="307"/>
      <c r="P779" s="307"/>
      <c r="Q779" s="660">
        <f t="shared" si="202"/>
        <v>0</v>
      </c>
    </row>
    <row r="780" spans="3:17" hidden="1">
      <c r="C780" s="665" t="s">
        <v>685</v>
      </c>
      <c r="D780" s="271"/>
      <c r="E780" s="307"/>
      <c r="F780" s="307"/>
      <c r="G780" s="307"/>
      <c r="H780" s="307"/>
      <c r="I780" s="307"/>
      <c r="J780" s="307"/>
      <c r="K780" s="307"/>
      <c r="L780" s="307"/>
      <c r="M780" s="307"/>
      <c r="N780" s="307"/>
      <c r="O780" s="307"/>
      <c r="P780" s="307"/>
      <c r="Q780" s="660">
        <f t="shared" si="202"/>
        <v>0</v>
      </c>
    </row>
    <row r="781" spans="3:17" hidden="1">
      <c r="C781" s="703" t="s">
        <v>698</v>
      </c>
      <c r="D781" s="659"/>
      <c r="E781" s="659">
        <f t="shared" ref="E781:P781" si="213">SUM(E783:E788)</f>
        <v>0</v>
      </c>
      <c r="F781" s="659">
        <f t="shared" si="213"/>
        <v>0</v>
      </c>
      <c r="G781" s="659">
        <f t="shared" si="213"/>
        <v>0</v>
      </c>
      <c r="H781" s="659">
        <f t="shared" si="213"/>
        <v>0</v>
      </c>
      <c r="I781" s="659">
        <f t="shared" si="213"/>
        <v>0</v>
      </c>
      <c r="J781" s="659">
        <f t="shared" si="213"/>
        <v>0</v>
      </c>
      <c r="K781" s="659">
        <f t="shared" si="213"/>
        <v>0</v>
      </c>
      <c r="L781" s="659">
        <f t="shared" si="213"/>
        <v>0</v>
      </c>
      <c r="M781" s="659">
        <f t="shared" si="213"/>
        <v>0</v>
      </c>
      <c r="N781" s="659">
        <f t="shared" si="213"/>
        <v>0</v>
      </c>
      <c r="O781" s="659">
        <f t="shared" si="213"/>
        <v>0</v>
      </c>
      <c r="P781" s="659">
        <f t="shared" si="213"/>
        <v>0</v>
      </c>
      <c r="Q781" s="660">
        <f t="shared" si="202"/>
        <v>0</v>
      </c>
    </row>
    <row r="782" spans="3:17" hidden="1">
      <c r="C782" s="665" t="s">
        <v>699</v>
      </c>
      <c r="D782" s="659"/>
      <c r="E782" s="659"/>
      <c r="F782" s="659"/>
      <c r="G782" s="659"/>
      <c r="H782" s="659"/>
      <c r="I782" s="659"/>
      <c r="J782" s="659"/>
      <c r="K782" s="659"/>
      <c r="L782" s="659"/>
      <c r="M782" s="659"/>
      <c r="N782" s="659"/>
      <c r="O782" s="659"/>
      <c r="P782" s="659"/>
      <c r="Q782" s="660"/>
    </row>
    <row r="783" spans="3:17" hidden="1">
      <c r="C783" s="665" t="s">
        <v>914</v>
      </c>
      <c r="D783" s="271"/>
      <c r="E783" s="307"/>
      <c r="F783" s="307"/>
      <c r="G783" s="307"/>
      <c r="H783" s="307"/>
      <c r="I783" s="307"/>
      <c r="J783" s="307"/>
      <c r="K783" s="307"/>
      <c r="L783" s="307"/>
      <c r="M783" s="307"/>
      <c r="N783" s="307"/>
      <c r="O783" s="307"/>
      <c r="P783" s="307"/>
      <c r="Q783" s="660"/>
    </row>
    <row r="784" spans="3:17" ht="21" hidden="1" customHeight="1">
      <c r="C784" s="665" t="s">
        <v>915</v>
      </c>
      <c r="D784" s="271"/>
      <c r="E784" s="307"/>
      <c r="F784" s="307"/>
      <c r="G784" s="307"/>
      <c r="H784" s="307"/>
      <c r="I784" s="307"/>
      <c r="J784" s="307"/>
      <c r="K784" s="307"/>
      <c r="L784" s="307"/>
      <c r="M784" s="307"/>
      <c r="N784" s="307"/>
      <c r="O784" s="307"/>
      <c r="P784" s="307"/>
      <c r="Q784" s="660">
        <f t="shared" si="202"/>
        <v>0</v>
      </c>
    </row>
    <row r="785" spans="3:17" hidden="1">
      <c r="C785" s="665" t="s">
        <v>916</v>
      </c>
      <c r="D785" s="271"/>
      <c r="E785" s="307"/>
      <c r="F785" s="307"/>
      <c r="G785" s="307"/>
      <c r="H785" s="307"/>
      <c r="I785" s="307"/>
      <c r="J785" s="307"/>
      <c r="K785" s="307"/>
      <c r="L785" s="307"/>
      <c r="M785" s="307"/>
      <c r="N785" s="307"/>
      <c r="O785" s="307"/>
      <c r="P785" s="307"/>
      <c r="Q785" s="660">
        <f t="shared" si="202"/>
        <v>0</v>
      </c>
    </row>
    <row r="786" spans="3:17" ht="19.5" hidden="1" customHeight="1">
      <c r="C786" s="665" t="s">
        <v>592</v>
      </c>
      <c r="D786" s="271"/>
      <c r="E786" s="307"/>
      <c r="F786" s="307"/>
      <c r="G786" s="307"/>
      <c r="H786" s="307"/>
      <c r="I786" s="307"/>
      <c r="J786" s="307"/>
      <c r="K786" s="307"/>
      <c r="L786" s="307"/>
      <c r="M786" s="307"/>
      <c r="N786" s="307"/>
      <c r="O786" s="307"/>
      <c r="P786" s="307"/>
      <c r="Q786" s="660">
        <f t="shared" si="202"/>
        <v>0</v>
      </c>
    </row>
    <row r="787" spans="3:17" hidden="1">
      <c r="C787" s="665" t="s">
        <v>702</v>
      </c>
      <c r="D787" s="271"/>
      <c r="E787" s="307"/>
      <c r="F787" s="307"/>
      <c r="G787" s="307"/>
      <c r="H787" s="307"/>
      <c r="I787" s="307"/>
      <c r="J787" s="307"/>
      <c r="K787" s="307"/>
      <c r="L787" s="307"/>
      <c r="M787" s="307"/>
      <c r="N787" s="307"/>
      <c r="O787" s="307"/>
      <c r="P787" s="307"/>
      <c r="Q787" s="660">
        <f t="shared" si="202"/>
        <v>0</v>
      </c>
    </row>
    <row r="788" spans="3:17" hidden="1">
      <c r="C788" s="665" t="s">
        <v>703</v>
      </c>
      <c r="D788" s="271"/>
      <c r="E788" s="307"/>
      <c r="F788" s="307"/>
      <c r="G788" s="307"/>
      <c r="H788" s="307"/>
      <c r="I788" s="307"/>
      <c r="J788" s="307"/>
      <c r="K788" s="307"/>
      <c r="L788" s="307"/>
      <c r="M788" s="307"/>
      <c r="N788" s="307"/>
      <c r="O788" s="307"/>
      <c r="P788" s="307"/>
      <c r="Q788" s="660">
        <f t="shared" si="202"/>
        <v>0</v>
      </c>
    </row>
    <row r="789" spans="3:17" hidden="1">
      <c r="C789" s="703" t="s">
        <v>714</v>
      </c>
      <c r="D789" s="659"/>
      <c r="E789" s="659">
        <f>SUM(E790:E793)</f>
        <v>0</v>
      </c>
      <c r="F789" s="659">
        <f t="shared" ref="F789:P789" si="214">SUM(F790:F793)</f>
        <v>0</v>
      </c>
      <c r="G789" s="659">
        <f t="shared" si="214"/>
        <v>0</v>
      </c>
      <c r="H789" s="659">
        <f t="shared" si="214"/>
        <v>0</v>
      </c>
      <c r="I789" s="659">
        <f t="shared" si="214"/>
        <v>0</v>
      </c>
      <c r="J789" s="659">
        <f t="shared" si="214"/>
        <v>0</v>
      </c>
      <c r="K789" s="659">
        <f t="shared" si="214"/>
        <v>0</v>
      </c>
      <c r="L789" s="659">
        <f t="shared" si="214"/>
        <v>0</v>
      </c>
      <c r="M789" s="659">
        <f t="shared" si="214"/>
        <v>0</v>
      </c>
      <c r="N789" s="659">
        <f t="shared" si="214"/>
        <v>0</v>
      </c>
      <c r="O789" s="659">
        <f t="shared" si="214"/>
        <v>0</v>
      </c>
      <c r="P789" s="659">
        <f t="shared" si="214"/>
        <v>0</v>
      </c>
      <c r="Q789" s="660">
        <f t="shared" si="202"/>
        <v>0</v>
      </c>
    </row>
    <row r="790" spans="3:17" ht="25.5" hidden="1">
      <c r="C790" s="665" t="s">
        <v>708</v>
      </c>
      <c r="D790" s="271"/>
      <c r="E790" s="307"/>
      <c r="F790" s="307"/>
      <c r="G790" s="307"/>
      <c r="H790" s="307"/>
      <c r="I790" s="307"/>
      <c r="J790" s="307"/>
      <c r="K790" s="307"/>
      <c r="L790" s="307"/>
      <c r="M790" s="307"/>
      <c r="N790" s="307"/>
      <c r="O790" s="307"/>
      <c r="P790" s="307"/>
      <c r="Q790" s="660">
        <f t="shared" si="202"/>
        <v>0</v>
      </c>
    </row>
    <row r="791" spans="3:17" hidden="1">
      <c r="C791" s="665" t="s">
        <v>687</v>
      </c>
      <c r="D791" s="271"/>
      <c r="E791" s="307"/>
      <c r="F791" s="307"/>
      <c r="G791" s="307"/>
      <c r="H791" s="307"/>
      <c r="I791" s="307"/>
      <c r="J791" s="307"/>
      <c r="K791" s="307"/>
      <c r="L791" s="307"/>
      <c r="M791" s="307"/>
      <c r="N791" s="307"/>
      <c r="O791" s="307"/>
      <c r="P791" s="307"/>
      <c r="Q791" s="660">
        <f t="shared" si="202"/>
        <v>0</v>
      </c>
    </row>
    <row r="792" spans="3:17" hidden="1">
      <c r="C792" s="665" t="s">
        <v>688</v>
      </c>
      <c r="D792" s="271"/>
      <c r="E792" s="307"/>
      <c r="F792" s="307"/>
      <c r="G792" s="307"/>
      <c r="H792" s="307"/>
      <c r="I792" s="307"/>
      <c r="J792" s="307"/>
      <c r="K792" s="307"/>
      <c r="L792" s="307"/>
      <c r="M792" s="307"/>
      <c r="N792" s="307"/>
      <c r="O792" s="307"/>
      <c r="P792" s="307"/>
      <c r="Q792" s="660">
        <f t="shared" si="202"/>
        <v>0</v>
      </c>
    </row>
    <row r="793" spans="3:17" hidden="1">
      <c r="C793" s="665" t="s">
        <v>704</v>
      </c>
      <c r="D793" s="271"/>
      <c r="E793" s="307"/>
      <c r="F793" s="307"/>
      <c r="G793" s="307"/>
      <c r="H793" s="307"/>
      <c r="I793" s="307"/>
      <c r="J793" s="307"/>
      <c r="K793" s="307"/>
      <c r="L793" s="307"/>
      <c r="M793" s="307"/>
      <c r="N793" s="307"/>
      <c r="O793" s="307"/>
      <c r="P793" s="307"/>
      <c r="Q793" s="660">
        <f t="shared" si="202"/>
        <v>0</v>
      </c>
    </row>
    <row r="794" spans="3:17" hidden="1">
      <c r="C794" s="703" t="s">
        <v>715</v>
      </c>
      <c r="D794" s="659"/>
      <c r="E794" s="659">
        <f>E795+E796</f>
        <v>0</v>
      </c>
      <c r="F794" s="659">
        <f t="shared" ref="F794:P794" si="215">F795+F796</f>
        <v>0</v>
      </c>
      <c r="G794" s="659">
        <f t="shared" si="215"/>
        <v>0</v>
      </c>
      <c r="H794" s="659">
        <f t="shared" si="215"/>
        <v>0</v>
      </c>
      <c r="I794" s="659">
        <f t="shared" si="215"/>
        <v>0</v>
      </c>
      <c r="J794" s="659">
        <f t="shared" si="215"/>
        <v>0</v>
      </c>
      <c r="K794" s="659">
        <f t="shared" si="215"/>
        <v>0</v>
      </c>
      <c r="L794" s="659">
        <f t="shared" si="215"/>
        <v>0</v>
      </c>
      <c r="M794" s="659">
        <f t="shared" si="215"/>
        <v>0</v>
      </c>
      <c r="N794" s="659">
        <f t="shared" si="215"/>
        <v>0</v>
      </c>
      <c r="O794" s="659">
        <f t="shared" si="215"/>
        <v>0</v>
      </c>
      <c r="P794" s="659">
        <f t="shared" si="215"/>
        <v>0</v>
      </c>
      <c r="Q794" s="660">
        <f t="shared" si="202"/>
        <v>0</v>
      </c>
    </row>
    <row r="795" spans="3:17" hidden="1">
      <c r="C795" s="665" t="s">
        <v>692</v>
      </c>
      <c r="D795" s="271"/>
      <c r="E795" s="307"/>
      <c r="F795" s="307"/>
      <c r="G795" s="307"/>
      <c r="H795" s="307"/>
      <c r="I795" s="307"/>
      <c r="J795" s="307"/>
      <c r="K795" s="307"/>
      <c r="L795" s="307"/>
      <c r="M795" s="307"/>
      <c r="N795" s="307"/>
      <c r="O795" s="307"/>
      <c r="P795" s="307"/>
      <c r="Q795" s="660">
        <f t="shared" si="202"/>
        <v>0</v>
      </c>
    </row>
    <row r="796" spans="3:17" ht="16.5" hidden="1" customHeight="1">
      <c r="C796" s="665" t="s">
        <v>707</v>
      </c>
      <c r="D796" s="271"/>
      <c r="E796" s="307"/>
      <c r="F796" s="307"/>
      <c r="G796" s="307"/>
      <c r="H796" s="307"/>
      <c r="I796" s="307"/>
      <c r="J796" s="307"/>
      <c r="K796" s="307"/>
      <c r="L796" s="307"/>
      <c r="M796" s="307"/>
      <c r="N796" s="307"/>
      <c r="O796" s="307"/>
      <c r="P796" s="307"/>
      <c r="Q796" s="660">
        <f t="shared" ref="Q796:Q823" si="216">SUM(E796:P796)</f>
        <v>0</v>
      </c>
    </row>
    <row r="797" spans="3:17" hidden="1">
      <c r="C797" s="665"/>
      <c r="D797" s="271"/>
      <c r="E797" s="709"/>
      <c r="F797" s="709"/>
      <c r="G797" s="709"/>
      <c r="H797" s="709"/>
      <c r="I797" s="709"/>
      <c r="J797" s="709"/>
      <c r="K797" s="709"/>
      <c r="L797" s="709"/>
      <c r="M797" s="709"/>
      <c r="N797" s="709"/>
      <c r="O797" s="709"/>
      <c r="P797" s="709"/>
      <c r="Q797" s="660"/>
    </row>
    <row r="798" spans="3:17" hidden="1">
      <c r="C798" s="662" t="s">
        <v>170</v>
      </c>
      <c r="D798" s="663"/>
      <c r="E798" s="663">
        <f>E799+E801+E808+E816+E821</f>
        <v>0</v>
      </c>
      <c r="F798" s="663">
        <f t="shared" ref="F798:P798" si="217">F799+F801+F808+F816+F821</f>
        <v>0</v>
      </c>
      <c r="G798" s="663">
        <f t="shared" si="217"/>
        <v>0</v>
      </c>
      <c r="H798" s="663">
        <f t="shared" si="217"/>
        <v>0</v>
      </c>
      <c r="I798" s="663">
        <f t="shared" si="217"/>
        <v>0</v>
      </c>
      <c r="J798" s="663">
        <f t="shared" si="217"/>
        <v>0</v>
      </c>
      <c r="K798" s="663">
        <f t="shared" si="217"/>
        <v>0</v>
      </c>
      <c r="L798" s="663">
        <f t="shared" si="217"/>
        <v>0</v>
      </c>
      <c r="M798" s="663">
        <f t="shared" si="217"/>
        <v>0</v>
      </c>
      <c r="N798" s="663">
        <f t="shared" si="217"/>
        <v>0</v>
      </c>
      <c r="O798" s="663">
        <f t="shared" si="217"/>
        <v>0</v>
      </c>
      <c r="P798" s="663">
        <f t="shared" si="217"/>
        <v>0</v>
      </c>
      <c r="Q798" s="664">
        <f t="shared" si="216"/>
        <v>0</v>
      </c>
    </row>
    <row r="799" spans="3:17" hidden="1">
      <c r="C799" s="703" t="s">
        <v>712</v>
      </c>
      <c r="D799" s="659"/>
      <c r="E799" s="659">
        <f>E800</f>
        <v>0</v>
      </c>
      <c r="F799" s="659">
        <f t="shared" ref="F799:P799" si="218">F800</f>
        <v>0</v>
      </c>
      <c r="G799" s="659">
        <f t="shared" si="218"/>
        <v>0</v>
      </c>
      <c r="H799" s="659">
        <f t="shared" si="218"/>
        <v>0</v>
      </c>
      <c r="I799" s="659">
        <f t="shared" si="218"/>
        <v>0</v>
      </c>
      <c r="J799" s="659">
        <f t="shared" si="218"/>
        <v>0</v>
      </c>
      <c r="K799" s="659">
        <f t="shared" si="218"/>
        <v>0</v>
      </c>
      <c r="L799" s="659">
        <f t="shared" si="218"/>
        <v>0</v>
      </c>
      <c r="M799" s="659">
        <f t="shared" si="218"/>
        <v>0</v>
      </c>
      <c r="N799" s="659">
        <f t="shared" si="218"/>
        <v>0</v>
      </c>
      <c r="O799" s="659">
        <f t="shared" si="218"/>
        <v>0</v>
      </c>
      <c r="P799" s="659">
        <f t="shared" si="218"/>
        <v>0</v>
      </c>
      <c r="Q799" s="660">
        <f t="shared" si="216"/>
        <v>0</v>
      </c>
    </row>
    <row r="800" spans="3:17" hidden="1">
      <c r="C800" s="665" t="s">
        <v>720</v>
      </c>
      <c r="D800" s="271"/>
      <c r="E800" s="307"/>
      <c r="F800" s="307"/>
      <c r="G800" s="307"/>
      <c r="H800" s="307"/>
      <c r="I800" s="307"/>
      <c r="J800" s="307"/>
      <c r="K800" s="307"/>
      <c r="L800" s="307"/>
      <c r="M800" s="307"/>
      <c r="N800" s="307"/>
      <c r="O800" s="307"/>
      <c r="P800" s="307"/>
      <c r="Q800" s="660">
        <f t="shared" si="216"/>
        <v>0</v>
      </c>
    </row>
    <row r="801" spans="3:17" hidden="1">
      <c r="C801" s="703" t="s">
        <v>695</v>
      </c>
      <c r="D801" s="659"/>
      <c r="E801" s="659">
        <f>SUM(E802:E807)</f>
        <v>0</v>
      </c>
      <c r="F801" s="659">
        <f t="shared" ref="F801:P801" si="219">SUM(F802:F807)</f>
        <v>0</v>
      </c>
      <c r="G801" s="659">
        <f t="shared" si="219"/>
        <v>0</v>
      </c>
      <c r="H801" s="659">
        <f t="shared" si="219"/>
        <v>0</v>
      </c>
      <c r="I801" s="659">
        <f t="shared" si="219"/>
        <v>0</v>
      </c>
      <c r="J801" s="659">
        <f t="shared" si="219"/>
        <v>0</v>
      </c>
      <c r="K801" s="659">
        <f t="shared" si="219"/>
        <v>0</v>
      </c>
      <c r="L801" s="659">
        <f t="shared" si="219"/>
        <v>0</v>
      </c>
      <c r="M801" s="659">
        <f t="shared" si="219"/>
        <v>0</v>
      </c>
      <c r="N801" s="659">
        <f t="shared" si="219"/>
        <v>0</v>
      </c>
      <c r="O801" s="659">
        <f t="shared" si="219"/>
        <v>0</v>
      </c>
      <c r="P801" s="659">
        <f t="shared" si="219"/>
        <v>0</v>
      </c>
      <c r="Q801" s="660">
        <f t="shared" si="216"/>
        <v>0</v>
      </c>
    </row>
    <row r="802" spans="3:17" hidden="1">
      <c r="C802" s="665" t="s">
        <v>696</v>
      </c>
      <c r="D802" s="271"/>
      <c r="E802" s="307"/>
      <c r="F802" s="307"/>
      <c r="G802" s="307"/>
      <c r="H802" s="307"/>
      <c r="I802" s="307"/>
      <c r="J802" s="307"/>
      <c r="K802" s="307"/>
      <c r="L802" s="307"/>
      <c r="M802" s="307"/>
      <c r="N802" s="307"/>
      <c r="O802" s="307"/>
      <c r="P802" s="307"/>
      <c r="Q802" s="660">
        <f t="shared" si="216"/>
        <v>0</v>
      </c>
    </row>
    <row r="803" spans="3:17" hidden="1">
      <c r="C803" s="665" t="s">
        <v>697</v>
      </c>
      <c r="D803" s="271"/>
      <c r="E803" s="307"/>
      <c r="F803" s="307"/>
      <c r="G803" s="307"/>
      <c r="H803" s="307"/>
      <c r="I803" s="307"/>
      <c r="J803" s="307"/>
      <c r="K803" s="307"/>
      <c r="L803" s="307"/>
      <c r="M803" s="307"/>
      <c r="N803" s="307"/>
      <c r="O803" s="307"/>
      <c r="P803" s="307"/>
      <c r="Q803" s="660">
        <f t="shared" si="216"/>
        <v>0</v>
      </c>
    </row>
    <row r="804" spans="3:17" hidden="1">
      <c r="C804" s="665" t="s">
        <v>682</v>
      </c>
      <c r="D804" s="271"/>
      <c r="E804" s="307"/>
      <c r="F804" s="307"/>
      <c r="G804" s="307"/>
      <c r="H804" s="307"/>
      <c r="I804" s="307"/>
      <c r="J804" s="307"/>
      <c r="K804" s="307"/>
      <c r="L804" s="307"/>
      <c r="M804" s="307"/>
      <c r="N804" s="307"/>
      <c r="O804" s="307"/>
      <c r="P804" s="307"/>
      <c r="Q804" s="660">
        <f t="shared" si="216"/>
        <v>0</v>
      </c>
    </row>
    <row r="805" spans="3:17" hidden="1">
      <c r="C805" s="665" t="s">
        <v>683</v>
      </c>
      <c r="D805" s="271"/>
      <c r="E805" s="307"/>
      <c r="F805" s="307"/>
      <c r="G805" s="307"/>
      <c r="H805" s="307"/>
      <c r="I805" s="307"/>
      <c r="J805" s="307"/>
      <c r="K805" s="307"/>
      <c r="L805" s="307"/>
      <c r="M805" s="307"/>
      <c r="N805" s="307"/>
      <c r="O805" s="307"/>
      <c r="P805" s="307"/>
      <c r="Q805" s="660">
        <f t="shared" si="216"/>
        <v>0</v>
      </c>
    </row>
    <row r="806" spans="3:17" hidden="1">
      <c r="C806" s="665" t="s">
        <v>684</v>
      </c>
      <c r="D806" s="271"/>
      <c r="E806" s="307"/>
      <c r="F806" s="307"/>
      <c r="G806" s="307"/>
      <c r="H806" s="307"/>
      <c r="I806" s="307"/>
      <c r="J806" s="307"/>
      <c r="K806" s="307"/>
      <c r="L806" s="307"/>
      <c r="M806" s="307"/>
      <c r="N806" s="307"/>
      <c r="O806" s="307"/>
      <c r="P806" s="307"/>
      <c r="Q806" s="660">
        <f t="shared" si="216"/>
        <v>0</v>
      </c>
    </row>
    <row r="807" spans="3:17" hidden="1">
      <c r="C807" s="665" t="s">
        <v>685</v>
      </c>
      <c r="D807" s="271"/>
      <c r="E807" s="307"/>
      <c r="F807" s="307"/>
      <c r="G807" s="307"/>
      <c r="H807" s="307"/>
      <c r="I807" s="307"/>
      <c r="J807" s="307"/>
      <c r="K807" s="307"/>
      <c r="L807" s="307"/>
      <c r="M807" s="307"/>
      <c r="N807" s="307"/>
      <c r="O807" s="307"/>
      <c r="P807" s="307"/>
      <c r="Q807" s="660">
        <f t="shared" si="216"/>
        <v>0</v>
      </c>
    </row>
    <row r="808" spans="3:17" hidden="1">
      <c r="C808" s="703" t="s">
        <v>698</v>
      </c>
      <c r="D808" s="659"/>
      <c r="E808" s="659">
        <f>SUM(E809:E815)</f>
        <v>0</v>
      </c>
      <c r="F808" s="659">
        <f t="shared" ref="F808" si="220">SUM(F809:F815)</f>
        <v>0</v>
      </c>
      <c r="G808" s="659">
        <f t="shared" ref="G808" si="221">SUM(G809:G815)</f>
        <v>0</v>
      </c>
      <c r="H808" s="659">
        <f t="shared" ref="H808" si="222">SUM(H809:H815)</f>
        <v>0</v>
      </c>
      <c r="I808" s="659">
        <f t="shared" ref="I808" si="223">SUM(I809:I815)</f>
        <v>0</v>
      </c>
      <c r="J808" s="659">
        <f t="shared" ref="J808" si="224">SUM(J809:J815)</f>
        <v>0</v>
      </c>
      <c r="K808" s="659">
        <f t="shared" ref="K808" si="225">SUM(K809:K815)</f>
        <v>0</v>
      </c>
      <c r="L808" s="659">
        <f t="shared" ref="L808" si="226">SUM(L809:L815)</f>
        <v>0</v>
      </c>
      <c r="M808" s="659">
        <f t="shared" ref="M808" si="227">SUM(M809:M815)</f>
        <v>0</v>
      </c>
      <c r="N808" s="659">
        <f t="shared" ref="N808" si="228">SUM(N809:N815)</f>
        <v>0</v>
      </c>
      <c r="O808" s="659">
        <f t="shared" ref="O808" si="229">SUM(O809:O815)</f>
        <v>0</v>
      </c>
      <c r="P808" s="659">
        <f t="shared" ref="P808" si="230">SUM(P809:P815)</f>
        <v>0</v>
      </c>
      <c r="Q808" s="660">
        <f t="shared" si="216"/>
        <v>0</v>
      </c>
    </row>
    <row r="809" spans="3:17" hidden="1">
      <c r="C809" s="665" t="s">
        <v>699</v>
      </c>
      <c r="D809" s="271"/>
      <c r="E809" s="307"/>
      <c r="F809" s="307"/>
      <c r="G809" s="307"/>
      <c r="H809" s="307"/>
      <c r="I809" s="307"/>
      <c r="J809" s="307"/>
      <c r="K809" s="307"/>
      <c r="L809" s="307"/>
      <c r="M809" s="307"/>
      <c r="N809" s="307"/>
      <c r="O809" s="307"/>
      <c r="P809" s="307"/>
      <c r="Q809" s="660">
        <f t="shared" si="216"/>
        <v>0</v>
      </c>
    </row>
    <row r="810" spans="3:17" hidden="1">
      <c r="C810" s="665" t="s">
        <v>914</v>
      </c>
      <c r="D810" s="271"/>
      <c r="E810" s="307"/>
      <c r="F810" s="307"/>
      <c r="G810" s="307"/>
      <c r="H810" s="307"/>
      <c r="I810" s="307"/>
      <c r="J810" s="307"/>
      <c r="K810" s="307"/>
      <c r="L810" s="307"/>
      <c r="M810" s="307"/>
      <c r="N810" s="307"/>
      <c r="O810" s="307"/>
      <c r="P810" s="307"/>
      <c r="Q810" s="660">
        <f t="shared" si="216"/>
        <v>0</v>
      </c>
    </row>
    <row r="811" spans="3:17" hidden="1">
      <c r="C811" s="665" t="s">
        <v>915</v>
      </c>
      <c r="D811" s="271"/>
      <c r="E811" s="307"/>
      <c r="F811" s="307"/>
      <c r="G811" s="307"/>
      <c r="H811" s="307"/>
      <c r="I811" s="307"/>
      <c r="J811" s="307"/>
      <c r="K811" s="307"/>
      <c r="L811" s="307"/>
      <c r="M811" s="307"/>
      <c r="N811" s="307"/>
      <c r="O811" s="307"/>
      <c r="P811" s="307"/>
      <c r="Q811" s="660">
        <f t="shared" si="216"/>
        <v>0</v>
      </c>
    </row>
    <row r="812" spans="3:17" hidden="1">
      <c r="C812" s="665" t="s">
        <v>916</v>
      </c>
      <c r="D812" s="271"/>
      <c r="E812" s="307"/>
      <c r="F812" s="307"/>
      <c r="G812" s="307"/>
      <c r="H812" s="307"/>
      <c r="I812" s="307"/>
      <c r="J812" s="307"/>
      <c r="K812" s="307"/>
      <c r="L812" s="307"/>
      <c r="M812" s="307"/>
      <c r="N812" s="307"/>
      <c r="O812" s="307"/>
      <c r="P812" s="307"/>
      <c r="Q812" s="660">
        <f t="shared" si="216"/>
        <v>0</v>
      </c>
    </row>
    <row r="813" spans="3:17" hidden="1">
      <c r="C813" s="665" t="s">
        <v>592</v>
      </c>
      <c r="D813" s="271"/>
      <c r="E813" s="307"/>
      <c r="F813" s="307"/>
      <c r="G813" s="307"/>
      <c r="H813" s="307"/>
      <c r="I813" s="307"/>
      <c r="J813" s="307"/>
      <c r="K813" s="307"/>
      <c r="L813" s="307"/>
      <c r="M813" s="307"/>
      <c r="N813" s="307"/>
      <c r="O813" s="307"/>
      <c r="P813" s="307"/>
      <c r="Q813" s="660">
        <f t="shared" si="216"/>
        <v>0</v>
      </c>
    </row>
    <row r="814" spans="3:17" hidden="1">
      <c r="C814" s="665" t="s">
        <v>702</v>
      </c>
      <c r="D814" s="271"/>
      <c r="E814" s="307"/>
      <c r="F814" s="307"/>
      <c r="G814" s="307"/>
      <c r="H814" s="307"/>
      <c r="I814" s="307"/>
      <c r="J814" s="307"/>
      <c r="K814" s="307"/>
      <c r="L814" s="307"/>
      <c r="M814" s="307"/>
      <c r="N814" s="307"/>
      <c r="O814" s="307"/>
      <c r="P814" s="307"/>
      <c r="Q814" s="660">
        <f t="shared" si="216"/>
        <v>0</v>
      </c>
    </row>
    <row r="815" spans="3:17" hidden="1">
      <c r="C815" s="665" t="s">
        <v>703</v>
      </c>
      <c r="D815" s="271"/>
      <c r="E815" s="307"/>
      <c r="F815" s="307"/>
      <c r="G815" s="307"/>
      <c r="H815" s="307"/>
      <c r="I815" s="307"/>
      <c r="J815" s="307"/>
      <c r="K815" s="307"/>
      <c r="L815" s="307"/>
      <c r="M815" s="307"/>
      <c r="N815" s="307"/>
      <c r="O815" s="307"/>
      <c r="P815" s="307"/>
      <c r="Q815" s="660">
        <f t="shared" si="216"/>
        <v>0</v>
      </c>
    </row>
    <row r="816" spans="3:17" hidden="1">
      <c r="C816" s="703" t="s">
        <v>714</v>
      </c>
      <c r="D816" s="659"/>
      <c r="E816" s="659">
        <f>SUM(E817:E820)</f>
        <v>0</v>
      </c>
      <c r="F816" s="659">
        <f t="shared" ref="F816:P816" si="231">SUM(F817:F820)</f>
        <v>0</v>
      </c>
      <c r="G816" s="659">
        <f t="shared" si="231"/>
        <v>0</v>
      </c>
      <c r="H816" s="659">
        <f t="shared" si="231"/>
        <v>0</v>
      </c>
      <c r="I816" s="659">
        <f t="shared" si="231"/>
        <v>0</v>
      </c>
      <c r="J816" s="659">
        <f t="shared" si="231"/>
        <v>0</v>
      </c>
      <c r="K816" s="659">
        <f t="shared" si="231"/>
        <v>0</v>
      </c>
      <c r="L816" s="659">
        <f t="shared" si="231"/>
        <v>0</v>
      </c>
      <c r="M816" s="659">
        <f t="shared" si="231"/>
        <v>0</v>
      </c>
      <c r="N816" s="659">
        <f t="shared" si="231"/>
        <v>0</v>
      </c>
      <c r="O816" s="659">
        <f t="shared" si="231"/>
        <v>0</v>
      </c>
      <c r="P816" s="659">
        <f t="shared" si="231"/>
        <v>0</v>
      </c>
      <c r="Q816" s="660">
        <f t="shared" si="216"/>
        <v>0</v>
      </c>
    </row>
    <row r="817" spans="3:17" ht="25.5" hidden="1">
      <c r="C817" s="665" t="s">
        <v>708</v>
      </c>
      <c r="D817" s="271"/>
      <c r="E817" s="307"/>
      <c r="F817" s="307"/>
      <c r="G817" s="307"/>
      <c r="H817" s="307"/>
      <c r="I817" s="307"/>
      <c r="J817" s="307"/>
      <c r="K817" s="307"/>
      <c r="L817" s="307"/>
      <c r="M817" s="307"/>
      <c r="N817" s="307"/>
      <c r="O817" s="307"/>
      <c r="P817" s="307"/>
      <c r="Q817" s="660">
        <f t="shared" si="216"/>
        <v>0</v>
      </c>
    </row>
    <row r="818" spans="3:17" hidden="1">
      <c r="C818" s="665" t="s">
        <v>687</v>
      </c>
      <c r="D818" s="271"/>
      <c r="E818" s="307"/>
      <c r="F818" s="307"/>
      <c r="G818" s="307"/>
      <c r="H818" s="307"/>
      <c r="I818" s="307"/>
      <c r="J818" s="307"/>
      <c r="K818" s="307"/>
      <c r="L818" s="307"/>
      <c r="M818" s="307"/>
      <c r="N818" s="307"/>
      <c r="O818" s="307"/>
      <c r="P818" s="307"/>
      <c r="Q818" s="660">
        <f t="shared" si="216"/>
        <v>0</v>
      </c>
    </row>
    <row r="819" spans="3:17" hidden="1">
      <c r="C819" s="665" t="s">
        <v>688</v>
      </c>
      <c r="D819" s="271"/>
      <c r="E819" s="307"/>
      <c r="F819" s="307"/>
      <c r="G819" s="307"/>
      <c r="H819" s="307"/>
      <c r="I819" s="307"/>
      <c r="J819" s="307"/>
      <c r="K819" s="307"/>
      <c r="L819" s="307"/>
      <c r="M819" s="307"/>
      <c r="N819" s="307"/>
      <c r="O819" s="307"/>
      <c r="P819" s="307"/>
      <c r="Q819" s="660">
        <f t="shared" si="216"/>
        <v>0</v>
      </c>
    </row>
    <row r="820" spans="3:17" hidden="1">
      <c r="C820" s="665" t="s">
        <v>704</v>
      </c>
      <c r="D820" s="271"/>
      <c r="E820" s="307"/>
      <c r="F820" s="307"/>
      <c r="G820" s="307"/>
      <c r="H820" s="307"/>
      <c r="I820" s="307"/>
      <c r="J820" s="307"/>
      <c r="K820" s="307"/>
      <c r="L820" s="307"/>
      <c r="M820" s="307"/>
      <c r="N820" s="307"/>
      <c r="O820" s="307"/>
      <c r="P820" s="307"/>
      <c r="Q820" s="660">
        <f t="shared" si="216"/>
        <v>0</v>
      </c>
    </row>
    <row r="821" spans="3:17" hidden="1">
      <c r="C821" s="703" t="s">
        <v>715</v>
      </c>
      <c r="D821" s="659"/>
      <c r="E821" s="659">
        <f>E822+E823</f>
        <v>0</v>
      </c>
      <c r="F821" s="659">
        <f t="shared" ref="F821:P821" si="232">F822+F823</f>
        <v>0</v>
      </c>
      <c r="G821" s="659">
        <f t="shared" si="232"/>
        <v>0</v>
      </c>
      <c r="H821" s="659">
        <f t="shared" si="232"/>
        <v>0</v>
      </c>
      <c r="I821" s="659">
        <f t="shared" si="232"/>
        <v>0</v>
      </c>
      <c r="J821" s="659">
        <f t="shared" si="232"/>
        <v>0</v>
      </c>
      <c r="K821" s="659">
        <f t="shared" si="232"/>
        <v>0</v>
      </c>
      <c r="L821" s="659">
        <f t="shared" si="232"/>
        <v>0</v>
      </c>
      <c r="M821" s="659">
        <f t="shared" si="232"/>
        <v>0</v>
      </c>
      <c r="N821" s="659">
        <f t="shared" si="232"/>
        <v>0</v>
      </c>
      <c r="O821" s="659">
        <f t="shared" si="232"/>
        <v>0</v>
      </c>
      <c r="P821" s="659">
        <f t="shared" si="232"/>
        <v>0</v>
      </c>
      <c r="Q821" s="660">
        <f t="shared" si="216"/>
        <v>0</v>
      </c>
    </row>
    <row r="822" spans="3:17" hidden="1">
      <c r="C822" s="665" t="s">
        <v>692</v>
      </c>
      <c r="D822" s="271"/>
      <c r="E822" s="307"/>
      <c r="F822" s="307"/>
      <c r="G822" s="307"/>
      <c r="H822" s="307"/>
      <c r="I822" s="307"/>
      <c r="J822" s="307"/>
      <c r="K822" s="307"/>
      <c r="L822" s="307"/>
      <c r="M822" s="307"/>
      <c r="N822" s="307"/>
      <c r="O822" s="307"/>
      <c r="P822" s="307"/>
      <c r="Q822" s="660">
        <f t="shared" si="216"/>
        <v>0</v>
      </c>
    </row>
    <row r="823" spans="3:17" hidden="1">
      <c r="C823" s="665" t="s">
        <v>707</v>
      </c>
      <c r="D823" s="271"/>
      <c r="E823" s="307"/>
      <c r="F823" s="307"/>
      <c r="G823" s="307"/>
      <c r="H823" s="307"/>
      <c r="I823" s="307"/>
      <c r="J823" s="307"/>
      <c r="K823" s="307"/>
      <c r="L823" s="307"/>
      <c r="M823" s="307"/>
      <c r="N823" s="307"/>
      <c r="O823" s="307"/>
      <c r="P823" s="307"/>
      <c r="Q823" s="660">
        <f t="shared" si="216"/>
        <v>0</v>
      </c>
    </row>
    <row r="824" spans="3:17" hidden="1">
      <c r="C824" s="665"/>
      <c r="D824" s="271"/>
      <c r="E824" s="307"/>
      <c r="F824" s="307"/>
      <c r="G824" s="307"/>
      <c r="H824" s="307"/>
      <c r="I824" s="307"/>
      <c r="J824" s="307"/>
      <c r="K824" s="307"/>
      <c r="L824" s="307"/>
      <c r="M824" s="307"/>
      <c r="N824" s="307"/>
      <c r="O824" s="307"/>
      <c r="P824" s="307"/>
      <c r="Q824" s="660"/>
    </row>
    <row r="825" spans="3:17" hidden="1">
      <c r="C825" s="662" t="s">
        <v>903</v>
      </c>
      <c r="D825" s="663"/>
      <c r="E825" s="663">
        <f>E826+E828+E835+E843+E848</f>
        <v>0</v>
      </c>
      <c r="F825" s="663">
        <f t="shared" ref="F825:P825" si="233">F826+F828+F835+F843+F848</f>
        <v>0</v>
      </c>
      <c r="G825" s="663">
        <f t="shared" si="233"/>
        <v>0</v>
      </c>
      <c r="H825" s="663">
        <f t="shared" si="233"/>
        <v>0</v>
      </c>
      <c r="I825" s="663">
        <f t="shared" si="233"/>
        <v>0</v>
      </c>
      <c r="J825" s="663">
        <f t="shared" si="233"/>
        <v>0</v>
      </c>
      <c r="K825" s="663">
        <f t="shared" si="233"/>
        <v>0</v>
      </c>
      <c r="L825" s="663">
        <f t="shared" si="233"/>
        <v>0</v>
      </c>
      <c r="M825" s="663">
        <f t="shared" si="233"/>
        <v>0</v>
      </c>
      <c r="N825" s="663">
        <f t="shared" si="233"/>
        <v>0</v>
      </c>
      <c r="O825" s="663">
        <f t="shared" si="233"/>
        <v>0</v>
      </c>
      <c r="P825" s="663">
        <f t="shared" si="233"/>
        <v>0</v>
      </c>
      <c r="Q825" s="664">
        <f t="shared" ref="Q825:Q852" si="234">SUM(E825:P825)</f>
        <v>0</v>
      </c>
    </row>
    <row r="826" spans="3:17" hidden="1">
      <c r="C826" s="703" t="s">
        <v>712</v>
      </c>
      <c r="D826" s="659"/>
      <c r="E826" s="659">
        <f>E827</f>
        <v>0</v>
      </c>
      <c r="F826" s="659">
        <f t="shared" ref="F826:P826" si="235">F827</f>
        <v>0</v>
      </c>
      <c r="G826" s="659">
        <f t="shared" si="235"/>
        <v>0</v>
      </c>
      <c r="H826" s="659">
        <f t="shared" si="235"/>
        <v>0</v>
      </c>
      <c r="I826" s="659">
        <f t="shared" si="235"/>
        <v>0</v>
      </c>
      <c r="J826" s="659">
        <f t="shared" si="235"/>
        <v>0</v>
      </c>
      <c r="K826" s="659">
        <f t="shared" si="235"/>
        <v>0</v>
      </c>
      <c r="L826" s="659">
        <f t="shared" si="235"/>
        <v>0</v>
      </c>
      <c r="M826" s="659">
        <f t="shared" si="235"/>
        <v>0</v>
      </c>
      <c r="N826" s="659">
        <f t="shared" si="235"/>
        <v>0</v>
      </c>
      <c r="O826" s="659">
        <f t="shared" si="235"/>
        <v>0</v>
      </c>
      <c r="P826" s="659">
        <f t="shared" si="235"/>
        <v>0</v>
      </c>
      <c r="Q826" s="660">
        <f t="shared" si="234"/>
        <v>0</v>
      </c>
    </row>
    <row r="827" spans="3:17" hidden="1">
      <c r="C827" s="665" t="s">
        <v>720</v>
      </c>
      <c r="D827" s="271"/>
      <c r="E827" s="307"/>
      <c r="F827" s="307"/>
      <c r="G827" s="307"/>
      <c r="H827" s="307"/>
      <c r="I827" s="307"/>
      <c r="J827" s="307"/>
      <c r="K827" s="307"/>
      <c r="L827" s="307"/>
      <c r="M827" s="307"/>
      <c r="N827" s="307"/>
      <c r="O827" s="307"/>
      <c r="P827" s="307"/>
      <c r="Q827" s="660">
        <f t="shared" si="234"/>
        <v>0</v>
      </c>
    </row>
    <row r="828" spans="3:17" hidden="1">
      <c r="C828" s="703" t="s">
        <v>695</v>
      </c>
      <c r="D828" s="659"/>
      <c r="E828" s="659">
        <f>SUM(E829:E834)</f>
        <v>0</v>
      </c>
      <c r="F828" s="659">
        <f t="shared" ref="F828:P828" si="236">SUM(F829:F834)</f>
        <v>0</v>
      </c>
      <c r="G828" s="659">
        <f t="shared" si="236"/>
        <v>0</v>
      </c>
      <c r="H828" s="659">
        <f t="shared" si="236"/>
        <v>0</v>
      </c>
      <c r="I828" s="659">
        <f t="shared" si="236"/>
        <v>0</v>
      </c>
      <c r="J828" s="659">
        <f t="shared" si="236"/>
        <v>0</v>
      </c>
      <c r="K828" s="659">
        <f t="shared" si="236"/>
        <v>0</v>
      </c>
      <c r="L828" s="659">
        <f t="shared" si="236"/>
        <v>0</v>
      </c>
      <c r="M828" s="659">
        <f t="shared" si="236"/>
        <v>0</v>
      </c>
      <c r="N828" s="659">
        <f t="shared" si="236"/>
        <v>0</v>
      </c>
      <c r="O828" s="659">
        <f t="shared" si="236"/>
        <v>0</v>
      </c>
      <c r="P828" s="659">
        <f t="shared" si="236"/>
        <v>0</v>
      </c>
      <c r="Q828" s="660">
        <f t="shared" si="234"/>
        <v>0</v>
      </c>
    </row>
    <row r="829" spans="3:17" hidden="1">
      <c r="C829" s="665" t="s">
        <v>696</v>
      </c>
      <c r="D829" s="271"/>
      <c r="E829" s="307"/>
      <c r="F829" s="307"/>
      <c r="G829" s="307"/>
      <c r="H829" s="307"/>
      <c r="I829" s="307"/>
      <c r="J829" s="307"/>
      <c r="K829" s="307"/>
      <c r="L829" s="307"/>
      <c r="M829" s="307"/>
      <c r="N829" s="307"/>
      <c r="O829" s="307"/>
      <c r="P829" s="307"/>
      <c r="Q829" s="660">
        <f t="shared" si="234"/>
        <v>0</v>
      </c>
    </row>
    <row r="830" spans="3:17" hidden="1">
      <c r="C830" s="665" t="s">
        <v>697</v>
      </c>
      <c r="D830" s="271"/>
      <c r="E830" s="307"/>
      <c r="F830" s="307"/>
      <c r="G830" s="307"/>
      <c r="H830" s="307"/>
      <c r="I830" s="307"/>
      <c r="J830" s="307"/>
      <c r="K830" s="307"/>
      <c r="L830" s="307"/>
      <c r="M830" s="307"/>
      <c r="N830" s="307"/>
      <c r="O830" s="307"/>
      <c r="P830" s="307"/>
      <c r="Q830" s="660">
        <f t="shared" si="234"/>
        <v>0</v>
      </c>
    </row>
    <row r="831" spans="3:17" hidden="1">
      <c r="C831" s="665" t="s">
        <v>682</v>
      </c>
      <c r="D831" s="271"/>
      <c r="E831" s="307"/>
      <c r="F831" s="307"/>
      <c r="G831" s="307"/>
      <c r="H831" s="307"/>
      <c r="I831" s="307"/>
      <c r="J831" s="307"/>
      <c r="K831" s="307"/>
      <c r="L831" s="307"/>
      <c r="M831" s="307"/>
      <c r="N831" s="307"/>
      <c r="O831" s="307"/>
      <c r="P831" s="307"/>
      <c r="Q831" s="660">
        <f t="shared" si="234"/>
        <v>0</v>
      </c>
    </row>
    <row r="832" spans="3:17" hidden="1">
      <c r="C832" s="665" t="s">
        <v>683</v>
      </c>
      <c r="D832" s="271"/>
      <c r="E832" s="307"/>
      <c r="F832" s="307"/>
      <c r="G832" s="307"/>
      <c r="H832" s="307"/>
      <c r="I832" s="307"/>
      <c r="J832" s="307"/>
      <c r="K832" s="307"/>
      <c r="L832" s="307"/>
      <c r="M832" s="307"/>
      <c r="N832" s="307"/>
      <c r="O832" s="307"/>
      <c r="P832" s="307"/>
      <c r="Q832" s="660">
        <f t="shared" si="234"/>
        <v>0</v>
      </c>
    </row>
    <row r="833" spans="3:17" hidden="1">
      <c r="C833" s="665" t="s">
        <v>684</v>
      </c>
      <c r="D833" s="271"/>
      <c r="E833" s="307"/>
      <c r="F833" s="307"/>
      <c r="G833" s="307"/>
      <c r="H833" s="307"/>
      <c r="I833" s="307"/>
      <c r="J833" s="307"/>
      <c r="K833" s="307"/>
      <c r="L833" s="307"/>
      <c r="M833" s="307"/>
      <c r="N833" s="307"/>
      <c r="O833" s="307"/>
      <c r="P833" s="307"/>
      <c r="Q833" s="660">
        <f t="shared" si="234"/>
        <v>0</v>
      </c>
    </row>
    <row r="834" spans="3:17" hidden="1">
      <c r="C834" s="665" t="s">
        <v>685</v>
      </c>
      <c r="D834" s="271"/>
      <c r="E834" s="307"/>
      <c r="F834" s="307"/>
      <c r="G834" s="307"/>
      <c r="H834" s="307"/>
      <c r="I834" s="307"/>
      <c r="J834" s="307"/>
      <c r="K834" s="307"/>
      <c r="L834" s="307"/>
      <c r="M834" s="307"/>
      <c r="N834" s="307"/>
      <c r="O834" s="307"/>
      <c r="P834" s="307"/>
      <c r="Q834" s="660">
        <f t="shared" si="234"/>
        <v>0</v>
      </c>
    </row>
    <row r="835" spans="3:17" hidden="1">
      <c r="C835" s="703" t="s">
        <v>698</v>
      </c>
      <c r="D835" s="659"/>
      <c r="E835" s="659">
        <f>SUM(E836:E842)</f>
        <v>0</v>
      </c>
      <c r="F835" s="659">
        <f t="shared" ref="F835" si="237">SUM(F836:F842)</f>
        <v>0</v>
      </c>
      <c r="G835" s="659">
        <f t="shared" ref="G835" si="238">SUM(G836:G842)</f>
        <v>0</v>
      </c>
      <c r="H835" s="659">
        <f t="shared" ref="H835" si="239">SUM(H836:H842)</f>
        <v>0</v>
      </c>
      <c r="I835" s="659">
        <f t="shared" ref="I835" si="240">SUM(I836:I842)</f>
        <v>0</v>
      </c>
      <c r="J835" s="659">
        <f t="shared" ref="J835" si="241">SUM(J836:J842)</f>
        <v>0</v>
      </c>
      <c r="K835" s="659">
        <f t="shared" ref="K835" si="242">SUM(K836:K842)</f>
        <v>0</v>
      </c>
      <c r="L835" s="659">
        <f t="shared" ref="L835" si="243">SUM(L836:L842)</f>
        <v>0</v>
      </c>
      <c r="M835" s="659">
        <f t="shared" ref="M835" si="244">SUM(M836:M842)</f>
        <v>0</v>
      </c>
      <c r="N835" s="659">
        <f t="shared" ref="N835" si="245">SUM(N836:N842)</f>
        <v>0</v>
      </c>
      <c r="O835" s="659">
        <f t="shared" ref="O835" si="246">SUM(O836:O842)</f>
        <v>0</v>
      </c>
      <c r="P835" s="659">
        <f t="shared" ref="P835" si="247">SUM(P836:P842)</f>
        <v>0</v>
      </c>
      <c r="Q835" s="660">
        <f t="shared" si="234"/>
        <v>0</v>
      </c>
    </row>
    <row r="836" spans="3:17" hidden="1">
      <c r="C836" s="665" t="s">
        <v>699</v>
      </c>
      <c r="D836" s="271"/>
      <c r="E836" s="307"/>
      <c r="F836" s="307"/>
      <c r="G836" s="307"/>
      <c r="H836" s="307"/>
      <c r="I836" s="307"/>
      <c r="J836" s="307"/>
      <c r="K836" s="307"/>
      <c r="L836" s="307"/>
      <c r="M836" s="307"/>
      <c r="N836" s="307"/>
      <c r="O836" s="307"/>
      <c r="P836" s="307"/>
      <c r="Q836" s="660"/>
    </row>
    <row r="837" spans="3:17" hidden="1">
      <c r="C837" s="665" t="s">
        <v>914</v>
      </c>
      <c r="D837" s="271"/>
      <c r="E837" s="307"/>
      <c r="F837" s="307"/>
      <c r="G837" s="307"/>
      <c r="H837" s="307"/>
      <c r="I837" s="307"/>
      <c r="J837" s="307"/>
      <c r="K837" s="307"/>
      <c r="L837" s="307"/>
      <c r="M837" s="307"/>
      <c r="N837" s="307"/>
      <c r="O837" s="307"/>
      <c r="P837" s="307"/>
      <c r="Q837" s="660">
        <f t="shared" si="234"/>
        <v>0</v>
      </c>
    </row>
    <row r="838" spans="3:17" hidden="1">
      <c r="C838" s="665" t="s">
        <v>915</v>
      </c>
      <c r="D838" s="271"/>
      <c r="E838" s="307"/>
      <c r="F838" s="307"/>
      <c r="G838" s="307"/>
      <c r="H838" s="307"/>
      <c r="I838" s="307"/>
      <c r="J838" s="307"/>
      <c r="K838" s="307"/>
      <c r="L838" s="307"/>
      <c r="M838" s="307"/>
      <c r="N838" s="307"/>
      <c r="O838" s="307"/>
      <c r="P838" s="307"/>
      <c r="Q838" s="660">
        <f t="shared" si="234"/>
        <v>0</v>
      </c>
    </row>
    <row r="839" spans="3:17" hidden="1">
      <c r="C839" s="665" t="s">
        <v>916</v>
      </c>
      <c r="D839" s="271"/>
      <c r="E839" s="307"/>
      <c r="F839" s="307"/>
      <c r="G839" s="307"/>
      <c r="H839" s="307"/>
      <c r="I839" s="307"/>
      <c r="J839" s="307"/>
      <c r="K839" s="307"/>
      <c r="L839" s="307"/>
      <c r="M839" s="307"/>
      <c r="N839" s="307"/>
      <c r="O839" s="307"/>
      <c r="P839" s="307"/>
      <c r="Q839" s="660">
        <f t="shared" si="234"/>
        <v>0</v>
      </c>
    </row>
    <row r="840" spans="3:17" hidden="1">
      <c r="C840" s="665" t="s">
        <v>592</v>
      </c>
      <c r="D840" s="271"/>
      <c r="E840" s="307"/>
      <c r="F840" s="307"/>
      <c r="G840" s="307"/>
      <c r="H840" s="307"/>
      <c r="I840" s="307"/>
      <c r="J840" s="307"/>
      <c r="K840" s="307"/>
      <c r="L840" s="307"/>
      <c r="M840" s="307"/>
      <c r="N840" s="307"/>
      <c r="O840" s="307"/>
      <c r="P840" s="307"/>
      <c r="Q840" s="660">
        <f t="shared" si="234"/>
        <v>0</v>
      </c>
    </row>
    <row r="841" spans="3:17" hidden="1">
      <c r="C841" s="665" t="s">
        <v>702</v>
      </c>
      <c r="D841" s="271"/>
      <c r="E841" s="307"/>
      <c r="F841" s="307"/>
      <c r="G841" s="307"/>
      <c r="H841" s="307"/>
      <c r="I841" s="307"/>
      <c r="J841" s="307"/>
      <c r="K841" s="307"/>
      <c r="L841" s="307"/>
      <c r="M841" s="307"/>
      <c r="N841" s="307"/>
      <c r="O841" s="307"/>
      <c r="P841" s="307"/>
      <c r="Q841" s="660">
        <f t="shared" si="234"/>
        <v>0</v>
      </c>
    </row>
    <row r="842" spans="3:17" hidden="1">
      <c r="C842" s="665" t="s">
        <v>703</v>
      </c>
      <c r="D842" s="271"/>
      <c r="E842" s="307"/>
      <c r="F842" s="307"/>
      <c r="G842" s="307"/>
      <c r="H842" s="307"/>
      <c r="I842" s="307"/>
      <c r="J842" s="307"/>
      <c r="K842" s="307"/>
      <c r="L842" s="307"/>
      <c r="M842" s="307"/>
      <c r="N842" s="307"/>
      <c r="O842" s="307"/>
      <c r="P842" s="307"/>
      <c r="Q842" s="660">
        <f t="shared" si="234"/>
        <v>0</v>
      </c>
    </row>
    <row r="843" spans="3:17" hidden="1">
      <c r="C843" s="703" t="s">
        <v>714</v>
      </c>
      <c r="D843" s="659"/>
      <c r="E843" s="659">
        <f>SUM(E844:E847)</f>
        <v>0</v>
      </c>
      <c r="F843" s="659">
        <f t="shared" ref="F843:P843" si="248">SUM(F844:F847)</f>
        <v>0</v>
      </c>
      <c r="G843" s="659">
        <f t="shared" si="248"/>
        <v>0</v>
      </c>
      <c r="H843" s="659">
        <f t="shared" si="248"/>
        <v>0</v>
      </c>
      <c r="I843" s="659">
        <f t="shared" si="248"/>
        <v>0</v>
      </c>
      <c r="J843" s="659">
        <f t="shared" si="248"/>
        <v>0</v>
      </c>
      <c r="K843" s="659">
        <f t="shared" si="248"/>
        <v>0</v>
      </c>
      <c r="L843" s="659">
        <f t="shared" si="248"/>
        <v>0</v>
      </c>
      <c r="M843" s="659">
        <f t="shared" si="248"/>
        <v>0</v>
      </c>
      <c r="N843" s="659">
        <f t="shared" si="248"/>
        <v>0</v>
      </c>
      <c r="O843" s="659">
        <f t="shared" si="248"/>
        <v>0</v>
      </c>
      <c r="P843" s="659">
        <f t="shared" si="248"/>
        <v>0</v>
      </c>
      <c r="Q843" s="660">
        <f t="shared" si="234"/>
        <v>0</v>
      </c>
    </row>
    <row r="844" spans="3:17" ht="25.5" hidden="1">
      <c r="C844" s="665" t="s">
        <v>708</v>
      </c>
      <c r="D844" s="271"/>
      <c r="E844" s="307"/>
      <c r="F844" s="307"/>
      <c r="G844" s="307"/>
      <c r="H844" s="307"/>
      <c r="I844" s="307"/>
      <c r="J844" s="307"/>
      <c r="K844" s="307"/>
      <c r="L844" s="307"/>
      <c r="M844" s="307"/>
      <c r="N844" s="307"/>
      <c r="O844" s="307"/>
      <c r="P844" s="307"/>
      <c r="Q844" s="660">
        <f t="shared" si="234"/>
        <v>0</v>
      </c>
    </row>
    <row r="845" spans="3:17" hidden="1">
      <c r="C845" s="665" t="s">
        <v>687</v>
      </c>
      <c r="D845" s="271"/>
      <c r="E845" s="307"/>
      <c r="F845" s="307"/>
      <c r="G845" s="307"/>
      <c r="H845" s="307"/>
      <c r="I845" s="307"/>
      <c r="J845" s="307"/>
      <c r="K845" s="307"/>
      <c r="L845" s="307"/>
      <c r="M845" s="307"/>
      <c r="N845" s="307"/>
      <c r="O845" s="307"/>
      <c r="P845" s="307"/>
      <c r="Q845" s="660">
        <f t="shared" si="234"/>
        <v>0</v>
      </c>
    </row>
    <row r="846" spans="3:17" hidden="1">
      <c r="C846" s="665" t="s">
        <v>688</v>
      </c>
      <c r="D846" s="271"/>
      <c r="E846" s="307"/>
      <c r="F846" s="307"/>
      <c r="G846" s="307"/>
      <c r="H846" s="307"/>
      <c r="I846" s="307"/>
      <c r="J846" s="307"/>
      <c r="K846" s="307"/>
      <c r="L846" s="307"/>
      <c r="M846" s="307"/>
      <c r="N846" s="307"/>
      <c r="O846" s="307"/>
      <c r="P846" s="307"/>
      <c r="Q846" s="660">
        <f t="shared" si="234"/>
        <v>0</v>
      </c>
    </row>
    <row r="847" spans="3:17" hidden="1">
      <c r="C847" s="665" t="s">
        <v>704</v>
      </c>
      <c r="D847" s="271"/>
      <c r="E847" s="307"/>
      <c r="F847" s="307"/>
      <c r="G847" s="307"/>
      <c r="H847" s="307"/>
      <c r="I847" s="307"/>
      <c r="J847" s="307"/>
      <c r="K847" s="307"/>
      <c r="L847" s="307"/>
      <c r="M847" s="307"/>
      <c r="N847" s="307"/>
      <c r="O847" s="307"/>
      <c r="P847" s="307"/>
      <c r="Q847" s="660">
        <f t="shared" si="234"/>
        <v>0</v>
      </c>
    </row>
    <row r="848" spans="3:17" hidden="1">
      <c r="C848" s="703" t="s">
        <v>715</v>
      </c>
      <c r="D848" s="659"/>
      <c r="E848" s="659">
        <f>E849+E850</f>
        <v>0</v>
      </c>
      <c r="F848" s="659">
        <f t="shared" ref="F848:P848" si="249">F849+F850</f>
        <v>0</v>
      </c>
      <c r="G848" s="659">
        <f t="shared" si="249"/>
        <v>0</v>
      </c>
      <c r="H848" s="659">
        <f t="shared" si="249"/>
        <v>0</v>
      </c>
      <c r="I848" s="659">
        <f t="shared" si="249"/>
        <v>0</v>
      </c>
      <c r="J848" s="659">
        <f t="shared" si="249"/>
        <v>0</v>
      </c>
      <c r="K848" s="659">
        <f t="shared" si="249"/>
        <v>0</v>
      </c>
      <c r="L848" s="659">
        <f t="shared" si="249"/>
        <v>0</v>
      </c>
      <c r="M848" s="659">
        <f t="shared" si="249"/>
        <v>0</v>
      </c>
      <c r="N848" s="659">
        <f t="shared" si="249"/>
        <v>0</v>
      </c>
      <c r="O848" s="659">
        <f t="shared" si="249"/>
        <v>0</v>
      </c>
      <c r="P848" s="659">
        <f t="shared" si="249"/>
        <v>0</v>
      </c>
      <c r="Q848" s="660">
        <f t="shared" si="234"/>
        <v>0</v>
      </c>
    </row>
    <row r="849" spans="3:17" hidden="1">
      <c r="C849" s="665" t="s">
        <v>692</v>
      </c>
      <c r="D849" s="271"/>
      <c r="E849" s="307"/>
      <c r="F849" s="307"/>
      <c r="G849" s="307"/>
      <c r="H849" s="307"/>
      <c r="I849" s="307"/>
      <c r="J849" s="307"/>
      <c r="K849" s="307"/>
      <c r="L849" s="307"/>
      <c r="M849" s="307"/>
      <c r="N849" s="307"/>
      <c r="O849" s="307"/>
      <c r="P849" s="307"/>
      <c r="Q849" s="660">
        <f t="shared" si="234"/>
        <v>0</v>
      </c>
    </row>
    <row r="850" spans="3:17" hidden="1">
      <c r="C850" s="665" t="s">
        <v>707</v>
      </c>
      <c r="D850" s="271"/>
      <c r="E850" s="307"/>
      <c r="F850" s="307"/>
      <c r="G850" s="307"/>
      <c r="H850" s="307"/>
      <c r="I850" s="307"/>
      <c r="J850" s="307"/>
      <c r="K850" s="307"/>
      <c r="L850" s="307"/>
      <c r="M850" s="307"/>
      <c r="N850" s="307"/>
      <c r="O850" s="307"/>
      <c r="P850" s="307"/>
      <c r="Q850" s="660">
        <f t="shared" si="234"/>
        <v>0</v>
      </c>
    </row>
    <row r="851" spans="3:17" hidden="1">
      <c r="C851" s="393" t="s">
        <v>643</v>
      </c>
      <c r="D851" s="271"/>
      <c r="E851" s="528">
        <f t="shared" ref="E851:Q851" si="250">E744+E771+E798+E825</f>
        <v>0</v>
      </c>
      <c r="F851" s="528">
        <f t="shared" si="250"/>
        <v>0</v>
      </c>
      <c r="G851" s="528">
        <f t="shared" si="250"/>
        <v>0</v>
      </c>
      <c r="H851" s="528">
        <f t="shared" si="250"/>
        <v>0</v>
      </c>
      <c r="I851" s="528">
        <f t="shared" si="250"/>
        <v>0</v>
      </c>
      <c r="J851" s="528">
        <f t="shared" si="250"/>
        <v>0</v>
      </c>
      <c r="K851" s="528">
        <f t="shared" si="250"/>
        <v>0</v>
      </c>
      <c r="L851" s="528">
        <f t="shared" si="250"/>
        <v>0</v>
      </c>
      <c r="M851" s="528">
        <f t="shared" si="250"/>
        <v>0</v>
      </c>
      <c r="N851" s="528">
        <f t="shared" si="250"/>
        <v>0</v>
      </c>
      <c r="O851" s="528">
        <f t="shared" si="250"/>
        <v>0</v>
      </c>
      <c r="P851" s="528">
        <f t="shared" si="250"/>
        <v>0</v>
      </c>
      <c r="Q851" s="529">
        <f t="shared" si="250"/>
        <v>0</v>
      </c>
    </row>
    <row r="852" spans="3:17" ht="13.5" hidden="1" thickBot="1">
      <c r="C852" s="669" t="s">
        <v>644</v>
      </c>
      <c r="D852" s="531"/>
      <c r="E852" s="280">
        <f t="shared" ref="E852:P852" si="251">E741+E851</f>
        <v>0</v>
      </c>
      <c r="F852" s="280">
        <f t="shared" si="251"/>
        <v>0</v>
      </c>
      <c r="G852" s="280">
        <f t="shared" si="251"/>
        <v>0</v>
      </c>
      <c r="H852" s="280">
        <f t="shared" si="251"/>
        <v>0</v>
      </c>
      <c r="I852" s="280">
        <f t="shared" si="251"/>
        <v>0</v>
      </c>
      <c r="J852" s="280">
        <f t="shared" si="251"/>
        <v>0</v>
      </c>
      <c r="K852" s="280">
        <f t="shared" si="251"/>
        <v>0</v>
      </c>
      <c r="L852" s="280">
        <f t="shared" si="251"/>
        <v>0</v>
      </c>
      <c r="M852" s="280">
        <f t="shared" si="251"/>
        <v>0</v>
      </c>
      <c r="N852" s="280">
        <f t="shared" si="251"/>
        <v>0</v>
      </c>
      <c r="O852" s="280">
        <f t="shared" si="251"/>
        <v>0</v>
      </c>
      <c r="P852" s="280">
        <f t="shared" si="251"/>
        <v>0</v>
      </c>
      <c r="Q852" s="281">
        <f t="shared" si="234"/>
        <v>0</v>
      </c>
    </row>
    <row r="853" spans="3:17" hidden="1"/>
    <row r="854" spans="3:17" ht="13.5" hidden="1" thickBot="1">
      <c r="C854" s="699">
        <f>Notes!C11</f>
        <v>0</v>
      </c>
      <c r="D854" s="700"/>
      <c r="E854" s="701"/>
      <c r="F854" s="701"/>
      <c r="G854" s="701"/>
      <c r="H854" s="701"/>
      <c r="I854" s="701"/>
      <c r="J854" s="701"/>
      <c r="K854" s="701"/>
      <c r="L854" s="701"/>
      <c r="M854" s="701"/>
      <c r="N854" s="701"/>
      <c r="O854" s="701"/>
      <c r="P854" s="701"/>
      <c r="Q854" s="702"/>
    </row>
    <row r="855" spans="3:17" hidden="1">
      <c r="C855" s="651" t="s">
        <v>673</v>
      </c>
      <c r="D855" s="377" t="s">
        <v>93</v>
      </c>
      <c r="E855" s="673" t="s">
        <v>146</v>
      </c>
      <c r="F855" s="673" t="s">
        <v>147</v>
      </c>
      <c r="G855" s="673" t="s">
        <v>148</v>
      </c>
      <c r="H855" s="673" t="s">
        <v>149</v>
      </c>
      <c r="I855" s="673" t="s">
        <v>150</v>
      </c>
      <c r="J855" s="673" t="s">
        <v>151</v>
      </c>
      <c r="K855" s="673" t="s">
        <v>152</v>
      </c>
      <c r="L855" s="673" t="s">
        <v>153</v>
      </c>
      <c r="M855" s="673" t="s">
        <v>154</v>
      </c>
      <c r="N855" s="673" t="s">
        <v>155</v>
      </c>
      <c r="O855" s="673" t="s">
        <v>156</v>
      </c>
      <c r="P855" s="673" t="s">
        <v>157</v>
      </c>
      <c r="Q855" s="674" t="s">
        <v>98</v>
      </c>
    </row>
    <row r="856" spans="3:17" hidden="1">
      <c r="C856" s="662" t="s">
        <v>598</v>
      </c>
      <c r="D856" s="663"/>
      <c r="E856" s="663"/>
      <c r="F856" s="663"/>
      <c r="G856" s="663"/>
      <c r="H856" s="663"/>
      <c r="I856" s="663"/>
      <c r="J856" s="663"/>
      <c r="K856" s="663"/>
      <c r="L856" s="663"/>
      <c r="M856" s="663"/>
      <c r="N856" s="663"/>
      <c r="O856" s="663"/>
      <c r="P856" s="663"/>
      <c r="Q856" s="664"/>
    </row>
    <row r="857" spans="3:17" ht="15" hidden="1" customHeight="1">
      <c r="C857" s="667" t="s">
        <v>591</v>
      </c>
      <c r="D857" s="271"/>
      <c r="E857" s="307"/>
      <c r="F857" s="307"/>
      <c r="G857" s="307"/>
      <c r="H857" s="307"/>
      <c r="I857" s="307"/>
      <c r="J857" s="307"/>
      <c r="K857" s="307"/>
      <c r="L857" s="307"/>
      <c r="M857" s="307"/>
      <c r="N857" s="307"/>
      <c r="O857" s="307"/>
      <c r="P857" s="307"/>
      <c r="Q857" s="660">
        <f t="shared" ref="Q857:Q864" si="252">SUM(E857:P857)</f>
        <v>0</v>
      </c>
    </row>
    <row r="858" spans="3:17" ht="15" hidden="1" customHeight="1">
      <c r="C858" s="667" t="s">
        <v>599</v>
      </c>
      <c r="D858" s="271"/>
      <c r="E858" s="307"/>
      <c r="F858" s="307"/>
      <c r="G858" s="307"/>
      <c r="H858" s="307"/>
      <c r="I858" s="307"/>
      <c r="J858" s="307"/>
      <c r="K858" s="307"/>
      <c r="L858" s="307"/>
      <c r="M858" s="307"/>
      <c r="N858" s="307"/>
      <c r="O858" s="307"/>
      <c r="P858" s="307"/>
      <c r="Q858" s="660">
        <f t="shared" si="252"/>
        <v>0</v>
      </c>
    </row>
    <row r="859" spans="3:17" ht="15" hidden="1" customHeight="1">
      <c r="C859" s="667" t="s">
        <v>596</v>
      </c>
      <c r="D859" s="271"/>
      <c r="E859" s="307"/>
      <c r="F859" s="307"/>
      <c r="G859" s="307"/>
      <c r="H859" s="307"/>
      <c r="I859" s="307"/>
      <c r="J859" s="307"/>
      <c r="K859" s="307"/>
      <c r="L859" s="307"/>
      <c r="M859" s="307"/>
      <c r="N859" s="307"/>
      <c r="O859" s="307"/>
      <c r="P859" s="307"/>
      <c r="Q859" s="660">
        <f t="shared" si="252"/>
        <v>0</v>
      </c>
    </row>
    <row r="860" spans="3:17" ht="15" hidden="1" customHeight="1">
      <c r="C860" s="667" t="s">
        <v>632</v>
      </c>
      <c r="D860" s="271"/>
      <c r="E860" s="307"/>
      <c r="F860" s="307"/>
      <c r="G860" s="307"/>
      <c r="H860" s="307"/>
      <c r="I860" s="307"/>
      <c r="J860" s="307"/>
      <c r="K860" s="307"/>
      <c r="L860" s="307"/>
      <c r="M860" s="307"/>
      <c r="N860" s="307"/>
      <c r="O860" s="307"/>
      <c r="P860" s="307"/>
      <c r="Q860" s="660">
        <f t="shared" si="252"/>
        <v>0</v>
      </c>
    </row>
    <row r="861" spans="3:17" ht="15" hidden="1" customHeight="1">
      <c r="C861" s="667" t="s">
        <v>597</v>
      </c>
      <c r="D861" s="271"/>
      <c r="E861" s="307"/>
      <c r="F861" s="307"/>
      <c r="G861" s="307"/>
      <c r="H861" s="307"/>
      <c r="I861" s="307"/>
      <c r="J861" s="307"/>
      <c r="K861" s="307"/>
      <c r="L861" s="307"/>
      <c r="M861" s="307"/>
      <c r="N861" s="307"/>
      <c r="O861" s="307"/>
      <c r="P861" s="307"/>
      <c r="Q861" s="660">
        <f t="shared" si="252"/>
        <v>0</v>
      </c>
    </row>
    <row r="862" spans="3:17" ht="15" hidden="1" customHeight="1">
      <c r="C862" s="274" t="s">
        <v>904</v>
      </c>
      <c r="D862" s="271"/>
      <c r="E862" s="307"/>
      <c r="F862" s="307"/>
      <c r="G862" s="307"/>
      <c r="H862" s="307"/>
      <c r="I862" s="307"/>
      <c r="J862" s="307"/>
      <c r="K862" s="307"/>
      <c r="L862" s="307"/>
      <c r="M862" s="307"/>
      <c r="N862" s="307"/>
      <c r="O862" s="307"/>
      <c r="P862" s="307"/>
      <c r="Q862" s="660">
        <f t="shared" si="252"/>
        <v>0</v>
      </c>
    </row>
    <row r="863" spans="3:17" ht="18.75" hidden="1" customHeight="1">
      <c r="C863" s="274" t="s">
        <v>905</v>
      </c>
      <c r="D863" s="271"/>
      <c r="E863" s="307"/>
      <c r="F863" s="307"/>
      <c r="G863" s="307"/>
      <c r="H863" s="307"/>
      <c r="I863" s="307"/>
      <c r="J863" s="307"/>
      <c r="K863" s="307"/>
      <c r="L863" s="307"/>
      <c r="M863" s="307"/>
      <c r="N863" s="307"/>
      <c r="O863" s="307"/>
      <c r="P863" s="307"/>
      <c r="Q863" s="660">
        <f t="shared" si="252"/>
        <v>0</v>
      </c>
    </row>
    <row r="864" spans="3:17" ht="21" hidden="1" customHeight="1">
      <c r="C864" s="658" t="s">
        <v>600</v>
      </c>
      <c r="D864" s="659"/>
      <c r="E864" s="659">
        <f>SUM(E857:E861)</f>
        <v>0</v>
      </c>
      <c r="F864" s="659">
        <f t="shared" ref="F864:P864" si="253">SUM(F857:F861)</f>
        <v>0</v>
      </c>
      <c r="G864" s="659">
        <f t="shared" si="253"/>
        <v>0</v>
      </c>
      <c r="H864" s="659">
        <f t="shared" si="253"/>
        <v>0</v>
      </c>
      <c r="I864" s="659">
        <f t="shared" si="253"/>
        <v>0</v>
      </c>
      <c r="J864" s="659">
        <f t="shared" si="253"/>
        <v>0</v>
      </c>
      <c r="K864" s="659">
        <f t="shared" si="253"/>
        <v>0</v>
      </c>
      <c r="L864" s="659">
        <f t="shared" si="253"/>
        <v>0</v>
      </c>
      <c r="M864" s="659">
        <f t="shared" si="253"/>
        <v>0</v>
      </c>
      <c r="N864" s="659">
        <f t="shared" si="253"/>
        <v>0</v>
      </c>
      <c r="O864" s="659">
        <f t="shared" si="253"/>
        <v>0</v>
      </c>
      <c r="P864" s="659">
        <f t="shared" si="253"/>
        <v>0</v>
      </c>
      <c r="Q864" s="660">
        <f t="shared" si="252"/>
        <v>0</v>
      </c>
    </row>
    <row r="865" spans="3:17" hidden="1">
      <c r="C865" s="392"/>
      <c r="D865" s="271"/>
      <c r="E865" s="307"/>
      <c r="F865" s="307"/>
      <c r="G865" s="307"/>
      <c r="H865" s="307"/>
      <c r="I865" s="307"/>
      <c r="J865" s="307"/>
      <c r="K865" s="307"/>
      <c r="L865" s="307"/>
      <c r="M865" s="307"/>
      <c r="N865" s="307"/>
      <c r="O865" s="307"/>
      <c r="P865" s="307"/>
      <c r="Q865" s="436"/>
    </row>
    <row r="866" spans="3:17" hidden="1">
      <c r="C866" s="393" t="s">
        <v>601</v>
      </c>
      <c r="D866" s="528"/>
      <c r="E866" s="528"/>
      <c r="F866" s="528"/>
      <c r="G866" s="528"/>
      <c r="H866" s="528"/>
      <c r="I866" s="528"/>
      <c r="J866" s="528"/>
      <c r="K866" s="528"/>
      <c r="L866" s="528"/>
      <c r="M866" s="528"/>
      <c r="N866" s="528"/>
      <c r="O866" s="528"/>
      <c r="P866" s="528"/>
      <c r="Q866" s="708"/>
    </row>
    <row r="867" spans="3:17" hidden="1">
      <c r="C867" s="662" t="s">
        <v>602</v>
      </c>
      <c r="D867" s="663"/>
      <c r="E867" s="663">
        <f>E868+E870+E877+E885+E890+E893</f>
        <v>0</v>
      </c>
      <c r="F867" s="663">
        <f t="shared" ref="F867:P867" si="254">F868+F870+F877+F885+F890+F893</f>
        <v>0</v>
      </c>
      <c r="G867" s="663">
        <f t="shared" si="254"/>
        <v>0</v>
      </c>
      <c r="H867" s="663">
        <f t="shared" si="254"/>
        <v>0</v>
      </c>
      <c r="I867" s="663">
        <f t="shared" si="254"/>
        <v>0</v>
      </c>
      <c r="J867" s="663">
        <f t="shared" si="254"/>
        <v>0</v>
      </c>
      <c r="K867" s="663">
        <f t="shared" si="254"/>
        <v>0</v>
      </c>
      <c r="L867" s="663">
        <f t="shared" si="254"/>
        <v>0</v>
      </c>
      <c r="M867" s="663">
        <f t="shared" si="254"/>
        <v>0</v>
      </c>
      <c r="N867" s="663">
        <f t="shared" si="254"/>
        <v>0</v>
      </c>
      <c r="O867" s="663">
        <f t="shared" si="254"/>
        <v>0</v>
      </c>
      <c r="P867" s="663">
        <f t="shared" si="254"/>
        <v>0</v>
      </c>
      <c r="Q867" s="664">
        <f t="shared" ref="Q867:Q892" si="255">SUM(E867:P867)</f>
        <v>0</v>
      </c>
    </row>
    <row r="868" spans="3:17" hidden="1">
      <c r="C868" s="703" t="s">
        <v>712</v>
      </c>
      <c r="D868" s="659"/>
      <c r="E868" s="659">
        <f>E869</f>
        <v>0</v>
      </c>
      <c r="F868" s="659">
        <f t="shared" ref="F868:P868" si="256">F869</f>
        <v>0</v>
      </c>
      <c r="G868" s="659">
        <f t="shared" si="256"/>
        <v>0</v>
      </c>
      <c r="H868" s="659">
        <f t="shared" si="256"/>
        <v>0</v>
      </c>
      <c r="I868" s="659">
        <f t="shared" si="256"/>
        <v>0</v>
      </c>
      <c r="J868" s="659">
        <f t="shared" si="256"/>
        <v>0</v>
      </c>
      <c r="K868" s="659">
        <f t="shared" si="256"/>
        <v>0</v>
      </c>
      <c r="L868" s="659">
        <f t="shared" si="256"/>
        <v>0</v>
      </c>
      <c r="M868" s="659">
        <f t="shared" si="256"/>
        <v>0</v>
      </c>
      <c r="N868" s="659">
        <f t="shared" si="256"/>
        <v>0</v>
      </c>
      <c r="O868" s="659">
        <f t="shared" si="256"/>
        <v>0</v>
      </c>
      <c r="P868" s="659">
        <f t="shared" si="256"/>
        <v>0</v>
      </c>
      <c r="Q868" s="660">
        <f t="shared" si="255"/>
        <v>0</v>
      </c>
    </row>
    <row r="869" spans="3:17" hidden="1">
      <c r="C869" s="665" t="s">
        <v>713</v>
      </c>
      <c r="D869" s="271"/>
      <c r="E869" s="307"/>
      <c r="F869" s="307"/>
      <c r="G869" s="307"/>
      <c r="H869" s="307"/>
      <c r="I869" s="307"/>
      <c r="J869" s="307"/>
      <c r="K869" s="307"/>
      <c r="L869" s="307"/>
      <c r="M869" s="307"/>
      <c r="N869" s="307"/>
      <c r="O869" s="307"/>
      <c r="P869" s="307"/>
      <c r="Q869" s="660">
        <f t="shared" si="255"/>
        <v>0</v>
      </c>
    </row>
    <row r="870" spans="3:17" hidden="1">
      <c r="C870" s="703" t="s">
        <v>695</v>
      </c>
      <c r="D870" s="659"/>
      <c r="E870" s="659">
        <f>SUM(E871:E876)</f>
        <v>0</v>
      </c>
      <c r="F870" s="659">
        <f t="shared" ref="F870:P870" si="257">SUM(F871:F876)</f>
        <v>0</v>
      </c>
      <c r="G870" s="659">
        <f t="shared" si="257"/>
        <v>0</v>
      </c>
      <c r="H870" s="659">
        <f t="shared" si="257"/>
        <v>0</v>
      </c>
      <c r="I870" s="659">
        <f t="shared" si="257"/>
        <v>0</v>
      </c>
      <c r="J870" s="659">
        <f t="shared" si="257"/>
        <v>0</v>
      </c>
      <c r="K870" s="659">
        <f t="shared" si="257"/>
        <v>0</v>
      </c>
      <c r="L870" s="659">
        <f t="shared" si="257"/>
        <v>0</v>
      </c>
      <c r="M870" s="659">
        <f t="shared" si="257"/>
        <v>0</v>
      </c>
      <c r="N870" s="659">
        <f t="shared" si="257"/>
        <v>0</v>
      </c>
      <c r="O870" s="659">
        <f t="shared" si="257"/>
        <v>0</v>
      </c>
      <c r="P870" s="659">
        <f t="shared" si="257"/>
        <v>0</v>
      </c>
      <c r="Q870" s="660">
        <f t="shared" si="255"/>
        <v>0</v>
      </c>
    </row>
    <row r="871" spans="3:17" hidden="1">
      <c r="C871" s="665" t="s">
        <v>696</v>
      </c>
      <c r="D871" s="271"/>
      <c r="E871" s="307"/>
      <c r="F871" s="307"/>
      <c r="G871" s="307"/>
      <c r="H871" s="307"/>
      <c r="I871" s="307"/>
      <c r="J871" s="307"/>
      <c r="K871" s="307"/>
      <c r="L871" s="307"/>
      <c r="M871" s="307"/>
      <c r="N871" s="307"/>
      <c r="O871" s="307"/>
      <c r="P871" s="307"/>
      <c r="Q871" s="660">
        <f t="shared" si="255"/>
        <v>0</v>
      </c>
    </row>
    <row r="872" spans="3:17" hidden="1">
      <c r="C872" s="665" t="s">
        <v>697</v>
      </c>
      <c r="D872" s="271"/>
      <c r="E872" s="307"/>
      <c r="F872" s="307"/>
      <c r="G872" s="307"/>
      <c r="H872" s="307"/>
      <c r="I872" s="307"/>
      <c r="J872" s="307"/>
      <c r="K872" s="307"/>
      <c r="L872" s="307"/>
      <c r="M872" s="307"/>
      <c r="N872" s="307"/>
      <c r="O872" s="307"/>
      <c r="P872" s="307"/>
      <c r="Q872" s="660">
        <f t="shared" si="255"/>
        <v>0</v>
      </c>
    </row>
    <row r="873" spans="3:17" hidden="1">
      <c r="C873" s="665" t="s">
        <v>682</v>
      </c>
      <c r="D873" s="271"/>
      <c r="E873" s="307"/>
      <c r="F873" s="307"/>
      <c r="G873" s="307"/>
      <c r="H873" s="307"/>
      <c r="I873" s="307"/>
      <c r="J873" s="307"/>
      <c r="K873" s="307"/>
      <c r="L873" s="307"/>
      <c r="M873" s="307"/>
      <c r="N873" s="307"/>
      <c r="O873" s="307"/>
      <c r="P873" s="307"/>
      <c r="Q873" s="660">
        <f t="shared" si="255"/>
        <v>0</v>
      </c>
    </row>
    <row r="874" spans="3:17" hidden="1">
      <c r="C874" s="665" t="s">
        <v>683</v>
      </c>
      <c r="D874" s="271"/>
      <c r="E874" s="307"/>
      <c r="F874" s="307"/>
      <c r="G874" s="307"/>
      <c r="H874" s="307"/>
      <c r="I874" s="307"/>
      <c r="J874" s="307"/>
      <c r="K874" s="307"/>
      <c r="L874" s="307"/>
      <c r="M874" s="307"/>
      <c r="N874" s="307"/>
      <c r="O874" s="307"/>
      <c r="P874" s="307"/>
      <c r="Q874" s="660">
        <f t="shared" si="255"/>
        <v>0</v>
      </c>
    </row>
    <row r="875" spans="3:17" hidden="1">
      <c r="C875" s="665" t="s">
        <v>684</v>
      </c>
      <c r="D875" s="271"/>
      <c r="E875" s="307"/>
      <c r="F875" s="307"/>
      <c r="G875" s="307"/>
      <c r="H875" s="307"/>
      <c r="I875" s="307"/>
      <c r="J875" s="307"/>
      <c r="K875" s="307"/>
      <c r="L875" s="307"/>
      <c r="M875" s="307"/>
      <c r="N875" s="307"/>
      <c r="O875" s="307"/>
      <c r="P875" s="307"/>
      <c r="Q875" s="660">
        <f t="shared" si="255"/>
        <v>0</v>
      </c>
    </row>
    <row r="876" spans="3:17" hidden="1">
      <c r="C876" s="665" t="s">
        <v>685</v>
      </c>
      <c r="D876" s="271"/>
      <c r="E876" s="307"/>
      <c r="F876" s="307"/>
      <c r="G876" s="307"/>
      <c r="H876" s="307"/>
      <c r="I876" s="307"/>
      <c r="J876" s="307"/>
      <c r="K876" s="307"/>
      <c r="L876" s="307"/>
      <c r="M876" s="307"/>
      <c r="N876" s="307"/>
      <c r="O876" s="307"/>
      <c r="P876" s="307"/>
      <c r="Q876" s="660">
        <f t="shared" si="255"/>
        <v>0</v>
      </c>
    </row>
    <row r="877" spans="3:17" hidden="1">
      <c r="C877" s="703" t="s">
        <v>698</v>
      </c>
      <c r="D877" s="659"/>
      <c r="E877" s="659">
        <f>SUM(E878:E884)</f>
        <v>0</v>
      </c>
      <c r="F877" s="659">
        <f t="shared" ref="F877:P877" si="258">SUM(F878:F884)</f>
        <v>0</v>
      </c>
      <c r="G877" s="659">
        <f t="shared" si="258"/>
        <v>0</v>
      </c>
      <c r="H877" s="659">
        <f t="shared" si="258"/>
        <v>0</v>
      </c>
      <c r="I877" s="659">
        <f t="shared" si="258"/>
        <v>0</v>
      </c>
      <c r="J877" s="659">
        <f t="shared" si="258"/>
        <v>0</v>
      </c>
      <c r="K877" s="659">
        <f t="shared" si="258"/>
        <v>0</v>
      </c>
      <c r="L877" s="659">
        <f t="shared" si="258"/>
        <v>0</v>
      </c>
      <c r="M877" s="659">
        <f t="shared" si="258"/>
        <v>0</v>
      </c>
      <c r="N877" s="659">
        <f t="shared" si="258"/>
        <v>0</v>
      </c>
      <c r="O877" s="659">
        <f t="shared" si="258"/>
        <v>0</v>
      </c>
      <c r="P877" s="659">
        <f t="shared" si="258"/>
        <v>0</v>
      </c>
      <c r="Q877" s="660">
        <f t="shared" si="255"/>
        <v>0</v>
      </c>
    </row>
    <row r="878" spans="3:17" hidden="1">
      <c r="C878" s="665" t="s">
        <v>699</v>
      </c>
      <c r="D878" s="271"/>
      <c r="E878" s="307"/>
      <c r="F878" s="307"/>
      <c r="G878" s="307"/>
      <c r="H878" s="307"/>
      <c r="I878" s="307"/>
      <c r="J878" s="307"/>
      <c r="K878" s="307"/>
      <c r="L878" s="307"/>
      <c r="M878" s="307"/>
      <c r="N878" s="307"/>
      <c r="O878" s="307"/>
      <c r="P878" s="307"/>
      <c r="Q878" s="660">
        <f t="shared" si="255"/>
        <v>0</v>
      </c>
    </row>
    <row r="879" spans="3:17" hidden="1">
      <c r="C879" s="665" t="s">
        <v>914</v>
      </c>
      <c r="D879" s="271"/>
      <c r="E879" s="307"/>
      <c r="F879" s="307"/>
      <c r="G879" s="307"/>
      <c r="H879" s="307"/>
      <c r="I879" s="307"/>
      <c r="J879" s="307"/>
      <c r="K879" s="307"/>
      <c r="L879" s="307"/>
      <c r="M879" s="307"/>
      <c r="N879" s="307"/>
      <c r="O879" s="307"/>
      <c r="P879" s="307"/>
      <c r="Q879" s="660">
        <f t="shared" si="255"/>
        <v>0</v>
      </c>
    </row>
    <row r="880" spans="3:17" hidden="1">
      <c r="C880" s="665" t="s">
        <v>915</v>
      </c>
      <c r="D880" s="271"/>
      <c r="E880" s="307"/>
      <c r="F880" s="307"/>
      <c r="G880" s="307"/>
      <c r="H880" s="307"/>
      <c r="I880" s="307"/>
      <c r="J880" s="307"/>
      <c r="K880" s="307"/>
      <c r="L880" s="307"/>
      <c r="M880" s="307"/>
      <c r="N880" s="307"/>
      <c r="O880" s="307"/>
      <c r="P880" s="307"/>
      <c r="Q880" s="660">
        <f t="shared" si="255"/>
        <v>0</v>
      </c>
    </row>
    <row r="881" spans="3:17" hidden="1">
      <c r="C881" s="665" t="s">
        <v>916</v>
      </c>
      <c r="D881" s="271"/>
      <c r="E881" s="307"/>
      <c r="F881" s="307"/>
      <c r="G881" s="307"/>
      <c r="H881" s="307"/>
      <c r="I881" s="307"/>
      <c r="J881" s="307"/>
      <c r="K881" s="307"/>
      <c r="L881" s="307"/>
      <c r="M881" s="307"/>
      <c r="N881" s="307"/>
      <c r="O881" s="307"/>
      <c r="P881" s="307"/>
      <c r="Q881" s="660">
        <f t="shared" si="255"/>
        <v>0</v>
      </c>
    </row>
    <row r="882" spans="3:17" hidden="1">
      <c r="C882" s="665" t="s">
        <v>592</v>
      </c>
      <c r="D882" s="271"/>
      <c r="E882" s="307"/>
      <c r="F882" s="307"/>
      <c r="G882" s="307"/>
      <c r="H882" s="307"/>
      <c r="I882" s="307"/>
      <c r="J882" s="307"/>
      <c r="K882" s="307"/>
      <c r="L882" s="307"/>
      <c r="M882" s="307"/>
      <c r="N882" s="307"/>
      <c r="O882" s="307"/>
      <c r="P882" s="307"/>
      <c r="Q882" s="660">
        <f t="shared" si="255"/>
        <v>0</v>
      </c>
    </row>
    <row r="883" spans="3:17" hidden="1">
      <c r="C883" s="665" t="s">
        <v>702</v>
      </c>
      <c r="D883" s="271"/>
      <c r="E883" s="307"/>
      <c r="F883" s="307"/>
      <c r="G883" s="307"/>
      <c r="H883" s="307"/>
      <c r="I883" s="307"/>
      <c r="J883" s="307"/>
      <c r="K883" s="307"/>
      <c r="L883" s="307"/>
      <c r="M883" s="307"/>
      <c r="N883" s="307"/>
      <c r="O883" s="307"/>
      <c r="P883" s="307"/>
      <c r="Q883" s="660">
        <f t="shared" si="255"/>
        <v>0</v>
      </c>
    </row>
    <row r="884" spans="3:17" hidden="1">
      <c r="C884" s="665" t="s">
        <v>703</v>
      </c>
      <c r="D884" s="271"/>
      <c r="E884" s="307"/>
      <c r="F884" s="307"/>
      <c r="G884" s="307"/>
      <c r="H884" s="307"/>
      <c r="I884" s="307"/>
      <c r="J884" s="307"/>
      <c r="K884" s="307"/>
      <c r="L884" s="307"/>
      <c r="M884" s="307"/>
      <c r="N884" s="307"/>
      <c r="O884" s="307"/>
      <c r="P884" s="307"/>
      <c r="Q884" s="660">
        <f t="shared" si="255"/>
        <v>0</v>
      </c>
    </row>
    <row r="885" spans="3:17" hidden="1">
      <c r="C885" s="703" t="s">
        <v>714</v>
      </c>
      <c r="D885" s="659"/>
      <c r="E885" s="659">
        <f>SUM(E886:E889)</f>
        <v>0</v>
      </c>
      <c r="F885" s="659">
        <f t="shared" ref="F885:P885" si="259">SUM(F886:F889)</f>
        <v>0</v>
      </c>
      <c r="G885" s="659">
        <f t="shared" si="259"/>
        <v>0</v>
      </c>
      <c r="H885" s="659">
        <f t="shared" si="259"/>
        <v>0</v>
      </c>
      <c r="I885" s="659">
        <f t="shared" si="259"/>
        <v>0</v>
      </c>
      <c r="J885" s="659">
        <f t="shared" si="259"/>
        <v>0</v>
      </c>
      <c r="K885" s="659">
        <f t="shared" si="259"/>
        <v>0</v>
      </c>
      <c r="L885" s="659">
        <f t="shared" si="259"/>
        <v>0</v>
      </c>
      <c r="M885" s="659">
        <f t="shared" si="259"/>
        <v>0</v>
      </c>
      <c r="N885" s="659">
        <f t="shared" si="259"/>
        <v>0</v>
      </c>
      <c r="O885" s="659">
        <f t="shared" si="259"/>
        <v>0</v>
      </c>
      <c r="P885" s="659">
        <f t="shared" si="259"/>
        <v>0</v>
      </c>
      <c r="Q885" s="660">
        <f t="shared" si="255"/>
        <v>0</v>
      </c>
    </row>
    <row r="886" spans="3:17" ht="25.5" hidden="1">
      <c r="C886" s="665" t="s">
        <v>708</v>
      </c>
      <c r="D886" s="271"/>
      <c r="E886" s="307"/>
      <c r="F886" s="307"/>
      <c r="G886" s="307"/>
      <c r="H886" s="307"/>
      <c r="I886" s="307"/>
      <c r="J886" s="307"/>
      <c r="K886" s="307"/>
      <c r="L886" s="307"/>
      <c r="M886" s="307"/>
      <c r="N886" s="307"/>
      <c r="O886" s="307"/>
      <c r="P886" s="307"/>
      <c r="Q886" s="660">
        <f t="shared" si="255"/>
        <v>0</v>
      </c>
    </row>
    <row r="887" spans="3:17" hidden="1">
      <c r="C887" s="665" t="s">
        <v>687</v>
      </c>
      <c r="D887" s="271"/>
      <c r="E887" s="307"/>
      <c r="F887" s="307"/>
      <c r="G887" s="307"/>
      <c r="H887" s="307"/>
      <c r="I887" s="307"/>
      <c r="J887" s="307"/>
      <c r="K887" s="307"/>
      <c r="L887" s="307"/>
      <c r="M887" s="307"/>
      <c r="N887" s="307"/>
      <c r="O887" s="307"/>
      <c r="P887" s="307"/>
      <c r="Q887" s="660">
        <f t="shared" si="255"/>
        <v>0</v>
      </c>
    </row>
    <row r="888" spans="3:17" hidden="1">
      <c r="C888" s="665" t="s">
        <v>688</v>
      </c>
      <c r="D888" s="271"/>
      <c r="E888" s="307"/>
      <c r="F888" s="307"/>
      <c r="G888" s="307"/>
      <c r="H888" s="307"/>
      <c r="I888" s="307"/>
      <c r="J888" s="307"/>
      <c r="K888" s="307"/>
      <c r="L888" s="307"/>
      <c r="M888" s="307"/>
      <c r="N888" s="307"/>
      <c r="O888" s="307"/>
      <c r="P888" s="307"/>
      <c r="Q888" s="660">
        <f t="shared" si="255"/>
        <v>0</v>
      </c>
    </row>
    <row r="889" spans="3:17" hidden="1">
      <c r="C889" s="665" t="s">
        <v>704</v>
      </c>
      <c r="D889" s="271"/>
      <c r="E889" s="307"/>
      <c r="F889" s="307"/>
      <c r="G889" s="307"/>
      <c r="H889" s="307"/>
      <c r="I889" s="307"/>
      <c r="J889" s="307"/>
      <c r="K889" s="307"/>
      <c r="L889" s="307"/>
      <c r="M889" s="307"/>
      <c r="N889" s="307"/>
      <c r="O889" s="307"/>
      <c r="P889" s="307"/>
      <c r="Q889" s="660">
        <f t="shared" si="255"/>
        <v>0</v>
      </c>
    </row>
    <row r="890" spans="3:17" hidden="1">
      <c r="C890" s="703" t="s">
        <v>715</v>
      </c>
      <c r="D890" s="659"/>
      <c r="E890" s="659">
        <f>E891+E892</f>
        <v>0</v>
      </c>
      <c r="F890" s="659">
        <f t="shared" ref="F890:P890" si="260">F891+F892</f>
        <v>0</v>
      </c>
      <c r="G890" s="659">
        <f t="shared" si="260"/>
        <v>0</v>
      </c>
      <c r="H890" s="659">
        <f t="shared" si="260"/>
        <v>0</v>
      </c>
      <c r="I890" s="659">
        <f t="shared" si="260"/>
        <v>0</v>
      </c>
      <c r="J890" s="659">
        <f t="shared" si="260"/>
        <v>0</v>
      </c>
      <c r="K890" s="659">
        <f t="shared" si="260"/>
        <v>0</v>
      </c>
      <c r="L890" s="659">
        <f t="shared" si="260"/>
        <v>0</v>
      </c>
      <c r="M890" s="659">
        <f t="shared" si="260"/>
        <v>0</v>
      </c>
      <c r="N890" s="659">
        <f t="shared" si="260"/>
        <v>0</v>
      </c>
      <c r="O890" s="659">
        <f t="shared" si="260"/>
        <v>0</v>
      </c>
      <c r="P890" s="659">
        <f t="shared" si="260"/>
        <v>0</v>
      </c>
      <c r="Q890" s="660">
        <f t="shared" si="255"/>
        <v>0</v>
      </c>
    </row>
    <row r="891" spans="3:17" ht="18.75" hidden="1" customHeight="1">
      <c r="C891" s="665" t="s">
        <v>692</v>
      </c>
      <c r="D891" s="271"/>
      <c r="E891" s="307"/>
      <c r="F891" s="307"/>
      <c r="G891" s="307"/>
      <c r="H891" s="307"/>
      <c r="I891" s="307"/>
      <c r="J891" s="307"/>
      <c r="K891" s="307"/>
      <c r="L891" s="307"/>
      <c r="M891" s="307"/>
      <c r="N891" s="307"/>
      <c r="O891" s="307"/>
      <c r="P891" s="307"/>
      <c r="Q891" s="660">
        <f t="shared" si="255"/>
        <v>0</v>
      </c>
    </row>
    <row r="892" spans="3:17" ht="18.75" hidden="1" customHeight="1">
      <c r="C892" s="665" t="s">
        <v>707</v>
      </c>
      <c r="D892" s="271"/>
      <c r="E892" s="307"/>
      <c r="F892" s="307"/>
      <c r="G892" s="307"/>
      <c r="H892" s="307"/>
      <c r="I892" s="307"/>
      <c r="J892" s="307"/>
      <c r="K892" s="307"/>
      <c r="L892" s="307"/>
      <c r="M892" s="307"/>
      <c r="N892" s="307"/>
      <c r="O892" s="307"/>
      <c r="P892" s="307"/>
      <c r="Q892" s="660">
        <f t="shared" si="255"/>
        <v>0</v>
      </c>
    </row>
    <row r="893" spans="3:17" hidden="1">
      <c r="C893" s="274"/>
      <c r="D893" s="271"/>
      <c r="E893" s="307"/>
      <c r="F893" s="307"/>
      <c r="G893" s="307"/>
      <c r="H893" s="307"/>
      <c r="I893" s="307"/>
      <c r="J893" s="307"/>
      <c r="K893" s="307"/>
      <c r="L893" s="307"/>
      <c r="M893" s="307"/>
      <c r="N893" s="307"/>
      <c r="O893" s="307"/>
      <c r="P893" s="307"/>
      <c r="Q893" s="436"/>
    </row>
    <row r="894" spans="3:17" hidden="1">
      <c r="C894" s="662" t="s">
        <v>717</v>
      </c>
      <c r="D894" s="663"/>
      <c r="E894" s="663">
        <f>E895+E897+E904+E912+E917</f>
        <v>0</v>
      </c>
      <c r="F894" s="663">
        <f t="shared" ref="F894:P894" si="261">F895+F897+F904+F912+F917</f>
        <v>0</v>
      </c>
      <c r="G894" s="663">
        <f t="shared" si="261"/>
        <v>0</v>
      </c>
      <c r="H894" s="663">
        <f t="shared" si="261"/>
        <v>0</v>
      </c>
      <c r="I894" s="663">
        <f t="shared" si="261"/>
        <v>0</v>
      </c>
      <c r="J894" s="663">
        <f t="shared" si="261"/>
        <v>0</v>
      </c>
      <c r="K894" s="663">
        <f t="shared" si="261"/>
        <v>0</v>
      </c>
      <c r="L894" s="663">
        <f t="shared" si="261"/>
        <v>0</v>
      </c>
      <c r="M894" s="663">
        <f t="shared" si="261"/>
        <v>0</v>
      </c>
      <c r="N894" s="663">
        <f t="shared" si="261"/>
        <v>0</v>
      </c>
      <c r="O894" s="663">
        <f t="shared" si="261"/>
        <v>0</v>
      </c>
      <c r="P894" s="663">
        <f t="shared" si="261"/>
        <v>0</v>
      </c>
      <c r="Q894" s="664">
        <f t="shared" ref="Q894:Q904" si="262">SUM(E894:P894)</f>
        <v>0</v>
      </c>
    </row>
    <row r="895" spans="3:17" hidden="1">
      <c r="C895" s="703" t="s">
        <v>712</v>
      </c>
      <c r="D895" s="659"/>
      <c r="E895" s="660">
        <f>E896</f>
        <v>0</v>
      </c>
      <c r="F895" s="660">
        <f t="shared" ref="F895:P895" si="263">F896</f>
        <v>0</v>
      </c>
      <c r="G895" s="660">
        <f t="shared" si="263"/>
        <v>0</v>
      </c>
      <c r="H895" s="660">
        <f t="shared" si="263"/>
        <v>0</v>
      </c>
      <c r="I895" s="660">
        <f t="shared" si="263"/>
        <v>0</v>
      </c>
      <c r="J895" s="660">
        <f t="shared" si="263"/>
        <v>0</v>
      </c>
      <c r="K895" s="660">
        <f t="shared" si="263"/>
        <v>0</v>
      </c>
      <c r="L895" s="660">
        <f t="shared" si="263"/>
        <v>0</v>
      </c>
      <c r="M895" s="660">
        <f t="shared" si="263"/>
        <v>0</v>
      </c>
      <c r="N895" s="660">
        <f t="shared" si="263"/>
        <v>0</v>
      </c>
      <c r="O895" s="660">
        <f t="shared" si="263"/>
        <v>0</v>
      </c>
      <c r="P895" s="660">
        <f t="shared" si="263"/>
        <v>0</v>
      </c>
      <c r="Q895" s="660">
        <f t="shared" si="262"/>
        <v>0</v>
      </c>
    </row>
    <row r="896" spans="3:17" ht="29.25" hidden="1" customHeight="1">
      <c r="C896" s="665" t="s">
        <v>718</v>
      </c>
      <c r="D896" s="271"/>
      <c r="E896" s="307"/>
      <c r="F896" s="307"/>
      <c r="G896" s="307"/>
      <c r="H896" s="307"/>
      <c r="I896" s="307"/>
      <c r="J896" s="307"/>
      <c r="K896" s="307"/>
      <c r="L896" s="307"/>
      <c r="M896" s="307"/>
      <c r="N896" s="307"/>
      <c r="O896" s="307"/>
      <c r="P896" s="307"/>
      <c r="Q896" s="660">
        <f t="shared" si="262"/>
        <v>0</v>
      </c>
    </row>
    <row r="897" spans="3:17" hidden="1">
      <c r="C897" s="703" t="s">
        <v>695</v>
      </c>
      <c r="D897" s="659"/>
      <c r="E897" s="659">
        <f>SUM(E898:E903)</f>
        <v>0</v>
      </c>
      <c r="F897" s="659">
        <f t="shared" ref="F897:P897" si="264">SUM(F898:F903)</f>
        <v>0</v>
      </c>
      <c r="G897" s="659">
        <f t="shared" si="264"/>
        <v>0</v>
      </c>
      <c r="H897" s="659">
        <f t="shared" si="264"/>
        <v>0</v>
      </c>
      <c r="I897" s="659">
        <f t="shared" si="264"/>
        <v>0</v>
      </c>
      <c r="J897" s="659">
        <f t="shared" si="264"/>
        <v>0</v>
      </c>
      <c r="K897" s="659">
        <f t="shared" si="264"/>
        <v>0</v>
      </c>
      <c r="L897" s="659">
        <f t="shared" si="264"/>
        <v>0</v>
      </c>
      <c r="M897" s="659">
        <f t="shared" si="264"/>
        <v>0</v>
      </c>
      <c r="N897" s="659">
        <f t="shared" si="264"/>
        <v>0</v>
      </c>
      <c r="O897" s="659">
        <f t="shared" si="264"/>
        <v>0</v>
      </c>
      <c r="P897" s="659">
        <f t="shared" si="264"/>
        <v>0</v>
      </c>
      <c r="Q897" s="660">
        <f t="shared" si="262"/>
        <v>0</v>
      </c>
    </row>
    <row r="898" spans="3:17" hidden="1">
      <c r="C898" s="665" t="s">
        <v>696</v>
      </c>
      <c r="D898" s="271"/>
      <c r="E898" s="307"/>
      <c r="F898" s="307"/>
      <c r="G898" s="307"/>
      <c r="H898" s="307"/>
      <c r="I898" s="307"/>
      <c r="J898" s="307"/>
      <c r="K898" s="307"/>
      <c r="L898" s="307"/>
      <c r="M898" s="307"/>
      <c r="N898" s="307"/>
      <c r="O898" s="307"/>
      <c r="P898" s="307"/>
      <c r="Q898" s="660">
        <f t="shared" si="262"/>
        <v>0</v>
      </c>
    </row>
    <row r="899" spans="3:17" ht="18.75" hidden="1" customHeight="1">
      <c r="C899" s="665" t="s">
        <v>719</v>
      </c>
      <c r="D899" s="271"/>
      <c r="E899" s="307"/>
      <c r="F899" s="307"/>
      <c r="G899" s="307"/>
      <c r="H899" s="307"/>
      <c r="I899" s="307"/>
      <c r="J899" s="307"/>
      <c r="K899" s="307"/>
      <c r="L899" s="307"/>
      <c r="M899" s="307"/>
      <c r="N899" s="307"/>
      <c r="O899" s="307"/>
      <c r="P899" s="307"/>
      <c r="Q899" s="660">
        <f t="shared" si="262"/>
        <v>0</v>
      </c>
    </row>
    <row r="900" spans="3:17" hidden="1">
      <c r="C900" s="665" t="s">
        <v>682</v>
      </c>
      <c r="D900" s="271"/>
      <c r="E900" s="307"/>
      <c r="F900" s="307"/>
      <c r="G900" s="307"/>
      <c r="H900" s="307"/>
      <c r="I900" s="307"/>
      <c r="J900" s="307"/>
      <c r="K900" s="307"/>
      <c r="L900" s="307"/>
      <c r="M900" s="307"/>
      <c r="N900" s="307"/>
      <c r="O900" s="307"/>
      <c r="P900" s="307"/>
      <c r="Q900" s="660">
        <f t="shared" si="262"/>
        <v>0</v>
      </c>
    </row>
    <row r="901" spans="3:17" hidden="1">
      <c r="C901" s="665" t="s">
        <v>683</v>
      </c>
      <c r="D901" s="271"/>
      <c r="E901" s="307"/>
      <c r="F901" s="307"/>
      <c r="G901" s="307"/>
      <c r="H901" s="307"/>
      <c r="I901" s="307"/>
      <c r="J901" s="307"/>
      <c r="K901" s="307"/>
      <c r="L901" s="307"/>
      <c r="M901" s="307"/>
      <c r="N901" s="307"/>
      <c r="O901" s="307"/>
      <c r="P901" s="307"/>
      <c r="Q901" s="660">
        <f t="shared" si="262"/>
        <v>0</v>
      </c>
    </row>
    <row r="902" spans="3:17" hidden="1">
      <c r="C902" s="665" t="s">
        <v>684</v>
      </c>
      <c r="D902" s="271"/>
      <c r="E902" s="307"/>
      <c r="F902" s="307"/>
      <c r="G902" s="307"/>
      <c r="H902" s="307"/>
      <c r="I902" s="307"/>
      <c r="J902" s="307"/>
      <c r="K902" s="307"/>
      <c r="L902" s="307"/>
      <c r="M902" s="307"/>
      <c r="N902" s="307"/>
      <c r="O902" s="307"/>
      <c r="P902" s="307"/>
      <c r="Q902" s="660">
        <f t="shared" si="262"/>
        <v>0</v>
      </c>
    </row>
    <row r="903" spans="3:17" hidden="1">
      <c r="C903" s="665" t="s">
        <v>685</v>
      </c>
      <c r="D903" s="271"/>
      <c r="E903" s="307"/>
      <c r="F903" s="307"/>
      <c r="G903" s="307"/>
      <c r="H903" s="307"/>
      <c r="I903" s="307"/>
      <c r="J903" s="307"/>
      <c r="K903" s="307"/>
      <c r="L903" s="307"/>
      <c r="M903" s="307"/>
      <c r="N903" s="307"/>
      <c r="O903" s="307"/>
      <c r="P903" s="307"/>
      <c r="Q903" s="660">
        <f t="shared" si="262"/>
        <v>0</v>
      </c>
    </row>
    <row r="904" spans="3:17" hidden="1">
      <c r="C904" s="703" t="s">
        <v>698</v>
      </c>
      <c r="D904" s="659"/>
      <c r="E904" s="659">
        <f>SUM(E905:E911)</f>
        <v>0</v>
      </c>
      <c r="F904" s="659">
        <f t="shared" ref="F904:P904" si="265">SUM(F905:F911)</f>
        <v>0</v>
      </c>
      <c r="G904" s="659">
        <f t="shared" si="265"/>
        <v>0</v>
      </c>
      <c r="H904" s="659">
        <f t="shared" si="265"/>
        <v>0</v>
      </c>
      <c r="I904" s="659">
        <f t="shared" si="265"/>
        <v>0</v>
      </c>
      <c r="J904" s="659">
        <f t="shared" si="265"/>
        <v>0</v>
      </c>
      <c r="K904" s="659">
        <f t="shared" si="265"/>
        <v>0</v>
      </c>
      <c r="L904" s="659">
        <f t="shared" si="265"/>
        <v>0</v>
      </c>
      <c r="M904" s="659">
        <f t="shared" si="265"/>
        <v>0</v>
      </c>
      <c r="N904" s="659">
        <f t="shared" si="265"/>
        <v>0</v>
      </c>
      <c r="O904" s="659">
        <f t="shared" si="265"/>
        <v>0</v>
      </c>
      <c r="P904" s="659">
        <f t="shared" si="265"/>
        <v>0</v>
      </c>
      <c r="Q904" s="660">
        <f t="shared" si="262"/>
        <v>0</v>
      </c>
    </row>
    <row r="905" spans="3:17" hidden="1">
      <c r="C905" s="665" t="s">
        <v>699</v>
      </c>
      <c r="D905" s="271"/>
      <c r="E905" s="307"/>
      <c r="F905" s="307"/>
      <c r="G905" s="307"/>
      <c r="H905" s="307"/>
      <c r="I905" s="307"/>
      <c r="J905" s="307"/>
      <c r="K905" s="307"/>
      <c r="L905" s="307"/>
      <c r="M905" s="307"/>
      <c r="N905" s="307"/>
      <c r="O905" s="307"/>
      <c r="P905" s="307"/>
      <c r="Q905" s="660"/>
    </row>
    <row r="906" spans="3:17" ht="21" hidden="1" customHeight="1">
      <c r="C906" s="665" t="s">
        <v>914</v>
      </c>
      <c r="D906" s="271"/>
      <c r="E906" s="307"/>
      <c r="F906" s="307"/>
      <c r="G906" s="307"/>
      <c r="H906" s="307"/>
      <c r="I906" s="307"/>
      <c r="J906" s="307"/>
      <c r="K906" s="307"/>
      <c r="L906" s="307"/>
      <c r="M906" s="307"/>
      <c r="N906" s="307"/>
      <c r="O906" s="307"/>
      <c r="P906" s="307"/>
      <c r="Q906" s="660">
        <f t="shared" ref="Q906:Q918" si="266">SUM(E906:P906)</f>
        <v>0</v>
      </c>
    </row>
    <row r="907" spans="3:17" hidden="1">
      <c r="C907" s="665" t="s">
        <v>915</v>
      </c>
      <c r="D907" s="271"/>
      <c r="E907" s="307"/>
      <c r="F907" s="307"/>
      <c r="G907" s="307"/>
      <c r="H907" s="307"/>
      <c r="I907" s="307"/>
      <c r="J907" s="307"/>
      <c r="K907" s="307"/>
      <c r="L907" s="307"/>
      <c r="M907" s="307"/>
      <c r="N907" s="307"/>
      <c r="O907" s="307"/>
      <c r="P907" s="307"/>
      <c r="Q907" s="660">
        <f t="shared" si="266"/>
        <v>0</v>
      </c>
    </row>
    <row r="908" spans="3:17" ht="19.5" hidden="1" customHeight="1">
      <c r="C908" s="665" t="s">
        <v>916</v>
      </c>
      <c r="D908" s="271"/>
      <c r="E908" s="307"/>
      <c r="F908" s="307"/>
      <c r="G908" s="307"/>
      <c r="H908" s="307"/>
      <c r="I908" s="307"/>
      <c r="J908" s="307"/>
      <c r="K908" s="307"/>
      <c r="L908" s="307"/>
      <c r="M908" s="307"/>
      <c r="N908" s="307"/>
      <c r="O908" s="307"/>
      <c r="P908" s="307"/>
      <c r="Q908" s="660">
        <f t="shared" si="266"/>
        <v>0</v>
      </c>
    </row>
    <row r="909" spans="3:17" hidden="1">
      <c r="C909" s="665" t="s">
        <v>592</v>
      </c>
      <c r="D909" s="271"/>
      <c r="E909" s="307"/>
      <c r="F909" s="307"/>
      <c r="G909" s="307"/>
      <c r="H909" s="307"/>
      <c r="I909" s="307"/>
      <c r="J909" s="307"/>
      <c r="K909" s="307"/>
      <c r="L909" s="307"/>
      <c r="M909" s="307"/>
      <c r="N909" s="307"/>
      <c r="O909" s="307"/>
      <c r="P909" s="307"/>
      <c r="Q909" s="660">
        <f t="shared" si="266"/>
        <v>0</v>
      </c>
    </row>
    <row r="910" spans="3:17" hidden="1">
      <c r="C910" s="665" t="s">
        <v>702</v>
      </c>
      <c r="D910" s="271"/>
      <c r="E910" s="307"/>
      <c r="F910" s="307"/>
      <c r="G910" s="307"/>
      <c r="H910" s="307"/>
      <c r="I910" s="307"/>
      <c r="J910" s="307"/>
      <c r="K910" s="307"/>
      <c r="L910" s="307"/>
      <c r="M910" s="307"/>
      <c r="N910" s="307"/>
      <c r="O910" s="307"/>
      <c r="P910" s="307"/>
      <c r="Q910" s="660">
        <f t="shared" si="266"/>
        <v>0</v>
      </c>
    </row>
    <row r="911" spans="3:17" hidden="1">
      <c r="C911" s="665" t="s">
        <v>703</v>
      </c>
      <c r="D911" s="271"/>
      <c r="E911" s="307"/>
      <c r="F911" s="307"/>
      <c r="G911" s="307"/>
      <c r="H911" s="307"/>
      <c r="I911" s="307"/>
      <c r="J911" s="307"/>
      <c r="K911" s="307"/>
      <c r="L911" s="307"/>
      <c r="M911" s="307"/>
      <c r="N911" s="307"/>
      <c r="O911" s="307"/>
      <c r="P911" s="307"/>
      <c r="Q911" s="660">
        <f t="shared" si="266"/>
        <v>0</v>
      </c>
    </row>
    <row r="912" spans="3:17" hidden="1">
      <c r="C912" s="703" t="s">
        <v>714</v>
      </c>
      <c r="D912" s="659"/>
      <c r="E912" s="659">
        <f>SUM(E913:E916)</f>
        <v>0</v>
      </c>
      <c r="F912" s="659">
        <f t="shared" ref="F912:P912" si="267">SUM(F913:F916)</f>
        <v>0</v>
      </c>
      <c r="G912" s="659">
        <f t="shared" si="267"/>
        <v>0</v>
      </c>
      <c r="H912" s="659">
        <f t="shared" si="267"/>
        <v>0</v>
      </c>
      <c r="I912" s="659">
        <f t="shared" si="267"/>
        <v>0</v>
      </c>
      <c r="J912" s="659">
        <f t="shared" si="267"/>
        <v>0</v>
      </c>
      <c r="K912" s="659">
        <f t="shared" si="267"/>
        <v>0</v>
      </c>
      <c r="L912" s="659">
        <f t="shared" si="267"/>
        <v>0</v>
      </c>
      <c r="M912" s="659">
        <f t="shared" si="267"/>
        <v>0</v>
      </c>
      <c r="N912" s="659">
        <f t="shared" si="267"/>
        <v>0</v>
      </c>
      <c r="O912" s="659">
        <f t="shared" si="267"/>
        <v>0</v>
      </c>
      <c r="P912" s="659">
        <f t="shared" si="267"/>
        <v>0</v>
      </c>
      <c r="Q912" s="660">
        <f t="shared" si="266"/>
        <v>0</v>
      </c>
    </row>
    <row r="913" spans="3:17" ht="25.5" hidden="1">
      <c r="C913" s="665" t="s">
        <v>708</v>
      </c>
      <c r="D913" s="271"/>
      <c r="E913" s="307"/>
      <c r="F913" s="307"/>
      <c r="G913" s="307"/>
      <c r="H913" s="307"/>
      <c r="I913" s="307"/>
      <c r="J913" s="307"/>
      <c r="K913" s="307"/>
      <c r="L913" s="307"/>
      <c r="M913" s="307"/>
      <c r="N913" s="307"/>
      <c r="O913" s="307"/>
      <c r="P913" s="307"/>
      <c r="Q913" s="660">
        <f t="shared" si="266"/>
        <v>0</v>
      </c>
    </row>
    <row r="914" spans="3:17" hidden="1">
      <c r="C914" s="665" t="s">
        <v>687</v>
      </c>
      <c r="D914" s="271"/>
      <c r="E914" s="307"/>
      <c r="F914" s="307"/>
      <c r="G914" s="307"/>
      <c r="H914" s="307"/>
      <c r="I914" s="307"/>
      <c r="J914" s="307"/>
      <c r="K914" s="307"/>
      <c r="L914" s="307"/>
      <c r="M914" s="307"/>
      <c r="N914" s="307"/>
      <c r="O914" s="307"/>
      <c r="P914" s="307"/>
      <c r="Q914" s="660">
        <f t="shared" si="266"/>
        <v>0</v>
      </c>
    </row>
    <row r="915" spans="3:17" hidden="1">
      <c r="C915" s="665" t="s">
        <v>688</v>
      </c>
      <c r="D915" s="271"/>
      <c r="E915" s="307"/>
      <c r="F915" s="307"/>
      <c r="G915" s="307"/>
      <c r="H915" s="307"/>
      <c r="I915" s="307"/>
      <c r="J915" s="307"/>
      <c r="K915" s="307"/>
      <c r="L915" s="307"/>
      <c r="M915" s="307"/>
      <c r="N915" s="307"/>
      <c r="O915" s="307"/>
      <c r="P915" s="307"/>
      <c r="Q915" s="660">
        <f t="shared" si="266"/>
        <v>0</v>
      </c>
    </row>
    <row r="916" spans="3:17" hidden="1">
      <c r="C916" s="665" t="s">
        <v>704</v>
      </c>
      <c r="D916" s="271"/>
      <c r="E916" s="307"/>
      <c r="F916" s="307"/>
      <c r="G916" s="307"/>
      <c r="H916" s="307"/>
      <c r="I916" s="307"/>
      <c r="J916" s="307"/>
      <c r="K916" s="307"/>
      <c r="L916" s="307"/>
      <c r="M916" s="307"/>
      <c r="N916" s="307"/>
      <c r="O916" s="307"/>
      <c r="P916" s="307"/>
      <c r="Q916" s="660">
        <f t="shared" si="266"/>
        <v>0</v>
      </c>
    </row>
    <row r="917" spans="3:17" hidden="1">
      <c r="C917" s="703" t="s">
        <v>715</v>
      </c>
      <c r="D917" s="659"/>
      <c r="E917" s="659">
        <f>E918+E919</f>
        <v>0</v>
      </c>
      <c r="F917" s="659">
        <f t="shared" ref="F917:P917" si="268">F918+F919</f>
        <v>0</v>
      </c>
      <c r="G917" s="659">
        <f t="shared" si="268"/>
        <v>0</v>
      </c>
      <c r="H917" s="659">
        <f t="shared" si="268"/>
        <v>0</v>
      </c>
      <c r="I917" s="659">
        <f t="shared" si="268"/>
        <v>0</v>
      </c>
      <c r="J917" s="659">
        <f t="shared" si="268"/>
        <v>0</v>
      </c>
      <c r="K917" s="659">
        <f t="shared" si="268"/>
        <v>0</v>
      </c>
      <c r="L917" s="659">
        <f t="shared" si="268"/>
        <v>0</v>
      </c>
      <c r="M917" s="659">
        <f t="shared" si="268"/>
        <v>0</v>
      </c>
      <c r="N917" s="659">
        <f t="shared" si="268"/>
        <v>0</v>
      </c>
      <c r="O917" s="659">
        <f t="shared" si="268"/>
        <v>0</v>
      </c>
      <c r="P917" s="659">
        <f t="shared" si="268"/>
        <v>0</v>
      </c>
      <c r="Q917" s="660">
        <f t="shared" si="266"/>
        <v>0</v>
      </c>
    </row>
    <row r="918" spans="3:17" hidden="1">
      <c r="C918" s="665" t="s">
        <v>692</v>
      </c>
      <c r="D918" s="271"/>
      <c r="E918" s="307"/>
      <c r="F918" s="307"/>
      <c r="G918" s="307"/>
      <c r="H918" s="307"/>
      <c r="I918" s="307"/>
      <c r="J918" s="307"/>
      <c r="K918" s="307"/>
      <c r="L918" s="307"/>
      <c r="M918" s="307"/>
      <c r="N918" s="307"/>
      <c r="O918" s="307"/>
      <c r="P918" s="307"/>
      <c r="Q918" s="660">
        <f t="shared" si="266"/>
        <v>0</v>
      </c>
    </row>
    <row r="919" spans="3:17" ht="16.5" hidden="1" customHeight="1">
      <c r="C919" s="665" t="s">
        <v>707</v>
      </c>
      <c r="D919" s="271"/>
      <c r="E919" s="307"/>
      <c r="F919" s="307"/>
      <c r="G919" s="307"/>
      <c r="H919" s="307"/>
      <c r="I919" s="307"/>
      <c r="J919" s="307"/>
      <c r="K919" s="307"/>
      <c r="L919" s="307"/>
      <c r="M919" s="307"/>
      <c r="N919" s="307"/>
      <c r="O919" s="307"/>
      <c r="P919" s="307"/>
      <c r="Q919" s="660">
        <f t="shared" ref="Q919" si="269">SUM(E919:P919)</f>
        <v>0</v>
      </c>
    </row>
    <row r="920" spans="3:17" hidden="1">
      <c r="C920" s="665"/>
      <c r="D920" s="271"/>
      <c r="E920" s="709"/>
      <c r="F920" s="709"/>
      <c r="G920" s="709"/>
      <c r="H920" s="709"/>
      <c r="I920" s="709"/>
      <c r="J920" s="709"/>
      <c r="K920" s="709"/>
      <c r="L920" s="709"/>
      <c r="M920" s="709"/>
      <c r="N920" s="709"/>
      <c r="O920" s="709"/>
      <c r="P920" s="709"/>
      <c r="Q920" s="660"/>
    </row>
    <row r="921" spans="3:17" hidden="1">
      <c r="C921" s="662" t="s">
        <v>170</v>
      </c>
      <c r="D921" s="663"/>
      <c r="E921" s="663">
        <f>E922+E924+E931+E939+E944</f>
        <v>0</v>
      </c>
      <c r="F921" s="663">
        <f t="shared" ref="F921:P921" si="270">F922+F924+F931+F939+F944</f>
        <v>0</v>
      </c>
      <c r="G921" s="663">
        <f t="shared" si="270"/>
        <v>0</v>
      </c>
      <c r="H921" s="663">
        <f t="shared" si="270"/>
        <v>0</v>
      </c>
      <c r="I921" s="663">
        <f t="shared" si="270"/>
        <v>0</v>
      </c>
      <c r="J921" s="663">
        <f t="shared" si="270"/>
        <v>0</v>
      </c>
      <c r="K921" s="663">
        <f t="shared" si="270"/>
        <v>0</v>
      </c>
      <c r="L921" s="663">
        <f t="shared" si="270"/>
        <v>0</v>
      </c>
      <c r="M921" s="663">
        <f t="shared" si="270"/>
        <v>0</v>
      </c>
      <c r="N921" s="663">
        <f t="shared" si="270"/>
        <v>0</v>
      </c>
      <c r="O921" s="663">
        <f t="shared" si="270"/>
        <v>0</v>
      </c>
      <c r="P921" s="663">
        <f t="shared" si="270"/>
        <v>0</v>
      </c>
      <c r="Q921" s="664">
        <f t="shared" ref="Q921:Q946" si="271">SUM(E921:P921)</f>
        <v>0</v>
      </c>
    </row>
    <row r="922" spans="3:17" hidden="1">
      <c r="C922" s="703" t="s">
        <v>712</v>
      </c>
      <c r="D922" s="659"/>
      <c r="E922" s="659">
        <f>E923</f>
        <v>0</v>
      </c>
      <c r="F922" s="659">
        <f t="shared" ref="F922:P922" si="272">F923</f>
        <v>0</v>
      </c>
      <c r="G922" s="659">
        <f t="shared" si="272"/>
        <v>0</v>
      </c>
      <c r="H922" s="659">
        <f t="shared" si="272"/>
        <v>0</v>
      </c>
      <c r="I922" s="659">
        <f t="shared" si="272"/>
        <v>0</v>
      </c>
      <c r="J922" s="659">
        <f t="shared" si="272"/>
        <v>0</v>
      </c>
      <c r="K922" s="659">
        <f t="shared" si="272"/>
        <v>0</v>
      </c>
      <c r="L922" s="659">
        <f t="shared" si="272"/>
        <v>0</v>
      </c>
      <c r="M922" s="659">
        <f t="shared" si="272"/>
        <v>0</v>
      </c>
      <c r="N922" s="659">
        <f t="shared" si="272"/>
        <v>0</v>
      </c>
      <c r="O922" s="659">
        <f t="shared" si="272"/>
        <v>0</v>
      </c>
      <c r="P922" s="659">
        <f t="shared" si="272"/>
        <v>0</v>
      </c>
      <c r="Q922" s="660">
        <f t="shared" si="271"/>
        <v>0</v>
      </c>
    </row>
    <row r="923" spans="3:17" hidden="1">
      <c r="C923" s="665" t="s">
        <v>720</v>
      </c>
      <c r="D923" s="271"/>
      <c r="E923" s="307"/>
      <c r="F923" s="307"/>
      <c r="G923" s="307"/>
      <c r="H923" s="307"/>
      <c r="I923" s="307"/>
      <c r="J923" s="307"/>
      <c r="K923" s="307"/>
      <c r="L923" s="307"/>
      <c r="M923" s="307"/>
      <c r="N923" s="307"/>
      <c r="O923" s="307"/>
      <c r="P923" s="307"/>
      <c r="Q923" s="660">
        <f t="shared" si="271"/>
        <v>0</v>
      </c>
    </row>
    <row r="924" spans="3:17" hidden="1">
      <c r="C924" s="703" t="s">
        <v>695</v>
      </c>
      <c r="D924" s="659"/>
      <c r="E924" s="659">
        <f>SUM(E925:E930)</f>
        <v>0</v>
      </c>
      <c r="F924" s="659">
        <f t="shared" ref="F924:P924" si="273">SUM(F925:F930)</f>
        <v>0</v>
      </c>
      <c r="G924" s="659">
        <f t="shared" si="273"/>
        <v>0</v>
      </c>
      <c r="H924" s="659">
        <f t="shared" si="273"/>
        <v>0</v>
      </c>
      <c r="I924" s="659">
        <f t="shared" si="273"/>
        <v>0</v>
      </c>
      <c r="J924" s="659">
        <f t="shared" si="273"/>
        <v>0</v>
      </c>
      <c r="K924" s="659">
        <f t="shared" si="273"/>
        <v>0</v>
      </c>
      <c r="L924" s="659">
        <f t="shared" si="273"/>
        <v>0</v>
      </c>
      <c r="M924" s="659">
        <f t="shared" si="273"/>
        <v>0</v>
      </c>
      <c r="N924" s="659">
        <f t="shared" si="273"/>
        <v>0</v>
      </c>
      <c r="O924" s="659">
        <f t="shared" si="273"/>
        <v>0</v>
      </c>
      <c r="P924" s="659">
        <f t="shared" si="273"/>
        <v>0</v>
      </c>
      <c r="Q924" s="660">
        <f t="shared" si="271"/>
        <v>0</v>
      </c>
    </row>
    <row r="925" spans="3:17" hidden="1">
      <c r="C925" s="665" t="s">
        <v>696</v>
      </c>
      <c r="D925" s="271"/>
      <c r="E925" s="307"/>
      <c r="F925" s="307"/>
      <c r="G925" s="307"/>
      <c r="H925" s="307"/>
      <c r="I925" s="307"/>
      <c r="J925" s="307"/>
      <c r="K925" s="307"/>
      <c r="L925" s="307"/>
      <c r="M925" s="307"/>
      <c r="N925" s="307"/>
      <c r="O925" s="307"/>
      <c r="P925" s="307"/>
      <c r="Q925" s="660">
        <f t="shared" si="271"/>
        <v>0</v>
      </c>
    </row>
    <row r="926" spans="3:17" hidden="1">
      <c r="C926" s="665" t="s">
        <v>697</v>
      </c>
      <c r="D926" s="271"/>
      <c r="E926" s="307"/>
      <c r="F926" s="307"/>
      <c r="G926" s="307"/>
      <c r="H926" s="307"/>
      <c r="I926" s="307"/>
      <c r="J926" s="307"/>
      <c r="K926" s="307"/>
      <c r="L926" s="307"/>
      <c r="M926" s="307"/>
      <c r="N926" s="307"/>
      <c r="O926" s="307"/>
      <c r="P926" s="307"/>
      <c r="Q926" s="660">
        <f t="shared" si="271"/>
        <v>0</v>
      </c>
    </row>
    <row r="927" spans="3:17" hidden="1">
      <c r="C927" s="665" t="s">
        <v>682</v>
      </c>
      <c r="D927" s="271"/>
      <c r="E927" s="307"/>
      <c r="F927" s="307"/>
      <c r="G927" s="307"/>
      <c r="H927" s="307"/>
      <c r="I927" s="307"/>
      <c r="J927" s="307"/>
      <c r="K927" s="307"/>
      <c r="L927" s="307"/>
      <c r="M927" s="307"/>
      <c r="N927" s="307"/>
      <c r="O927" s="307"/>
      <c r="P927" s="307"/>
      <c r="Q927" s="660">
        <f t="shared" si="271"/>
        <v>0</v>
      </c>
    </row>
    <row r="928" spans="3:17" hidden="1">
      <c r="C928" s="665" t="s">
        <v>683</v>
      </c>
      <c r="D928" s="271"/>
      <c r="E928" s="307"/>
      <c r="F928" s="307"/>
      <c r="G928" s="307"/>
      <c r="H928" s="307"/>
      <c r="I928" s="307"/>
      <c r="J928" s="307"/>
      <c r="K928" s="307"/>
      <c r="L928" s="307"/>
      <c r="M928" s="307"/>
      <c r="N928" s="307"/>
      <c r="O928" s="307"/>
      <c r="P928" s="307"/>
      <c r="Q928" s="660">
        <f t="shared" si="271"/>
        <v>0</v>
      </c>
    </row>
    <row r="929" spans="3:17" hidden="1">
      <c r="C929" s="665" t="s">
        <v>684</v>
      </c>
      <c r="D929" s="271"/>
      <c r="E929" s="307"/>
      <c r="F929" s="307"/>
      <c r="G929" s="307"/>
      <c r="H929" s="307"/>
      <c r="I929" s="307"/>
      <c r="J929" s="307"/>
      <c r="K929" s="307"/>
      <c r="L929" s="307"/>
      <c r="M929" s="307"/>
      <c r="N929" s="307"/>
      <c r="O929" s="307"/>
      <c r="P929" s="307"/>
      <c r="Q929" s="660">
        <f t="shared" si="271"/>
        <v>0</v>
      </c>
    </row>
    <row r="930" spans="3:17" hidden="1">
      <c r="C930" s="665" t="s">
        <v>685</v>
      </c>
      <c r="D930" s="271"/>
      <c r="E930" s="307"/>
      <c r="F930" s="307"/>
      <c r="G930" s="307"/>
      <c r="H930" s="307"/>
      <c r="I930" s="307"/>
      <c r="J930" s="307"/>
      <c r="K930" s="307"/>
      <c r="L930" s="307"/>
      <c r="M930" s="307"/>
      <c r="N930" s="307"/>
      <c r="O930" s="307"/>
      <c r="P930" s="307"/>
      <c r="Q930" s="660">
        <f t="shared" si="271"/>
        <v>0</v>
      </c>
    </row>
    <row r="931" spans="3:17" hidden="1">
      <c r="C931" s="703" t="s">
        <v>698</v>
      </c>
      <c r="D931" s="659"/>
      <c r="E931" s="659">
        <f>SUM(E932:E938)</f>
        <v>0</v>
      </c>
      <c r="F931" s="659">
        <f t="shared" ref="F931:P931" si="274">SUM(F932:F938)</f>
        <v>0</v>
      </c>
      <c r="G931" s="659">
        <f t="shared" si="274"/>
        <v>0</v>
      </c>
      <c r="H931" s="659">
        <f t="shared" si="274"/>
        <v>0</v>
      </c>
      <c r="I931" s="659">
        <f t="shared" si="274"/>
        <v>0</v>
      </c>
      <c r="J931" s="659">
        <f t="shared" si="274"/>
        <v>0</v>
      </c>
      <c r="K931" s="659">
        <f t="shared" si="274"/>
        <v>0</v>
      </c>
      <c r="L931" s="659">
        <f t="shared" si="274"/>
        <v>0</v>
      </c>
      <c r="M931" s="659">
        <f t="shared" si="274"/>
        <v>0</v>
      </c>
      <c r="N931" s="659">
        <f t="shared" si="274"/>
        <v>0</v>
      </c>
      <c r="O931" s="659">
        <f t="shared" si="274"/>
        <v>0</v>
      </c>
      <c r="P931" s="659">
        <f t="shared" si="274"/>
        <v>0</v>
      </c>
      <c r="Q931" s="660">
        <f t="shared" si="271"/>
        <v>0</v>
      </c>
    </row>
    <row r="932" spans="3:17" hidden="1">
      <c r="C932" s="665" t="s">
        <v>699</v>
      </c>
      <c r="D932" s="271"/>
      <c r="E932" s="307"/>
      <c r="F932" s="307"/>
      <c r="G932" s="307"/>
      <c r="H932" s="307"/>
      <c r="I932" s="307"/>
      <c r="J932" s="307"/>
      <c r="K932" s="307"/>
      <c r="L932" s="307"/>
      <c r="M932" s="307"/>
      <c r="N932" s="307"/>
      <c r="O932" s="307"/>
      <c r="P932" s="307"/>
      <c r="Q932" s="660">
        <f t="shared" si="271"/>
        <v>0</v>
      </c>
    </row>
    <row r="933" spans="3:17" hidden="1">
      <c r="C933" s="665" t="s">
        <v>914</v>
      </c>
      <c r="D933" s="271"/>
      <c r="E933" s="307"/>
      <c r="F933" s="307"/>
      <c r="G933" s="307"/>
      <c r="H933" s="307"/>
      <c r="I933" s="307"/>
      <c r="J933" s="307"/>
      <c r="K933" s="307"/>
      <c r="L933" s="307"/>
      <c r="M933" s="307"/>
      <c r="N933" s="307"/>
      <c r="O933" s="307"/>
      <c r="P933" s="307"/>
      <c r="Q933" s="660">
        <f t="shared" si="271"/>
        <v>0</v>
      </c>
    </row>
    <row r="934" spans="3:17" hidden="1">
      <c r="C934" s="665" t="s">
        <v>915</v>
      </c>
      <c r="D934" s="271"/>
      <c r="E934" s="307"/>
      <c r="F934" s="307"/>
      <c r="G934" s="307"/>
      <c r="H934" s="307"/>
      <c r="I934" s="307"/>
      <c r="J934" s="307"/>
      <c r="K934" s="307"/>
      <c r="L934" s="307"/>
      <c r="M934" s="307"/>
      <c r="N934" s="307"/>
      <c r="O934" s="307"/>
      <c r="P934" s="307"/>
      <c r="Q934" s="660">
        <f t="shared" si="271"/>
        <v>0</v>
      </c>
    </row>
    <row r="935" spans="3:17" hidden="1">
      <c r="C935" s="665" t="s">
        <v>916</v>
      </c>
      <c r="D935" s="271"/>
      <c r="E935" s="307"/>
      <c r="F935" s="307"/>
      <c r="G935" s="307"/>
      <c r="H935" s="307"/>
      <c r="I935" s="307"/>
      <c r="J935" s="307"/>
      <c r="K935" s="307"/>
      <c r="L935" s="307"/>
      <c r="M935" s="307"/>
      <c r="N935" s="307"/>
      <c r="O935" s="307"/>
      <c r="P935" s="307"/>
      <c r="Q935" s="660">
        <f t="shared" si="271"/>
        <v>0</v>
      </c>
    </row>
    <row r="936" spans="3:17" hidden="1">
      <c r="C936" s="665" t="s">
        <v>592</v>
      </c>
      <c r="D936" s="271"/>
      <c r="E936" s="307"/>
      <c r="F936" s="307"/>
      <c r="G936" s="307"/>
      <c r="H936" s="307"/>
      <c r="I936" s="307"/>
      <c r="J936" s="307"/>
      <c r="K936" s="307"/>
      <c r="L936" s="307"/>
      <c r="M936" s="307"/>
      <c r="N936" s="307"/>
      <c r="O936" s="307"/>
      <c r="P936" s="307"/>
      <c r="Q936" s="660">
        <f t="shared" si="271"/>
        <v>0</v>
      </c>
    </row>
    <row r="937" spans="3:17" hidden="1">
      <c r="C937" s="665" t="s">
        <v>702</v>
      </c>
      <c r="D937" s="271"/>
      <c r="E937" s="307"/>
      <c r="F937" s="307"/>
      <c r="G937" s="307"/>
      <c r="H937" s="307"/>
      <c r="I937" s="307"/>
      <c r="J937" s="307"/>
      <c r="K937" s="307"/>
      <c r="L937" s="307"/>
      <c r="M937" s="307"/>
      <c r="N937" s="307"/>
      <c r="O937" s="307"/>
      <c r="P937" s="307"/>
      <c r="Q937" s="660">
        <f t="shared" si="271"/>
        <v>0</v>
      </c>
    </row>
    <row r="938" spans="3:17" hidden="1">
      <c r="C938" s="665" t="s">
        <v>703</v>
      </c>
      <c r="D938" s="271"/>
      <c r="E938" s="307"/>
      <c r="F938" s="307"/>
      <c r="G938" s="307"/>
      <c r="H938" s="307"/>
      <c r="I938" s="307"/>
      <c r="J938" s="307"/>
      <c r="K938" s="307"/>
      <c r="L938" s="307"/>
      <c r="M938" s="307"/>
      <c r="N938" s="307"/>
      <c r="O938" s="307"/>
      <c r="P938" s="307"/>
      <c r="Q938" s="660">
        <f t="shared" si="271"/>
        <v>0</v>
      </c>
    </row>
    <row r="939" spans="3:17" hidden="1">
      <c r="C939" s="703" t="s">
        <v>714</v>
      </c>
      <c r="D939" s="659"/>
      <c r="E939" s="659">
        <f>SUM(E940:E943)</f>
        <v>0</v>
      </c>
      <c r="F939" s="659">
        <f t="shared" ref="F939:P939" si="275">SUM(F940:F943)</f>
        <v>0</v>
      </c>
      <c r="G939" s="659">
        <f t="shared" si="275"/>
        <v>0</v>
      </c>
      <c r="H939" s="659">
        <f t="shared" si="275"/>
        <v>0</v>
      </c>
      <c r="I939" s="659">
        <f t="shared" si="275"/>
        <v>0</v>
      </c>
      <c r="J939" s="659">
        <f t="shared" si="275"/>
        <v>0</v>
      </c>
      <c r="K939" s="659">
        <f t="shared" si="275"/>
        <v>0</v>
      </c>
      <c r="L939" s="659">
        <f t="shared" si="275"/>
        <v>0</v>
      </c>
      <c r="M939" s="659">
        <f t="shared" si="275"/>
        <v>0</v>
      </c>
      <c r="N939" s="659">
        <f t="shared" si="275"/>
        <v>0</v>
      </c>
      <c r="O939" s="659">
        <f t="shared" si="275"/>
        <v>0</v>
      </c>
      <c r="P939" s="659">
        <f t="shared" si="275"/>
        <v>0</v>
      </c>
      <c r="Q939" s="660">
        <f t="shared" si="271"/>
        <v>0</v>
      </c>
    </row>
    <row r="940" spans="3:17" ht="25.5" hidden="1">
      <c r="C940" s="665" t="s">
        <v>708</v>
      </c>
      <c r="D940" s="271"/>
      <c r="E940" s="307"/>
      <c r="F940" s="307"/>
      <c r="G940" s="307"/>
      <c r="H940" s="307"/>
      <c r="I940" s="307"/>
      <c r="J940" s="307"/>
      <c r="K940" s="307"/>
      <c r="L940" s="307"/>
      <c r="M940" s="307"/>
      <c r="N940" s="307"/>
      <c r="O940" s="307"/>
      <c r="P940" s="307"/>
      <c r="Q940" s="660">
        <f t="shared" si="271"/>
        <v>0</v>
      </c>
    </row>
    <row r="941" spans="3:17" hidden="1">
      <c r="C941" s="665" t="s">
        <v>687</v>
      </c>
      <c r="D941" s="271"/>
      <c r="E941" s="307"/>
      <c r="F941" s="307"/>
      <c r="G941" s="307"/>
      <c r="H941" s="307"/>
      <c r="I941" s="307"/>
      <c r="J941" s="307"/>
      <c r="K941" s="307"/>
      <c r="L941" s="307"/>
      <c r="M941" s="307"/>
      <c r="N941" s="307"/>
      <c r="O941" s="307"/>
      <c r="P941" s="307"/>
      <c r="Q941" s="660">
        <f t="shared" si="271"/>
        <v>0</v>
      </c>
    </row>
    <row r="942" spans="3:17" hidden="1">
      <c r="C942" s="665" t="s">
        <v>688</v>
      </c>
      <c r="D942" s="271"/>
      <c r="E942" s="307"/>
      <c r="F942" s="307"/>
      <c r="G942" s="307"/>
      <c r="H942" s="307"/>
      <c r="I942" s="307"/>
      <c r="J942" s="307"/>
      <c r="K942" s="307"/>
      <c r="L942" s="307"/>
      <c r="M942" s="307"/>
      <c r="N942" s="307"/>
      <c r="O942" s="307"/>
      <c r="P942" s="307"/>
      <c r="Q942" s="660">
        <f t="shared" si="271"/>
        <v>0</v>
      </c>
    </row>
    <row r="943" spans="3:17" hidden="1">
      <c r="C943" s="665" t="s">
        <v>704</v>
      </c>
      <c r="D943" s="271"/>
      <c r="E943" s="307"/>
      <c r="F943" s="307"/>
      <c r="G943" s="307"/>
      <c r="H943" s="307"/>
      <c r="I943" s="307"/>
      <c r="J943" s="307"/>
      <c r="K943" s="307"/>
      <c r="L943" s="307"/>
      <c r="M943" s="307"/>
      <c r="N943" s="307"/>
      <c r="O943" s="307"/>
      <c r="P943" s="307"/>
      <c r="Q943" s="660">
        <f t="shared" si="271"/>
        <v>0</v>
      </c>
    </row>
    <row r="944" spans="3:17" hidden="1">
      <c r="C944" s="703" t="s">
        <v>715</v>
      </c>
      <c r="D944" s="659"/>
      <c r="E944" s="659">
        <f>E945+E946</f>
        <v>0</v>
      </c>
      <c r="F944" s="659">
        <f t="shared" ref="F944:P944" si="276">F945+F946</f>
        <v>0</v>
      </c>
      <c r="G944" s="659">
        <f t="shared" si="276"/>
        <v>0</v>
      </c>
      <c r="H944" s="659">
        <f t="shared" si="276"/>
        <v>0</v>
      </c>
      <c r="I944" s="659">
        <f t="shared" si="276"/>
        <v>0</v>
      </c>
      <c r="J944" s="659">
        <f t="shared" si="276"/>
        <v>0</v>
      </c>
      <c r="K944" s="659">
        <f t="shared" si="276"/>
        <v>0</v>
      </c>
      <c r="L944" s="659">
        <f t="shared" si="276"/>
        <v>0</v>
      </c>
      <c r="M944" s="659">
        <f t="shared" si="276"/>
        <v>0</v>
      </c>
      <c r="N944" s="659">
        <f t="shared" si="276"/>
        <v>0</v>
      </c>
      <c r="O944" s="659">
        <f t="shared" si="276"/>
        <v>0</v>
      </c>
      <c r="P944" s="659">
        <f t="shared" si="276"/>
        <v>0</v>
      </c>
      <c r="Q944" s="660">
        <f t="shared" si="271"/>
        <v>0</v>
      </c>
    </row>
    <row r="945" spans="3:17" hidden="1">
      <c r="C945" s="665" t="s">
        <v>692</v>
      </c>
      <c r="D945" s="271"/>
      <c r="E945" s="307"/>
      <c r="F945" s="307"/>
      <c r="G945" s="307"/>
      <c r="H945" s="307"/>
      <c r="I945" s="307"/>
      <c r="J945" s="307"/>
      <c r="K945" s="307"/>
      <c r="L945" s="307"/>
      <c r="M945" s="307"/>
      <c r="N945" s="307"/>
      <c r="O945" s="307"/>
      <c r="P945" s="307"/>
      <c r="Q945" s="660">
        <f t="shared" si="271"/>
        <v>0</v>
      </c>
    </row>
    <row r="946" spans="3:17" hidden="1">
      <c r="C946" s="665" t="s">
        <v>707</v>
      </c>
      <c r="D946" s="271"/>
      <c r="E946" s="307"/>
      <c r="F946" s="307"/>
      <c r="G946" s="307"/>
      <c r="H946" s="307"/>
      <c r="I946" s="307"/>
      <c r="J946" s="307"/>
      <c r="K946" s="307"/>
      <c r="L946" s="307"/>
      <c r="M946" s="307"/>
      <c r="N946" s="307"/>
      <c r="O946" s="307"/>
      <c r="P946" s="307"/>
      <c r="Q946" s="660">
        <f t="shared" si="271"/>
        <v>0</v>
      </c>
    </row>
    <row r="947" spans="3:17" hidden="1">
      <c r="C947" s="665"/>
      <c r="D947" s="271"/>
      <c r="E947" s="307"/>
      <c r="F947" s="307"/>
      <c r="G947" s="307"/>
      <c r="H947" s="307"/>
      <c r="I947" s="307"/>
      <c r="J947" s="307"/>
      <c r="K947" s="307"/>
      <c r="L947" s="307"/>
      <c r="M947" s="307"/>
      <c r="N947" s="307"/>
      <c r="O947" s="307"/>
      <c r="P947" s="307"/>
      <c r="Q947" s="660"/>
    </row>
    <row r="948" spans="3:17" hidden="1">
      <c r="C948" s="662" t="s">
        <v>903</v>
      </c>
      <c r="D948" s="663"/>
      <c r="E948" s="663">
        <f>E949+E951+E958+E966+E971</f>
        <v>0</v>
      </c>
      <c r="F948" s="663">
        <f t="shared" ref="F948:P948" si="277">F949+F951+F958+F966+F971</f>
        <v>0</v>
      </c>
      <c r="G948" s="663">
        <f t="shared" si="277"/>
        <v>0</v>
      </c>
      <c r="H948" s="663">
        <f t="shared" si="277"/>
        <v>0</v>
      </c>
      <c r="I948" s="663">
        <f t="shared" si="277"/>
        <v>0</v>
      </c>
      <c r="J948" s="663">
        <f t="shared" si="277"/>
        <v>0</v>
      </c>
      <c r="K948" s="663">
        <f t="shared" si="277"/>
        <v>0</v>
      </c>
      <c r="L948" s="663">
        <f t="shared" si="277"/>
        <v>0</v>
      </c>
      <c r="M948" s="663">
        <f t="shared" si="277"/>
        <v>0</v>
      </c>
      <c r="N948" s="663">
        <f t="shared" si="277"/>
        <v>0</v>
      </c>
      <c r="O948" s="663">
        <f t="shared" si="277"/>
        <v>0</v>
      </c>
      <c r="P948" s="663">
        <f t="shared" si="277"/>
        <v>0</v>
      </c>
      <c r="Q948" s="664">
        <f t="shared" ref="Q948:Q958" si="278">SUM(E948:P948)</f>
        <v>0</v>
      </c>
    </row>
    <row r="949" spans="3:17" hidden="1">
      <c r="C949" s="703" t="s">
        <v>712</v>
      </c>
      <c r="D949" s="659"/>
      <c r="E949" s="659">
        <f>E950</f>
        <v>0</v>
      </c>
      <c r="F949" s="659">
        <f t="shared" ref="F949:P949" si="279">F950</f>
        <v>0</v>
      </c>
      <c r="G949" s="659">
        <f t="shared" si="279"/>
        <v>0</v>
      </c>
      <c r="H949" s="659">
        <f t="shared" si="279"/>
        <v>0</v>
      </c>
      <c r="I949" s="659">
        <f t="shared" si="279"/>
        <v>0</v>
      </c>
      <c r="J949" s="659">
        <f t="shared" si="279"/>
        <v>0</v>
      </c>
      <c r="K949" s="659">
        <f t="shared" si="279"/>
        <v>0</v>
      </c>
      <c r="L949" s="659">
        <f t="shared" si="279"/>
        <v>0</v>
      </c>
      <c r="M949" s="659">
        <f t="shared" si="279"/>
        <v>0</v>
      </c>
      <c r="N949" s="659">
        <f t="shared" si="279"/>
        <v>0</v>
      </c>
      <c r="O949" s="659">
        <f t="shared" si="279"/>
        <v>0</v>
      </c>
      <c r="P949" s="659">
        <f t="shared" si="279"/>
        <v>0</v>
      </c>
      <c r="Q949" s="660">
        <f t="shared" si="278"/>
        <v>0</v>
      </c>
    </row>
    <row r="950" spans="3:17" hidden="1">
      <c r="C950" s="665" t="s">
        <v>720</v>
      </c>
      <c r="D950" s="271"/>
      <c r="E950" s="307"/>
      <c r="F950" s="307"/>
      <c r="G950" s="307"/>
      <c r="H950" s="307"/>
      <c r="I950" s="307"/>
      <c r="J950" s="307"/>
      <c r="K950" s="307"/>
      <c r="L950" s="307"/>
      <c r="M950" s="307"/>
      <c r="N950" s="307"/>
      <c r="O950" s="307"/>
      <c r="P950" s="307"/>
      <c r="Q950" s="660">
        <f t="shared" si="278"/>
        <v>0</v>
      </c>
    </row>
    <row r="951" spans="3:17" hidden="1">
      <c r="C951" s="703" t="s">
        <v>695</v>
      </c>
      <c r="D951" s="659"/>
      <c r="E951" s="659">
        <f>SUM(E952:E957)</f>
        <v>0</v>
      </c>
      <c r="F951" s="659">
        <f t="shared" ref="F951:P951" si="280">SUM(F952:F957)</f>
        <v>0</v>
      </c>
      <c r="G951" s="659">
        <f t="shared" si="280"/>
        <v>0</v>
      </c>
      <c r="H951" s="659">
        <f t="shared" si="280"/>
        <v>0</v>
      </c>
      <c r="I951" s="659">
        <f t="shared" si="280"/>
        <v>0</v>
      </c>
      <c r="J951" s="659">
        <f t="shared" si="280"/>
        <v>0</v>
      </c>
      <c r="K951" s="659">
        <f t="shared" si="280"/>
        <v>0</v>
      </c>
      <c r="L951" s="659">
        <f t="shared" si="280"/>
        <v>0</v>
      </c>
      <c r="M951" s="659">
        <f t="shared" si="280"/>
        <v>0</v>
      </c>
      <c r="N951" s="659">
        <f t="shared" si="280"/>
        <v>0</v>
      </c>
      <c r="O951" s="659">
        <f t="shared" si="280"/>
        <v>0</v>
      </c>
      <c r="P951" s="659">
        <f t="shared" si="280"/>
        <v>0</v>
      </c>
      <c r="Q951" s="660">
        <f t="shared" si="278"/>
        <v>0</v>
      </c>
    </row>
    <row r="952" spans="3:17" hidden="1">
      <c r="C952" s="665" t="s">
        <v>696</v>
      </c>
      <c r="D952" s="271"/>
      <c r="E952" s="307"/>
      <c r="F952" s="307"/>
      <c r="G952" s="307"/>
      <c r="H952" s="307"/>
      <c r="I952" s="307"/>
      <c r="J952" s="307"/>
      <c r="K952" s="307"/>
      <c r="L952" s="307"/>
      <c r="M952" s="307"/>
      <c r="N952" s="307"/>
      <c r="O952" s="307"/>
      <c r="P952" s="307"/>
      <c r="Q952" s="660">
        <f t="shared" si="278"/>
        <v>0</v>
      </c>
    </row>
    <row r="953" spans="3:17" hidden="1">
      <c r="C953" s="665" t="s">
        <v>697</v>
      </c>
      <c r="D953" s="271"/>
      <c r="E953" s="307"/>
      <c r="F953" s="307"/>
      <c r="G953" s="307"/>
      <c r="H953" s="307"/>
      <c r="I953" s="307"/>
      <c r="J953" s="307"/>
      <c r="K953" s="307"/>
      <c r="L953" s="307"/>
      <c r="M953" s="307"/>
      <c r="N953" s="307"/>
      <c r="O953" s="307"/>
      <c r="P953" s="307"/>
      <c r="Q953" s="660">
        <f t="shared" si="278"/>
        <v>0</v>
      </c>
    </row>
    <row r="954" spans="3:17" hidden="1">
      <c r="C954" s="665" t="s">
        <v>682</v>
      </c>
      <c r="D954" s="271"/>
      <c r="E954" s="307"/>
      <c r="F954" s="307"/>
      <c r="G954" s="307"/>
      <c r="H954" s="307"/>
      <c r="I954" s="307"/>
      <c r="J954" s="307"/>
      <c r="K954" s="307"/>
      <c r="L954" s="307"/>
      <c r="M954" s="307"/>
      <c r="N954" s="307"/>
      <c r="O954" s="307"/>
      <c r="P954" s="307"/>
      <c r="Q954" s="660">
        <f t="shared" si="278"/>
        <v>0</v>
      </c>
    </row>
    <row r="955" spans="3:17" hidden="1">
      <c r="C955" s="665" t="s">
        <v>683</v>
      </c>
      <c r="D955" s="271"/>
      <c r="E955" s="307"/>
      <c r="F955" s="307"/>
      <c r="G955" s="307"/>
      <c r="H955" s="307"/>
      <c r="I955" s="307"/>
      <c r="J955" s="307"/>
      <c r="K955" s="307"/>
      <c r="L955" s="307"/>
      <c r="M955" s="307"/>
      <c r="N955" s="307"/>
      <c r="O955" s="307"/>
      <c r="P955" s="307"/>
      <c r="Q955" s="660">
        <f t="shared" si="278"/>
        <v>0</v>
      </c>
    </row>
    <row r="956" spans="3:17" hidden="1">
      <c r="C956" s="665" t="s">
        <v>684</v>
      </c>
      <c r="D956" s="271"/>
      <c r="E956" s="307"/>
      <c r="F956" s="307"/>
      <c r="G956" s="307"/>
      <c r="H956" s="307"/>
      <c r="I956" s="307"/>
      <c r="J956" s="307"/>
      <c r="K956" s="307"/>
      <c r="L956" s="307"/>
      <c r="M956" s="307"/>
      <c r="N956" s="307"/>
      <c r="O956" s="307"/>
      <c r="P956" s="307"/>
      <c r="Q956" s="660">
        <f t="shared" si="278"/>
        <v>0</v>
      </c>
    </row>
    <row r="957" spans="3:17" hidden="1">
      <c r="C957" s="665" t="s">
        <v>685</v>
      </c>
      <c r="D957" s="271"/>
      <c r="E957" s="307"/>
      <c r="F957" s="307"/>
      <c r="G957" s="307"/>
      <c r="H957" s="307"/>
      <c r="I957" s="307"/>
      <c r="J957" s="307"/>
      <c r="K957" s="307"/>
      <c r="L957" s="307"/>
      <c r="M957" s="307"/>
      <c r="N957" s="307"/>
      <c r="O957" s="307"/>
      <c r="P957" s="307"/>
      <c r="Q957" s="660">
        <f t="shared" si="278"/>
        <v>0</v>
      </c>
    </row>
    <row r="958" spans="3:17" hidden="1">
      <c r="C958" s="703" t="s">
        <v>698</v>
      </c>
      <c r="D958" s="659"/>
      <c r="E958" s="659">
        <f>SUM(E959:E965)</f>
        <v>0</v>
      </c>
      <c r="F958" s="659">
        <f t="shared" ref="F958:L958" si="281">SUM(F959:F965)</f>
        <v>0</v>
      </c>
      <c r="G958" s="659">
        <f t="shared" si="281"/>
        <v>0</v>
      </c>
      <c r="H958" s="659">
        <f t="shared" si="281"/>
        <v>0</v>
      </c>
      <c r="I958" s="659">
        <f t="shared" si="281"/>
        <v>0</v>
      </c>
      <c r="J958" s="659">
        <f t="shared" si="281"/>
        <v>0</v>
      </c>
      <c r="K958" s="659">
        <f t="shared" si="281"/>
        <v>0</v>
      </c>
      <c r="L958" s="659">
        <f t="shared" si="281"/>
        <v>0</v>
      </c>
      <c r="M958" s="659">
        <f t="shared" ref="M958:P958" si="282">SUM(M959:M965)</f>
        <v>0</v>
      </c>
      <c r="N958" s="659">
        <f t="shared" si="282"/>
        <v>0</v>
      </c>
      <c r="O958" s="659">
        <f t="shared" si="282"/>
        <v>0</v>
      </c>
      <c r="P958" s="659">
        <f t="shared" si="282"/>
        <v>0</v>
      </c>
      <c r="Q958" s="660">
        <f t="shared" si="278"/>
        <v>0</v>
      </c>
    </row>
    <row r="959" spans="3:17" hidden="1">
      <c r="C959" s="665" t="s">
        <v>699</v>
      </c>
      <c r="D959" s="271"/>
      <c r="E959" s="307"/>
      <c r="F959" s="307"/>
      <c r="G959" s="307"/>
      <c r="H959" s="307"/>
      <c r="I959" s="307"/>
      <c r="J959" s="307"/>
      <c r="K959" s="307"/>
      <c r="L959" s="307"/>
      <c r="M959" s="307"/>
      <c r="N959" s="307"/>
      <c r="O959" s="307"/>
      <c r="P959" s="307"/>
      <c r="Q959" s="660"/>
    </row>
    <row r="960" spans="3:17" hidden="1">
      <c r="C960" s="665" t="s">
        <v>914</v>
      </c>
      <c r="D960" s="271"/>
      <c r="E960" s="307"/>
      <c r="F960" s="307"/>
      <c r="G960" s="307"/>
      <c r="H960" s="307"/>
      <c r="I960" s="307"/>
      <c r="J960" s="307"/>
      <c r="K960" s="307"/>
      <c r="L960" s="307"/>
      <c r="M960" s="307"/>
      <c r="N960" s="307"/>
      <c r="O960" s="307"/>
      <c r="P960" s="307"/>
      <c r="Q960" s="660">
        <f t="shared" ref="Q960:Q973" si="283">SUM(E960:P960)</f>
        <v>0</v>
      </c>
    </row>
    <row r="961" spans="3:17" hidden="1">
      <c r="C961" s="665" t="s">
        <v>915</v>
      </c>
      <c r="D961" s="271"/>
      <c r="E961" s="307"/>
      <c r="F961" s="307"/>
      <c r="G961" s="307"/>
      <c r="H961" s="307"/>
      <c r="I961" s="307"/>
      <c r="J961" s="307"/>
      <c r="K961" s="307"/>
      <c r="L961" s="307"/>
      <c r="M961" s="307"/>
      <c r="N961" s="307"/>
      <c r="O961" s="307"/>
      <c r="P961" s="307"/>
      <c r="Q961" s="660">
        <f t="shared" si="283"/>
        <v>0</v>
      </c>
    </row>
    <row r="962" spans="3:17" hidden="1">
      <c r="C962" s="665" t="s">
        <v>916</v>
      </c>
      <c r="D962" s="271"/>
      <c r="E962" s="307"/>
      <c r="F962" s="307"/>
      <c r="G962" s="307"/>
      <c r="H962" s="307"/>
      <c r="I962" s="307"/>
      <c r="J962" s="307"/>
      <c r="K962" s="307"/>
      <c r="L962" s="307"/>
      <c r="M962" s="307"/>
      <c r="N962" s="307"/>
      <c r="O962" s="307"/>
      <c r="P962" s="307"/>
      <c r="Q962" s="660">
        <f t="shared" si="283"/>
        <v>0</v>
      </c>
    </row>
    <row r="963" spans="3:17" hidden="1">
      <c r="C963" s="665" t="s">
        <v>592</v>
      </c>
      <c r="D963" s="271"/>
      <c r="E963" s="307"/>
      <c r="F963" s="307"/>
      <c r="G963" s="307"/>
      <c r="H963" s="307"/>
      <c r="I963" s="307"/>
      <c r="J963" s="307"/>
      <c r="K963" s="307"/>
      <c r="L963" s="307"/>
      <c r="M963" s="307"/>
      <c r="N963" s="307"/>
      <c r="O963" s="307"/>
      <c r="P963" s="307"/>
      <c r="Q963" s="660">
        <f t="shared" si="283"/>
        <v>0</v>
      </c>
    </row>
    <row r="964" spans="3:17" hidden="1">
      <c r="C964" s="665" t="s">
        <v>702</v>
      </c>
      <c r="D964" s="271"/>
      <c r="E964" s="307"/>
      <c r="F964" s="307"/>
      <c r="G964" s="307"/>
      <c r="H964" s="307"/>
      <c r="I964" s="307"/>
      <c r="J964" s="307"/>
      <c r="K964" s="307"/>
      <c r="L964" s="307"/>
      <c r="M964" s="307"/>
      <c r="N964" s="307"/>
      <c r="O964" s="307"/>
      <c r="P964" s="307"/>
      <c r="Q964" s="660">
        <f t="shared" si="283"/>
        <v>0</v>
      </c>
    </row>
    <row r="965" spans="3:17" hidden="1">
      <c r="C965" s="665" t="s">
        <v>703</v>
      </c>
      <c r="D965" s="271"/>
      <c r="E965" s="307"/>
      <c r="F965" s="307"/>
      <c r="G965" s="307"/>
      <c r="H965" s="307"/>
      <c r="I965" s="307"/>
      <c r="J965" s="307"/>
      <c r="K965" s="307"/>
      <c r="L965" s="307"/>
      <c r="M965" s="307"/>
      <c r="N965" s="307"/>
      <c r="O965" s="307"/>
      <c r="P965" s="307"/>
      <c r="Q965" s="660">
        <f t="shared" si="283"/>
        <v>0</v>
      </c>
    </row>
    <row r="966" spans="3:17" hidden="1">
      <c r="C966" s="703" t="s">
        <v>714</v>
      </c>
      <c r="D966" s="659"/>
      <c r="E966" s="659">
        <f>SUM(E967:E970)</f>
        <v>0</v>
      </c>
      <c r="F966" s="659">
        <f t="shared" ref="F966:P966" si="284">SUM(F967:F970)</f>
        <v>0</v>
      </c>
      <c r="G966" s="659">
        <f t="shared" si="284"/>
        <v>0</v>
      </c>
      <c r="H966" s="659">
        <f t="shared" si="284"/>
        <v>0</v>
      </c>
      <c r="I966" s="659">
        <f t="shared" si="284"/>
        <v>0</v>
      </c>
      <c r="J966" s="659">
        <f t="shared" si="284"/>
        <v>0</v>
      </c>
      <c r="K966" s="659">
        <f t="shared" si="284"/>
        <v>0</v>
      </c>
      <c r="L966" s="659">
        <f t="shared" si="284"/>
        <v>0</v>
      </c>
      <c r="M966" s="659">
        <f t="shared" si="284"/>
        <v>0</v>
      </c>
      <c r="N966" s="659">
        <f t="shared" si="284"/>
        <v>0</v>
      </c>
      <c r="O966" s="659">
        <f t="shared" si="284"/>
        <v>0</v>
      </c>
      <c r="P966" s="659">
        <f t="shared" si="284"/>
        <v>0</v>
      </c>
      <c r="Q966" s="660">
        <f t="shared" si="283"/>
        <v>0</v>
      </c>
    </row>
    <row r="967" spans="3:17" ht="25.5" hidden="1">
      <c r="C967" s="665" t="s">
        <v>708</v>
      </c>
      <c r="D967" s="271"/>
      <c r="E967" s="307"/>
      <c r="F967" s="307"/>
      <c r="G967" s="307"/>
      <c r="H967" s="307"/>
      <c r="I967" s="307"/>
      <c r="J967" s="307"/>
      <c r="K967" s="307"/>
      <c r="L967" s="307"/>
      <c r="M967" s="307"/>
      <c r="N967" s="307"/>
      <c r="O967" s="307"/>
      <c r="P967" s="307"/>
      <c r="Q967" s="660">
        <f t="shared" si="283"/>
        <v>0</v>
      </c>
    </row>
    <row r="968" spans="3:17" hidden="1">
      <c r="C968" s="665" t="s">
        <v>687</v>
      </c>
      <c r="D968" s="271"/>
      <c r="E968" s="307"/>
      <c r="F968" s="307"/>
      <c r="G968" s="307"/>
      <c r="H968" s="307"/>
      <c r="I968" s="307"/>
      <c r="J968" s="307"/>
      <c r="K968" s="307"/>
      <c r="L968" s="307"/>
      <c r="M968" s="307"/>
      <c r="N968" s="307"/>
      <c r="O968" s="307"/>
      <c r="P968" s="307"/>
      <c r="Q968" s="660">
        <f t="shared" si="283"/>
        <v>0</v>
      </c>
    </row>
    <row r="969" spans="3:17" hidden="1">
      <c r="C969" s="665" t="s">
        <v>688</v>
      </c>
      <c r="D969" s="271"/>
      <c r="E969" s="307"/>
      <c r="F969" s="307"/>
      <c r="G969" s="307"/>
      <c r="H969" s="307"/>
      <c r="I969" s="307"/>
      <c r="J969" s="307"/>
      <c r="K969" s="307"/>
      <c r="L969" s="307"/>
      <c r="M969" s="307"/>
      <c r="N969" s="307"/>
      <c r="O969" s="307"/>
      <c r="P969" s="307"/>
      <c r="Q969" s="660">
        <f t="shared" si="283"/>
        <v>0</v>
      </c>
    </row>
    <row r="970" spans="3:17" hidden="1">
      <c r="C970" s="665" t="s">
        <v>704</v>
      </c>
      <c r="D970" s="271"/>
      <c r="E970" s="307"/>
      <c r="F970" s="307"/>
      <c r="G970" s="307"/>
      <c r="H970" s="307"/>
      <c r="I970" s="307"/>
      <c r="J970" s="307"/>
      <c r="K970" s="307"/>
      <c r="L970" s="307"/>
      <c r="M970" s="307"/>
      <c r="N970" s="307"/>
      <c r="O970" s="307"/>
      <c r="P970" s="307"/>
      <c r="Q970" s="660">
        <f t="shared" si="283"/>
        <v>0</v>
      </c>
    </row>
    <row r="971" spans="3:17" hidden="1">
      <c r="C971" s="703" t="s">
        <v>715</v>
      </c>
      <c r="D971" s="659"/>
      <c r="E971" s="659">
        <f>E972+E973</f>
        <v>0</v>
      </c>
      <c r="F971" s="659">
        <f t="shared" ref="F971:P971" si="285">F972+F973</f>
        <v>0</v>
      </c>
      <c r="G971" s="659">
        <f t="shared" si="285"/>
        <v>0</v>
      </c>
      <c r="H971" s="659">
        <f t="shared" si="285"/>
        <v>0</v>
      </c>
      <c r="I971" s="659">
        <f t="shared" si="285"/>
        <v>0</v>
      </c>
      <c r="J971" s="659">
        <f t="shared" si="285"/>
        <v>0</v>
      </c>
      <c r="K971" s="659">
        <f t="shared" si="285"/>
        <v>0</v>
      </c>
      <c r="L971" s="659">
        <f t="shared" si="285"/>
        <v>0</v>
      </c>
      <c r="M971" s="659">
        <f t="shared" si="285"/>
        <v>0</v>
      </c>
      <c r="N971" s="659">
        <f t="shared" si="285"/>
        <v>0</v>
      </c>
      <c r="O971" s="659">
        <f t="shared" si="285"/>
        <v>0</v>
      </c>
      <c r="P971" s="659">
        <f t="shared" si="285"/>
        <v>0</v>
      </c>
      <c r="Q971" s="660">
        <f t="shared" si="283"/>
        <v>0</v>
      </c>
    </row>
    <row r="972" spans="3:17" hidden="1">
      <c r="C972" s="665" t="s">
        <v>692</v>
      </c>
      <c r="D972" s="271"/>
      <c r="E972" s="307"/>
      <c r="F972" s="307"/>
      <c r="G972" s="307"/>
      <c r="H972" s="307"/>
      <c r="I972" s="307"/>
      <c r="J972" s="307"/>
      <c r="K972" s="307"/>
      <c r="L972" s="307"/>
      <c r="M972" s="307"/>
      <c r="N972" s="307"/>
      <c r="O972" s="307"/>
      <c r="P972" s="307"/>
      <c r="Q972" s="660">
        <f t="shared" si="283"/>
        <v>0</v>
      </c>
    </row>
    <row r="973" spans="3:17" hidden="1">
      <c r="C973" s="665" t="s">
        <v>707</v>
      </c>
      <c r="D973" s="271"/>
      <c r="E973" s="307"/>
      <c r="F973" s="307"/>
      <c r="G973" s="307"/>
      <c r="H973" s="307"/>
      <c r="I973" s="307"/>
      <c r="J973" s="307"/>
      <c r="K973" s="307"/>
      <c r="L973" s="307"/>
      <c r="M973" s="307"/>
      <c r="N973" s="307"/>
      <c r="O973" s="307"/>
      <c r="P973" s="307"/>
      <c r="Q973" s="660">
        <f t="shared" si="283"/>
        <v>0</v>
      </c>
    </row>
    <row r="974" spans="3:17" hidden="1">
      <c r="C974" s="393" t="s">
        <v>643</v>
      </c>
      <c r="D974" s="271"/>
      <c r="E974" s="528">
        <f>E867+E894+E921+E948</f>
        <v>0</v>
      </c>
      <c r="F974" s="528">
        <f t="shared" ref="F974:Q974" si="286">F867+F894+F921+F948</f>
        <v>0</v>
      </c>
      <c r="G974" s="528">
        <f t="shared" si="286"/>
        <v>0</v>
      </c>
      <c r="H974" s="528">
        <f t="shared" si="286"/>
        <v>0</v>
      </c>
      <c r="I974" s="528">
        <f t="shared" si="286"/>
        <v>0</v>
      </c>
      <c r="J974" s="528">
        <f t="shared" si="286"/>
        <v>0</v>
      </c>
      <c r="K974" s="528">
        <f t="shared" si="286"/>
        <v>0</v>
      </c>
      <c r="L974" s="528">
        <f t="shared" si="286"/>
        <v>0</v>
      </c>
      <c r="M974" s="528">
        <f t="shared" si="286"/>
        <v>0</v>
      </c>
      <c r="N974" s="528">
        <f t="shared" si="286"/>
        <v>0</v>
      </c>
      <c r="O974" s="528">
        <f t="shared" si="286"/>
        <v>0</v>
      </c>
      <c r="P974" s="528">
        <f t="shared" si="286"/>
        <v>0</v>
      </c>
      <c r="Q974" s="529">
        <f t="shared" si="286"/>
        <v>0</v>
      </c>
    </row>
    <row r="975" spans="3:17" ht="13.5" hidden="1" thickBot="1">
      <c r="C975" s="669" t="s">
        <v>644</v>
      </c>
      <c r="D975" s="531"/>
      <c r="E975" s="280">
        <f>E864+E974</f>
        <v>0</v>
      </c>
      <c r="F975" s="280">
        <f t="shared" ref="F975:P975" si="287">F864+F974</f>
        <v>0</v>
      </c>
      <c r="G975" s="280">
        <f t="shared" si="287"/>
        <v>0</v>
      </c>
      <c r="H975" s="280">
        <f t="shared" si="287"/>
        <v>0</v>
      </c>
      <c r="I975" s="280">
        <f t="shared" si="287"/>
        <v>0</v>
      </c>
      <c r="J975" s="280">
        <f t="shared" si="287"/>
        <v>0</v>
      </c>
      <c r="K975" s="280">
        <f t="shared" si="287"/>
        <v>0</v>
      </c>
      <c r="L975" s="280">
        <f t="shared" si="287"/>
        <v>0</v>
      </c>
      <c r="M975" s="280">
        <f t="shared" si="287"/>
        <v>0</v>
      </c>
      <c r="N975" s="280">
        <f t="shared" si="287"/>
        <v>0</v>
      </c>
      <c r="O975" s="280">
        <f t="shared" si="287"/>
        <v>0</v>
      </c>
      <c r="P975" s="280">
        <f t="shared" si="287"/>
        <v>0</v>
      </c>
      <c r="Q975" s="281">
        <f t="shared" ref="Q975" si="288">SUM(E975:P975)</f>
        <v>0</v>
      </c>
    </row>
    <row r="976" spans="3:17" hidden="1"/>
    <row r="977" hidden="1"/>
  </sheetData>
  <phoneticPr fontId="11" type="noConversion"/>
  <dataValidations count="1">
    <dataValidation type="decimal" allowBlank="1" showInputMessage="1" showErrorMessage="1" sqref="E856:Q65795 E733:Q854 E612:Q731 E356:Q488 E490:Q610 E7:Q121 E123:Q237 E1:Q5 E239:Q354">
      <formula1>-9.99999999999999E+21</formula1>
      <formula2>9.99999999999999E+28</formula2>
    </dataValidation>
  </dataValidations>
  <hyperlinks>
    <hyperlink ref="A1" location="Index!A1" display="Index sheet"/>
  </hyperlinks>
  <printOptions horizontalCentered="1" verticalCentered="1"/>
  <pageMargins left="0.25" right="0.25" top="0.25" bottom="0.25" header="0.23622047244094499" footer="0.23622047244094499"/>
  <pageSetup paperSize="9" scale="70" fitToHeight="8" orientation="landscape" blackAndWhite="1" r:id="rId1"/>
  <headerFooter alignWithMargins="0"/>
  <rowBreaks count="7" manualBreakCount="7">
    <brk id="42" min="2" max="16" man="1"/>
    <brk id="76" min="2" max="16" man="1"/>
    <brk id="118" min="2" max="16" man="1"/>
    <brk id="158" min="2" max="16" man="1"/>
    <brk id="192" min="2" max="16" man="1"/>
    <brk id="273" min="2" max="16" man="1"/>
    <brk id="316" min="2" max="16" man="1"/>
  </rowBreaks>
</worksheet>
</file>

<file path=xl/worksheets/sheet23.xml><?xml version="1.0" encoding="utf-8"?>
<worksheet xmlns="http://schemas.openxmlformats.org/spreadsheetml/2006/main" xmlns:r="http://schemas.openxmlformats.org/officeDocument/2006/relationships">
  <sheetPr>
    <pageSetUpPr fitToPage="1"/>
  </sheetPr>
  <dimension ref="A1:L185"/>
  <sheetViews>
    <sheetView view="pageBreakPreview" topLeftCell="A7" zoomScaleSheetLayoutView="100" workbookViewId="0">
      <selection activeCell="C18" sqref="C18:G18"/>
    </sheetView>
  </sheetViews>
  <sheetFormatPr defaultRowHeight="10.5"/>
  <cols>
    <col min="1" max="1" width="6" style="160" customWidth="1"/>
    <col min="2" max="2" width="9.85546875" style="160" hidden="1" customWidth="1"/>
    <col min="3" max="3" width="23.85546875" style="570" customWidth="1"/>
    <col min="4" max="4" width="16.85546875" style="570" customWidth="1"/>
    <col min="5" max="5" width="22.5703125" style="570" customWidth="1"/>
    <col min="6" max="6" width="8.140625" style="160" bestFit="1" customWidth="1"/>
    <col min="7" max="7" width="4.5703125" style="160" customWidth="1"/>
    <col min="8" max="8" width="0" style="571" hidden="1" customWidth="1"/>
    <col min="9" max="9" width="22.7109375" style="571" customWidth="1"/>
    <col min="10" max="10" width="13.85546875" style="571" customWidth="1"/>
    <col min="11" max="11" width="14.28515625" style="571" customWidth="1"/>
    <col min="12" max="12" width="8.140625" style="570" bestFit="1" customWidth="1"/>
    <col min="13" max="16384" width="9.140625" style="160"/>
  </cols>
  <sheetData>
    <row r="1" spans="1:12">
      <c r="A1" s="136" t="s">
        <v>397</v>
      </c>
    </row>
    <row r="3" spans="1:12">
      <c r="A3" s="572" t="s">
        <v>278</v>
      </c>
      <c r="B3" s="573"/>
      <c r="C3" s="574" t="s">
        <v>277</v>
      </c>
      <c r="D3" s="575"/>
      <c r="E3" s="575"/>
      <c r="F3" s="573"/>
      <c r="G3" s="573"/>
      <c r="H3" s="576"/>
      <c r="I3" s="576"/>
      <c r="J3" s="577"/>
      <c r="K3" s="577"/>
      <c r="L3" s="575"/>
    </row>
    <row r="4" spans="1:12">
      <c r="A4" s="572"/>
      <c r="B4" s="573"/>
      <c r="C4" s="574"/>
      <c r="D4" s="575"/>
      <c r="E4" s="575"/>
      <c r="F4" s="573"/>
      <c r="G4" s="573"/>
      <c r="H4" s="576"/>
      <c r="I4" s="576"/>
      <c r="J4" s="577"/>
      <c r="K4" s="577"/>
      <c r="L4" s="575"/>
    </row>
    <row r="5" spans="1:12">
      <c r="A5" s="572"/>
      <c r="B5" s="573"/>
      <c r="C5" s="574"/>
      <c r="D5" s="575"/>
      <c r="E5" s="575"/>
      <c r="F5" s="573"/>
      <c r="G5" s="573"/>
      <c r="H5" s="576"/>
      <c r="I5" s="576"/>
      <c r="J5" s="577"/>
      <c r="K5" s="577"/>
      <c r="L5" s="575"/>
    </row>
    <row r="6" spans="1:12" ht="12.75" customHeight="1">
      <c r="A6" s="578" t="s">
        <v>433</v>
      </c>
      <c r="B6" s="573"/>
      <c r="C6" s="574"/>
      <c r="D6" s="575"/>
      <c r="E6" s="575"/>
      <c r="F6" s="573"/>
      <c r="G6" s="573"/>
      <c r="H6" s="576"/>
      <c r="I6" s="576"/>
      <c r="J6" s="577"/>
      <c r="K6" s="577"/>
      <c r="L6" s="575"/>
    </row>
    <row r="7" spans="1:12" ht="11.25" customHeight="1">
      <c r="A7" s="579">
        <v>1</v>
      </c>
      <c r="B7" s="573"/>
      <c r="C7" s="580" t="s">
        <v>559</v>
      </c>
      <c r="D7" s="581"/>
      <c r="E7" s="582"/>
      <c r="F7" s="573"/>
      <c r="G7" s="573"/>
      <c r="H7" s="577"/>
      <c r="I7" s="577"/>
      <c r="J7" s="577"/>
      <c r="K7" s="577"/>
      <c r="L7" s="575"/>
    </row>
    <row r="8" spans="1:12" ht="11.25" customHeight="1">
      <c r="A8" s="583">
        <v>2</v>
      </c>
      <c r="B8" s="573"/>
      <c r="C8" s="584" t="s">
        <v>445</v>
      </c>
      <c r="D8" s="585"/>
      <c r="E8" s="586"/>
      <c r="F8" s="573"/>
      <c r="G8" s="573"/>
      <c r="H8" s="576"/>
      <c r="I8" s="576"/>
      <c r="J8" s="577"/>
      <c r="K8" s="577"/>
      <c r="L8" s="575"/>
    </row>
    <row r="9" spans="1:12" ht="11.25" customHeight="1">
      <c r="A9" s="583">
        <v>3</v>
      </c>
      <c r="B9" s="573"/>
      <c r="C9" s="584" t="s">
        <v>444</v>
      </c>
      <c r="D9" s="585"/>
      <c r="E9" s="586"/>
      <c r="F9" s="573"/>
      <c r="G9" s="573"/>
      <c r="H9" s="576"/>
      <c r="I9" s="576"/>
      <c r="J9" s="577"/>
      <c r="K9" s="577"/>
      <c r="L9" s="575"/>
    </row>
    <row r="10" spans="1:12" ht="33.75" customHeight="1">
      <c r="A10" s="587">
        <v>4</v>
      </c>
      <c r="B10" s="573"/>
      <c r="C10" s="1869" t="s">
        <v>439</v>
      </c>
      <c r="D10" s="1870"/>
      <c r="E10" s="1871"/>
      <c r="F10" s="573"/>
      <c r="G10" s="573"/>
      <c r="H10" s="577"/>
      <c r="I10" s="588"/>
      <c r="J10" s="589"/>
      <c r="K10" s="346"/>
      <c r="L10" s="575"/>
    </row>
    <row r="11" spans="1:12">
      <c r="A11" s="573"/>
      <c r="B11" s="573"/>
      <c r="C11" s="575"/>
      <c r="D11" s="575"/>
      <c r="E11" s="575"/>
      <c r="F11" s="573"/>
      <c r="G11" s="573"/>
      <c r="H11" s="577"/>
      <c r="I11" s="577"/>
      <c r="J11" s="577"/>
      <c r="K11" s="577"/>
      <c r="L11" s="575"/>
    </row>
    <row r="12" spans="1:12">
      <c r="A12" s="573"/>
      <c r="B12" s="573"/>
      <c r="C12" s="575"/>
      <c r="D12" s="575"/>
      <c r="E12" s="575"/>
      <c r="F12" s="573"/>
      <c r="G12" s="573"/>
      <c r="H12" s="577"/>
      <c r="I12" s="577"/>
      <c r="J12" s="577"/>
      <c r="K12" s="577"/>
      <c r="L12" s="575"/>
    </row>
    <row r="13" spans="1:12">
      <c r="A13" s="573"/>
      <c r="B13" s="572"/>
      <c r="C13" s="572" t="s">
        <v>256</v>
      </c>
      <c r="D13" s="575"/>
      <c r="E13" s="575"/>
      <c r="F13" s="573"/>
      <c r="G13" s="573"/>
      <c r="H13" s="577"/>
      <c r="I13" s="576" t="s">
        <v>257</v>
      </c>
      <c r="J13" s="577"/>
      <c r="K13" s="577"/>
      <c r="L13" s="575"/>
    </row>
    <row r="14" spans="1:12" ht="11.25" thickBot="1">
      <c r="A14" s="573"/>
      <c r="B14" s="573"/>
      <c r="C14" s="575"/>
      <c r="D14" s="575"/>
      <c r="E14" s="575"/>
      <c r="F14" s="573"/>
      <c r="G14" s="573"/>
      <c r="H14" s="577"/>
      <c r="I14" s="577"/>
      <c r="J14" s="577"/>
      <c r="K14" s="577"/>
      <c r="L14" s="575"/>
    </row>
    <row r="15" spans="1:12" s="571" customFormat="1" ht="11.25" customHeight="1">
      <c r="A15" s="577"/>
      <c r="B15" s="1872" t="s">
        <v>258</v>
      </c>
      <c r="C15" s="1867" t="s">
        <v>441</v>
      </c>
      <c r="D15" s="1862" t="s">
        <v>442</v>
      </c>
      <c r="E15" s="1862" t="s">
        <v>443</v>
      </c>
      <c r="F15" s="1864" t="s">
        <v>365</v>
      </c>
      <c r="G15" s="577"/>
      <c r="H15" s="1872" t="s">
        <v>258</v>
      </c>
      <c r="I15" s="1867" t="s">
        <v>441</v>
      </c>
      <c r="J15" s="1862" t="s">
        <v>442</v>
      </c>
      <c r="K15" s="1862" t="s">
        <v>443</v>
      </c>
      <c r="L15" s="1864" t="s">
        <v>365</v>
      </c>
    </row>
    <row r="16" spans="1:12" s="571" customFormat="1" ht="11.25" customHeight="1">
      <c r="A16" s="577"/>
      <c r="B16" s="1873"/>
      <c r="C16" s="1868"/>
      <c r="D16" s="1863"/>
      <c r="E16" s="1863"/>
      <c r="F16" s="1865"/>
      <c r="G16" s="577"/>
      <c r="H16" s="1873"/>
      <c r="I16" s="1868"/>
      <c r="J16" s="1863"/>
      <c r="K16" s="1863"/>
      <c r="L16" s="1865"/>
    </row>
    <row r="17" spans="1:12" s="571" customFormat="1" ht="12" customHeight="1" thickBot="1">
      <c r="A17" s="577"/>
      <c r="B17" s="1873"/>
      <c r="C17" s="1868" t="s">
        <v>259</v>
      </c>
      <c r="D17" s="1863"/>
      <c r="E17" s="1863"/>
      <c r="F17" s="1865"/>
      <c r="G17" s="577"/>
      <c r="H17" s="1873"/>
      <c r="I17" s="1868" t="s">
        <v>259</v>
      </c>
      <c r="J17" s="1863"/>
      <c r="K17" s="1863"/>
      <c r="L17" s="1865"/>
    </row>
    <row r="18" spans="1:12" s="599" customFormat="1">
      <c r="A18" s="590"/>
      <c r="B18" s="591"/>
      <c r="C18" s="592"/>
      <c r="D18" s="593"/>
      <c r="E18" s="594"/>
      <c r="F18" s="595"/>
      <c r="G18" s="596"/>
      <c r="H18" s="597"/>
      <c r="I18" s="220"/>
      <c r="J18" s="598"/>
      <c r="K18" s="598"/>
      <c r="L18" s="146"/>
    </row>
    <row r="19" spans="1:12" s="599" customFormat="1" ht="75">
      <c r="A19" s="590"/>
      <c r="B19" s="600"/>
      <c r="C19" s="601"/>
      <c r="D19" s="593"/>
      <c r="E19" s="602"/>
      <c r="F19" s="595"/>
      <c r="G19" s="596"/>
      <c r="H19" s="603"/>
      <c r="I19" s="220" t="s">
        <v>606</v>
      </c>
      <c r="J19" s="289"/>
      <c r="K19" s="1423" t="s">
        <v>1149</v>
      </c>
      <c r="L19" s="146"/>
    </row>
    <row r="20" spans="1:12" s="599" customFormat="1" ht="18.75" customHeight="1">
      <c r="A20" s="590"/>
      <c r="B20" s="605"/>
      <c r="C20" s="606"/>
      <c r="D20" s="607"/>
      <c r="E20" s="608"/>
      <c r="F20" s="609"/>
      <c r="G20" s="590"/>
      <c r="H20" s="605"/>
      <c r="I20" s="220"/>
      <c r="J20" s="289"/>
      <c r="K20" s="594"/>
      <c r="L20" s="146"/>
    </row>
    <row r="21" spans="1:12" s="599" customFormat="1" hidden="1">
      <c r="A21" s="590"/>
      <c r="B21" s="605"/>
      <c r="C21" s="606"/>
      <c r="D21" s="610"/>
      <c r="E21" s="608"/>
      <c r="F21" s="609"/>
      <c r="G21" s="590"/>
      <c r="H21" s="605"/>
      <c r="I21" s="220"/>
      <c r="J21" s="598"/>
      <c r="K21" s="608"/>
      <c r="L21" s="146"/>
    </row>
    <row r="22" spans="1:12" s="599" customFormat="1" hidden="1">
      <c r="A22" s="590"/>
      <c r="B22" s="605"/>
      <c r="C22" s="606"/>
      <c r="D22" s="607"/>
      <c r="E22" s="608"/>
      <c r="F22" s="609"/>
      <c r="G22" s="590"/>
      <c r="H22" s="605"/>
      <c r="I22" s="220"/>
      <c r="J22" s="289"/>
      <c r="K22" s="608"/>
      <c r="L22" s="146"/>
    </row>
    <row r="23" spans="1:12" s="599" customFormat="1" hidden="1">
      <c r="A23" s="590"/>
      <c r="B23" s="605"/>
      <c r="C23" s="606"/>
      <c r="D23" s="607"/>
      <c r="E23" s="608"/>
      <c r="F23" s="609"/>
      <c r="G23" s="590"/>
      <c r="H23" s="605"/>
      <c r="I23" s="220"/>
      <c r="J23" s="289"/>
      <c r="K23" s="608"/>
      <c r="L23" s="146"/>
    </row>
    <row r="24" spans="1:12" s="599" customFormat="1" hidden="1">
      <c r="A24" s="590"/>
      <c r="B24" s="605"/>
      <c r="C24" s="606"/>
      <c r="D24" s="607"/>
      <c r="E24" s="608"/>
      <c r="F24" s="609"/>
      <c r="G24" s="590"/>
      <c r="H24" s="605"/>
      <c r="I24" s="220"/>
      <c r="J24" s="289"/>
      <c r="K24" s="608"/>
      <c r="L24" s="146"/>
    </row>
    <row r="25" spans="1:12" s="599" customFormat="1" hidden="1">
      <c r="A25" s="590"/>
      <c r="B25" s="605"/>
      <c r="C25" s="606"/>
      <c r="D25" s="607"/>
      <c r="E25" s="608"/>
      <c r="F25" s="609"/>
      <c r="G25" s="590"/>
      <c r="H25" s="605"/>
      <c r="I25" s="300"/>
      <c r="J25" s="95"/>
      <c r="K25" s="95"/>
      <c r="L25" s="146"/>
    </row>
    <row r="26" spans="1:12" s="599" customFormat="1" ht="11.25" hidden="1" thickBot="1">
      <c r="A26" s="590"/>
      <c r="B26" s="605"/>
      <c r="C26" s="606"/>
      <c r="D26" s="607"/>
      <c r="E26" s="203"/>
      <c r="F26" s="609"/>
      <c r="G26" s="590"/>
      <c r="H26" s="605"/>
      <c r="I26" s="611"/>
      <c r="J26" s="612"/>
      <c r="K26" s="612"/>
      <c r="L26" s="613"/>
    </row>
    <row r="27" spans="1:12" s="599" customFormat="1" hidden="1">
      <c r="A27" s="590"/>
      <c r="B27" s="605"/>
      <c r="C27" s="606"/>
      <c r="D27" s="607"/>
      <c r="E27" s="607"/>
      <c r="F27" s="609"/>
      <c r="G27" s="590"/>
      <c r="H27" s="605"/>
      <c r="I27" s="614"/>
      <c r="J27" s="614"/>
      <c r="K27" s="614"/>
      <c r="L27" s="614"/>
    </row>
    <row r="28" spans="1:12" s="599" customFormat="1" hidden="1">
      <c r="A28" s="590"/>
      <c r="B28" s="605"/>
      <c r="C28" s="606"/>
      <c r="D28" s="607"/>
      <c r="E28" s="607"/>
      <c r="F28" s="609"/>
      <c r="G28" s="590"/>
      <c r="H28" s="605"/>
      <c r="I28" s="95"/>
      <c r="J28" s="95"/>
      <c r="K28" s="95"/>
      <c r="L28" s="95"/>
    </row>
    <row r="29" spans="1:12" s="599" customFormat="1" hidden="1">
      <c r="A29" s="590"/>
      <c r="B29" s="605"/>
      <c r="C29" s="606"/>
      <c r="D29" s="607"/>
      <c r="E29" s="607"/>
      <c r="F29" s="609"/>
      <c r="G29" s="590"/>
      <c r="H29" s="605"/>
      <c r="I29" s="95"/>
      <c r="J29" s="95"/>
      <c r="K29" s="95"/>
      <c r="L29" s="95"/>
    </row>
    <row r="30" spans="1:12" s="599" customFormat="1" hidden="1">
      <c r="A30" s="590"/>
      <c r="B30" s="605"/>
      <c r="C30" s="606"/>
      <c r="D30" s="607"/>
      <c r="E30" s="607"/>
      <c r="F30" s="609"/>
      <c r="G30" s="590"/>
      <c r="H30" s="605"/>
      <c r="I30" s="95"/>
      <c r="J30" s="95"/>
      <c r="K30" s="95"/>
      <c r="L30" s="95"/>
    </row>
    <row r="31" spans="1:12" s="599" customFormat="1" hidden="1">
      <c r="A31" s="590"/>
      <c r="B31" s="605"/>
      <c r="C31" s="606"/>
      <c r="D31" s="607"/>
      <c r="E31" s="607"/>
      <c r="F31" s="609"/>
      <c r="G31" s="590"/>
      <c r="H31" s="605"/>
      <c r="I31" s="95"/>
      <c r="J31" s="95"/>
      <c r="K31" s="95"/>
      <c r="L31" s="95"/>
    </row>
    <row r="32" spans="1:12" s="599" customFormat="1" hidden="1">
      <c r="A32" s="590"/>
      <c r="B32" s="605"/>
      <c r="C32" s="606"/>
      <c r="D32" s="607"/>
      <c r="E32" s="607"/>
      <c r="F32" s="609"/>
      <c r="G32" s="590"/>
      <c r="H32" s="605"/>
      <c r="I32" s="95"/>
      <c r="J32" s="95"/>
      <c r="K32" s="95"/>
      <c r="L32" s="95"/>
    </row>
    <row r="33" spans="1:12" s="599" customFormat="1" hidden="1">
      <c r="A33" s="590"/>
      <c r="B33" s="605"/>
      <c r="C33" s="606"/>
      <c r="D33" s="607"/>
      <c r="E33" s="607"/>
      <c r="F33" s="609"/>
      <c r="G33" s="590"/>
      <c r="H33" s="605"/>
      <c r="I33" s="95"/>
      <c r="J33" s="95"/>
      <c r="K33" s="95"/>
      <c r="L33" s="95"/>
    </row>
    <row r="34" spans="1:12" s="599" customFormat="1" hidden="1">
      <c r="A34" s="590"/>
      <c r="B34" s="605"/>
      <c r="C34" s="606"/>
      <c r="D34" s="607"/>
      <c r="E34" s="607"/>
      <c r="F34" s="609"/>
      <c r="G34" s="590"/>
      <c r="H34" s="605"/>
      <c r="I34" s="95"/>
      <c r="J34" s="95"/>
      <c r="K34" s="95"/>
      <c r="L34" s="95"/>
    </row>
    <row r="35" spans="1:12" s="599" customFormat="1" hidden="1">
      <c r="A35" s="590"/>
      <c r="B35" s="605"/>
      <c r="C35" s="606"/>
      <c r="D35" s="607"/>
      <c r="E35" s="607"/>
      <c r="F35" s="609"/>
      <c r="G35" s="590"/>
      <c r="H35" s="605"/>
      <c r="I35" s="95"/>
      <c r="J35" s="95"/>
      <c r="K35" s="95"/>
      <c r="L35" s="95"/>
    </row>
    <row r="36" spans="1:12" s="599" customFormat="1" hidden="1">
      <c r="A36" s="590"/>
      <c r="B36" s="605"/>
      <c r="C36" s="606"/>
      <c r="D36" s="607"/>
      <c r="E36" s="607"/>
      <c r="F36" s="609"/>
      <c r="G36" s="590"/>
      <c r="H36" s="605"/>
      <c r="I36" s="95"/>
      <c r="J36" s="95"/>
      <c r="K36" s="95"/>
      <c r="L36" s="95"/>
    </row>
    <row r="37" spans="1:12" s="599" customFormat="1" hidden="1">
      <c r="A37" s="590"/>
      <c r="B37" s="605"/>
      <c r="C37" s="606"/>
      <c r="D37" s="607"/>
      <c r="E37" s="607"/>
      <c r="F37" s="609"/>
      <c r="G37" s="590"/>
      <c r="H37" s="605"/>
      <c r="I37" s="95"/>
      <c r="J37" s="95"/>
      <c r="K37" s="95"/>
      <c r="L37" s="95"/>
    </row>
    <row r="38" spans="1:12" s="599" customFormat="1" hidden="1">
      <c r="A38" s="590"/>
      <c r="B38" s="605"/>
      <c r="C38" s="606"/>
      <c r="D38" s="607"/>
      <c r="E38" s="607"/>
      <c r="F38" s="609"/>
      <c r="G38" s="590"/>
      <c r="H38" s="605"/>
      <c r="I38" s="95"/>
      <c r="J38" s="95"/>
      <c r="K38" s="95"/>
      <c r="L38" s="95"/>
    </row>
    <row r="39" spans="1:12" s="599" customFormat="1" hidden="1">
      <c r="A39" s="590"/>
      <c r="B39" s="605"/>
      <c r="C39" s="606"/>
      <c r="D39" s="607"/>
      <c r="E39" s="607"/>
      <c r="F39" s="609"/>
      <c r="G39" s="590"/>
      <c r="H39" s="605"/>
      <c r="I39" s="95"/>
      <c r="J39" s="95"/>
      <c r="K39" s="95"/>
      <c r="L39" s="95"/>
    </row>
    <row r="40" spans="1:12" s="599" customFormat="1" hidden="1">
      <c r="A40" s="590"/>
      <c r="B40" s="605"/>
      <c r="C40" s="606"/>
      <c r="D40" s="607"/>
      <c r="E40" s="607"/>
      <c r="F40" s="609"/>
      <c r="G40" s="590"/>
      <c r="H40" s="605"/>
      <c r="I40" s="95"/>
      <c r="J40" s="95"/>
      <c r="K40" s="95"/>
      <c r="L40" s="95"/>
    </row>
    <row r="41" spans="1:12" s="599" customFormat="1" hidden="1">
      <c r="A41" s="590"/>
      <c r="B41" s="605"/>
      <c r="C41" s="606"/>
      <c r="D41" s="607"/>
      <c r="E41" s="607"/>
      <c r="F41" s="609"/>
      <c r="G41" s="590"/>
      <c r="H41" s="605"/>
      <c r="I41" s="95"/>
      <c r="J41" s="95"/>
      <c r="K41" s="95"/>
      <c r="L41" s="95"/>
    </row>
    <row r="42" spans="1:12" s="599" customFormat="1" hidden="1">
      <c r="A42" s="590"/>
      <c r="B42" s="605"/>
      <c r="C42" s="606"/>
      <c r="D42" s="607"/>
      <c r="E42" s="607"/>
      <c r="F42" s="609"/>
      <c r="G42" s="590"/>
      <c r="H42" s="605"/>
      <c r="I42" s="95"/>
      <c r="J42" s="95"/>
      <c r="K42" s="95"/>
      <c r="L42" s="95"/>
    </row>
    <row r="43" spans="1:12" s="599" customFormat="1" hidden="1">
      <c r="A43" s="590"/>
      <c r="B43" s="605"/>
      <c r="C43" s="606"/>
      <c r="D43" s="607"/>
      <c r="E43" s="607"/>
      <c r="F43" s="609"/>
      <c r="G43" s="590"/>
      <c r="H43" s="605"/>
      <c r="I43" s="95"/>
      <c r="J43" s="95"/>
      <c r="K43" s="95"/>
      <c r="L43" s="95"/>
    </row>
    <row r="44" spans="1:12" s="599" customFormat="1" hidden="1">
      <c r="A44" s="590"/>
      <c r="B44" s="605"/>
      <c r="C44" s="606"/>
      <c r="D44" s="607"/>
      <c r="E44" s="607"/>
      <c r="F44" s="609"/>
      <c r="G44" s="590"/>
      <c r="H44" s="605"/>
      <c r="I44" s="95"/>
      <c r="J44" s="95"/>
      <c r="K44" s="95"/>
      <c r="L44" s="95"/>
    </row>
    <row r="45" spans="1:12" s="599" customFormat="1" hidden="1">
      <c r="A45" s="590"/>
      <c r="B45" s="605"/>
      <c r="C45" s="606"/>
      <c r="D45" s="607"/>
      <c r="E45" s="607"/>
      <c r="F45" s="609"/>
      <c r="G45" s="590"/>
      <c r="H45" s="605"/>
      <c r="I45" s="95"/>
      <c r="J45" s="95"/>
      <c r="K45" s="95"/>
      <c r="L45" s="95"/>
    </row>
    <row r="46" spans="1:12" s="599" customFormat="1" hidden="1">
      <c r="A46" s="590"/>
      <c r="B46" s="605"/>
      <c r="C46" s="606"/>
      <c r="D46" s="607"/>
      <c r="E46" s="607"/>
      <c r="F46" s="609"/>
      <c r="G46" s="590"/>
      <c r="H46" s="605"/>
      <c r="I46" s="95"/>
      <c r="J46" s="95"/>
      <c r="K46" s="95"/>
      <c r="L46" s="95"/>
    </row>
    <row r="47" spans="1:12" s="599" customFormat="1" hidden="1">
      <c r="A47" s="590"/>
      <c r="B47" s="605"/>
      <c r="C47" s="606"/>
      <c r="D47" s="607"/>
      <c r="E47" s="607"/>
      <c r="F47" s="609"/>
      <c r="G47" s="590"/>
      <c r="H47" s="605"/>
      <c r="I47" s="95"/>
      <c r="J47" s="95"/>
      <c r="K47" s="95"/>
      <c r="L47" s="95"/>
    </row>
    <row r="48" spans="1:12" s="599" customFormat="1" hidden="1">
      <c r="A48" s="590"/>
      <c r="B48" s="605"/>
      <c r="C48" s="606"/>
      <c r="D48" s="607"/>
      <c r="E48" s="607"/>
      <c r="F48" s="609"/>
      <c r="G48" s="590"/>
      <c r="H48" s="605"/>
      <c r="I48" s="95"/>
      <c r="J48" s="95"/>
      <c r="K48" s="95"/>
      <c r="L48" s="95"/>
    </row>
    <row r="49" spans="1:12" s="599" customFormat="1" hidden="1">
      <c r="A49" s="590"/>
      <c r="B49" s="605"/>
      <c r="C49" s="606"/>
      <c r="D49" s="607"/>
      <c r="E49" s="607"/>
      <c r="F49" s="609"/>
      <c r="G49" s="590"/>
      <c r="H49" s="605"/>
      <c r="I49" s="95"/>
      <c r="J49" s="95"/>
      <c r="K49" s="95"/>
      <c r="L49" s="95"/>
    </row>
    <row r="50" spans="1:12" s="599" customFormat="1" hidden="1">
      <c r="A50" s="590"/>
      <c r="B50" s="605"/>
      <c r="C50" s="606"/>
      <c r="D50" s="607"/>
      <c r="E50" s="607"/>
      <c r="F50" s="609"/>
      <c r="G50" s="590"/>
      <c r="H50" s="605"/>
      <c r="I50" s="95"/>
      <c r="J50" s="95"/>
      <c r="K50" s="95"/>
      <c r="L50" s="95"/>
    </row>
    <row r="51" spans="1:12" s="599" customFormat="1" hidden="1">
      <c r="A51" s="590"/>
      <c r="B51" s="605"/>
      <c r="C51" s="606"/>
      <c r="D51" s="607"/>
      <c r="E51" s="607"/>
      <c r="F51" s="609"/>
      <c r="G51" s="590"/>
      <c r="H51" s="605"/>
      <c r="I51" s="95"/>
      <c r="J51" s="95"/>
      <c r="K51" s="95"/>
      <c r="L51" s="95"/>
    </row>
    <row r="52" spans="1:12" s="599" customFormat="1" hidden="1">
      <c r="A52" s="590"/>
      <c r="B52" s="605"/>
      <c r="C52" s="606"/>
      <c r="D52" s="607"/>
      <c r="E52" s="607"/>
      <c r="F52" s="609"/>
      <c r="G52" s="590"/>
      <c r="H52" s="605"/>
      <c r="I52" s="95"/>
      <c r="J52" s="95"/>
      <c r="K52" s="95"/>
      <c r="L52" s="95"/>
    </row>
    <row r="53" spans="1:12" s="599" customFormat="1" hidden="1">
      <c r="A53" s="590"/>
      <c r="B53" s="605"/>
      <c r="C53" s="606"/>
      <c r="D53" s="607"/>
      <c r="E53" s="607"/>
      <c r="F53" s="609"/>
      <c r="G53" s="590"/>
      <c r="H53" s="605"/>
      <c r="I53" s="95"/>
      <c r="J53" s="95"/>
      <c r="K53" s="95"/>
      <c r="L53" s="95"/>
    </row>
    <row r="54" spans="1:12" s="599" customFormat="1" hidden="1">
      <c r="A54" s="590"/>
      <c r="B54" s="605"/>
      <c r="C54" s="606"/>
      <c r="D54" s="607"/>
      <c r="E54" s="607"/>
      <c r="F54" s="609"/>
      <c r="G54" s="590"/>
      <c r="H54" s="605"/>
      <c r="I54" s="95"/>
      <c r="J54" s="95"/>
      <c r="K54" s="95"/>
      <c r="L54" s="95"/>
    </row>
    <row r="55" spans="1:12" s="599" customFormat="1" ht="11.25" hidden="1" thickBot="1">
      <c r="A55" s="590"/>
      <c r="B55" s="615"/>
      <c r="C55" s="606"/>
      <c r="D55" s="607"/>
      <c r="E55" s="607"/>
      <c r="F55" s="609"/>
      <c r="G55" s="590"/>
      <c r="H55" s="615"/>
      <c r="I55" s="95"/>
      <c r="J55" s="95"/>
      <c r="K55" s="95"/>
      <c r="L55" s="95"/>
    </row>
    <row r="56" spans="1:12" hidden="1">
      <c r="A56" s="573"/>
      <c r="B56" s="573"/>
      <c r="C56" s="616"/>
      <c r="D56" s="610"/>
      <c r="E56" s="610"/>
      <c r="F56" s="617"/>
      <c r="G56" s="573"/>
      <c r="H56" s="577"/>
      <c r="I56" s="577"/>
      <c r="J56" s="577"/>
      <c r="K56" s="577"/>
      <c r="L56" s="575"/>
    </row>
    <row r="57" spans="1:12" hidden="1">
      <c r="A57" s="573"/>
      <c r="B57" s="573"/>
      <c r="C57" s="616"/>
      <c r="D57" s="610"/>
      <c r="E57" s="610"/>
      <c r="F57" s="617"/>
      <c r="G57" s="573"/>
      <c r="H57" s="577"/>
      <c r="I57" s="577"/>
      <c r="J57" s="577"/>
      <c r="K57" s="577"/>
      <c r="L57" s="575"/>
    </row>
    <row r="58" spans="1:12" ht="11.25" thickBot="1">
      <c r="A58" s="573"/>
      <c r="B58" s="573"/>
      <c r="C58" s="618"/>
      <c r="D58" s="619"/>
      <c r="E58" s="619"/>
      <c r="F58" s="620"/>
      <c r="G58" s="573"/>
      <c r="H58" s="577"/>
      <c r="I58" s="577"/>
      <c r="J58" s="577"/>
      <c r="K58" s="577"/>
      <c r="L58" s="575"/>
    </row>
    <row r="59" spans="1:12">
      <c r="A59" s="573"/>
      <c r="B59" s="573"/>
      <c r="C59" s="575"/>
      <c r="D59" s="589"/>
      <c r="E59" s="589"/>
      <c r="F59" s="621"/>
      <c r="G59" s="573"/>
      <c r="H59" s="577"/>
      <c r="I59" s="577"/>
      <c r="J59" s="577"/>
      <c r="K59" s="577"/>
      <c r="L59" s="575"/>
    </row>
    <row r="60" spans="1:12">
      <c r="A60" s="573"/>
      <c r="B60" s="573"/>
      <c r="C60" s="572" t="s">
        <v>260</v>
      </c>
      <c r="D60" s="589"/>
      <c r="E60" s="589"/>
      <c r="F60" s="621"/>
      <c r="G60" s="573"/>
      <c r="H60" s="577"/>
      <c r="I60" s="574" t="s">
        <v>607</v>
      </c>
      <c r="J60" s="577"/>
      <c r="K60" s="577"/>
      <c r="L60" s="575"/>
    </row>
    <row r="61" spans="1:12" ht="11.25" thickBot="1">
      <c r="A61" s="573"/>
      <c r="B61" s="573"/>
      <c r="C61" s="575"/>
      <c r="D61" s="589"/>
      <c r="E61" s="589"/>
      <c r="F61" s="621"/>
      <c r="G61" s="573"/>
      <c r="H61" s="577"/>
      <c r="I61" s="577"/>
      <c r="J61" s="577"/>
      <c r="K61" s="577"/>
      <c r="L61" s="575"/>
    </row>
    <row r="62" spans="1:12" s="571" customFormat="1">
      <c r="A62" s="577"/>
      <c r="B62" s="1872" t="s">
        <v>258</v>
      </c>
      <c r="C62" s="1867" t="s">
        <v>441</v>
      </c>
      <c r="D62" s="1862" t="s">
        <v>442</v>
      </c>
      <c r="E62" s="1862" t="s">
        <v>443</v>
      </c>
      <c r="F62" s="1864" t="s">
        <v>365</v>
      </c>
      <c r="G62" s="577"/>
      <c r="H62" s="1872" t="s">
        <v>258</v>
      </c>
      <c r="I62" s="1867" t="s">
        <v>441</v>
      </c>
      <c r="J62" s="1862" t="s">
        <v>442</v>
      </c>
      <c r="K62" s="1862" t="s">
        <v>443</v>
      </c>
      <c r="L62" s="1864" t="s">
        <v>365</v>
      </c>
    </row>
    <row r="63" spans="1:12" s="571" customFormat="1">
      <c r="A63" s="577"/>
      <c r="B63" s="1873"/>
      <c r="C63" s="1868"/>
      <c r="D63" s="1863"/>
      <c r="E63" s="1863"/>
      <c r="F63" s="1865"/>
      <c r="G63" s="577"/>
      <c r="H63" s="1873"/>
      <c r="I63" s="1868"/>
      <c r="J63" s="1863"/>
      <c r="K63" s="1863"/>
      <c r="L63" s="1865"/>
    </row>
    <row r="64" spans="1:12" s="571" customFormat="1">
      <c r="A64" s="577"/>
      <c r="B64" s="1873"/>
      <c r="C64" s="1868" t="s">
        <v>259</v>
      </c>
      <c r="D64" s="1863"/>
      <c r="E64" s="1863"/>
      <c r="F64" s="1865"/>
      <c r="G64" s="577"/>
      <c r="H64" s="1873"/>
      <c r="I64" s="1868" t="s">
        <v>259</v>
      </c>
      <c r="J64" s="1863"/>
      <c r="K64" s="1863"/>
      <c r="L64" s="1865"/>
    </row>
    <row r="65" spans="1:12" s="571" customFormat="1" ht="75.75" thickBot="1">
      <c r="A65" s="577"/>
      <c r="B65" s="622"/>
      <c r="C65" s="220" t="s">
        <v>606</v>
      </c>
      <c r="D65" s="598"/>
      <c r="E65" s="1423" t="s">
        <v>1149</v>
      </c>
      <c r="F65" s="623"/>
      <c r="G65" s="624"/>
      <c r="H65" s="625"/>
      <c r="I65" s="220" t="s">
        <v>606</v>
      </c>
      <c r="J65" s="598"/>
      <c r="K65" s="1423" t="s">
        <v>1149</v>
      </c>
      <c r="L65" s="626"/>
    </row>
    <row r="66" spans="1:12" s="599" customFormat="1" ht="17.25" customHeight="1">
      <c r="A66" s="590"/>
      <c r="B66" s="591"/>
      <c r="C66" s="627"/>
      <c r="D66" s="628"/>
      <c r="E66" s="604"/>
      <c r="F66" s="629"/>
      <c r="G66" s="596"/>
      <c r="H66" s="630"/>
      <c r="I66" s="627"/>
      <c r="J66" s="628"/>
      <c r="K66" s="604"/>
      <c r="L66" s="631"/>
    </row>
    <row r="67" spans="1:12" s="599" customFormat="1" hidden="1">
      <c r="A67" s="590"/>
      <c r="B67" s="632"/>
      <c r="C67" s="633"/>
      <c r="D67" s="628"/>
      <c r="E67" s="602"/>
      <c r="F67" s="634"/>
      <c r="G67" s="596"/>
      <c r="H67" s="635"/>
      <c r="I67" s="627"/>
      <c r="J67" s="628"/>
      <c r="K67" s="602"/>
      <c r="L67" s="631"/>
    </row>
    <row r="68" spans="1:12" s="599" customFormat="1" hidden="1">
      <c r="A68" s="590"/>
      <c r="B68" s="632"/>
      <c r="C68" s="633"/>
      <c r="D68" s="628"/>
      <c r="E68" s="628"/>
      <c r="F68" s="634"/>
      <c r="G68" s="596"/>
      <c r="H68" s="635"/>
      <c r="I68" s="627"/>
      <c r="J68" s="628"/>
      <c r="K68" s="628"/>
      <c r="L68" s="631"/>
    </row>
    <row r="69" spans="1:12" s="599" customFormat="1" hidden="1">
      <c r="A69" s="590"/>
      <c r="B69" s="632"/>
      <c r="C69" s="633"/>
      <c r="D69" s="636"/>
      <c r="E69" s="636"/>
      <c r="F69" s="629"/>
      <c r="G69" s="596"/>
      <c r="H69" s="635"/>
      <c r="I69" s="627"/>
      <c r="J69" s="636"/>
      <c r="K69" s="636"/>
      <c r="L69" s="631"/>
    </row>
    <row r="70" spans="1:12" s="599" customFormat="1" hidden="1">
      <c r="A70" s="590"/>
      <c r="B70" s="632"/>
      <c r="C70" s="633"/>
      <c r="D70" s="636"/>
      <c r="E70" s="636"/>
      <c r="F70" s="629"/>
      <c r="G70" s="596"/>
      <c r="H70" s="635"/>
      <c r="I70" s="627"/>
      <c r="J70" s="628"/>
      <c r="K70" s="636"/>
      <c r="L70" s="631"/>
    </row>
    <row r="71" spans="1:12" s="599" customFormat="1" hidden="1">
      <c r="A71" s="590"/>
      <c r="B71" s="632"/>
      <c r="C71" s="633"/>
      <c r="D71" s="636"/>
      <c r="E71" s="636"/>
      <c r="F71" s="629"/>
      <c r="G71" s="596"/>
      <c r="H71" s="635"/>
      <c r="I71" s="627"/>
      <c r="J71" s="628"/>
      <c r="K71" s="628"/>
      <c r="L71" s="631"/>
    </row>
    <row r="72" spans="1:12" s="599" customFormat="1" hidden="1">
      <c r="A72" s="590"/>
      <c r="B72" s="632"/>
      <c r="C72" s="633"/>
      <c r="D72" s="636"/>
      <c r="E72" s="636"/>
      <c r="F72" s="629"/>
      <c r="G72" s="596"/>
      <c r="H72" s="635"/>
      <c r="I72" s="627"/>
      <c r="J72" s="628"/>
      <c r="K72" s="628"/>
      <c r="L72" s="631"/>
    </row>
    <row r="73" spans="1:12" s="599" customFormat="1" hidden="1">
      <c r="A73" s="590"/>
      <c r="B73" s="632"/>
      <c r="C73" s="633"/>
      <c r="D73" s="636"/>
      <c r="E73" s="636"/>
      <c r="F73" s="629"/>
      <c r="G73" s="596"/>
      <c r="H73" s="635"/>
      <c r="I73" s="627"/>
      <c r="J73" s="628"/>
      <c r="K73" s="628"/>
      <c r="L73" s="631"/>
    </row>
    <row r="74" spans="1:12" s="599" customFormat="1" hidden="1">
      <c r="A74" s="590"/>
      <c r="B74" s="632"/>
      <c r="C74" s="633"/>
      <c r="D74" s="636"/>
      <c r="E74" s="636"/>
      <c r="F74" s="629"/>
      <c r="G74" s="596"/>
      <c r="H74" s="635"/>
      <c r="I74" s="627"/>
      <c r="J74" s="628"/>
      <c r="K74" s="628"/>
      <c r="L74" s="631"/>
    </row>
    <row r="75" spans="1:12" s="599" customFormat="1" ht="11.25" hidden="1" thickBot="1">
      <c r="A75" s="590"/>
      <c r="B75" s="615"/>
      <c r="C75" s="633"/>
      <c r="D75" s="636"/>
      <c r="E75" s="636"/>
      <c r="F75" s="629"/>
      <c r="G75" s="596"/>
      <c r="H75" s="637"/>
      <c r="I75" s="627"/>
      <c r="J75" s="628"/>
      <c r="K75" s="628"/>
      <c r="L75" s="631"/>
    </row>
    <row r="76" spans="1:12" hidden="1">
      <c r="A76" s="573"/>
      <c r="B76" s="573"/>
      <c r="C76" s="638"/>
      <c r="D76" s="598"/>
      <c r="E76" s="598"/>
      <c r="F76" s="617"/>
      <c r="G76" s="621"/>
      <c r="H76" s="621"/>
      <c r="I76" s="638"/>
      <c r="J76" s="598"/>
      <c r="K76" s="598"/>
      <c r="L76" s="639"/>
    </row>
    <row r="77" spans="1:12" hidden="1">
      <c r="A77" s="573"/>
      <c r="B77" s="573"/>
      <c r="C77" s="633"/>
      <c r="D77" s="598"/>
      <c r="E77" s="203"/>
      <c r="F77" s="617"/>
      <c r="G77" s="621"/>
      <c r="H77" s="621"/>
      <c r="I77" s="633"/>
      <c r="J77" s="628"/>
      <c r="K77" s="203"/>
      <c r="L77" s="639"/>
    </row>
    <row r="78" spans="1:12" hidden="1">
      <c r="A78" s="573"/>
      <c r="B78" s="573"/>
      <c r="C78" s="638"/>
      <c r="D78" s="598"/>
      <c r="E78" s="608"/>
      <c r="F78" s="617"/>
      <c r="G78" s="621"/>
      <c r="H78" s="621"/>
      <c r="I78" s="638"/>
      <c r="J78" s="598"/>
      <c r="K78" s="608"/>
      <c r="L78" s="639"/>
    </row>
    <row r="79" spans="1:12" hidden="1">
      <c r="A79" s="573"/>
      <c r="B79" s="573"/>
      <c r="C79" s="638"/>
      <c r="D79" s="598"/>
      <c r="E79" s="203"/>
      <c r="F79" s="617"/>
      <c r="G79" s="621"/>
      <c r="H79" s="621"/>
      <c r="I79" s="638"/>
      <c r="J79" s="598"/>
      <c r="K79" s="203"/>
      <c r="L79" s="639"/>
    </row>
    <row r="80" spans="1:12" ht="11.25" thickBot="1">
      <c r="A80" s="573"/>
      <c r="B80" s="573"/>
      <c r="C80" s="640"/>
      <c r="D80" s="641"/>
      <c r="E80" s="642"/>
      <c r="F80" s="620"/>
      <c r="G80" s="621"/>
      <c r="H80" s="621"/>
      <c r="I80" s="640"/>
      <c r="J80" s="641"/>
      <c r="K80" s="642"/>
      <c r="L80" s="643"/>
    </row>
    <row r="82" spans="3:11">
      <c r="C82" s="574" t="s">
        <v>973</v>
      </c>
      <c r="D82" s="577"/>
      <c r="E82" s="577"/>
      <c r="F82" s="575"/>
    </row>
    <row r="83" spans="3:11" ht="11.25" thickBot="1">
      <c r="C83" s="577"/>
      <c r="D83" s="577"/>
      <c r="E83" s="577"/>
      <c r="F83" s="575"/>
    </row>
    <row r="84" spans="3:11">
      <c r="C84" s="1867" t="s">
        <v>441</v>
      </c>
      <c r="D84" s="1862" t="s">
        <v>442</v>
      </c>
      <c r="E84" s="1862" t="s">
        <v>443</v>
      </c>
      <c r="F84" s="1864" t="s">
        <v>365</v>
      </c>
    </row>
    <row r="85" spans="3:11">
      <c r="C85" s="1868"/>
      <c r="D85" s="1863"/>
      <c r="E85" s="1863"/>
      <c r="F85" s="1865"/>
    </row>
    <row r="86" spans="3:11">
      <c r="C86" s="1868" t="s">
        <v>259</v>
      </c>
      <c r="D86" s="1863"/>
      <c r="E86" s="1863"/>
      <c r="F86" s="1865"/>
    </row>
    <row r="87" spans="3:11" ht="28.5" customHeight="1">
      <c r="C87" s="220" t="s">
        <v>606</v>
      </c>
      <c r="D87" s="598"/>
      <c r="E87" s="1423" t="s">
        <v>1149</v>
      </c>
      <c r="F87" s="626"/>
    </row>
    <row r="88" spans="3:11">
      <c r="C88" s="644"/>
      <c r="D88" s="598"/>
      <c r="E88" s="645"/>
      <c r="F88" s="626"/>
    </row>
    <row r="89" spans="3:11">
      <c r="C89" s="644"/>
      <c r="D89" s="598"/>
      <c r="E89" s="645"/>
      <c r="F89" s="626"/>
    </row>
    <row r="96" spans="3:11">
      <c r="J96" s="1866" t="s">
        <v>259</v>
      </c>
      <c r="K96" s="1866" t="s">
        <v>608</v>
      </c>
    </row>
    <row r="97" spans="10:11">
      <c r="J97" s="1866"/>
      <c r="K97" s="1866"/>
    </row>
    <row r="98" spans="10:11">
      <c r="J98" s="1866" t="s">
        <v>259</v>
      </c>
      <c r="K98" s="1866"/>
    </row>
    <row r="99" spans="10:11" ht="20.25" customHeight="1">
      <c r="J99" s="646"/>
      <c r="K99" s="646"/>
    </row>
    <row r="100" spans="10:11" ht="20.25" customHeight="1">
      <c r="J100" s="646" t="s">
        <v>606</v>
      </c>
      <c r="K100" s="646"/>
    </row>
    <row r="101" spans="10:11" ht="20.25" customHeight="1">
      <c r="J101" s="646" t="s">
        <v>609</v>
      </c>
      <c r="K101" s="647" t="s">
        <v>765</v>
      </c>
    </row>
    <row r="102" spans="10:11" ht="20.25" customHeight="1">
      <c r="J102" s="646"/>
      <c r="K102" s="647" t="s">
        <v>766</v>
      </c>
    </row>
    <row r="103" spans="10:11" ht="20.25" customHeight="1">
      <c r="J103" s="646"/>
      <c r="K103" s="647" t="s">
        <v>839</v>
      </c>
    </row>
    <row r="104" spans="10:11" ht="20.25" customHeight="1">
      <c r="J104" s="646"/>
      <c r="K104" s="647" t="s">
        <v>768</v>
      </c>
    </row>
    <row r="105" spans="10:11" ht="20.25" customHeight="1">
      <c r="J105" s="646"/>
      <c r="K105" s="647" t="s">
        <v>769</v>
      </c>
    </row>
    <row r="106" spans="10:11" ht="20.25" customHeight="1">
      <c r="J106" s="646"/>
      <c r="K106" s="647" t="s">
        <v>738</v>
      </c>
    </row>
    <row r="107" spans="10:11" ht="20.25" customHeight="1">
      <c r="J107" s="646"/>
      <c r="K107" s="647" t="s">
        <v>739</v>
      </c>
    </row>
    <row r="108" spans="10:11" ht="20.25" customHeight="1">
      <c r="J108" s="646"/>
      <c r="K108" s="647" t="s">
        <v>740</v>
      </c>
    </row>
    <row r="109" spans="10:11" ht="11.25" customHeight="1">
      <c r="J109" s="646"/>
      <c r="K109" s="647" t="s">
        <v>833</v>
      </c>
    </row>
    <row r="110" spans="10:11">
      <c r="J110" s="646"/>
      <c r="K110" s="647" t="s">
        <v>834</v>
      </c>
    </row>
    <row r="111" spans="10:11">
      <c r="J111" s="646"/>
      <c r="K111" s="647" t="s">
        <v>838</v>
      </c>
    </row>
    <row r="112" spans="10:11">
      <c r="J112" s="646"/>
      <c r="K112" s="647" t="s">
        <v>835</v>
      </c>
    </row>
    <row r="113" spans="10:11">
      <c r="J113" s="646"/>
      <c r="K113" s="647" t="s">
        <v>836</v>
      </c>
    </row>
    <row r="114" spans="10:11">
      <c r="J114" s="646"/>
      <c r="K114" s="647" t="s">
        <v>837</v>
      </c>
    </row>
    <row r="115" spans="10:11">
      <c r="J115" s="646"/>
      <c r="K115" s="646"/>
    </row>
    <row r="116" spans="10:11">
      <c r="J116" s="646"/>
      <c r="K116" s="646"/>
    </row>
    <row r="117" spans="10:11">
      <c r="J117" s="646"/>
      <c r="K117" s="646"/>
    </row>
    <row r="118" spans="10:11">
      <c r="J118" s="646"/>
      <c r="K118" s="646"/>
    </row>
    <row r="119" spans="10:11">
      <c r="J119" s="646"/>
      <c r="K119" s="646"/>
    </row>
    <row r="120" spans="10:11">
      <c r="J120" s="646"/>
      <c r="K120" s="646"/>
    </row>
    <row r="121" spans="10:11">
      <c r="J121" s="646"/>
      <c r="K121" s="646"/>
    </row>
    <row r="122" spans="10:11">
      <c r="J122" s="646"/>
      <c r="K122" s="646"/>
    </row>
    <row r="123" spans="10:11">
      <c r="J123" s="646"/>
      <c r="K123" s="646"/>
    </row>
    <row r="124" spans="10:11">
      <c r="J124" s="646"/>
      <c r="K124" s="646"/>
    </row>
    <row r="125" spans="10:11">
      <c r="J125" s="646"/>
      <c r="K125" s="646"/>
    </row>
    <row r="126" spans="10:11">
      <c r="J126" s="646"/>
      <c r="K126" s="646"/>
    </row>
    <row r="127" spans="10:11">
      <c r="J127" s="646"/>
      <c r="K127" s="646"/>
    </row>
    <row r="128" spans="10:11">
      <c r="J128" s="646"/>
      <c r="K128" s="646"/>
    </row>
    <row r="129" spans="10:11">
      <c r="J129" s="646"/>
      <c r="K129" s="646"/>
    </row>
    <row r="130" spans="10:11">
      <c r="J130" s="646"/>
      <c r="K130" s="646"/>
    </row>
    <row r="131" spans="10:11">
      <c r="J131" s="646"/>
      <c r="K131" s="646"/>
    </row>
    <row r="132" spans="10:11">
      <c r="J132" s="646"/>
      <c r="K132" s="646"/>
    </row>
    <row r="133" spans="10:11">
      <c r="J133" s="646"/>
      <c r="K133" s="646"/>
    </row>
    <row r="134" spans="10:11">
      <c r="J134" s="646"/>
      <c r="K134" s="646"/>
    </row>
    <row r="135" spans="10:11">
      <c r="J135" s="646"/>
      <c r="K135" s="646"/>
    </row>
    <row r="136" spans="10:11">
      <c r="J136" s="646"/>
      <c r="K136" s="646"/>
    </row>
    <row r="137" spans="10:11">
      <c r="J137" s="646"/>
      <c r="K137" s="646"/>
    </row>
    <row r="138" spans="10:11">
      <c r="J138" s="646"/>
      <c r="K138" s="646"/>
    </row>
    <row r="139" spans="10:11">
      <c r="J139" s="646"/>
      <c r="K139" s="646"/>
    </row>
    <row r="140" spans="10:11">
      <c r="J140" s="646"/>
      <c r="K140" s="646"/>
    </row>
    <row r="141" spans="10:11">
      <c r="J141" s="646"/>
      <c r="K141" s="646"/>
    </row>
    <row r="142" spans="10:11">
      <c r="J142" s="646"/>
      <c r="K142" s="646"/>
    </row>
    <row r="143" spans="10:11">
      <c r="J143" s="646"/>
      <c r="K143" s="646"/>
    </row>
    <row r="144" spans="10:11">
      <c r="J144" s="646"/>
      <c r="K144" s="646"/>
    </row>
    <row r="175" spans="1:1">
      <c r="A175" s="242"/>
    </row>
    <row r="185" spans="1:1">
      <c r="A185" s="242"/>
    </row>
  </sheetData>
  <mergeCells count="27">
    <mergeCell ref="C84:C86"/>
    <mergeCell ref="D84:D86"/>
    <mergeCell ref="E84:E86"/>
    <mergeCell ref="F84:F86"/>
    <mergeCell ref="B15:B17"/>
    <mergeCell ref="C15:C17"/>
    <mergeCell ref="D15:D17"/>
    <mergeCell ref="B62:B64"/>
    <mergeCell ref="C10:E10"/>
    <mergeCell ref="E15:E17"/>
    <mergeCell ref="F15:F17"/>
    <mergeCell ref="H15:H17"/>
    <mergeCell ref="C62:C64"/>
    <mergeCell ref="D62:D64"/>
    <mergeCell ref="E62:E64"/>
    <mergeCell ref="F62:F64"/>
    <mergeCell ref="H62:H64"/>
    <mergeCell ref="K62:K64"/>
    <mergeCell ref="L62:L64"/>
    <mergeCell ref="J96:J98"/>
    <mergeCell ref="K96:K98"/>
    <mergeCell ref="I15:I17"/>
    <mergeCell ref="J15:J17"/>
    <mergeCell ref="K15:K17"/>
    <mergeCell ref="L15:L17"/>
    <mergeCell ref="I62:I64"/>
    <mergeCell ref="J62:J64"/>
  </mergeCells>
  <dataValidations count="9">
    <dataValidation type="list" allowBlank="1" showInputMessage="1" showErrorMessage="1" sqref="D68:D75">
      <formula1>$K$120:$K$131</formula1>
    </dataValidation>
    <dataValidation type="list" allowBlank="1" showInputMessage="1" showErrorMessage="1" sqref="J68:J75">
      <formula1>$K$132:$K$143</formula1>
    </dataValidation>
    <dataValidation type="list" allowBlank="1" showInputMessage="1" showErrorMessage="1" sqref="I67:I75 C67:C75 C65 I65 I18 I10 I20:I55 C21:C55 C77 I77 C87">
      <formula1>$J$100:$J$101</formula1>
    </dataValidation>
    <dataValidation type="list" allowBlank="1" showInputMessage="1" showErrorMessage="1" sqref="D18:D20 D22:D55">
      <formula1>$K$99:$K$107</formula1>
    </dataValidation>
    <dataValidation type="list" allowBlank="1" showInputMessage="1" showErrorMessage="1" sqref="J22:J55 J19:J20">
      <formula1>$K$108:$K$119</formula1>
    </dataValidation>
    <dataValidation type="list" allowBlank="1" showInputMessage="1" showErrorMessage="1" sqref="D66">
      <formula1>$K$109:$K$120</formula1>
    </dataValidation>
    <dataValidation type="list" allowBlank="1" showInputMessage="1" showErrorMessage="1" sqref="J66">
      <formula1>$K$109:$K$119</formula1>
    </dataValidation>
    <dataValidation type="list" allowBlank="1" showInputMessage="1" showErrorMessage="1" sqref="D67 J67">
      <formula1>$K$109:$K$114</formula1>
    </dataValidation>
    <dataValidation type="list" allowBlank="1" showInputMessage="1" showErrorMessage="1" sqref="I19 C66 I66 C18:C20">
      <formula1>$J$99:$J$101</formula1>
    </dataValidation>
  </dataValidations>
  <hyperlinks>
    <hyperlink ref="A1" location="Index!A1" display="Index Sheet"/>
  </hyperlinks>
  <printOptions horizontalCentered="1"/>
  <pageMargins left="0.51181102362204722" right="0.51181102362204722" top="0.51181102362204722" bottom="0.51181102362204722" header="0.23622047244094491" footer="0.23622047244094491"/>
  <pageSetup paperSize="9" scale="92" orientation="landscape" blackAndWhite="1" r:id="rId1"/>
  <headerFooter alignWithMargins="0"/>
</worksheet>
</file>

<file path=xl/worksheets/sheet24.xml><?xml version="1.0" encoding="utf-8"?>
<worksheet xmlns="http://schemas.openxmlformats.org/spreadsheetml/2006/main" xmlns:r="http://schemas.openxmlformats.org/officeDocument/2006/relationships">
  <sheetPr codeName="Sheet21"/>
  <dimension ref="A1:K541"/>
  <sheetViews>
    <sheetView view="pageBreakPreview" zoomScale="84" zoomScaleSheetLayoutView="84" workbookViewId="0">
      <selection activeCell="M14" sqref="M14"/>
    </sheetView>
  </sheetViews>
  <sheetFormatPr defaultRowHeight="10.5"/>
  <cols>
    <col min="1" max="1" width="9.140625" style="92"/>
    <col min="2" max="2" width="0" style="92" hidden="1" customWidth="1"/>
    <col min="3" max="3" width="48.140625" style="92" customWidth="1"/>
    <col min="4" max="4" width="9.140625" style="92"/>
    <col min="5" max="5" width="20.85546875" style="92" hidden="1" customWidth="1"/>
    <col min="6" max="7" width="20.85546875" style="104" customWidth="1"/>
    <col min="8" max="16384" width="9.140625" style="92"/>
  </cols>
  <sheetData>
    <row r="1" spans="1:7">
      <c r="A1" s="136" t="s">
        <v>396</v>
      </c>
      <c r="C1" s="302"/>
    </row>
    <row r="3" spans="1:7" ht="12.75">
      <c r="C3" s="305" t="s">
        <v>138</v>
      </c>
      <c r="D3" s="1709" t="s">
        <v>139</v>
      </c>
      <c r="E3" s="1709"/>
      <c r="F3" s="1709"/>
      <c r="G3" s="1709"/>
    </row>
    <row r="4" spans="1:7" ht="12.75">
      <c r="C4" s="305"/>
      <c r="D4" s="454"/>
      <c r="E4" s="454"/>
      <c r="F4" s="454"/>
      <c r="G4" s="454"/>
    </row>
    <row r="5" spans="1:7" ht="13.5" thickBot="1">
      <c r="C5" s="305"/>
      <c r="D5" s="121"/>
      <c r="E5" s="121"/>
      <c r="F5" s="382"/>
      <c r="G5" s="382"/>
    </row>
    <row r="6" spans="1:7" ht="25.5" customHeight="1">
      <c r="C6" s="1844" t="s">
        <v>200</v>
      </c>
      <c r="D6" s="1839" t="s">
        <v>140</v>
      </c>
      <c r="E6" s="1853" t="s">
        <v>645</v>
      </c>
      <c r="F6" s="1834" t="str">
        <f>Notes!$C$5</f>
        <v>Base Year</v>
      </c>
      <c r="G6" s="1834" t="str">
        <f>Notes!$C$6</f>
        <v>FY 2024-25</v>
      </c>
    </row>
    <row r="7" spans="1:7" ht="13.5" customHeight="1">
      <c r="C7" s="1845"/>
      <c r="D7" s="1710"/>
      <c r="E7" s="1854"/>
      <c r="F7" s="1840"/>
      <c r="G7" s="1840"/>
    </row>
    <row r="8" spans="1:7" ht="18.75" customHeight="1">
      <c r="B8" s="92">
        <v>10001</v>
      </c>
      <c r="C8" s="122" t="s">
        <v>359</v>
      </c>
      <c r="D8" s="271"/>
      <c r="E8" s="524">
        <f t="shared" ref="E8:G8" si="0">SUM(E9:E10)</f>
        <v>25344.209159481194</v>
      </c>
      <c r="F8" s="524">
        <f t="shared" si="0"/>
        <v>27864.326075381156</v>
      </c>
      <c r="G8" s="524">
        <f t="shared" si="0"/>
        <v>29854.058971319915</v>
      </c>
    </row>
    <row r="9" spans="1:7" ht="18.75" customHeight="1">
      <c r="B9" s="92">
        <v>10002</v>
      </c>
      <c r="C9" s="274" t="s">
        <v>319</v>
      </c>
      <c r="D9" s="379" t="s">
        <v>171</v>
      </c>
      <c r="E9" s="525">
        <f>'3|Sales Forecast'!Q15+'3|Sales Forecast'!Q18+'3|Sales Forecast'!Q44</f>
        <v>17572.39154226458</v>
      </c>
      <c r="F9" s="525">
        <f>'3|Sales Forecast'!Q131+'3|Sales Forecast'!Q134+'3|Sales Forecast'!Q160</f>
        <v>19256.921994817574</v>
      </c>
      <c r="G9" s="525">
        <f>'3|Sales Forecast'!Q247+'3|Sales Forecast'!Q250+'3|Sales Forecast'!Q276</f>
        <v>20657.411932497136</v>
      </c>
    </row>
    <row r="10" spans="1:7" ht="18.75" customHeight="1">
      <c r="B10" s="92">
        <v>10003</v>
      </c>
      <c r="C10" s="274" t="s">
        <v>321</v>
      </c>
      <c r="D10" s="379" t="s">
        <v>171</v>
      </c>
      <c r="E10" s="525">
        <f>+'3|Sales Forecast'!Q68+'3|Sales Forecast'!Q93</f>
        <v>7771.8176172166113</v>
      </c>
      <c r="F10" s="525">
        <f>'3|Sales Forecast'!Q184+'3|Sales Forecast'!Q209</f>
        <v>8607.4040805635814</v>
      </c>
      <c r="G10" s="525">
        <f>'3|Sales Forecast'!Q300+'3|Sales Forecast'!Q325</f>
        <v>9196.647038822779</v>
      </c>
    </row>
    <row r="11" spans="1:7" ht="18.75" customHeight="1">
      <c r="C11" s="274"/>
      <c r="D11" s="379"/>
      <c r="E11" s="307"/>
      <c r="F11" s="307"/>
      <c r="G11" s="307"/>
    </row>
    <row r="12" spans="1:7" ht="18.75" customHeight="1">
      <c r="B12" s="92">
        <v>10004</v>
      </c>
      <c r="C12" s="122" t="s">
        <v>363</v>
      </c>
      <c r="D12" s="379"/>
      <c r="E12" s="524">
        <f t="shared" ref="E12:G12" si="1">SUM(E13:E14)</f>
        <v>2421.4334768119575</v>
      </c>
      <c r="F12" s="524">
        <f t="shared" si="1"/>
        <v>2773.7917873653178</v>
      </c>
      <c r="G12" s="524">
        <f t="shared" si="1"/>
        <v>3091.5911085160747</v>
      </c>
    </row>
    <row r="13" spans="1:7" ht="18.75" customHeight="1">
      <c r="B13" s="92">
        <v>10005</v>
      </c>
      <c r="C13" s="274" t="s">
        <v>320</v>
      </c>
      <c r="D13" s="379" t="s">
        <v>393</v>
      </c>
      <c r="E13" s="525">
        <f>'4a| Energy Losses'!H59</f>
        <v>1599.5704547776804</v>
      </c>
      <c r="F13" s="525">
        <f>'4a| Energy Losses'!I59</f>
        <v>1771.9253332535081</v>
      </c>
      <c r="G13" s="525">
        <f>'4a| Energy Losses'!J59</f>
        <v>1922.0205306818971</v>
      </c>
    </row>
    <row r="14" spans="1:7" ht="18.75" customHeight="1">
      <c r="B14" s="92">
        <v>10006</v>
      </c>
      <c r="C14" s="274" t="s">
        <v>360</v>
      </c>
      <c r="D14" s="379"/>
      <c r="E14" s="310">
        <f t="shared" ref="E14:G14" si="2">(E19+E10)*E17/(100-E17)</f>
        <v>821.86302203427704</v>
      </c>
      <c r="F14" s="310">
        <f t="shared" si="2"/>
        <v>1001.8664541118097</v>
      </c>
      <c r="G14" s="310">
        <f t="shared" si="2"/>
        <v>1169.5705778341776</v>
      </c>
    </row>
    <row r="15" spans="1:7" ht="18.75" customHeight="1">
      <c r="C15" s="274"/>
      <c r="D15" s="379"/>
      <c r="E15" s="307"/>
      <c r="F15" s="307"/>
      <c r="G15" s="307"/>
    </row>
    <row r="16" spans="1:7" ht="18.75" customHeight="1">
      <c r="B16" s="92">
        <v>10007</v>
      </c>
      <c r="C16" s="122" t="s">
        <v>364</v>
      </c>
      <c r="D16" s="379"/>
      <c r="E16" s="310">
        <f t="shared" ref="E16:G16" si="3">IF(E21=0,0,E12/E21*100)</f>
        <v>8.7209704040735687</v>
      </c>
      <c r="F16" s="310">
        <f t="shared" si="3"/>
        <v>9.0534013864410028</v>
      </c>
      <c r="G16" s="310">
        <f t="shared" si="3"/>
        <v>9.3839129020806524</v>
      </c>
    </row>
    <row r="17" spans="2:11" ht="18.75" customHeight="1">
      <c r="B17" s="92">
        <v>10008</v>
      </c>
      <c r="C17" s="526" t="s">
        <v>361</v>
      </c>
      <c r="D17" s="379"/>
      <c r="E17" s="307">
        <f>'4b|Transmission Losses'!E12+'4b|Transmission Losses'!E16</f>
        <v>2.96</v>
      </c>
      <c r="F17" s="307">
        <f>'4b|Transmission Losses'!F12+'4b|Transmission Losses'!F16</f>
        <v>3.27</v>
      </c>
      <c r="G17" s="307">
        <f>'4b|Transmission Losses'!G12+'4b|Transmission Losses'!G16</f>
        <v>3.55</v>
      </c>
    </row>
    <row r="18" spans="2:11" ht="27" customHeight="1">
      <c r="B18" s="92">
        <v>10009</v>
      </c>
      <c r="C18" s="274" t="s">
        <v>1108</v>
      </c>
      <c r="D18" s="379" t="s">
        <v>393</v>
      </c>
      <c r="E18" s="525">
        <f>'4a| Energy Losses'!H62</f>
        <v>8.3432799158711735</v>
      </c>
      <c r="F18" s="525">
        <f>'4a| Energy Losses'!I62</f>
        <v>8.4261648087966901</v>
      </c>
      <c r="G18" s="525">
        <f>'4a| Energy Losses'!J62</f>
        <v>8.5122623600756775</v>
      </c>
    </row>
    <row r="19" spans="2:11" ht="18.75" customHeight="1">
      <c r="B19" s="92">
        <v>10010</v>
      </c>
      <c r="C19" s="274" t="s">
        <v>326</v>
      </c>
      <c r="D19" s="379"/>
      <c r="E19" s="310">
        <f t="shared" ref="E19:G19" si="4">SUM(E9,E13)</f>
        <v>19171.961997042261</v>
      </c>
      <c r="F19" s="310">
        <f t="shared" si="4"/>
        <v>21028.847328071082</v>
      </c>
      <c r="G19" s="310">
        <f t="shared" si="4"/>
        <v>22579.432463179033</v>
      </c>
    </row>
    <row r="20" spans="2:11" ht="18.75" customHeight="1">
      <c r="C20" s="274"/>
      <c r="D20" s="379"/>
      <c r="E20" s="307"/>
      <c r="F20" s="307"/>
      <c r="G20" s="307"/>
    </row>
    <row r="21" spans="2:11" ht="21" customHeight="1">
      <c r="B21" s="92">
        <v>10011</v>
      </c>
      <c r="C21" s="527" t="s">
        <v>142</v>
      </c>
      <c r="D21" s="379"/>
      <c r="E21" s="528">
        <f t="shared" ref="E21:G21" si="5">(E19+E10)*100/(100-E17)</f>
        <v>27765.642636293145</v>
      </c>
      <c r="F21" s="528">
        <f t="shared" si="5"/>
        <v>30638.117862746472</v>
      </c>
      <c r="G21" s="528">
        <f t="shared" si="5"/>
        <v>32945.650079835992</v>
      </c>
      <c r="K21" s="104"/>
    </row>
    <row r="22" spans="2:11" ht="18.75" customHeight="1">
      <c r="B22" s="92">
        <v>10012</v>
      </c>
      <c r="C22" s="274" t="s">
        <v>143</v>
      </c>
      <c r="D22" s="379" t="s">
        <v>394</v>
      </c>
      <c r="E22" s="525">
        <f>'4.1|Energy Availability'!U59</f>
        <v>66252.592588976404</v>
      </c>
      <c r="F22" s="525">
        <f>'4.1|Energy Availability'!U120</f>
        <v>29139.106339022343</v>
      </c>
      <c r="G22" s="525">
        <f>'4.1|Energy Availability'!U183</f>
        <v>34942.78697048036</v>
      </c>
    </row>
    <row r="23" spans="2:11" ht="18.75" customHeight="1">
      <c r="B23" s="92">
        <v>10013</v>
      </c>
      <c r="C23" s="274" t="s">
        <v>210</v>
      </c>
      <c r="D23" s="379" t="s">
        <v>395</v>
      </c>
      <c r="E23" s="525">
        <f>'4.2|Energy Dispatch'!R168</f>
        <v>27722.883851566734</v>
      </c>
      <c r="F23" s="525">
        <f>'1.4| PP Cost-Reg'!J295</f>
        <v>30635.040357880869</v>
      </c>
      <c r="G23" s="525">
        <f>'1.4| PP Cost-Reg'!J360</f>
        <v>32945.650079835985</v>
      </c>
    </row>
    <row r="24" spans="2:11" ht="18.75" customHeight="1" thickBot="1">
      <c r="B24" s="92">
        <v>10014</v>
      </c>
      <c r="C24" s="530" t="s">
        <v>421</v>
      </c>
      <c r="D24" s="531"/>
      <c r="E24" s="532">
        <f t="shared" ref="E24:G24" si="6">E22-E21</f>
        <v>38486.949952683259</v>
      </c>
      <c r="F24" s="532">
        <f t="shared" si="6"/>
        <v>-1499.0115237241298</v>
      </c>
      <c r="G24" s="532">
        <f t="shared" si="6"/>
        <v>1997.1368906443677</v>
      </c>
      <c r="H24" s="104"/>
      <c r="I24" s="104"/>
    </row>
    <row r="25" spans="2:11" ht="12.75">
      <c r="C25" s="121"/>
      <c r="D25" s="121"/>
      <c r="E25" s="121"/>
      <c r="F25" s="382"/>
      <c r="G25" s="382"/>
    </row>
    <row r="26" spans="2:11" ht="12.75" customHeight="1">
      <c r="B26" s="533" t="s">
        <v>448</v>
      </c>
      <c r="C26" s="534" t="s">
        <v>371</v>
      </c>
      <c r="D26" s="535"/>
      <c r="E26" s="535"/>
      <c r="F26" s="535"/>
      <c r="G26" s="1255"/>
    </row>
    <row r="27" spans="2:11" ht="12.75">
      <c r="B27" s="537"/>
      <c r="C27" s="538" t="s">
        <v>852</v>
      </c>
      <c r="D27" s="536"/>
      <c r="E27" s="536"/>
      <c r="F27" s="536"/>
      <c r="G27" s="1256"/>
    </row>
    <row r="28" spans="2:11" ht="15.75" customHeight="1">
      <c r="C28" s="538" t="s">
        <v>853</v>
      </c>
      <c r="D28" s="536"/>
      <c r="E28" s="536"/>
      <c r="F28" s="536"/>
      <c r="G28" s="1256"/>
    </row>
    <row r="29" spans="2:11" ht="15.75" customHeight="1">
      <c r="C29" s="539" t="s">
        <v>999</v>
      </c>
      <c r="D29" s="540"/>
      <c r="E29" s="540"/>
      <c r="F29" s="541"/>
      <c r="G29" s="1257"/>
    </row>
    <row r="31" spans="2:11">
      <c r="E31" s="104"/>
    </row>
    <row r="179" spans="2:7">
      <c r="B179" s="92">
        <v>10001</v>
      </c>
      <c r="C179" s="542" t="s">
        <v>60</v>
      </c>
      <c r="D179" s="543"/>
      <c r="E179" s="543"/>
      <c r="F179" s="544"/>
      <c r="G179" s="544" t="e">
        <f>SUM(G180:G181)</f>
        <v>#REF!</v>
      </c>
    </row>
    <row r="180" spans="2:7">
      <c r="C180" s="545" t="s">
        <v>319</v>
      </c>
      <c r="D180" s="100" t="s">
        <v>171</v>
      </c>
      <c r="E180" s="100"/>
      <c r="F180" s="546"/>
      <c r="G180" s="546" t="e">
        <f>SUM('3|Sales Forecast'!#REF!,'3|Sales Forecast'!#REF!,'3|Sales Forecast'!#REF!)</f>
        <v>#REF!</v>
      </c>
    </row>
    <row r="181" spans="2:7">
      <c r="C181" s="545" t="s">
        <v>321</v>
      </c>
      <c r="D181" s="100" t="s">
        <v>171</v>
      </c>
      <c r="E181" s="100"/>
      <c r="F181" s="546"/>
      <c r="G181" s="546" t="e">
        <f>'3|Sales Forecast'!#REF!</f>
        <v>#REF!</v>
      </c>
    </row>
    <row r="182" spans="2:7">
      <c r="C182" s="545"/>
      <c r="D182" s="100"/>
      <c r="E182" s="100"/>
      <c r="F182" s="548"/>
      <c r="G182" s="548"/>
    </row>
    <row r="183" spans="2:7">
      <c r="B183" s="92">
        <v>10002</v>
      </c>
      <c r="C183" s="549" t="s">
        <v>363</v>
      </c>
      <c r="D183" s="100"/>
      <c r="E183" s="100"/>
      <c r="F183" s="550"/>
      <c r="G183" s="550" t="e">
        <f>SUM(G184:G185)</f>
        <v>#REF!</v>
      </c>
    </row>
    <row r="184" spans="2:7">
      <c r="C184" s="545" t="s">
        <v>320</v>
      </c>
      <c r="D184" s="100" t="s">
        <v>393</v>
      </c>
      <c r="E184" s="100"/>
      <c r="F184" s="546"/>
      <c r="G184" s="546">
        <f>'4a| Energy Losses'!J230</f>
        <v>0</v>
      </c>
    </row>
    <row r="185" spans="2:7">
      <c r="C185" s="545" t="s">
        <v>360</v>
      </c>
      <c r="D185" s="100"/>
      <c r="E185" s="100"/>
      <c r="F185" s="551"/>
      <c r="G185" s="551" t="e">
        <f>(G190+G181)*G188/(100-G188)</f>
        <v>#REF!</v>
      </c>
    </row>
    <row r="186" spans="2:7">
      <c r="C186" s="545"/>
      <c r="D186" s="100"/>
      <c r="E186" s="100"/>
      <c r="F186" s="548"/>
      <c r="G186" s="548"/>
    </row>
    <row r="187" spans="2:7">
      <c r="C187" s="549" t="s">
        <v>364</v>
      </c>
      <c r="D187" s="100"/>
      <c r="E187" s="100"/>
      <c r="F187" s="552"/>
      <c r="G187" s="552" t="e">
        <f>IF(G192=0,0,G183/G192*100)</f>
        <v>#REF!</v>
      </c>
    </row>
    <row r="188" spans="2:7">
      <c r="C188" s="553" t="s">
        <v>361</v>
      </c>
      <c r="D188" s="100"/>
      <c r="E188" s="100"/>
      <c r="F188" s="554"/>
      <c r="G188" s="554"/>
    </row>
    <row r="189" spans="2:7">
      <c r="B189" s="92">
        <v>10003</v>
      </c>
      <c r="C189" s="545" t="s">
        <v>362</v>
      </c>
      <c r="D189" s="100" t="s">
        <v>393</v>
      </c>
      <c r="E189" s="100"/>
      <c r="F189" s="555"/>
      <c r="G189" s="555">
        <f>'4a| Energy Losses'!J233</f>
        <v>0</v>
      </c>
    </row>
    <row r="190" spans="2:7">
      <c r="C190" s="545" t="s">
        <v>326</v>
      </c>
      <c r="D190" s="100"/>
      <c r="E190" s="100"/>
      <c r="F190" s="551"/>
      <c r="G190" s="551" t="e">
        <f>SUM(G180,G184)</f>
        <v>#REF!</v>
      </c>
    </row>
    <row r="191" spans="2:7">
      <c r="B191" s="92">
        <v>10006</v>
      </c>
      <c r="C191" s="545"/>
      <c r="D191" s="100"/>
      <c r="E191" s="100"/>
      <c r="F191" s="548"/>
      <c r="G191" s="548"/>
    </row>
    <row r="192" spans="2:7">
      <c r="B192" s="92">
        <v>10007</v>
      </c>
      <c r="C192" s="556" t="s">
        <v>142</v>
      </c>
      <c r="D192" s="100"/>
      <c r="E192" s="100"/>
      <c r="F192" s="557"/>
      <c r="G192" s="557" t="e">
        <f>(G190+G181)*100/(100-G188)</f>
        <v>#REF!</v>
      </c>
    </row>
    <row r="193" spans="2:7">
      <c r="B193" s="92">
        <v>10008</v>
      </c>
      <c r="C193" s="545" t="s">
        <v>143</v>
      </c>
      <c r="D193" s="100" t="s">
        <v>394</v>
      </c>
      <c r="E193" s="100"/>
      <c r="F193" s="546"/>
      <c r="G193" s="546" t="e">
        <f>'4.1|Energy Availability'!#REF!</f>
        <v>#REF!</v>
      </c>
    </row>
    <row r="194" spans="2:7">
      <c r="C194" s="558" t="s">
        <v>210</v>
      </c>
      <c r="D194" s="559" t="s">
        <v>395</v>
      </c>
      <c r="E194" s="559"/>
      <c r="F194" s="560"/>
      <c r="G194" s="560" t="e">
        <f>'4.2|Energy Dispatch'!#REF!</f>
        <v>#REF!</v>
      </c>
    </row>
    <row r="195" spans="2:7" ht="11.25" thickBot="1">
      <c r="C195" s="561" t="s">
        <v>421</v>
      </c>
      <c r="D195" s="562"/>
      <c r="E195" s="562"/>
      <c r="F195" s="563"/>
      <c r="G195" s="563" t="e">
        <f>G193-G192</f>
        <v>#REF!</v>
      </c>
    </row>
    <row r="197" spans="2:7">
      <c r="B197" s="533" t="s">
        <v>448</v>
      </c>
      <c r="C197" s="533" t="s">
        <v>447</v>
      </c>
      <c r="D197" s="533"/>
      <c r="E197" s="564"/>
      <c r="F197" s="565"/>
      <c r="G197" s="565"/>
    </row>
    <row r="198" spans="2:7">
      <c r="B198" s="537"/>
      <c r="C198" s="537" t="s">
        <v>412</v>
      </c>
      <c r="D198" s="566"/>
      <c r="E198" s="566"/>
      <c r="F198" s="567"/>
      <c r="G198" s="567"/>
    </row>
    <row r="199" spans="2:7">
      <c r="F199" s="92"/>
      <c r="G199" s="92"/>
    </row>
    <row r="350" spans="2:7">
      <c r="B350" s="92">
        <v>10001</v>
      </c>
      <c r="C350" s="542" t="s">
        <v>61</v>
      </c>
      <c r="D350" s="543"/>
      <c r="E350" s="543"/>
      <c r="F350" s="544"/>
      <c r="G350" s="544" t="e">
        <f>SUM(G351:G352)</f>
        <v>#REF!</v>
      </c>
    </row>
    <row r="351" spans="2:7">
      <c r="C351" s="545" t="s">
        <v>319</v>
      </c>
      <c r="D351" s="100" t="s">
        <v>171</v>
      </c>
      <c r="E351" s="100"/>
      <c r="F351" s="546"/>
      <c r="G351" s="546" t="e">
        <f>SUM('3|Sales Forecast'!#REF!,'3|Sales Forecast'!#REF!,'3|Sales Forecast'!#REF!)</f>
        <v>#REF!</v>
      </c>
    </row>
    <row r="352" spans="2:7">
      <c r="C352" s="545" t="s">
        <v>321</v>
      </c>
      <c r="D352" s="100" t="s">
        <v>171</v>
      </c>
      <c r="E352" s="100"/>
      <c r="F352" s="546"/>
      <c r="G352" s="546" t="e">
        <f>'3|Sales Forecast'!#REF!</f>
        <v>#REF!</v>
      </c>
    </row>
    <row r="353" spans="2:7">
      <c r="C353" s="545"/>
      <c r="D353" s="100"/>
      <c r="E353" s="100"/>
      <c r="F353" s="548"/>
      <c r="G353" s="548"/>
    </row>
    <row r="354" spans="2:7">
      <c r="B354" s="92">
        <v>10002</v>
      </c>
      <c r="C354" s="549" t="s">
        <v>363</v>
      </c>
      <c r="D354" s="100"/>
      <c r="E354" s="100"/>
      <c r="F354" s="550"/>
      <c r="G354" s="550" t="e">
        <f>SUM(G355:G356)</f>
        <v>#REF!</v>
      </c>
    </row>
    <row r="355" spans="2:7">
      <c r="C355" s="545" t="s">
        <v>320</v>
      </c>
      <c r="D355" s="100" t="s">
        <v>393</v>
      </c>
      <c r="E355" s="100"/>
      <c r="F355" s="546"/>
      <c r="G355" s="546">
        <f>'4a| Energy Losses'!J401</f>
        <v>0</v>
      </c>
    </row>
    <row r="356" spans="2:7">
      <c r="C356" s="545" t="s">
        <v>360</v>
      </c>
      <c r="D356" s="100"/>
      <c r="E356" s="100"/>
      <c r="F356" s="551"/>
      <c r="G356" s="551" t="e">
        <f>(G361+G352)*G359/(100-G359)</f>
        <v>#REF!</v>
      </c>
    </row>
    <row r="357" spans="2:7">
      <c r="C357" s="545"/>
      <c r="D357" s="100"/>
      <c r="E357" s="100"/>
      <c r="F357" s="548"/>
      <c r="G357" s="548"/>
    </row>
    <row r="358" spans="2:7">
      <c r="C358" s="549" t="s">
        <v>364</v>
      </c>
      <c r="D358" s="100"/>
      <c r="E358" s="100"/>
      <c r="F358" s="552"/>
      <c r="G358" s="552" t="e">
        <f>IF(G363=0,0,G354/G363*100)</f>
        <v>#REF!</v>
      </c>
    </row>
    <row r="359" spans="2:7">
      <c r="C359" s="553" t="s">
        <v>361</v>
      </c>
      <c r="D359" s="100"/>
      <c r="E359" s="100"/>
      <c r="F359" s="554"/>
      <c r="G359" s="554"/>
    </row>
    <row r="360" spans="2:7">
      <c r="B360" s="92">
        <v>10003</v>
      </c>
      <c r="C360" s="545" t="s">
        <v>362</v>
      </c>
      <c r="D360" s="100" t="s">
        <v>393</v>
      </c>
      <c r="E360" s="100"/>
      <c r="F360" s="555"/>
      <c r="G360" s="555">
        <f>'4a| Energy Losses'!J404</f>
        <v>0</v>
      </c>
    </row>
    <row r="361" spans="2:7">
      <c r="C361" s="545" t="s">
        <v>326</v>
      </c>
      <c r="D361" s="100"/>
      <c r="E361" s="100"/>
      <c r="F361" s="551"/>
      <c r="G361" s="551" t="e">
        <f>SUM(G351,G355)</f>
        <v>#REF!</v>
      </c>
    </row>
    <row r="362" spans="2:7">
      <c r="B362" s="92">
        <v>10006</v>
      </c>
      <c r="C362" s="545"/>
      <c r="D362" s="100"/>
      <c r="E362" s="100"/>
      <c r="F362" s="548"/>
      <c r="G362" s="548"/>
    </row>
    <row r="363" spans="2:7">
      <c r="B363" s="92">
        <v>10007</v>
      </c>
      <c r="C363" s="556" t="s">
        <v>142</v>
      </c>
      <c r="D363" s="100"/>
      <c r="E363" s="100"/>
      <c r="F363" s="557"/>
      <c r="G363" s="557" t="e">
        <f>(G361+G352)*100/(100-G359)</f>
        <v>#REF!</v>
      </c>
    </row>
    <row r="364" spans="2:7">
      <c r="B364" s="92">
        <v>10008</v>
      </c>
      <c r="C364" s="545" t="s">
        <v>143</v>
      </c>
      <c r="D364" s="100" t="s">
        <v>394</v>
      </c>
      <c r="E364" s="100"/>
      <c r="F364" s="546"/>
      <c r="G364" s="546" t="e">
        <f>'4.1|Energy Availability'!#REF!</f>
        <v>#REF!</v>
      </c>
    </row>
    <row r="365" spans="2:7">
      <c r="C365" s="558" t="s">
        <v>210</v>
      </c>
      <c r="D365" s="559" t="s">
        <v>395</v>
      </c>
      <c r="E365" s="559"/>
      <c r="F365" s="560"/>
      <c r="G365" s="560" t="e">
        <f>'4.2|Energy Dispatch'!#REF!</f>
        <v>#REF!</v>
      </c>
    </row>
    <row r="366" spans="2:7" ht="11.25" thickBot="1">
      <c r="C366" s="561" t="s">
        <v>421</v>
      </c>
      <c r="D366" s="562"/>
      <c r="E366" s="562"/>
      <c r="F366" s="563"/>
      <c r="G366" s="563" t="e">
        <f>G364-G363</f>
        <v>#REF!</v>
      </c>
    </row>
    <row r="368" spans="2:7">
      <c r="B368" s="533" t="s">
        <v>448</v>
      </c>
      <c r="C368" s="533" t="s">
        <v>447</v>
      </c>
      <c r="D368" s="533"/>
      <c r="E368" s="564"/>
      <c r="F368" s="565"/>
      <c r="G368" s="565"/>
    </row>
    <row r="369" spans="2:7">
      <c r="B369" s="537"/>
      <c r="C369" s="537" t="s">
        <v>412</v>
      </c>
      <c r="D369" s="566"/>
      <c r="E369" s="566"/>
      <c r="F369" s="567"/>
      <c r="G369" s="567"/>
    </row>
    <row r="370" spans="2:7">
      <c r="F370" s="92"/>
      <c r="G370" s="92"/>
    </row>
    <row r="521" spans="2:7">
      <c r="C521" s="91" t="s">
        <v>62</v>
      </c>
      <c r="F521" s="283"/>
      <c r="G521" s="283"/>
    </row>
    <row r="522" spans="2:7">
      <c r="C522" s="568" t="s">
        <v>319</v>
      </c>
      <c r="D522" s="569" t="s">
        <v>171</v>
      </c>
      <c r="E522" s="569"/>
      <c r="F522" s="547"/>
      <c r="G522" s="547" t="e">
        <f>SUM('3|Sales Forecast'!#REF!,'3|Sales Forecast'!#REF!,'3|Sales Forecast'!#REF!)</f>
        <v>#REF!</v>
      </c>
    </row>
    <row r="523" spans="2:7">
      <c r="C523" s="545" t="s">
        <v>321</v>
      </c>
      <c r="D523" s="100" t="s">
        <v>171</v>
      </c>
      <c r="E523" s="100"/>
      <c r="F523" s="546"/>
      <c r="G523" s="546" t="e">
        <f>'3|Sales Forecast'!#REF!</f>
        <v>#REF!</v>
      </c>
    </row>
    <row r="524" spans="2:7">
      <c r="C524" s="545"/>
      <c r="D524" s="100"/>
      <c r="E524" s="100"/>
      <c r="F524" s="548"/>
      <c r="G524" s="548"/>
    </row>
    <row r="525" spans="2:7">
      <c r="B525" s="92">
        <v>10002</v>
      </c>
      <c r="C525" s="549" t="s">
        <v>363</v>
      </c>
      <c r="D525" s="100"/>
      <c r="E525" s="100"/>
      <c r="F525" s="550"/>
      <c r="G525" s="550" t="e">
        <f>SUM(G526:G527)</f>
        <v>#REF!</v>
      </c>
    </row>
    <row r="526" spans="2:7">
      <c r="C526" s="545" t="s">
        <v>320</v>
      </c>
      <c r="D526" s="100" t="s">
        <v>393</v>
      </c>
      <c r="E526" s="100"/>
      <c r="F526" s="546"/>
      <c r="G526" s="546">
        <f>'4a| Energy Losses'!J572</f>
        <v>0</v>
      </c>
    </row>
    <row r="527" spans="2:7">
      <c r="C527" s="545" t="s">
        <v>360</v>
      </c>
      <c r="D527" s="100"/>
      <c r="E527" s="100"/>
      <c r="F527" s="551"/>
      <c r="G527" s="551" t="e">
        <f>(G532+G523)*G530/(100-G530)</f>
        <v>#REF!</v>
      </c>
    </row>
    <row r="528" spans="2:7">
      <c r="C528" s="545"/>
      <c r="D528" s="100"/>
      <c r="E528" s="100"/>
      <c r="F528" s="548"/>
      <c r="G528" s="548"/>
    </row>
    <row r="529" spans="2:7">
      <c r="C529" s="549" t="s">
        <v>364</v>
      </c>
      <c r="D529" s="100"/>
      <c r="E529" s="100"/>
      <c r="F529" s="552"/>
      <c r="G529" s="552" t="e">
        <f>IF(G534=0,0,G525/G534*100)</f>
        <v>#REF!</v>
      </c>
    </row>
    <row r="530" spans="2:7">
      <c r="C530" s="553" t="s">
        <v>361</v>
      </c>
      <c r="D530" s="100"/>
      <c r="E530" s="100"/>
      <c r="F530" s="554"/>
      <c r="G530" s="554"/>
    </row>
    <row r="531" spans="2:7">
      <c r="B531" s="92">
        <v>10003</v>
      </c>
      <c r="C531" s="545" t="s">
        <v>362</v>
      </c>
      <c r="D531" s="100" t="s">
        <v>393</v>
      </c>
      <c r="E531" s="100"/>
      <c r="F531" s="555"/>
      <c r="G531" s="555">
        <f>'4a| Energy Losses'!J575</f>
        <v>0</v>
      </c>
    </row>
    <row r="532" spans="2:7">
      <c r="C532" s="545" t="s">
        <v>326</v>
      </c>
      <c r="D532" s="100"/>
      <c r="E532" s="100"/>
      <c r="F532" s="551"/>
      <c r="G532" s="551" t="e">
        <f>SUM(G522,G526)</f>
        <v>#REF!</v>
      </c>
    </row>
    <row r="533" spans="2:7">
      <c r="B533" s="92">
        <v>10006</v>
      </c>
      <c r="C533" s="545"/>
      <c r="D533" s="100"/>
      <c r="E533" s="100"/>
      <c r="F533" s="548"/>
      <c r="G533" s="548"/>
    </row>
    <row r="534" spans="2:7">
      <c r="B534" s="92">
        <v>10007</v>
      </c>
      <c r="C534" s="556" t="s">
        <v>142</v>
      </c>
      <c r="D534" s="100"/>
      <c r="E534" s="100"/>
      <c r="F534" s="557"/>
      <c r="G534" s="557" t="e">
        <f>(G532+G523)*100/(100-G530)</f>
        <v>#REF!</v>
      </c>
    </row>
    <row r="535" spans="2:7">
      <c r="B535" s="92">
        <v>10008</v>
      </c>
      <c r="C535" s="545" t="s">
        <v>143</v>
      </c>
      <c r="D535" s="100" t="s">
        <v>394</v>
      </c>
      <c r="E535" s="100"/>
      <c r="F535" s="546"/>
      <c r="G535" s="546" t="e">
        <f>'4.1|Energy Availability'!#REF!</f>
        <v>#REF!</v>
      </c>
    </row>
    <row r="536" spans="2:7">
      <c r="C536" s="558" t="s">
        <v>210</v>
      </c>
      <c r="D536" s="559" t="s">
        <v>395</v>
      </c>
      <c r="E536" s="559"/>
      <c r="F536" s="560"/>
      <c r="G536" s="560" t="e">
        <f>'4.2|Energy Dispatch'!#REF!</f>
        <v>#REF!</v>
      </c>
    </row>
    <row r="537" spans="2:7" ht="11.25" thickBot="1">
      <c r="C537" s="561" t="s">
        <v>421</v>
      </c>
      <c r="D537" s="562"/>
      <c r="E537" s="562"/>
      <c r="F537" s="563"/>
      <c r="G537" s="563" t="e">
        <f>G535-G534</f>
        <v>#REF!</v>
      </c>
    </row>
    <row r="539" spans="2:7">
      <c r="B539" s="533" t="s">
        <v>448</v>
      </c>
      <c r="C539" s="533" t="s">
        <v>447</v>
      </c>
      <c r="D539" s="533"/>
      <c r="E539" s="564"/>
      <c r="F539" s="565"/>
      <c r="G539" s="565"/>
    </row>
    <row r="540" spans="2:7">
      <c r="B540" s="537"/>
      <c r="C540" s="537" t="s">
        <v>412</v>
      </c>
      <c r="D540" s="566"/>
      <c r="E540" s="566"/>
      <c r="F540" s="567"/>
      <c r="G540" s="567"/>
    </row>
    <row r="541" spans="2:7">
      <c r="F541" s="92"/>
      <c r="G541" s="92"/>
    </row>
  </sheetData>
  <mergeCells count="6">
    <mergeCell ref="D3:G3"/>
    <mergeCell ref="C6:C7"/>
    <mergeCell ref="D6:D7"/>
    <mergeCell ref="G6:G7"/>
    <mergeCell ref="E6:E7"/>
    <mergeCell ref="F6:F7"/>
  </mergeCells>
  <phoneticPr fontId="11" type="noConversion"/>
  <dataValidations count="2">
    <dataValidation type="decimal" allowBlank="1" showInputMessage="1" showErrorMessage="1" sqref="F521:G529 F14:G16 F8:G12 E13:G13 F531:G536 F350:G358 F360:G365 F179:G187 F189:G194 F18:G23 E8 E12 E18:E19 E16 E21:E22 E14">
      <formula1>0</formula1>
      <formula2>9.99999999999999E+23</formula2>
    </dataValidation>
    <dataValidation type="decimal" allowBlank="1" showInputMessage="1" showErrorMessage="1" sqref="F530:G530 F188:G188 F359:G359 E17:G17">
      <formula1>0</formula1>
      <formula2>100</formula2>
    </dataValidation>
  </dataValidations>
  <hyperlinks>
    <hyperlink ref="A1" location="Index!A1" display="Index sheet"/>
  </hyperlinks>
  <printOptions horizontalCentered="1"/>
  <pageMargins left="0.51181102362204722" right="0.51181102362204722" top="0.74803149606299213" bottom="0.51181102362204722" header="0.23622047244094491" footer="0.23622047244094491"/>
  <pageSetup paperSize="9" scale="105" orientation="landscape" blackAndWhite="1" r:id="rId1"/>
  <headerFooter alignWithMargins="0"/>
</worksheet>
</file>

<file path=xl/worksheets/sheet25.xml><?xml version="1.0" encoding="utf-8"?>
<worksheet xmlns="http://schemas.openxmlformats.org/spreadsheetml/2006/main" xmlns:r="http://schemas.openxmlformats.org/officeDocument/2006/relationships">
  <sheetPr codeName="Sheet22"/>
  <dimension ref="A1:V70"/>
  <sheetViews>
    <sheetView view="pageBreakPreview" topLeftCell="D3" zoomScaleNormal="130" zoomScaleSheetLayoutView="100" workbookViewId="0">
      <pane xSplit="2" ySplit="4" topLeftCell="F55" activePane="bottomRight" state="frozen"/>
      <selection activeCell="C18" sqref="C18:G18"/>
      <selection pane="topRight" activeCell="C18" sqref="C18:G18"/>
      <selection pane="bottomLeft" activeCell="C18" sqref="C18:G18"/>
      <selection pane="bottomRight" activeCell="U74" sqref="U74"/>
    </sheetView>
  </sheetViews>
  <sheetFormatPr defaultRowHeight="12.75"/>
  <cols>
    <col min="1" max="1" width="4.5703125" style="121" customWidth="1"/>
    <col min="2" max="2" width="6.5703125" style="121" customWidth="1"/>
    <col min="3" max="3" width="10.5703125" style="121" hidden="1" customWidth="1"/>
    <col min="4" max="4" width="7" style="121" customWidth="1"/>
    <col min="5" max="5" width="53.5703125" style="121" customWidth="1"/>
    <col min="6" max="6" width="27.42578125" style="121" customWidth="1"/>
    <col min="7" max="7" width="9.42578125" style="121" customWidth="1"/>
    <col min="8" max="8" width="10.85546875" style="121" hidden="1" customWidth="1"/>
    <col min="9" max="9" width="9.28515625" style="382" customWidth="1"/>
    <col min="10" max="10" width="11.42578125" style="382" customWidth="1"/>
    <col min="11" max="11" width="11.5703125" style="382" hidden="1" customWidth="1"/>
    <col min="12" max="12" width="11.140625" style="382" hidden="1" customWidth="1"/>
    <col min="13" max="13" width="10.85546875" style="382" hidden="1" customWidth="1"/>
    <col min="14" max="14" width="12.7109375" style="382" hidden="1" customWidth="1"/>
    <col min="15" max="15" width="19.42578125" style="121" hidden="1" customWidth="1"/>
    <col min="16" max="18" width="9.140625" style="121" customWidth="1"/>
    <col min="19" max="21" width="9.140625" style="121"/>
    <col min="22" max="22" width="0" style="121" hidden="1" customWidth="1"/>
    <col min="23" max="16384" width="9.140625" style="121"/>
  </cols>
  <sheetData>
    <row r="1" spans="1:22">
      <c r="A1" s="371" t="s">
        <v>396</v>
      </c>
      <c r="E1" s="305"/>
    </row>
    <row r="3" spans="1:22" ht="20.25" customHeight="1" thickBot="1">
      <c r="D3" s="468" t="s">
        <v>393</v>
      </c>
      <c r="E3" s="468" t="s">
        <v>506</v>
      </c>
    </row>
    <row r="4" spans="1:22" hidden="1">
      <c r="C4" s="305"/>
      <c r="D4" s="454"/>
      <c r="E4" s="453"/>
    </row>
    <row r="5" spans="1:22" ht="11.25" hidden="1" customHeight="1">
      <c r="C5" s="305"/>
      <c r="D5" s="454"/>
      <c r="E5" s="453"/>
    </row>
    <row r="6" spans="1:22" ht="25.5">
      <c r="C6" s="469" t="s">
        <v>279</v>
      </c>
      <c r="D6" s="1844" t="s">
        <v>200</v>
      </c>
      <c r="E6" s="1839"/>
      <c r="F6" s="268"/>
      <c r="G6" s="268" t="s">
        <v>280</v>
      </c>
      <c r="H6" s="268" t="s">
        <v>645</v>
      </c>
      <c r="I6" s="470" t="str">
        <f>Notes!$C$5</f>
        <v>Base Year</v>
      </c>
      <c r="J6" s="471" t="str">
        <f>Notes!$C$6</f>
        <v>FY 2024-25</v>
      </c>
      <c r="K6" s="1258" t="str">
        <f>Notes!$C$7</f>
        <v>FY 2025-26</v>
      </c>
      <c r="L6" s="470" t="str">
        <f>Notes!$C$8</f>
        <v>FY 2026-27</v>
      </c>
      <c r="M6" s="470" t="str">
        <f>Notes!$C$9</f>
        <v>FY 2027-28</v>
      </c>
      <c r="N6" s="471" t="str">
        <f>Notes!$C$10</f>
        <v>FY 2028-29</v>
      </c>
    </row>
    <row r="7" spans="1:22">
      <c r="C7" s="472"/>
      <c r="D7" s="473" t="s">
        <v>281</v>
      </c>
      <c r="E7" s="474"/>
      <c r="F7" s="474"/>
      <c r="G7" s="474"/>
      <c r="H7" s="474"/>
      <c r="I7" s="475"/>
      <c r="J7" s="476"/>
      <c r="K7" s="1259"/>
      <c r="L7" s="475"/>
      <c r="M7" s="475"/>
      <c r="N7" s="476"/>
      <c r="V7" s="121" t="s">
        <v>513</v>
      </c>
    </row>
    <row r="8" spans="1:22">
      <c r="C8" s="472"/>
      <c r="D8" s="477"/>
      <c r="E8" s="478"/>
      <c r="F8" s="479"/>
      <c r="G8" s="480"/>
      <c r="H8" s="480"/>
      <c r="I8" s="481"/>
      <c r="J8" s="482"/>
      <c r="K8" s="1260"/>
      <c r="L8" s="481"/>
      <c r="M8" s="481"/>
      <c r="N8" s="482"/>
      <c r="V8" s="121" t="s">
        <v>513</v>
      </c>
    </row>
    <row r="9" spans="1:22" ht="17.25" customHeight="1">
      <c r="C9" s="472">
        <v>10001</v>
      </c>
      <c r="D9" s="477" t="s">
        <v>282</v>
      </c>
      <c r="E9" s="483" t="s">
        <v>283</v>
      </c>
      <c r="F9" s="479" t="s">
        <v>63</v>
      </c>
      <c r="G9" s="480"/>
      <c r="H9" s="489">
        <f>(H13+H15)*100/(100-3.063)</f>
        <v>19171.961997042257</v>
      </c>
      <c r="I9" s="489">
        <f>(I13+I15)*100/(100-2.98)</f>
        <v>21028.847328071075</v>
      </c>
      <c r="J9" s="490">
        <f>(J13+J15)*100/(100-3.34)</f>
        <v>22579.432463179033</v>
      </c>
      <c r="K9" s="1261">
        <f>(K13+K15)*100/(100-3.36)</f>
        <v>0</v>
      </c>
      <c r="L9" s="485">
        <f>(L13+L15)*100/(100-3.45)</f>
        <v>0</v>
      </c>
      <c r="M9" s="485">
        <f>(M13+M15)*100/(100-3.272)</f>
        <v>0</v>
      </c>
      <c r="N9" s="486">
        <f>(N13+N15)*100/(100-3.27)</f>
        <v>0</v>
      </c>
      <c r="V9" s="121" t="s">
        <v>513</v>
      </c>
    </row>
    <row r="10" spans="1:22">
      <c r="C10" s="472"/>
      <c r="D10" s="477"/>
      <c r="E10" s="478"/>
      <c r="F10" s="479"/>
      <c r="G10" s="480"/>
      <c r="H10" s="480"/>
      <c r="I10" s="487"/>
      <c r="J10" s="1274"/>
      <c r="K10" s="1262"/>
      <c r="L10" s="481"/>
      <c r="M10" s="481"/>
      <c r="N10" s="482"/>
      <c r="V10" s="121" t="s">
        <v>513</v>
      </c>
    </row>
    <row r="11" spans="1:22">
      <c r="C11" s="472">
        <v>10002</v>
      </c>
      <c r="D11" s="477" t="s">
        <v>284</v>
      </c>
      <c r="E11" s="483" t="s">
        <v>25</v>
      </c>
      <c r="F11" s="479" t="s">
        <v>66</v>
      </c>
      <c r="G11" s="480"/>
      <c r="H11" s="480"/>
      <c r="I11" s="484"/>
      <c r="J11" s="491"/>
      <c r="K11" s="1261"/>
      <c r="L11" s="485"/>
      <c r="M11" s="485"/>
      <c r="N11" s="486"/>
      <c r="V11" s="121" t="s">
        <v>513</v>
      </c>
    </row>
    <row r="12" spans="1:22">
      <c r="C12" s="472"/>
      <c r="D12" s="477"/>
      <c r="E12" s="478"/>
      <c r="F12" s="479"/>
      <c r="G12" s="480"/>
      <c r="H12" s="480"/>
      <c r="I12" s="487"/>
      <c r="J12" s="1274"/>
      <c r="K12" s="1262"/>
      <c r="L12" s="481"/>
      <c r="M12" s="481"/>
      <c r="N12" s="482"/>
      <c r="V12" s="121" t="s">
        <v>513</v>
      </c>
    </row>
    <row r="13" spans="1:22">
      <c r="C13" s="472">
        <v>10003</v>
      </c>
      <c r="D13" s="477" t="s">
        <v>285</v>
      </c>
      <c r="E13" s="478" t="s">
        <v>947</v>
      </c>
      <c r="F13" s="479" t="s">
        <v>286</v>
      </c>
      <c r="G13" s="480"/>
      <c r="H13" s="488">
        <f>'3|Sales Forecast'!Q44</f>
        <v>2488.1907287099998</v>
      </c>
      <c r="I13" s="488">
        <f>'3|Sales Forecast'!Q160</f>
        <v>2769.580545430485</v>
      </c>
      <c r="J13" s="1275">
        <f>'3|Sales Forecast'!Q276</f>
        <v>3057.6853324092576</v>
      </c>
      <c r="K13" s="1263">
        <f>'3|Sales Forecast'!Q397</f>
        <v>0</v>
      </c>
      <c r="L13" s="489">
        <f>'3|Sales Forecast'!Q528</f>
        <v>0</v>
      </c>
      <c r="M13" s="489">
        <f>'3|Sales Forecast'!Q650</f>
        <v>0</v>
      </c>
      <c r="N13" s="490">
        <f>'3|Sales Forecast'!Q771</f>
        <v>0</v>
      </c>
      <c r="O13" s="382"/>
      <c r="P13" s="382"/>
      <c r="V13" s="121" t="s">
        <v>513</v>
      </c>
    </row>
    <row r="14" spans="1:22">
      <c r="C14" s="472"/>
      <c r="D14" s="477"/>
      <c r="E14" s="483"/>
      <c r="F14" s="479"/>
      <c r="G14" s="480"/>
      <c r="H14" s="480"/>
      <c r="I14" s="487"/>
      <c r="J14" s="1274"/>
      <c r="K14" s="1262"/>
      <c r="L14" s="481"/>
      <c r="M14" s="481"/>
      <c r="N14" s="482"/>
      <c r="V14" s="121" t="s">
        <v>513</v>
      </c>
    </row>
    <row r="15" spans="1:22">
      <c r="C15" s="472">
        <v>10004</v>
      </c>
      <c r="D15" s="477" t="s">
        <v>287</v>
      </c>
      <c r="E15" s="483" t="s">
        <v>26</v>
      </c>
      <c r="F15" s="479" t="s">
        <v>69</v>
      </c>
      <c r="G15" s="480"/>
      <c r="H15" s="489">
        <f>(H32+H34)*100/(100-3.185)</f>
        <v>16096.534072362852</v>
      </c>
      <c r="I15" s="489">
        <f>(I32+I34)*100/(100-3.26)</f>
        <v>17632.607132264067</v>
      </c>
      <c r="J15" s="490">
        <f>(J32+J34)*100/(100-3.39)</f>
        <v>18767.59408649959</v>
      </c>
      <c r="K15" s="1261">
        <f>(K32+K34)*100/(100-3.25)</f>
        <v>0</v>
      </c>
      <c r="L15" s="484">
        <f>(L32+L34)*100/(100-3.45)</f>
        <v>0</v>
      </c>
      <c r="M15" s="484">
        <f>(M32+M34)*100/(100-3.063)</f>
        <v>0</v>
      </c>
      <c r="N15" s="491">
        <f>(N32+N34)*100/(100-3.06)</f>
        <v>0</v>
      </c>
      <c r="V15" s="121" t="s">
        <v>513</v>
      </c>
    </row>
    <row r="16" spans="1:22">
      <c r="C16" s="472"/>
      <c r="D16" s="477"/>
      <c r="E16" s="478"/>
      <c r="F16" s="479"/>
      <c r="G16" s="480"/>
      <c r="H16" s="480"/>
      <c r="I16" s="481"/>
      <c r="J16" s="482"/>
      <c r="K16" s="1260"/>
      <c r="L16" s="481"/>
      <c r="M16" s="481"/>
      <c r="N16" s="482"/>
      <c r="V16" s="121" t="s">
        <v>513</v>
      </c>
    </row>
    <row r="17" spans="3:22">
      <c r="C17" s="472">
        <v>10020</v>
      </c>
      <c r="D17" s="477"/>
      <c r="E17" s="492" t="s">
        <v>316</v>
      </c>
      <c r="F17" s="493" t="s">
        <v>288</v>
      </c>
      <c r="G17" s="494"/>
      <c r="H17" s="495">
        <f t="shared" ref="H17" si="0">(H9+H11)-(H15+H13)</f>
        <v>587.23719596940646</v>
      </c>
      <c r="I17" s="495">
        <f t="shared" ref="I17:N17" si="1">(I9+I11)-(I15+I13)</f>
        <v>626.65965037652131</v>
      </c>
      <c r="J17" s="496">
        <f t="shared" si="1"/>
        <v>754.15304427018418</v>
      </c>
      <c r="K17" s="1264">
        <f t="shared" si="1"/>
        <v>0</v>
      </c>
      <c r="L17" s="495">
        <f t="shared" si="1"/>
        <v>0</v>
      </c>
      <c r="M17" s="495">
        <f t="shared" si="1"/>
        <v>0</v>
      </c>
      <c r="N17" s="496">
        <f t="shared" si="1"/>
        <v>0</v>
      </c>
      <c r="V17" s="121" t="s">
        <v>513</v>
      </c>
    </row>
    <row r="18" spans="3:22">
      <c r="C18" s="472"/>
      <c r="D18" s="477"/>
      <c r="E18" s="478"/>
      <c r="F18" s="479"/>
      <c r="G18" s="480"/>
      <c r="H18" s="481"/>
      <c r="I18" s="481"/>
      <c r="J18" s="482"/>
      <c r="K18" s="1260"/>
      <c r="L18" s="481"/>
      <c r="M18" s="481"/>
      <c r="N18" s="482"/>
      <c r="V18" s="121" t="s">
        <v>513</v>
      </c>
    </row>
    <row r="19" spans="3:22">
      <c r="C19" s="472">
        <v>10021</v>
      </c>
      <c r="D19" s="477"/>
      <c r="E19" s="492" t="s">
        <v>317</v>
      </c>
      <c r="F19" s="493" t="s">
        <v>289</v>
      </c>
      <c r="G19" s="494"/>
      <c r="H19" s="497">
        <f t="shared" ref="H19" si="2">IF((H9+H11)=0,0,H17/(H9+H11)*100)</f>
        <v>3.0630000000000113</v>
      </c>
      <c r="I19" s="497">
        <f t="shared" ref="I19:N19" si="3">IF((I9+I11)=0,0,I17/(I9+I11)*100)</f>
        <v>2.9800000000000155</v>
      </c>
      <c r="J19" s="498">
        <f t="shared" si="3"/>
        <v>3.3400000000000198</v>
      </c>
      <c r="K19" s="1264">
        <f t="shared" si="3"/>
        <v>0</v>
      </c>
      <c r="L19" s="495">
        <f t="shared" si="3"/>
        <v>0</v>
      </c>
      <c r="M19" s="497">
        <f t="shared" si="3"/>
        <v>0</v>
      </c>
      <c r="N19" s="498">
        <f t="shared" si="3"/>
        <v>0</v>
      </c>
      <c r="T19" s="382"/>
      <c r="V19" s="121" t="s">
        <v>513</v>
      </c>
    </row>
    <row r="20" spans="3:22">
      <c r="C20" s="472"/>
      <c r="D20" s="477"/>
      <c r="E20" s="478"/>
      <c r="F20" s="483"/>
      <c r="G20" s="480"/>
      <c r="H20" s="480"/>
      <c r="I20" s="481"/>
      <c r="J20" s="482"/>
      <c r="K20" s="1260"/>
      <c r="L20" s="481"/>
      <c r="M20" s="481"/>
      <c r="N20" s="482"/>
      <c r="V20" s="121" t="s">
        <v>513</v>
      </c>
    </row>
    <row r="21" spans="3:22">
      <c r="C21" s="472"/>
      <c r="D21" s="477"/>
      <c r="E21" s="478"/>
      <c r="F21" s="483"/>
      <c r="G21" s="478"/>
      <c r="H21" s="478"/>
      <c r="I21" s="481"/>
      <c r="J21" s="482"/>
      <c r="K21" s="1260"/>
      <c r="L21" s="481"/>
      <c r="M21" s="481"/>
      <c r="N21" s="482"/>
      <c r="V21" s="121" t="s">
        <v>513</v>
      </c>
    </row>
    <row r="22" spans="3:22">
      <c r="C22" s="472"/>
      <c r="D22" s="473" t="s">
        <v>517</v>
      </c>
      <c r="E22" s="474"/>
      <c r="F22" s="474"/>
      <c r="G22" s="474"/>
      <c r="H22" s="474"/>
      <c r="I22" s="499"/>
      <c r="J22" s="500"/>
      <c r="K22" s="1265"/>
      <c r="L22" s="499"/>
      <c r="M22" s="499"/>
      <c r="N22" s="500"/>
      <c r="V22" s="121" t="s">
        <v>513</v>
      </c>
    </row>
    <row r="23" spans="3:22">
      <c r="C23" s="472"/>
      <c r="D23" s="477"/>
      <c r="E23" s="478"/>
      <c r="F23" s="479"/>
      <c r="G23" s="480"/>
      <c r="H23" s="480"/>
      <c r="I23" s="481"/>
      <c r="J23" s="482"/>
      <c r="K23" s="1260"/>
      <c r="L23" s="481"/>
      <c r="M23" s="481"/>
      <c r="N23" s="482"/>
      <c r="V23" s="121" t="s">
        <v>513</v>
      </c>
    </row>
    <row r="24" spans="3:22">
      <c r="C24" s="472">
        <v>11001</v>
      </c>
      <c r="D24" s="477" t="s">
        <v>282</v>
      </c>
      <c r="E24" s="483" t="s">
        <v>290</v>
      </c>
      <c r="F24" s="479" t="s">
        <v>69</v>
      </c>
      <c r="G24" s="480"/>
      <c r="H24" s="485">
        <f t="shared" ref="H24:N24" si="4">+H15</f>
        <v>16096.534072362852</v>
      </c>
      <c r="I24" s="485">
        <f t="shared" si="4"/>
        <v>17632.607132264067</v>
      </c>
      <c r="J24" s="486">
        <f t="shared" si="4"/>
        <v>18767.59408649959</v>
      </c>
      <c r="K24" s="1266">
        <f t="shared" si="4"/>
        <v>0</v>
      </c>
      <c r="L24" s="485">
        <f t="shared" si="4"/>
        <v>0</v>
      </c>
      <c r="M24" s="485">
        <f t="shared" si="4"/>
        <v>0</v>
      </c>
      <c r="N24" s="486">
        <f t="shared" si="4"/>
        <v>0</v>
      </c>
      <c r="V24" s="121" t="s">
        <v>513</v>
      </c>
    </row>
    <row r="25" spans="3:22">
      <c r="C25" s="472"/>
      <c r="D25" s="477"/>
      <c r="E25" s="478"/>
      <c r="F25" s="479"/>
      <c r="G25" s="480"/>
      <c r="H25" s="480"/>
      <c r="I25" s="481"/>
      <c r="J25" s="482"/>
      <c r="K25" s="1260"/>
      <c r="L25" s="481"/>
      <c r="M25" s="481"/>
      <c r="N25" s="482"/>
      <c r="V25" s="121" t="s">
        <v>513</v>
      </c>
    </row>
    <row r="26" spans="3:22" ht="18" customHeight="1">
      <c r="C26" s="472">
        <v>11002</v>
      </c>
      <c r="D26" s="477" t="s">
        <v>284</v>
      </c>
      <c r="E26" s="483" t="s">
        <v>291</v>
      </c>
      <c r="F26" s="479" t="s">
        <v>72</v>
      </c>
      <c r="G26" s="480"/>
      <c r="H26" s="480"/>
      <c r="I26" s="485"/>
      <c r="J26" s="486"/>
      <c r="K26" s="1266"/>
      <c r="L26" s="485"/>
      <c r="M26" s="485"/>
      <c r="N26" s="486"/>
      <c r="V26" s="121" t="s">
        <v>513</v>
      </c>
    </row>
    <row r="27" spans="3:22">
      <c r="C27" s="472"/>
      <c r="D27" s="477"/>
      <c r="E27" s="478"/>
      <c r="F27" s="479"/>
      <c r="G27" s="480"/>
      <c r="H27" s="480"/>
      <c r="I27" s="481"/>
      <c r="J27" s="482"/>
      <c r="K27" s="1260"/>
      <c r="L27" s="481"/>
      <c r="M27" s="481"/>
      <c r="N27" s="482"/>
      <c r="V27" s="121" t="s">
        <v>513</v>
      </c>
    </row>
    <row r="28" spans="3:22">
      <c r="C28" s="472">
        <v>11003</v>
      </c>
      <c r="D28" s="477" t="s">
        <v>285</v>
      </c>
      <c r="E28" s="478" t="s">
        <v>292</v>
      </c>
      <c r="F28" s="479" t="s">
        <v>73</v>
      </c>
      <c r="G28" s="480"/>
      <c r="H28" s="480"/>
      <c r="I28" s="485"/>
      <c r="J28" s="486"/>
      <c r="K28" s="1266"/>
      <c r="L28" s="485"/>
      <c r="M28" s="485"/>
      <c r="N28" s="486"/>
      <c r="V28" s="121" t="s">
        <v>513</v>
      </c>
    </row>
    <row r="29" spans="3:22">
      <c r="C29" s="472"/>
      <c r="D29" s="477"/>
      <c r="E29" s="478"/>
      <c r="F29" s="479"/>
      <c r="G29" s="480"/>
      <c r="H29" s="480"/>
      <c r="I29" s="481"/>
      <c r="J29" s="482"/>
      <c r="K29" s="1260"/>
      <c r="L29" s="481"/>
      <c r="M29" s="481"/>
      <c r="N29" s="482"/>
      <c r="V29" s="121" t="s">
        <v>513</v>
      </c>
    </row>
    <row r="30" spans="3:22">
      <c r="C30" s="472">
        <v>11004</v>
      </c>
      <c r="D30" s="477" t="s">
        <v>287</v>
      </c>
      <c r="E30" s="478" t="s">
        <v>293</v>
      </c>
      <c r="F30" s="479" t="s">
        <v>294</v>
      </c>
      <c r="G30" s="480"/>
      <c r="H30" s="501">
        <f>H24+H26+H28</f>
        <v>16096.534072362852</v>
      </c>
      <c r="I30" s="501">
        <f>I24+I26+I28</f>
        <v>17632.607132264067</v>
      </c>
      <c r="J30" s="502">
        <f>(J24+J26+J28)</f>
        <v>18767.59408649959</v>
      </c>
      <c r="K30" s="1267">
        <f>(K24+K26+K28)</f>
        <v>0</v>
      </c>
      <c r="L30" s="501">
        <f>(L24+L26+L28)</f>
        <v>0</v>
      </c>
      <c r="M30" s="501">
        <f>(M24+M26+M28)</f>
        <v>0</v>
      </c>
      <c r="N30" s="502">
        <f>(N24+N26+N28)</f>
        <v>0</v>
      </c>
      <c r="V30" s="121" t="s">
        <v>513</v>
      </c>
    </row>
    <row r="31" spans="3:22">
      <c r="C31" s="472"/>
      <c r="D31" s="477"/>
      <c r="E31" s="478"/>
      <c r="F31" s="479"/>
      <c r="G31" s="480"/>
      <c r="H31" s="480"/>
      <c r="I31" s="481"/>
      <c r="J31" s="482"/>
      <c r="K31" s="1260"/>
      <c r="L31" s="481"/>
      <c r="M31" s="481"/>
      <c r="N31" s="482"/>
      <c r="V31" s="121" t="s">
        <v>513</v>
      </c>
    </row>
    <row r="32" spans="3:22">
      <c r="C32" s="472">
        <v>11005</v>
      </c>
      <c r="D32" s="477" t="s">
        <v>355</v>
      </c>
      <c r="E32" s="478" t="s">
        <v>948</v>
      </c>
      <c r="F32" s="479" t="s">
        <v>295</v>
      </c>
      <c r="G32" s="480"/>
      <c r="H32" s="488">
        <f>'3|Sales Forecast'!Q18</f>
        <v>2221.85891117347</v>
      </c>
      <c r="I32" s="488">
        <f>'3|Sales Forecast'!Q134</f>
        <v>2431.0484893631965</v>
      </c>
      <c r="J32" s="1275">
        <f>'3|Sales Forecast'!Q250</f>
        <v>2586.1665978626543</v>
      </c>
      <c r="K32" s="1263">
        <f>'3|Sales Forecast'!Q367</f>
        <v>0</v>
      </c>
      <c r="L32" s="489">
        <f>'3|Sales Forecast'!Q501</f>
        <v>0</v>
      </c>
      <c r="M32" s="489">
        <f>'3|Sales Forecast'!Q623</f>
        <v>0</v>
      </c>
      <c r="N32" s="490">
        <f>'3|Sales Forecast'!Q744</f>
        <v>0</v>
      </c>
      <c r="O32" s="382"/>
      <c r="P32" s="382"/>
      <c r="T32" s="382"/>
      <c r="V32" s="121" t="s">
        <v>513</v>
      </c>
    </row>
    <row r="33" spans="3:22">
      <c r="C33" s="472"/>
      <c r="D33" s="477"/>
      <c r="E33" s="478"/>
      <c r="F33" s="479"/>
      <c r="G33" s="480"/>
      <c r="H33" s="480"/>
      <c r="I33" s="481"/>
      <c r="J33" s="482"/>
      <c r="K33" s="1260"/>
      <c r="L33" s="481"/>
      <c r="M33" s="481"/>
      <c r="N33" s="482"/>
      <c r="V33" s="121" t="s">
        <v>513</v>
      </c>
    </row>
    <row r="34" spans="3:22">
      <c r="C34" s="472">
        <v>11006</v>
      </c>
      <c r="D34" s="477" t="s">
        <v>358</v>
      </c>
      <c r="E34" s="478" t="s">
        <v>311</v>
      </c>
      <c r="F34" s="479" t="s">
        <v>75</v>
      </c>
      <c r="G34" s="480"/>
      <c r="H34" s="489">
        <f>(H44+H46)*100/(100-3.7394)</f>
        <v>13362.000550984627</v>
      </c>
      <c r="I34" s="489">
        <f>(I44+I46)*100/(100-3.9)</f>
        <v>14626.735650389059</v>
      </c>
      <c r="J34" s="490">
        <f>(J44+J46)*100/(100-3.42)</f>
        <v>15545.206049104601</v>
      </c>
      <c r="K34" s="1266">
        <f>(K44+K46)*100/(100-3.12)</f>
        <v>0</v>
      </c>
      <c r="L34" s="485">
        <f>(L44+L46)*100/(100-3.36)</f>
        <v>0</v>
      </c>
      <c r="M34" s="485">
        <f>(M44+M46)*100/(100-4.384)</f>
        <v>0</v>
      </c>
      <c r="N34" s="486">
        <f>(N44+N46)*100/(100-4.38)</f>
        <v>0</v>
      </c>
      <c r="V34" s="121" t="s">
        <v>513</v>
      </c>
    </row>
    <row r="35" spans="3:22">
      <c r="C35" s="472"/>
      <c r="D35" s="477"/>
      <c r="E35" s="478"/>
      <c r="F35" s="479"/>
      <c r="G35" s="480"/>
      <c r="H35" s="480"/>
      <c r="I35" s="481"/>
      <c r="J35" s="482"/>
      <c r="K35" s="1260"/>
      <c r="L35" s="481"/>
      <c r="M35" s="481"/>
      <c r="N35" s="482"/>
      <c r="V35" s="121" t="s">
        <v>513</v>
      </c>
    </row>
    <row r="36" spans="3:22">
      <c r="C36" s="472">
        <v>11020</v>
      </c>
      <c r="D36" s="477"/>
      <c r="E36" s="492" t="s">
        <v>314</v>
      </c>
      <c r="F36" s="493" t="s">
        <v>296</v>
      </c>
      <c r="G36" s="494"/>
      <c r="H36" s="495">
        <f t="shared" ref="H36" si="5">H30-(H32+H34)</f>
        <v>512.67461020475639</v>
      </c>
      <c r="I36" s="495">
        <f t="shared" ref="I36:N36" si="6">I30-(I32+I34)</f>
        <v>574.8229925118103</v>
      </c>
      <c r="J36" s="496">
        <f t="shared" si="6"/>
        <v>636.22143953233535</v>
      </c>
      <c r="K36" s="1264">
        <f t="shared" si="6"/>
        <v>0</v>
      </c>
      <c r="L36" s="495">
        <f t="shared" si="6"/>
        <v>0</v>
      </c>
      <c r="M36" s="495">
        <f t="shared" si="6"/>
        <v>0</v>
      </c>
      <c r="N36" s="496">
        <f t="shared" si="6"/>
        <v>0</v>
      </c>
      <c r="V36" s="121" t="s">
        <v>513</v>
      </c>
    </row>
    <row r="37" spans="3:22">
      <c r="C37" s="472"/>
      <c r="D37" s="477"/>
      <c r="E37" s="474"/>
      <c r="F37" s="479"/>
      <c r="G37" s="480"/>
      <c r="H37" s="481"/>
      <c r="I37" s="481"/>
      <c r="J37" s="482"/>
      <c r="K37" s="1260"/>
      <c r="L37" s="481"/>
      <c r="M37" s="481"/>
      <c r="N37" s="482"/>
      <c r="V37" s="121" t="s">
        <v>513</v>
      </c>
    </row>
    <row r="38" spans="3:22" ht="25.5">
      <c r="C38" s="472">
        <v>11021</v>
      </c>
      <c r="D38" s="473"/>
      <c r="E38" s="492" t="s">
        <v>315</v>
      </c>
      <c r="F38" s="493" t="s">
        <v>297</v>
      </c>
      <c r="G38" s="494"/>
      <c r="H38" s="497">
        <f t="shared" ref="H38" si="7">IF(ISERROR(H36*100/H30),0,H36*100/H30)</f>
        <v>3.1849999999999969</v>
      </c>
      <c r="I38" s="497">
        <f t="shared" ref="I38:N38" si="8">IF(ISERROR(I36*100/I30),0,I36*100/I30)</f>
        <v>3.2600000000000096</v>
      </c>
      <c r="J38" s="498">
        <f t="shared" si="8"/>
        <v>3.3899999999999961</v>
      </c>
      <c r="K38" s="1268">
        <f t="shared" si="8"/>
        <v>0</v>
      </c>
      <c r="L38" s="497">
        <f t="shared" si="8"/>
        <v>0</v>
      </c>
      <c r="M38" s="497">
        <f t="shared" si="8"/>
        <v>0</v>
      </c>
      <c r="N38" s="498">
        <f t="shared" si="8"/>
        <v>0</v>
      </c>
      <c r="V38" s="121" t="s">
        <v>513</v>
      </c>
    </row>
    <row r="39" spans="3:22">
      <c r="C39" s="472"/>
      <c r="D39" s="477"/>
      <c r="E39" s="478"/>
      <c r="F39" s="479"/>
      <c r="G39" s="480"/>
      <c r="H39" s="480"/>
      <c r="I39" s="481"/>
      <c r="J39" s="482"/>
      <c r="K39" s="1260"/>
      <c r="L39" s="481"/>
      <c r="M39" s="481"/>
      <c r="N39" s="482"/>
      <c r="V39" s="121" t="s">
        <v>513</v>
      </c>
    </row>
    <row r="40" spans="3:22">
      <c r="C40" s="472"/>
      <c r="D40" s="473" t="s">
        <v>298</v>
      </c>
      <c r="E40" s="474"/>
      <c r="F40" s="474"/>
      <c r="G40" s="474"/>
      <c r="H40" s="474"/>
      <c r="I40" s="499"/>
      <c r="J40" s="500"/>
      <c r="K40" s="1265"/>
      <c r="L40" s="499"/>
      <c r="M40" s="499"/>
      <c r="N40" s="500"/>
      <c r="V40" s="121" t="s">
        <v>513</v>
      </c>
    </row>
    <row r="41" spans="3:22">
      <c r="C41" s="472"/>
      <c r="D41" s="477"/>
      <c r="E41" s="478"/>
      <c r="F41" s="479"/>
      <c r="G41" s="480"/>
      <c r="H41" s="480"/>
      <c r="I41" s="481"/>
      <c r="J41" s="482"/>
      <c r="K41" s="1260"/>
      <c r="L41" s="481"/>
      <c r="M41" s="481"/>
      <c r="N41" s="482"/>
      <c r="V41" s="121" t="s">
        <v>513</v>
      </c>
    </row>
    <row r="42" spans="3:22">
      <c r="C42" s="472">
        <v>12001</v>
      </c>
      <c r="D42" s="477" t="s">
        <v>282</v>
      </c>
      <c r="E42" s="478" t="s">
        <v>299</v>
      </c>
      <c r="F42" s="479" t="s">
        <v>75</v>
      </c>
      <c r="G42" s="480"/>
      <c r="H42" s="485">
        <f>+H34</f>
        <v>13362.000550984627</v>
      </c>
      <c r="I42" s="485">
        <f>+I34</f>
        <v>14626.735650389059</v>
      </c>
      <c r="J42" s="486">
        <f>+J34</f>
        <v>15545.206049104601</v>
      </c>
      <c r="K42" s="1266">
        <f>+K34</f>
        <v>0</v>
      </c>
      <c r="L42" s="485">
        <f>+L34</f>
        <v>0</v>
      </c>
      <c r="M42" s="485">
        <f>M34</f>
        <v>0</v>
      </c>
      <c r="N42" s="486">
        <f>N34</f>
        <v>0</v>
      </c>
      <c r="V42" s="121" t="s">
        <v>513</v>
      </c>
    </row>
    <row r="43" spans="3:22">
      <c r="C43" s="472"/>
      <c r="D43" s="477"/>
      <c r="E43" s="478"/>
      <c r="F43" s="479"/>
      <c r="G43" s="480"/>
      <c r="H43" s="480"/>
      <c r="I43" s="481"/>
      <c r="J43" s="482"/>
      <c r="K43" s="1260"/>
      <c r="L43" s="481"/>
      <c r="M43" s="481"/>
      <c r="N43" s="482"/>
      <c r="V43" s="121" t="s">
        <v>513</v>
      </c>
    </row>
    <row r="44" spans="3:22">
      <c r="C44" s="472">
        <v>12002</v>
      </c>
      <c r="D44" s="477" t="s">
        <v>284</v>
      </c>
      <c r="E44" s="478" t="s">
        <v>300</v>
      </c>
      <c r="F44" s="479" t="s">
        <v>301</v>
      </c>
      <c r="G44" s="480"/>
      <c r="H44" s="488">
        <f>'3|Sales Forecast'!Q8+'3|Sales Forecast'!Q9+'3|Sales Forecast'!Q10+'3|Sales Forecast'!Q11+'3|Sales Forecast'!Q13</f>
        <v>10838.592828999999</v>
      </c>
      <c r="I44" s="488">
        <f>'3|Sales Forecast'!Q124+'3|Sales Forecast'!Q125+'3|Sales Forecast'!Q126+'3|Sales Forecast'!Q127+'3|Sales Forecast'!Q129</f>
        <v>11741.892511748487</v>
      </c>
      <c r="J44" s="1275">
        <f>'3|Sales Forecast'!Q247-'3|Sales Forecast'!Q246</f>
        <v>12583.439531536053</v>
      </c>
      <c r="K44" s="1263">
        <f>'3|Sales Forecast'!Q364-'3|Sales Forecast'!Q363</f>
        <v>0</v>
      </c>
      <c r="L44" s="489">
        <f>'3|Sales Forecast'!Q498-'3|Sales Forecast'!Q497</f>
        <v>0</v>
      </c>
      <c r="M44" s="489">
        <f>'3|Sales Forecast'!Q620-'3|Sales Forecast'!Q619</f>
        <v>0</v>
      </c>
      <c r="N44" s="490">
        <f>'3|Sales Forecast'!Q741-'3|Sales Forecast'!Q740</f>
        <v>0</v>
      </c>
      <c r="O44" s="382"/>
      <c r="P44" s="382"/>
      <c r="V44" s="121" t="s">
        <v>513</v>
      </c>
    </row>
    <row r="45" spans="3:22">
      <c r="C45" s="472"/>
      <c r="D45" s="477"/>
      <c r="E45" s="478"/>
      <c r="F45" s="479"/>
      <c r="G45" s="480"/>
      <c r="H45" s="480"/>
      <c r="I45" s="481"/>
      <c r="J45" s="482"/>
      <c r="K45" s="1260"/>
      <c r="L45" s="481"/>
      <c r="M45" s="481"/>
      <c r="N45" s="482"/>
      <c r="O45" s="382"/>
      <c r="P45" s="382"/>
      <c r="V45" s="121" t="s">
        <v>513</v>
      </c>
    </row>
    <row r="46" spans="3:22">
      <c r="C46" s="472">
        <v>12003</v>
      </c>
      <c r="D46" s="477" t="s">
        <v>285</v>
      </c>
      <c r="E46" s="478" t="s">
        <v>302</v>
      </c>
      <c r="F46" s="479" t="s">
        <v>303</v>
      </c>
      <c r="G46" s="480"/>
      <c r="H46" s="488">
        <f>'3|Sales Forecast'!Q14</f>
        <v>2023.7490733811085</v>
      </c>
      <c r="I46" s="488">
        <f>'3|Sales Forecast'!Q130</f>
        <v>2314.4004482753999</v>
      </c>
      <c r="J46" s="1275">
        <f>'3|Sales Forecast'!Q246</f>
        <v>2430.1204706891699</v>
      </c>
      <c r="K46" s="1263">
        <f>'3|Sales Forecast'!Q363</f>
        <v>0</v>
      </c>
      <c r="L46" s="489">
        <f>'3|Sales Forecast'!Q497</f>
        <v>0</v>
      </c>
      <c r="M46" s="489">
        <f>'3|Sales Forecast'!Q619</f>
        <v>0</v>
      </c>
      <c r="N46" s="490">
        <f>'3|Sales Forecast'!Q740</f>
        <v>0</v>
      </c>
      <c r="O46" s="382"/>
      <c r="P46" s="382"/>
      <c r="T46" s="382"/>
      <c r="V46" s="121" t="s">
        <v>513</v>
      </c>
    </row>
    <row r="47" spans="3:22">
      <c r="C47" s="472"/>
      <c r="D47" s="477"/>
      <c r="E47" s="478"/>
      <c r="F47" s="479"/>
      <c r="G47" s="480"/>
      <c r="H47" s="480"/>
      <c r="I47" s="481"/>
      <c r="J47" s="482"/>
      <c r="K47" s="1260"/>
      <c r="L47" s="481"/>
      <c r="M47" s="481"/>
      <c r="N47" s="482"/>
      <c r="V47" s="121" t="s">
        <v>513</v>
      </c>
    </row>
    <row r="48" spans="3:22">
      <c r="C48" s="472">
        <v>12020</v>
      </c>
      <c r="D48" s="477"/>
      <c r="E48" s="492" t="s">
        <v>313</v>
      </c>
      <c r="F48" s="493" t="s">
        <v>356</v>
      </c>
      <c r="G48" s="494"/>
      <c r="H48" s="495">
        <f t="shared" ref="H48" si="9">H42-(H44+H46)</f>
        <v>499.6586486035194</v>
      </c>
      <c r="I48" s="495">
        <f t="shared" ref="I48:N48" si="10">I42-(I44+I46)</f>
        <v>570.44269036517289</v>
      </c>
      <c r="J48" s="496">
        <f t="shared" si="10"/>
        <v>531.64604687937936</v>
      </c>
      <c r="K48" s="1264">
        <f t="shared" si="10"/>
        <v>0</v>
      </c>
      <c r="L48" s="495">
        <f t="shared" si="10"/>
        <v>0</v>
      </c>
      <c r="M48" s="495">
        <f t="shared" si="10"/>
        <v>0</v>
      </c>
      <c r="N48" s="496">
        <f t="shared" si="10"/>
        <v>0</v>
      </c>
      <c r="V48" s="121" t="s">
        <v>513</v>
      </c>
    </row>
    <row r="49" spans="3:22">
      <c r="C49" s="472"/>
      <c r="D49" s="503"/>
      <c r="E49" s="478"/>
      <c r="F49" s="479"/>
      <c r="G49" s="480"/>
      <c r="H49" s="481"/>
      <c r="I49" s="481"/>
      <c r="J49" s="482"/>
      <c r="K49" s="1260"/>
      <c r="L49" s="481"/>
      <c r="M49" s="481"/>
      <c r="N49" s="482"/>
      <c r="V49" s="121" t="s">
        <v>513</v>
      </c>
    </row>
    <row r="50" spans="3:22">
      <c r="C50" s="472">
        <v>12021</v>
      </c>
      <c r="D50" s="473"/>
      <c r="E50" s="492" t="s">
        <v>318</v>
      </c>
      <c r="F50" s="493" t="s">
        <v>304</v>
      </c>
      <c r="G50" s="494"/>
      <c r="H50" s="504">
        <f t="shared" ref="H50" si="11">IF(ISERROR(H48*100/H42),0,H48*100/H42)</f>
        <v>3.7394000000000021</v>
      </c>
      <c r="I50" s="504">
        <f t="shared" ref="I50:N50" si="12">IF(ISERROR(I48*100/I42),0,I48*100/I42)</f>
        <v>3.8999999999999972</v>
      </c>
      <c r="J50" s="1276">
        <f t="shared" si="12"/>
        <v>3.4200000000000128</v>
      </c>
      <c r="K50" s="1269">
        <f t="shared" si="12"/>
        <v>0</v>
      </c>
      <c r="L50" s="505">
        <f t="shared" si="12"/>
        <v>0</v>
      </c>
      <c r="M50" s="505">
        <f t="shared" si="12"/>
        <v>0</v>
      </c>
      <c r="N50" s="506">
        <f t="shared" si="12"/>
        <v>0</v>
      </c>
      <c r="V50" s="121" t="s">
        <v>513</v>
      </c>
    </row>
    <row r="51" spans="3:22">
      <c r="C51" s="472"/>
      <c r="D51" s="477"/>
      <c r="E51" s="478"/>
      <c r="F51" s="479"/>
      <c r="G51" s="480"/>
      <c r="H51" s="480"/>
      <c r="I51" s="481"/>
      <c r="J51" s="482"/>
      <c r="K51" s="1260"/>
      <c r="L51" s="481"/>
      <c r="M51" s="481"/>
      <c r="N51" s="482"/>
      <c r="V51" s="121" t="s">
        <v>513</v>
      </c>
    </row>
    <row r="52" spans="3:22">
      <c r="C52" s="472"/>
      <c r="D52" s="473" t="s">
        <v>305</v>
      </c>
      <c r="E52" s="474"/>
      <c r="F52" s="474"/>
      <c r="G52" s="474"/>
      <c r="H52" s="474"/>
      <c r="I52" s="499"/>
      <c r="J52" s="500"/>
      <c r="K52" s="1265"/>
      <c r="L52" s="499"/>
      <c r="M52" s="499"/>
      <c r="N52" s="500"/>
      <c r="V52" s="121" t="s">
        <v>513</v>
      </c>
    </row>
    <row r="53" spans="3:22">
      <c r="C53" s="472">
        <v>13001</v>
      </c>
      <c r="D53" s="477" t="s">
        <v>282</v>
      </c>
      <c r="E53" s="478" t="s">
        <v>306</v>
      </c>
      <c r="F53" s="479" t="s">
        <v>307</v>
      </c>
      <c r="G53" s="480"/>
      <c r="H53" s="501">
        <f t="shared" ref="H53:N53" si="13">H9+H11+H26+H28</f>
        <v>19171.961997042257</v>
      </c>
      <c r="I53" s="501">
        <f t="shared" si="13"/>
        <v>21028.847328071075</v>
      </c>
      <c r="J53" s="502">
        <f t="shared" si="13"/>
        <v>22579.432463179033</v>
      </c>
      <c r="K53" s="1267">
        <f t="shared" si="13"/>
        <v>0</v>
      </c>
      <c r="L53" s="501">
        <f t="shared" si="13"/>
        <v>0</v>
      </c>
      <c r="M53" s="501">
        <f t="shared" si="13"/>
        <v>0</v>
      </c>
      <c r="N53" s="502">
        <f t="shared" si="13"/>
        <v>0</v>
      </c>
      <c r="V53" s="121" t="s">
        <v>513</v>
      </c>
    </row>
    <row r="54" spans="3:22">
      <c r="C54" s="472"/>
      <c r="D54" s="477"/>
      <c r="E54" s="478"/>
      <c r="F54" s="479"/>
      <c r="G54" s="480"/>
      <c r="H54" s="480"/>
      <c r="I54" s="481"/>
      <c r="J54" s="482"/>
      <c r="K54" s="1260"/>
      <c r="L54" s="481"/>
      <c r="M54" s="481"/>
      <c r="N54" s="482"/>
      <c r="V54" s="121" t="s">
        <v>513</v>
      </c>
    </row>
    <row r="55" spans="3:22">
      <c r="C55" s="472">
        <v>13002</v>
      </c>
      <c r="D55" s="477" t="s">
        <v>284</v>
      </c>
      <c r="E55" s="478" t="s">
        <v>308</v>
      </c>
      <c r="F55" s="479" t="s">
        <v>309</v>
      </c>
      <c r="G55" s="480"/>
      <c r="H55" s="501">
        <f t="shared" ref="H55:N55" si="14">H13+H32+H44+H46</f>
        <v>17572.391542264577</v>
      </c>
      <c r="I55" s="501">
        <f t="shared" si="14"/>
        <v>19256.921994817567</v>
      </c>
      <c r="J55" s="502">
        <f t="shared" si="14"/>
        <v>20657.411932497136</v>
      </c>
      <c r="K55" s="1267">
        <f t="shared" si="14"/>
        <v>0</v>
      </c>
      <c r="L55" s="501">
        <f t="shared" si="14"/>
        <v>0</v>
      </c>
      <c r="M55" s="501">
        <f t="shared" si="14"/>
        <v>0</v>
      </c>
      <c r="N55" s="502">
        <f t="shared" si="14"/>
        <v>0</v>
      </c>
      <c r="O55" s="507"/>
      <c r="P55" s="507"/>
      <c r="Q55" s="507"/>
      <c r="R55" s="507"/>
      <c r="V55" s="121" t="s">
        <v>513</v>
      </c>
    </row>
    <row r="56" spans="3:22">
      <c r="C56" s="472"/>
      <c r="D56" s="477"/>
      <c r="E56" s="478"/>
      <c r="F56" s="479"/>
      <c r="G56" s="480"/>
      <c r="H56" s="480"/>
      <c r="I56" s="481"/>
      <c r="J56" s="482"/>
      <c r="K56" s="1260"/>
      <c r="L56" s="481"/>
      <c r="M56" s="481"/>
      <c r="N56" s="482"/>
      <c r="V56" s="121" t="s">
        <v>513</v>
      </c>
    </row>
    <row r="57" spans="3:22">
      <c r="C57" s="472">
        <v>13003</v>
      </c>
      <c r="D57" s="477" t="s">
        <v>285</v>
      </c>
      <c r="E57" s="478" t="s">
        <v>322</v>
      </c>
      <c r="F57" s="479" t="s">
        <v>78</v>
      </c>
      <c r="G57" s="480"/>
      <c r="H57" s="488">
        <f>'3|Sales Forecast'!Q68+'3|Sales Forecast'!Q93</f>
        <v>7771.8176172166113</v>
      </c>
      <c r="I57" s="488">
        <f>'3|Sales Forecast'!Q184+'3|Sales Forecast'!Q209</f>
        <v>8607.4040805635814</v>
      </c>
      <c r="J57" s="1275">
        <f>'3|Sales Forecast'!Q300+'3|Sales Forecast'!Q325</f>
        <v>9196.647038822779</v>
      </c>
      <c r="K57" s="1270">
        <f>'3|Sales Forecast'!Q426</f>
        <v>0</v>
      </c>
      <c r="L57" s="508">
        <f>'3|Sales Forecast'!Q554</f>
        <v>0</v>
      </c>
      <c r="M57" s="508">
        <f>'3|Sales Forecast'!Q676+'3|Sales Forecast'!Q702</f>
        <v>0</v>
      </c>
      <c r="N57" s="509">
        <f>'3|Sales Forecast'!Q798+'3|Sales Forecast'!Q825</f>
        <v>0</v>
      </c>
      <c r="O57" s="382"/>
      <c r="P57" s="382"/>
      <c r="Q57" s="382"/>
      <c r="V57" s="121" t="s">
        <v>513</v>
      </c>
    </row>
    <row r="58" spans="3:22">
      <c r="C58" s="472"/>
      <c r="D58" s="477"/>
      <c r="E58" s="478"/>
      <c r="F58" s="479"/>
      <c r="G58" s="480"/>
      <c r="H58" s="480"/>
      <c r="I58" s="481"/>
      <c r="J58" s="482"/>
      <c r="K58" s="1260"/>
      <c r="L58" s="481"/>
      <c r="M58" s="481"/>
      <c r="N58" s="482"/>
      <c r="O58" s="382"/>
      <c r="V58" s="121" t="s">
        <v>513</v>
      </c>
    </row>
    <row r="59" spans="3:22">
      <c r="C59" s="472">
        <v>13020</v>
      </c>
      <c r="D59" s="477"/>
      <c r="E59" s="510" t="s">
        <v>357</v>
      </c>
      <c r="F59" s="511" t="s">
        <v>312</v>
      </c>
      <c r="G59" s="512"/>
      <c r="H59" s="513">
        <f t="shared" ref="H59" si="15">H53-H55</f>
        <v>1599.5704547776804</v>
      </c>
      <c r="I59" s="513">
        <f t="shared" ref="I59:N59" si="16">I53-I55</f>
        <v>1771.9253332535081</v>
      </c>
      <c r="J59" s="514">
        <f t="shared" si="16"/>
        <v>1922.0205306818971</v>
      </c>
      <c r="K59" s="1271">
        <f t="shared" si="16"/>
        <v>0</v>
      </c>
      <c r="L59" s="513">
        <f t="shared" si="16"/>
        <v>0</v>
      </c>
      <c r="M59" s="513">
        <f t="shared" si="16"/>
        <v>0</v>
      </c>
      <c r="N59" s="514">
        <f t="shared" si="16"/>
        <v>0</v>
      </c>
      <c r="V59" s="121" t="s">
        <v>513</v>
      </c>
    </row>
    <row r="60" spans="3:22">
      <c r="C60" s="472"/>
      <c r="D60" s="477"/>
      <c r="E60" s="478"/>
      <c r="F60" s="479"/>
      <c r="G60" s="480"/>
      <c r="H60" s="481"/>
      <c r="I60" s="481"/>
      <c r="J60" s="482"/>
      <c r="K60" s="1260"/>
      <c r="L60" s="481"/>
      <c r="M60" s="481"/>
      <c r="N60" s="482"/>
      <c r="V60" s="121" t="s">
        <v>513</v>
      </c>
    </row>
    <row r="61" spans="3:22">
      <c r="C61" s="472"/>
      <c r="D61" s="477"/>
      <c r="E61" s="478"/>
      <c r="F61" s="479"/>
      <c r="G61" s="480"/>
      <c r="H61" s="481"/>
      <c r="I61" s="481"/>
      <c r="J61" s="482"/>
      <c r="K61" s="1260"/>
      <c r="L61" s="481"/>
      <c r="M61" s="481"/>
      <c r="N61" s="482"/>
      <c r="V61" s="121" t="s">
        <v>513</v>
      </c>
    </row>
    <row r="62" spans="3:22" ht="25.5">
      <c r="C62" s="472">
        <v>13021</v>
      </c>
      <c r="D62" s="473"/>
      <c r="E62" s="510" t="s">
        <v>324</v>
      </c>
      <c r="F62" s="511" t="s">
        <v>310</v>
      </c>
      <c r="G62" s="512"/>
      <c r="H62" s="513">
        <f t="shared" ref="H62" si="17">IF(H53=0,0,H59/H53*100)</f>
        <v>8.3432799158711735</v>
      </c>
      <c r="I62" s="513">
        <f t="shared" ref="I62:N62" si="18">IF(I53=0,0,I59/I53*100)</f>
        <v>8.4261648087966901</v>
      </c>
      <c r="J62" s="514">
        <f t="shared" si="18"/>
        <v>8.5122623600756775</v>
      </c>
      <c r="K62" s="1271">
        <f t="shared" si="18"/>
        <v>0</v>
      </c>
      <c r="L62" s="513">
        <f t="shared" si="18"/>
        <v>0</v>
      </c>
      <c r="M62" s="513">
        <f t="shared" si="18"/>
        <v>0</v>
      </c>
      <c r="N62" s="514">
        <f t="shared" si="18"/>
        <v>0</v>
      </c>
      <c r="V62" s="121" t="s">
        <v>513</v>
      </c>
    </row>
    <row r="63" spans="3:22" ht="15.75" customHeight="1">
      <c r="C63" s="515"/>
      <c r="D63" s="274"/>
      <c r="E63" s="478"/>
      <c r="F63" s="271"/>
      <c r="G63" s="271"/>
      <c r="H63" s="516"/>
      <c r="I63" s="516"/>
      <c r="J63" s="517"/>
      <c r="K63" s="1272"/>
      <c r="L63" s="516"/>
      <c r="M63" s="516"/>
      <c r="N63" s="517"/>
      <c r="V63" s="121" t="s">
        <v>513</v>
      </c>
    </row>
    <row r="64" spans="3:22" ht="26.25" thickBot="1">
      <c r="C64" s="472">
        <v>13025</v>
      </c>
      <c r="D64" s="518"/>
      <c r="E64" s="519" t="s">
        <v>323</v>
      </c>
      <c r="F64" s="520" t="s">
        <v>325</v>
      </c>
      <c r="G64" s="521"/>
      <c r="H64" s="522">
        <f t="shared" ref="H64" si="19">IF((H53+H57)=0,0,H59/(H53+H57)*100)</f>
        <v>5.9366966241483601</v>
      </c>
      <c r="I64" s="522">
        <f t="shared" ref="I64:N64" si="20">IF((I53+I57)=0,0,I59/(I53+I57)*100)</f>
        <v>5.9789118023787911</v>
      </c>
      <c r="J64" s="523">
        <f t="shared" si="20"/>
        <v>6.0486396081707143</v>
      </c>
      <c r="K64" s="1273">
        <f t="shared" si="20"/>
        <v>0</v>
      </c>
      <c r="L64" s="522">
        <f t="shared" si="20"/>
        <v>0</v>
      </c>
      <c r="M64" s="522">
        <f t="shared" si="20"/>
        <v>0</v>
      </c>
      <c r="N64" s="523">
        <f t="shared" si="20"/>
        <v>0</v>
      </c>
      <c r="V64" s="121" t="s">
        <v>513</v>
      </c>
    </row>
    <row r="66" spans="8:12">
      <c r="H66" s="382">
        <f>H55+H57</f>
        <v>25344.209159481186</v>
      </c>
      <c r="I66" s="382">
        <f t="shared" ref="I66:J66" si="21">I55+I57</f>
        <v>27864.326075381148</v>
      </c>
      <c r="J66" s="382">
        <f t="shared" si="21"/>
        <v>29854.058971319915</v>
      </c>
    </row>
    <row r="67" spans="8:12">
      <c r="H67" s="382">
        <f>H53+H57</f>
        <v>26943.77961425887</v>
      </c>
      <c r="I67" s="382">
        <f t="shared" ref="I67:J67" si="22">I53+I57</f>
        <v>29636.251408634656</v>
      </c>
      <c r="J67" s="382">
        <f t="shared" si="22"/>
        <v>31776.079502001812</v>
      </c>
    </row>
    <row r="68" spans="8:12">
      <c r="L68" s="1062">
        <v>3.0627248495921005</v>
      </c>
    </row>
    <row r="69" spans="8:12">
      <c r="H69" s="1061">
        <f>(H67-H66)/H67</f>
        <v>5.9366966241483736E-2</v>
      </c>
      <c r="I69" s="1061">
        <f t="shared" ref="I69:J69" si="23">(I67-I66)/I67</f>
        <v>5.9789118023787911E-2</v>
      </c>
      <c r="J69" s="1061">
        <f t="shared" si="23"/>
        <v>6.0486396081707146E-2</v>
      </c>
      <c r="L69" s="1062">
        <v>3.1853173199433344</v>
      </c>
    </row>
    <row r="70" spans="8:12">
      <c r="L70" s="1062">
        <v>3.7393960306756999</v>
      </c>
    </row>
  </sheetData>
  <mergeCells count="1">
    <mergeCell ref="D6:E6"/>
  </mergeCells>
  <phoneticPr fontId="11" type="noConversion"/>
  <dataValidations count="2">
    <dataValidation operator="greaterThan" allowBlank="1" showInputMessage="1" showErrorMessage="1" error="Enter in number format only" sqref="T1:T16 T18:T65536 U1:IW1048576 S1:S1048576 O1:R54 O56:R65536 I1:N7 H65:H1048576 A2:A65536 C4:E65536 C1:E2 B1:B1048576 D3:E3 F1:G1048576 H1:H8 H10:H14 H20:H23 H31:H33 H25:H29 H16 H35 H39:H41 H43:H47 H51:H52 H54 H56:H58 I65:N65536"/>
    <dataValidation type="decimal" allowBlank="1" showInputMessage="1" showErrorMessage="1" error="Enter in number format only" sqref="I25:I64 J56:N64 J25:N54 J55:R55 I8:N24 H9 H15 H34 H30 H24 H17:H19 H36:H38 H42 H48:H50 H53 H55 H59:H64">
      <formula1>0</formula1>
      <formula2>9.99999999999999E+26</formula2>
    </dataValidation>
  </dataValidations>
  <hyperlinks>
    <hyperlink ref="A1" location="Index!A1" display="Index sheet"/>
  </hyperlinks>
  <printOptions horizontalCentered="1"/>
  <pageMargins left="0.19685039370078741" right="0.19685039370078741" top="0.19685039370078741" bottom="0.19685039370078741" header="0.19685039370078741" footer="0.19685039370078741"/>
  <pageSetup paperSize="9" fitToHeight="2" orientation="landscape" blackAndWhite="1" r:id="rId1"/>
  <headerFooter alignWithMargins="0"/>
  <rowBreaks count="1" manualBreakCount="1">
    <brk id="38" min="3" max="9" man="1"/>
  </rowBreaks>
</worksheet>
</file>

<file path=xl/worksheets/sheet26.xml><?xml version="1.0" encoding="utf-8"?>
<worksheet xmlns="http://schemas.openxmlformats.org/spreadsheetml/2006/main" xmlns:r="http://schemas.openxmlformats.org/officeDocument/2006/relationships">
  <sheetPr codeName="Sheet23"/>
  <dimension ref="A1:Q62"/>
  <sheetViews>
    <sheetView view="pageBreakPreview" zoomScaleSheetLayoutView="100" workbookViewId="0">
      <selection activeCell="O15" sqref="O15"/>
    </sheetView>
  </sheetViews>
  <sheetFormatPr defaultRowHeight="12.75"/>
  <cols>
    <col min="1" max="1" width="9.140625" style="455"/>
    <col min="2" max="2" width="9.140625" style="121" hidden="1" customWidth="1"/>
    <col min="3" max="3" width="43.85546875" style="455" customWidth="1"/>
    <col min="4" max="4" width="9.140625" style="455"/>
    <col min="5" max="5" width="12" style="455" hidden="1" customWidth="1"/>
    <col min="6" max="6" width="9.140625" style="425"/>
    <col min="7" max="7" width="11.7109375" style="425" customWidth="1"/>
    <col min="8" max="16" width="9.140625" style="455"/>
    <col min="17" max="17" width="0" style="455" hidden="1" customWidth="1"/>
    <col min="18" max="16384" width="9.140625" style="455"/>
  </cols>
  <sheetData>
    <row r="1" spans="1:17" s="121" customFormat="1">
      <c r="A1" s="371" t="s">
        <v>396</v>
      </c>
      <c r="B1" s="371"/>
      <c r="C1" s="453"/>
      <c r="F1" s="382"/>
      <c r="G1" s="382"/>
    </row>
    <row r="2" spans="1:17" s="121" customFormat="1">
      <c r="F2" s="382"/>
      <c r="G2" s="382"/>
    </row>
    <row r="3" spans="1:17" s="121" customFormat="1">
      <c r="C3" s="305" t="s">
        <v>511</v>
      </c>
      <c r="D3" s="1709" t="s">
        <v>507</v>
      </c>
      <c r="E3" s="1709"/>
      <c r="F3" s="1709"/>
      <c r="G3" s="1709"/>
    </row>
    <row r="4" spans="1:17" s="121" customFormat="1">
      <c r="C4" s="305"/>
      <c r="D4" s="454"/>
      <c r="E4" s="454"/>
      <c r="F4" s="454"/>
      <c r="G4" s="454"/>
    </row>
    <row r="5" spans="1:17" s="121" customFormat="1" ht="37.5" customHeight="1">
      <c r="C5" s="1874" t="s">
        <v>998</v>
      </c>
      <c r="D5" s="1875"/>
      <c r="E5" s="1875"/>
      <c r="F5" s="1875"/>
      <c r="G5" s="1876"/>
    </row>
    <row r="6" spans="1:17" s="121" customFormat="1" ht="13.5" thickBot="1">
      <c r="C6" s="305"/>
      <c r="F6" s="382"/>
      <c r="G6" s="382"/>
    </row>
    <row r="7" spans="1:17" s="121" customFormat="1" ht="25.5" customHeight="1">
      <c r="C7" s="1844" t="s">
        <v>200</v>
      </c>
      <c r="D7" s="1839" t="s">
        <v>140</v>
      </c>
      <c r="E7" s="1853" t="s">
        <v>645</v>
      </c>
      <c r="F7" s="1834" t="str">
        <f>Notes!$C$5</f>
        <v>Base Year</v>
      </c>
      <c r="G7" s="1877" t="str">
        <f>Notes!$C$6</f>
        <v>FY 2024-25</v>
      </c>
    </row>
    <row r="8" spans="1:17" s="121" customFormat="1">
      <c r="C8" s="1845"/>
      <c r="D8" s="1710"/>
      <c r="E8" s="1854"/>
      <c r="F8" s="1840"/>
      <c r="G8" s="1878"/>
    </row>
    <row r="9" spans="1:17" ht="23.25" customHeight="1">
      <c r="A9" s="121"/>
      <c r="B9" s="121">
        <v>20001</v>
      </c>
      <c r="C9" s="274" t="s">
        <v>510</v>
      </c>
      <c r="D9" s="379"/>
      <c r="E9" s="379"/>
      <c r="F9" s="272"/>
      <c r="G9" s="1277"/>
      <c r="Q9" s="455" t="s">
        <v>514</v>
      </c>
    </row>
    <row r="10" spans="1:17" ht="23.25" customHeight="1">
      <c r="A10" s="121"/>
      <c r="C10" s="274"/>
      <c r="D10" s="379"/>
      <c r="E10" s="379"/>
      <c r="F10" s="307"/>
      <c r="G10" s="1278"/>
      <c r="Q10" s="455" t="s">
        <v>514</v>
      </c>
    </row>
    <row r="11" spans="1:17" ht="23.25" customHeight="1">
      <c r="A11" s="121"/>
      <c r="B11" s="121">
        <v>20002</v>
      </c>
      <c r="C11" s="274" t="s">
        <v>546</v>
      </c>
      <c r="D11" s="379"/>
      <c r="E11" s="379"/>
      <c r="F11" s="272"/>
      <c r="G11" s="1277"/>
      <c r="Q11" s="455" t="s">
        <v>514</v>
      </c>
    </row>
    <row r="12" spans="1:17" ht="23.25" customHeight="1">
      <c r="A12" s="121"/>
      <c r="B12" s="121">
        <v>20003</v>
      </c>
      <c r="C12" s="274" t="s">
        <v>508</v>
      </c>
      <c r="D12" s="379"/>
      <c r="E12" s="456">
        <v>2.4</v>
      </c>
      <c r="F12" s="456">
        <v>2.4750000000000001</v>
      </c>
      <c r="G12" s="1279">
        <v>2.75</v>
      </c>
      <c r="I12" s="425"/>
    </row>
    <row r="13" spans="1:17" ht="23.25" customHeight="1">
      <c r="A13" s="121"/>
      <c r="B13" s="121">
        <v>20004</v>
      </c>
      <c r="C13" s="274" t="s">
        <v>509</v>
      </c>
      <c r="D13" s="379"/>
      <c r="E13" s="272"/>
      <c r="F13" s="457"/>
      <c r="G13" s="1280"/>
      <c r="Q13" s="455" t="s">
        <v>514</v>
      </c>
    </row>
    <row r="14" spans="1:17" ht="23.25" customHeight="1">
      <c r="A14" s="121"/>
      <c r="C14" s="274"/>
      <c r="D14" s="379"/>
      <c r="E14" s="379"/>
      <c r="F14" s="458"/>
      <c r="G14" s="1281"/>
      <c r="I14" s="425"/>
      <c r="Q14" s="455" t="s">
        <v>514</v>
      </c>
    </row>
    <row r="15" spans="1:17" ht="23.25" customHeight="1">
      <c r="A15" s="121"/>
      <c r="B15" s="121">
        <v>20005</v>
      </c>
      <c r="C15" s="274" t="s">
        <v>547</v>
      </c>
      <c r="D15" s="379"/>
      <c r="E15" s="379"/>
      <c r="F15" s="457"/>
      <c r="G15" s="1280"/>
      <c r="I15" s="425"/>
      <c r="Q15" s="455" t="s">
        <v>514</v>
      </c>
    </row>
    <row r="16" spans="1:17" ht="23.25" customHeight="1">
      <c r="A16" s="121"/>
      <c r="B16" s="121">
        <v>20006</v>
      </c>
      <c r="C16" s="274" t="s">
        <v>515</v>
      </c>
      <c r="D16" s="379"/>
      <c r="E16" s="272">
        <v>0.56000000000000005</v>
      </c>
      <c r="F16" s="272">
        <v>0.79500000000000004</v>
      </c>
      <c r="G16" s="273">
        <v>0.8</v>
      </c>
    </row>
    <row r="17" spans="1:17" ht="23.25" customHeight="1" thickBot="1">
      <c r="A17" s="121"/>
      <c r="B17" s="121">
        <v>20007</v>
      </c>
      <c r="C17" s="459" t="s">
        <v>516</v>
      </c>
      <c r="D17" s="460"/>
      <c r="E17" s="460"/>
      <c r="F17" s="461"/>
      <c r="G17" s="1282"/>
      <c r="Q17" s="455" t="s">
        <v>514</v>
      </c>
    </row>
    <row r="18" spans="1:17">
      <c r="C18" s="462"/>
      <c r="D18" s="463"/>
      <c r="E18" s="463"/>
      <c r="F18" s="464"/>
      <c r="G18" s="464"/>
    </row>
    <row r="19" spans="1:17">
      <c r="C19" s="462"/>
      <c r="D19" s="463"/>
      <c r="E19" s="463"/>
      <c r="F19" s="464"/>
      <c r="G19" s="464"/>
    </row>
    <row r="20" spans="1:17">
      <c r="C20" s="462"/>
      <c r="D20" s="463"/>
      <c r="E20" s="463"/>
      <c r="F20" s="464"/>
      <c r="G20" s="464"/>
    </row>
    <row r="21" spans="1:17">
      <c r="C21" s="462"/>
      <c r="D21" s="463"/>
      <c r="E21" s="463"/>
      <c r="F21" s="464"/>
      <c r="G21" s="464"/>
    </row>
    <row r="22" spans="1:17">
      <c r="C22" s="462"/>
      <c r="D22" s="463"/>
      <c r="E22" s="463"/>
      <c r="F22" s="464"/>
      <c r="G22" s="464"/>
    </row>
    <row r="23" spans="1:17">
      <c r="C23" s="462"/>
      <c r="D23" s="463"/>
      <c r="E23" s="463"/>
      <c r="F23" s="464"/>
      <c r="G23" s="464"/>
    </row>
    <row r="24" spans="1:17">
      <c r="C24" s="462"/>
      <c r="D24" s="463"/>
      <c r="E24" s="463"/>
      <c r="F24" s="464"/>
      <c r="G24" s="464"/>
    </row>
    <row r="25" spans="1:17">
      <c r="C25" s="462"/>
      <c r="D25" s="463"/>
      <c r="E25" s="463"/>
      <c r="F25" s="464"/>
      <c r="G25" s="464"/>
    </row>
    <row r="26" spans="1:17">
      <c r="C26" s="462"/>
      <c r="D26" s="463"/>
      <c r="E26" s="463"/>
      <c r="F26" s="464"/>
      <c r="G26" s="464"/>
    </row>
    <row r="27" spans="1:17">
      <c r="C27" s="462"/>
      <c r="D27" s="463"/>
      <c r="E27" s="463"/>
      <c r="F27" s="464"/>
      <c r="G27" s="464"/>
    </row>
    <row r="28" spans="1:17">
      <c r="C28" s="462"/>
      <c r="D28" s="463"/>
      <c r="E28" s="463"/>
      <c r="F28" s="464"/>
      <c r="G28" s="464"/>
    </row>
    <row r="29" spans="1:17">
      <c r="C29" s="462"/>
      <c r="D29" s="463"/>
      <c r="E29" s="463"/>
      <c r="F29" s="464"/>
      <c r="G29" s="464"/>
    </row>
    <row r="30" spans="1:17">
      <c r="C30" s="462"/>
      <c r="D30" s="463"/>
      <c r="E30" s="463"/>
      <c r="F30" s="464"/>
      <c r="G30" s="464"/>
    </row>
    <row r="31" spans="1:17">
      <c r="C31" s="462"/>
      <c r="D31" s="463"/>
      <c r="E31" s="463"/>
      <c r="F31" s="464"/>
      <c r="G31" s="464"/>
    </row>
    <row r="32" spans="1:17">
      <c r="C32" s="462"/>
      <c r="D32" s="463"/>
      <c r="E32" s="463"/>
      <c r="F32" s="464"/>
      <c r="G32" s="464"/>
    </row>
    <row r="33" spans="3:7">
      <c r="C33" s="462"/>
      <c r="D33" s="463"/>
      <c r="E33" s="463"/>
      <c r="F33" s="464"/>
      <c r="G33" s="464"/>
    </row>
    <row r="34" spans="3:7">
      <c r="C34" s="462"/>
      <c r="D34" s="463"/>
      <c r="E34" s="463"/>
      <c r="F34" s="464"/>
      <c r="G34" s="464"/>
    </row>
    <row r="35" spans="3:7">
      <c r="C35" s="462"/>
      <c r="D35" s="463"/>
      <c r="E35" s="463"/>
      <c r="F35" s="464"/>
      <c r="G35" s="464"/>
    </row>
    <row r="36" spans="3:7">
      <c r="C36" s="462"/>
      <c r="D36" s="463"/>
      <c r="E36" s="463"/>
      <c r="F36" s="464"/>
      <c r="G36" s="464"/>
    </row>
    <row r="37" spans="3:7">
      <c r="C37" s="462"/>
      <c r="D37" s="463"/>
      <c r="E37" s="463"/>
      <c r="F37" s="464"/>
      <c r="G37" s="464"/>
    </row>
    <row r="38" spans="3:7">
      <c r="C38" s="462"/>
      <c r="D38" s="463"/>
      <c r="E38" s="463"/>
      <c r="F38" s="464"/>
      <c r="G38" s="464"/>
    </row>
    <row r="39" spans="3:7">
      <c r="C39" s="462"/>
      <c r="D39" s="463"/>
      <c r="E39" s="463"/>
      <c r="F39" s="464"/>
      <c r="G39" s="464"/>
    </row>
    <row r="40" spans="3:7">
      <c r="C40" s="462"/>
      <c r="D40" s="463"/>
      <c r="E40" s="463"/>
      <c r="F40" s="464"/>
      <c r="G40" s="464"/>
    </row>
    <row r="41" spans="3:7">
      <c r="C41" s="462"/>
      <c r="D41" s="463"/>
      <c r="E41" s="463"/>
      <c r="F41" s="464"/>
      <c r="G41" s="464"/>
    </row>
    <row r="42" spans="3:7">
      <c r="C42" s="462"/>
      <c r="D42" s="463"/>
      <c r="E42" s="463"/>
      <c r="F42" s="464"/>
      <c r="G42" s="464"/>
    </row>
    <row r="43" spans="3:7">
      <c r="C43" s="462"/>
      <c r="D43" s="463"/>
      <c r="E43" s="463"/>
      <c r="F43" s="464"/>
      <c r="G43" s="464"/>
    </row>
    <row r="44" spans="3:7">
      <c r="C44" s="462"/>
      <c r="D44" s="463"/>
      <c r="E44" s="463"/>
      <c r="F44" s="464"/>
      <c r="G44" s="464"/>
    </row>
    <row r="45" spans="3:7">
      <c r="C45" s="462"/>
      <c r="D45" s="463"/>
      <c r="E45" s="463"/>
      <c r="F45" s="464"/>
      <c r="G45" s="464"/>
    </row>
    <row r="46" spans="3:7">
      <c r="C46" s="462"/>
      <c r="D46" s="463"/>
      <c r="E46" s="463"/>
      <c r="F46" s="464"/>
      <c r="G46" s="464"/>
    </row>
    <row r="47" spans="3:7">
      <c r="C47" s="462"/>
      <c r="D47" s="463"/>
      <c r="E47" s="463"/>
      <c r="F47" s="464"/>
      <c r="G47" s="464"/>
    </row>
    <row r="48" spans="3:7">
      <c r="C48" s="462"/>
      <c r="D48" s="463"/>
      <c r="E48" s="463"/>
      <c r="F48" s="464"/>
      <c r="G48" s="464"/>
    </row>
    <row r="49" spans="3:7">
      <c r="C49" s="462"/>
      <c r="D49" s="463"/>
      <c r="E49" s="463"/>
      <c r="F49" s="464"/>
      <c r="G49" s="464"/>
    </row>
    <row r="50" spans="3:7">
      <c r="C50" s="462"/>
      <c r="D50" s="463"/>
      <c r="E50" s="463"/>
      <c r="F50" s="464"/>
      <c r="G50" s="464"/>
    </row>
    <row r="51" spans="3:7">
      <c r="C51" s="462"/>
      <c r="D51" s="463"/>
      <c r="E51" s="463"/>
      <c r="F51" s="464"/>
      <c r="G51" s="464"/>
    </row>
    <row r="52" spans="3:7">
      <c r="C52" s="462"/>
      <c r="D52" s="463"/>
      <c r="E52" s="463"/>
      <c r="F52" s="464"/>
      <c r="G52" s="464"/>
    </row>
    <row r="53" spans="3:7">
      <c r="C53" s="462"/>
      <c r="D53" s="463"/>
      <c r="E53" s="463"/>
      <c r="F53" s="464"/>
      <c r="G53" s="464"/>
    </row>
    <row r="54" spans="3:7">
      <c r="C54" s="462"/>
      <c r="D54" s="463"/>
      <c r="E54" s="463"/>
      <c r="F54" s="464"/>
      <c r="G54" s="464"/>
    </row>
    <row r="55" spans="3:7">
      <c r="C55" s="462"/>
      <c r="D55" s="463"/>
      <c r="E55" s="463"/>
      <c r="F55" s="464"/>
      <c r="G55" s="464"/>
    </row>
    <row r="56" spans="3:7">
      <c r="C56" s="462"/>
      <c r="D56" s="463"/>
      <c r="E56" s="463"/>
      <c r="F56" s="464"/>
      <c r="G56" s="464"/>
    </row>
    <row r="57" spans="3:7">
      <c r="C57" s="462"/>
      <c r="D57" s="463"/>
      <c r="E57" s="463"/>
      <c r="F57" s="464"/>
      <c r="G57" s="464"/>
    </row>
    <row r="58" spans="3:7">
      <c r="C58" s="462"/>
      <c r="D58" s="463"/>
      <c r="E58" s="463"/>
      <c r="F58" s="464"/>
      <c r="G58" s="464"/>
    </row>
    <row r="59" spans="3:7">
      <c r="C59" s="462"/>
      <c r="D59" s="463"/>
      <c r="E59" s="463"/>
      <c r="F59" s="464"/>
      <c r="G59" s="464"/>
    </row>
    <row r="60" spans="3:7">
      <c r="C60" s="462"/>
      <c r="D60" s="463"/>
      <c r="E60" s="463"/>
      <c r="F60" s="464"/>
      <c r="G60" s="464"/>
    </row>
    <row r="61" spans="3:7">
      <c r="C61" s="462"/>
      <c r="D61" s="463"/>
      <c r="E61" s="463"/>
      <c r="F61" s="464"/>
      <c r="G61" s="464"/>
    </row>
    <row r="62" spans="3:7">
      <c r="C62" s="465"/>
      <c r="D62" s="466"/>
      <c r="E62" s="466"/>
      <c r="F62" s="467"/>
      <c r="G62" s="467"/>
    </row>
  </sheetData>
  <mergeCells count="7">
    <mergeCell ref="D3:G3"/>
    <mergeCell ref="C7:C8"/>
    <mergeCell ref="D7:D8"/>
    <mergeCell ref="F7:F8"/>
    <mergeCell ref="C5:G5"/>
    <mergeCell ref="E7:E8"/>
    <mergeCell ref="G7:G8"/>
  </mergeCells>
  <phoneticPr fontId="11" type="noConversion"/>
  <dataValidations count="2">
    <dataValidation operator="greaterThan" allowBlank="1" showInputMessage="1" showErrorMessage="1" error="Enter in number format only" sqref="F7:G7"/>
    <dataValidation type="decimal" allowBlank="1" showInputMessage="1" showErrorMessage="1" sqref="E16:F16 E12:E13 G9:G17 F9:F15 F17">
      <formula1>-9.99999999999999E+22</formula1>
      <formula2>9.99999999999999E+24</formula2>
    </dataValidation>
  </dataValidations>
  <hyperlinks>
    <hyperlink ref="A1" location="Index!A1" display="Index sheet"/>
  </hyperlinks>
  <printOptions horizontalCentered="1"/>
  <pageMargins left="0.51181102362204722" right="0.51181102362204722" top="0.98425196850393704" bottom="0.51181102362204722" header="0.23622047244094491" footer="0.23622047244094491"/>
  <pageSetup paperSize="9" scale="110" orientation="landscape" blackAndWhite="1" r:id="rId1"/>
  <headerFooter alignWithMargins="0"/>
</worksheet>
</file>

<file path=xl/worksheets/sheet27.xml><?xml version="1.0" encoding="utf-8"?>
<worksheet xmlns="http://schemas.openxmlformats.org/spreadsheetml/2006/main" xmlns:r="http://schemas.openxmlformats.org/officeDocument/2006/relationships">
  <sheetPr codeName="Sheet24"/>
  <dimension ref="A1:V183"/>
  <sheetViews>
    <sheetView view="pageBreakPreview" topLeftCell="A153" zoomScale="85" zoomScaleSheetLayoutView="85" workbookViewId="0">
      <selection activeCell="J187" sqref="J187"/>
    </sheetView>
  </sheetViews>
  <sheetFormatPr defaultRowHeight="12.75"/>
  <cols>
    <col min="1" max="1" width="3.140625" style="1511" customWidth="1"/>
    <col min="2" max="2" width="8" style="1511" customWidth="1"/>
    <col min="3" max="3" width="37.140625" style="443" customWidth="1"/>
    <col min="4" max="4" width="5.85546875" style="1511" bestFit="1" customWidth="1"/>
    <col min="5" max="5" width="9.28515625" style="382" customWidth="1"/>
    <col min="6" max="6" width="10.28515625" style="382" customWidth="1"/>
    <col min="7" max="7" width="9" style="382" bestFit="1" customWidth="1"/>
    <col min="8" max="8" width="9.42578125" style="382" customWidth="1"/>
    <col min="9" max="9" width="9.85546875" style="382" customWidth="1"/>
    <col min="10" max="11" width="9" style="382" bestFit="1" customWidth="1"/>
    <col min="12" max="12" width="9.42578125" style="382" customWidth="1"/>
    <col min="13" max="13" width="9" style="382" bestFit="1" customWidth="1"/>
    <col min="14" max="14" width="11.28515625" style="382" bestFit="1" customWidth="1"/>
    <col min="15" max="15" width="11.140625" style="382" bestFit="1" customWidth="1"/>
    <col min="16" max="16" width="9.42578125" style="382" bestFit="1" customWidth="1"/>
    <col min="17" max="17" width="10.28515625" style="382" bestFit="1" customWidth="1"/>
    <col min="18" max="18" width="9" style="382" customWidth="1"/>
    <col min="19" max="19" width="10.140625" style="382" bestFit="1" customWidth="1"/>
    <col min="20" max="20" width="11.7109375" style="382" customWidth="1"/>
    <col min="21" max="21" width="11.7109375" style="382" bestFit="1" customWidth="1"/>
    <col min="22" max="22" width="20.7109375" style="424" hidden="1" customWidth="1"/>
    <col min="23" max="26" width="14.42578125" style="1511" customWidth="1"/>
    <col min="27" max="27" width="9.140625" style="1511"/>
    <col min="28" max="35" width="15.140625" style="1511" customWidth="1"/>
    <col min="36" max="16384" width="9.140625" style="1511"/>
  </cols>
  <sheetData>
    <row r="1" spans="1:22">
      <c r="A1" s="371" t="s">
        <v>396</v>
      </c>
    </row>
    <row r="2" spans="1:22" ht="17.25" hidden="1" customHeight="1">
      <c r="C2" s="1042" t="s">
        <v>394</v>
      </c>
      <c r="D2" s="1882" t="s">
        <v>144</v>
      </c>
      <c r="E2" s="1882"/>
      <c r="F2" s="1882"/>
      <c r="G2" s="1882"/>
    </row>
    <row r="3" spans="1:22" hidden="1"/>
    <row r="4" spans="1:22" ht="19.5" hidden="1" customHeight="1" thickBot="1">
      <c r="C4" s="385" t="s">
        <v>645</v>
      </c>
      <c r="D4" s="1519"/>
      <c r="E4" s="400"/>
      <c r="F4" s="400"/>
      <c r="G4" s="400"/>
      <c r="H4" s="400"/>
      <c r="I4" s="400"/>
      <c r="J4" s="400"/>
      <c r="K4" s="400"/>
      <c r="L4" s="400"/>
      <c r="M4" s="400"/>
      <c r="N4" s="400"/>
      <c r="O4" s="400"/>
      <c r="P4" s="400"/>
      <c r="Q4" s="400"/>
      <c r="R4" s="400"/>
      <c r="S4" s="400"/>
      <c r="T4" s="400"/>
      <c r="U4" s="400"/>
    </row>
    <row r="5" spans="1:22" ht="12.75" hidden="1" customHeight="1">
      <c r="C5" s="1844" t="s">
        <v>92</v>
      </c>
      <c r="D5" s="1839" t="s">
        <v>93</v>
      </c>
      <c r="E5" s="1834" t="s">
        <v>489</v>
      </c>
      <c r="F5" s="1834" t="s">
        <v>145</v>
      </c>
      <c r="G5" s="1834" t="s">
        <v>518</v>
      </c>
      <c r="H5" s="1834"/>
      <c r="I5" s="1834"/>
      <c r="J5" s="1834"/>
      <c r="K5" s="1834"/>
      <c r="L5" s="1834"/>
      <c r="M5" s="1834"/>
      <c r="N5" s="1834"/>
      <c r="O5" s="1834"/>
      <c r="P5" s="1834"/>
      <c r="Q5" s="1834"/>
      <c r="R5" s="1834"/>
      <c r="S5" s="1834"/>
      <c r="T5" s="1834" t="s">
        <v>519</v>
      </c>
      <c r="U5" s="1877" t="s">
        <v>520</v>
      </c>
      <c r="V5" s="1879" t="s">
        <v>365</v>
      </c>
    </row>
    <row r="6" spans="1:22" ht="48" hidden="1" customHeight="1">
      <c r="C6" s="1845"/>
      <c r="D6" s="1710"/>
      <c r="E6" s="1840"/>
      <c r="F6" s="1840"/>
      <c r="G6" s="1515" t="s">
        <v>146</v>
      </c>
      <c r="H6" s="1515" t="s">
        <v>147</v>
      </c>
      <c r="I6" s="1515" t="s">
        <v>148</v>
      </c>
      <c r="J6" s="1515" t="s">
        <v>149</v>
      </c>
      <c r="K6" s="1515" t="s">
        <v>150</v>
      </c>
      <c r="L6" s="1515" t="s">
        <v>151</v>
      </c>
      <c r="M6" s="1515" t="s">
        <v>152</v>
      </c>
      <c r="N6" s="1515" t="s">
        <v>153</v>
      </c>
      <c r="O6" s="1515" t="s">
        <v>154</v>
      </c>
      <c r="P6" s="1515" t="s">
        <v>155</v>
      </c>
      <c r="Q6" s="1515" t="s">
        <v>156</v>
      </c>
      <c r="R6" s="1515" t="s">
        <v>157</v>
      </c>
      <c r="S6" s="1515" t="s">
        <v>98</v>
      </c>
      <c r="T6" s="1840"/>
      <c r="U6" s="1878"/>
      <c r="V6" s="1879"/>
    </row>
    <row r="7" spans="1:22" ht="14.25" hidden="1">
      <c r="C7" s="1600" t="s">
        <v>785</v>
      </c>
      <c r="D7" s="1568"/>
      <c r="E7" s="1568"/>
      <c r="F7" s="1568"/>
      <c r="G7" s="1568"/>
      <c r="H7" s="1568"/>
      <c r="I7" s="1568"/>
      <c r="J7" s="1568"/>
      <c r="K7" s="1568"/>
      <c r="L7" s="1568"/>
      <c r="M7" s="1568"/>
      <c r="N7" s="1568"/>
      <c r="O7" s="1568"/>
      <c r="P7" s="1568"/>
      <c r="Q7" s="1568"/>
      <c r="R7" s="1568"/>
      <c r="S7" s="1580"/>
      <c r="T7" s="1580"/>
      <c r="U7" s="1601"/>
      <c r="V7" s="444"/>
    </row>
    <row r="8" spans="1:22" hidden="1">
      <c r="C8" s="1451" t="s">
        <v>786</v>
      </c>
      <c r="D8" s="1569"/>
      <c r="E8" s="307">
        <f>'[1]Form 4.1'!E7</f>
        <v>71.112191780821917</v>
      </c>
      <c r="F8" s="1569"/>
      <c r="G8" s="1602">
        <f>'[1]Form 4.1'!I7</f>
        <v>718.06512960000009</v>
      </c>
      <c r="H8" s="1602">
        <f>'[1]Form 4.1'!J7</f>
        <v>699.43242096000006</v>
      </c>
      <c r="I8" s="1602">
        <f>'[1]Form 4.1'!K7</f>
        <v>604.96450560000005</v>
      </c>
      <c r="J8" s="1602">
        <f>'[1]Form 4.1'!L7</f>
        <v>564.81791183999997</v>
      </c>
      <c r="K8" s="1602">
        <f>'[1]Form 4.1'!M7</f>
        <v>490.34486592000002</v>
      </c>
      <c r="L8" s="1602">
        <f>'[1]Form 4.1'!N7</f>
        <v>488.80933920000007</v>
      </c>
      <c r="M8" s="1602">
        <f>'[1]Form 4.1'!O7</f>
        <v>430.11809568000001</v>
      </c>
      <c r="N8" s="1602">
        <f>'[1]Form 4.1'!P7</f>
        <v>464.86833120000011</v>
      </c>
      <c r="O8" s="1602">
        <f>'[1]Form 4.1'!Q7</f>
        <v>593.73699840000006</v>
      </c>
      <c r="P8" s="1602">
        <f>'[1]Form 4.1'!R7</f>
        <v>686.55105792000018</v>
      </c>
      <c r="Q8" s="1602">
        <f>'[1]Form 4.1'!S7</f>
        <v>663.64474175999999</v>
      </c>
      <c r="R8" s="1602">
        <f>'[1]Form 4.1'!T7</f>
        <v>737.30874672000004</v>
      </c>
      <c r="S8" s="307">
        <f>SUM(G8:R8)</f>
        <v>7142.6621447999996</v>
      </c>
      <c r="T8" s="379"/>
      <c r="U8" s="436">
        <f>S8-T8</f>
        <v>7142.6621447999996</v>
      </c>
      <c r="V8" s="445"/>
    </row>
    <row r="9" spans="1:22" hidden="1">
      <c r="C9" s="1451" t="s">
        <v>787</v>
      </c>
      <c r="D9" s="1569"/>
      <c r="E9" s="307">
        <f>'[1]Form 4.1'!E8</f>
        <v>82.200054794520554</v>
      </c>
      <c r="F9" s="1569"/>
      <c r="G9" s="1602">
        <f>'[1]Form 4.1'!I8</f>
        <v>322.04429999999996</v>
      </c>
      <c r="H9" s="1602">
        <f>'[1]Form 4.1'!J8</f>
        <v>324.10778999999997</v>
      </c>
      <c r="I9" s="1602">
        <f>'[1]Form 4.1'!K8</f>
        <v>326.50650000000002</v>
      </c>
      <c r="J9" s="1602">
        <f>'[1]Form 4.1'!L8</f>
        <v>167.09495999999999</v>
      </c>
      <c r="K9" s="1602">
        <f>'[1]Form 4.1'!M8</f>
        <v>241.24850999999998</v>
      </c>
      <c r="L9" s="1602">
        <f>'[1]Form 4.1'!N8</f>
        <v>257.9085</v>
      </c>
      <c r="M9" s="1602">
        <f>'[1]Form 4.1'!O8</f>
        <v>282.23081999999999</v>
      </c>
      <c r="N9" s="1602">
        <f>'[1]Form 4.1'!P8</f>
        <v>273.89249999999998</v>
      </c>
      <c r="O9" s="1602">
        <f>'[1]Form 4.1'!Q8</f>
        <v>239.28714000000002</v>
      </c>
      <c r="P9" s="1602">
        <f>'[1]Form 4.1'!R8</f>
        <v>289.59456</v>
      </c>
      <c r="Q9" s="1602">
        <f>'[1]Form 4.1'!S8</f>
        <v>278.01060000000001</v>
      </c>
      <c r="R9" s="1602">
        <f>'[1]Form 4.1'!T8</f>
        <v>328.40904</v>
      </c>
      <c r="S9" s="307">
        <f t="shared" ref="S9:S13" si="0">SUM(G9:R9)</f>
        <v>3330.3352199999999</v>
      </c>
      <c r="T9" s="379"/>
      <c r="U9" s="436">
        <f t="shared" ref="U9:U24" si="1">S9-T9</f>
        <v>3330.3352199999999</v>
      </c>
      <c r="V9" s="445"/>
    </row>
    <row r="10" spans="1:22" hidden="1">
      <c r="C10" s="1451" t="s">
        <v>677</v>
      </c>
      <c r="D10" s="1569"/>
      <c r="E10" s="307">
        <f>'[1]Form 4.1'!E9</f>
        <v>60.883999999999993</v>
      </c>
      <c r="F10" s="1569"/>
      <c r="G10" s="1602">
        <f>'[1]Form 4.1'!I9</f>
        <v>241.22629439999994</v>
      </c>
      <c r="H10" s="1602">
        <f>'[1]Form 4.1'!J9</f>
        <v>201.04025760000005</v>
      </c>
      <c r="I10" s="1602">
        <f>'[1]Form 4.1'!K9</f>
        <v>176.39294399999997</v>
      </c>
      <c r="J10" s="1602">
        <f>'[1]Form 4.1'!L9</f>
        <v>107.82809855999999</v>
      </c>
      <c r="K10" s="1602">
        <f>'[1]Form 4.1'!M9</f>
        <v>152.27306639999998</v>
      </c>
      <c r="L10" s="1602">
        <f>'[1]Form 4.1'!N9</f>
        <v>203.63615999999996</v>
      </c>
      <c r="M10" s="1602">
        <f>'[1]Form 4.1'!O9</f>
        <v>172.71832032</v>
      </c>
      <c r="N10" s="1602">
        <f>'[1]Form 4.1'!P9</f>
        <v>132.8313168</v>
      </c>
      <c r="O10" s="1602">
        <f>'[1]Form 4.1'!Q9</f>
        <v>119.429856</v>
      </c>
      <c r="P10" s="1602">
        <f>'[1]Form 4.1'!R9</f>
        <v>133.05054672</v>
      </c>
      <c r="Q10" s="1602">
        <f>'[1]Form 4.1'!S9</f>
        <v>193.21952831999999</v>
      </c>
      <c r="R10" s="1602">
        <f>'[1]Form 4.1'!T9</f>
        <v>204.79376735999998</v>
      </c>
      <c r="S10" s="307">
        <f t="shared" si="0"/>
        <v>2038.4401564799996</v>
      </c>
      <c r="T10" s="379"/>
      <c r="U10" s="436">
        <f t="shared" si="1"/>
        <v>2038.4401564799996</v>
      </c>
      <c r="V10" s="445"/>
    </row>
    <row r="11" spans="1:22" hidden="1">
      <c r="C11" s="1451" t="s">
        <v>105</v>
      </c>
      <c r="D11" s="1569"/>
      <c r="E11" s="307">
        <f>'[1]Form 4.1'!E10</f>
        <v>82.623753424657536</v>
      </c>
      <c r="F11" s="1569"/>
      <c r="G11" s="1602">
        <f>'[1]Form 4.1'!I10</f>
        <v>203.99389920000002</v>
      </c>
      <c r="H11" s="1602">
        <f>'[1]Form 4.1'!J10</f>
        <v>231.35269248</v>
      </c>
      <c r="I11" s="1602">
        <f>'[1]Form 4.1'!K10</f>
        <v>259.93880639999992</v>
      </c>
      <c r="J11" s="1602">
        <f>'[1]Form 4.1'!L10</f>
        <v>265.61768688000001</v>
      </c>
      <c r="K11" s="1602">
        <f>'[1]Form 4.1'!M10</f>
        <v>235.64648016000001</v>
      </c>
      <c r="L11" s="1602">
        <f>'[1]Form 4.1'!N10</f>
        <v>249.9771456</v>
      </c>
      <c r="M11" s="1602">
        <f>'[1]Form 4.1'!O10</f>
        <v>191.94084000000001</v>
      </c>
      <c r="N11" s="1602">
        <f>'[1]Form 4.1'!P10</f>
        <v>81.124243200000009</v>
      </c>
      <c r="O11" s="1602">
        <f>'[1]Form 4.1'!Q10</f>
        <v>276.93508752000002</v>
      </c>
      <c r="P11" s="1602">
        <f>'[1]Form 4.1'!R10</f>
        <v>271.73135807999995</v>
      </c>
      <c r="Q11" s="1602">
        <f>'[1]Form 4.1'!S10</f>
        <v>227.50745471999997</v>
      </c>
      <c r="R11" s="1602">
        <f>'[1]Form 4.1'!T10</f>
        <v>270.53705952000001</v>
      </c>
      <c r="S11" s="307">
        <f t="shared" si="0"/>
        <v>2766.3027537600001</v>
      </c>
      <c r="T11" s="379"/>
      <c r="U11" s="436">
        <f t="shared" si="1"/>
        <v>2766.3027537600001</v>
      </c>
      <c r="V11" s="445"/>
    </row>
    <row r="12" spans="1:22" hidden="1">
      <c r="C12" s="1451" t="s">
        <v>399</v>
      </c>
      <c r="D12" s="1569"/>
      <c r="E12" s="307">
        <f>'[1]Form 4.1'!E11</f>
        <v>80.875726027397249</v>
      </c>
      <c r="F12" s="1569"/>
      <c r="G12" s="1602">
        <f>'[1]Form 4.1'!I11</f>
        <v>79.528175999999988</v>
      </c>
      <c r="H12" s="1602">
        <f>'[1]Form 4.1'!J11</f>
        <v>116.18818847999999</v>
      </c>
      <c r="I12" s="1602">
        <f>'[1]Form 4.1'!K11</f>
        <v>117.21462480000001</v>
      </c>
      <c r="J12" s="1602">
        <f>'[1]Form 4.1'!L11</f>
        <v>120.70946160000001</v>
      </c>
      <c r="K12" s="1602">
        <f>'[1]Form 4.1'!M11</f>
        <v>119.13128135999999</v>
      </c>
      <c r="L12" s="1602">
        <f>'[1]Form 4.1'!N11</f>
        <v>108.51881040000001</v>
      </c>
      <c r="M12" s="1602">
        <f>'[1]Form 4.1'!O11</f>
        <v>111.80909376000001</v>
      </c>
      <c r="N12" s="1602">
        <f>'[1]Form 4.1'!P11</f>
        <v>106.77139199999998</v>
      </c>
      <c r="O12" s="1602">
        <f>'[1]Form 4.1'!Q11</f>
        <v>121.50566063999999</v>
      </c>
      <c r="P12" s="1602">
        <f>'[1]Form 4.1'!R11</f>
        <v>122.18811695999999</v>
      </c>
      <c r="Q12" s="1602">
        <f>'[1]Form 4.1'!S11</f>
        <v>106.07425919999999</v>
      </c>
      <c r="R12" s="1602">
        <f>'[1]Form 4.1'!T11</f>
        <v>124.24970375999999</v>
      </c>
      <c r="S12" s="307">
        <f t="shared" si="0"/>
        <v>1353.8887689599997</v>
      </c>
      <c r="T12" s="379"/>
      <c r="U12" s="436">
        <f t="shared" si="1"/>
        <v>1353.8887689599997</v>
      </c>
      <c r="V12" s="445"/>
    </row>
    <row r="13" spans="1:22" hidden="1">
      <c r="C13" s="1451" t="s">
        <v>678</v>
      </c>
      <c r="D13" s="1569"/>
      <c r="E13" s="307">
        <f>'[1]Form 4.1'!E12</f>
        <v>60.799698630137001</v>
      </c>
      <c r="F13" s="1569"/>
      <c r="G13" s="1602">
        <f>'[1]Form 4.1'!I12</f>
        <v>296.49391200000002</v>
      </c>
      <c r="H13" s="1602">
        <f>'[1]Form 4.1'!J12</f>
        <v>310.16363039999999</v>
      </c>
      <c r="I13" s="1602">
        <f>'[1]Form 4.1'!K12</f>
        <v>239.36936399999999</v>
      </c>
      <c r="J13" s="1602">
        <f>'[1]Form 4.1'!L12</f>
        <v>297.54167039999999</v>
      </c>
      <c r="K13" s="1602">
        <f>'[1]Form 4.1'!M12</f>
        <v>64.203703199999993</v>
      </c>
      <c r="L13" s="1602">
        <f>'[1]Form 4.1'!N12</f>
        <v>84.241404000000003</v>
      </c>
      <c r="M13" s="1602">
        <f>'[1]Form 4.1'!O12</f>
        <v>264.59835480000004</v>
      </c>
      <c r="N13" s="1602">
        <f>'[1]Form 4.1'!P12</f>
        <v>244.62172799999999</v>
      </c>
      <c r="O13" s="1602">
        <f>'[1]Form 4.1'!Q12</f>
        <v>315.71729280000005</v>
      </c>
      <c r="P13" s="1602">
        <f>'[1]Form 4.1'!R12</f>
        <v>266.61786839999991</v>
      </c>
      <c r="Q13" s="1602">
        <f>'[1]Form 4.1'!S12</f>
        <v>305.57086559999988</v>
      </c>
      <c r="R13" s="1602">
        <f>'[1]Form 4.1'!T12</f>
        <v>322.74351719999993</v>
      </c>
      <c r="S13" s="307">
        <f t="shared" si="0"/>
        <v>3011.8833108000003</v>
      </c>
      <c r="T13" s="379"/>
      <c r="U13" s="436">
        <f t="shared" si="1"/>
        <v>3011.8833108000003</v>
      </c>
      <c r="V13" s="445"/>
    </row>
    <row r="14" spans="1:22" ht="14.25" hidden="1">
      <c r="C14" s="1603" t="s">
        <v>788</v>
      </c>
      <c r="D14" s="1574"/>
      <c r="E14" s="1574"/>
      <c r="F14" s="1574"/>
      <c r="G14" s="1604">
        <f t="shared" ref="G14:U14" si="2">SUM(G8:G13)</f>
        <v>1861.3517112</v>
      </c>
      <c r="H14" s="1604">
        <f t="shared" si="2"/>
        <v>1882.2849799200003</v>
      </c>
      <c r="I14" s="1604">
        <f t="shared" si="2"/>
        <v>1724.3867447999999</v>
      </c>
      <c r="J14" s="1604">
        <f t="shared" si="2"/>
        <v>1523.6097892799999</v>
      </c>
      <c r="K14" s="1604">
        <f t="shared" si="2"/>
        <v>1302.8479070399999</v>
      </c>
      <c r="L14" s="1604">
        <f t="shared" si="2"/>
        <v>1393.0913592000004</v>
      </c>
      <c r="M14" s="1604">
        <f t="shared" si="2"/>
        <v>1453.41552456</v>
      </c>
      <c r="N14" s="1604">
        <f t="shared" si="2"/>
        <v>1304.1095112</v>
      </c>
      <c r="O14" s="1604">
        <f t="shared" si="2"/>
        <v>1666.6120353600002</v>
      </c>
      <c r="P14" s="1604">
        <f t="shared" si="2"/>
        <v>1769.7335080799999</v>
      </c>
      <c r="Q14" s="1604">
        <f t="shared" si="2"/>
        <v>1774.0274496</v>
      </c>
      <c r="R14" s="1604">
        <f t="shared" si="2"/>
        <v>1988.0418345600001</v>
      </c>
      <c r="S14" s="1604">
        <f t="shared" si="2"/>
        <v>19643.512354800001</v>
      </c>
      <c r="T14" s="1604">
        <f t="shared" si="2"/>
        <v>0</v>
      </c>
      <c r="U14" s="1605">
        <f t="shared" si="2"/>
        <v>19643.512354800001</v>
      </c>
      <c r="V14" s="445"/>
    </row>
    <row r="15" spans="1:22" hidden="1">
      <c r="C15" s="1451" t="s">
        <v>789</v>
      </c>
      <c r="D15" s="1569"/>
      <c r="E15" s="307">
        <f>'[1]Form 4.1'!E14</f>
        <v>99.36</v>
      </c>
      <c r="F15" s="1569"/>
      <c r="G15" s="1602">
        <f>'[1]Form 4.1'!I14</f>
        <v>-0.29270000000000002</v>
      </c>
      <c r="H15" s="1602">
        <f>'[1]Form 4.1'!J14</f>
        <v>-0.31180000000000002</v>
      </c>
      <c r="I15" s="1602">
        <f>'[1]Form 4.1'!K14</f>
        <v>-0.29665000000000002</v>
      </c>
      <c r="J15" s="1602">
        <f>'[1]Form 4.1'!L14</f>
        <v>127.7188</v>
      </c>
      <c r="K15" s="1602">
        <f>'[1]Form 4.1'!M14</f>
        <v>447.42984999999999</v>
      </c>
      <c r="L15" s="1602">
        <f>'[1]Form 4.1'!N14</f>
        <v>428.00130000000001</v>
      </c>
      <c r="M15" s="1602">
        <f>'[1]Form 4.1'!O14</f>
        <v>442.66135000000003</v>
      </c>
      <c r="N15" s="1602">
        <f>'[1]Form 4.1'!P14</f>
        <v>225.0104</v>
      </c>
      <c r="O15" s="1602">
        <f>'[1]Form 4.1'!Q14</f>
        <v>70.032049999999998</v>
      </c>
      <c r="P15" s="1602">
        <f>'[1]Form 4.1'!R14</f>
        <v>54.32855</v>
      </c>
      <c r="Q15" s="1602">
        <f>'[1]Form 4.1'!S14</f>
        <v>28.740600000000001</v>
      </c>
      <c r="R15" s="1602">
        <f>'[1]Form 4.1'!T14</f>
        <v>20.601099999999999</v>
      </c>
      <c r="S15" s="307">
        <f t="shared" ref="S15:S57" si="3">SUM(G15:R15)</f>
        <v>1843.62285</v>
      </c>
      <c r="T15" s="379"/>
      <c r="U15" s="436">
        <f t="shared" si="1"/>
        <v>1843.62285</v>
      </c>
      <c r="V15" s="445"/>
    </row>
    <row r="16" spans="1:22" hidden="1">
      <c r="C16" s="1451" t="s">
        <v>782</v>
      </c>
      <c r="D16" s="1569"/>
      <c r="E16" s="307">
        <f>'[1]Form 4.1'!E15</f>
        <v>100</v>
      </c>
      <c r="F16" s="1569"/>
      <c r="G16" s="1602">
        <f>'[1]Form 4.1'!I15</f>
        <v>7.1464499999999997</v>
      </c>
      <c r="H16" s="1602">
        <f>'[1]Form 4.1'!J15</f>
        <v>1.0957429999999999</v>
      </c>
      <c r="I16" s="1602">
        <f>'[1]Form 4.1'!K15</f>
        <v>3.4304869999999998</v>
      </c>
      <c r="J16" s="1602">
        <f>'[1]Form 4.1'!L15</f>
        <v>2.2886890000000002</v>
      </c>
      <c r="K16" s="1602">
        <f>'[1]Form 4.1'!M15</f>
        <v>30.458599</v>
      </c>
      <c r="L16" s="1602">
        <f>'[1]Form 4.1'!N15</f>
        <v>44.754998000000001</v>
      </c>
      <c r="M16" s="1602">
        <f>'[1]Form 4.1'!O15</f>
        <v>41.845174</v>
      </c>
      <c r="N16" s="1602">
        <f>'[1]Form 4.1'!P15</f>
        <v>44.178418999999998</v>
      </c>
      <c r="O16" s="1602">
        <f>'[1]Form 4.1'!Q15</f>
        <v>39.003574</v>
      </c>
      <c r="P16" s="1602">
        <f>'[1]Form 4.1'!R15</f>
        <v>39.400967000000001</v>
      </c>
      <c r="Q16" s="1602">
        <f>'[1]Form 4.1'!S15</f>
        <v>26.614388000000002</v>
      </c>
      <c r="R16" s="1602">
        <f>'[1]Form 4.1'!T15</f>
        <v>14.817745</v>
      </c>
      <c r="S16" s="307">
        <f t="shared" si="3"/>
        <v>295.03523300000001</v>
      </c>
      <c r="T16" s="379"/>
      <c r="U16" s="436">
        <f t="shared" si="1"/>
        <v>295.03523300000001</v>
      </c>
      <c r="V16" s="445"/>
    </row>
    <row r="17" spans="3:22" hidden="1">
      <c r="C17" s="1451" t="s">
        <v>790</v>
      </c>
      <c r="D17" s="1569"/>
      <c r="E17" s="307">
        <f>'[1]Form 4.1'!E16</f>
        <v>92.86</v>
      </c>
      <c r="F17" s="1569"/>
      <c r="G17" s="1602">
        <f>'[1]Form 4.1'!I16</f>
        <v>1.5546</v>
      </c>
      <c r="H17" s="1602">
        <f>'[1]Form 4.1'!J16</f>
        <v>0.65300000000000002</v>
      </c>
      <c r="I17" s="1602">
        <f>'[1]Form 4.1'!K16</f>
        <v>1.2186999999999999</v>
      </c>
      <c r="J17" s="1602">
        <f>'[1]Form 4.1'!L16</f>
        <v>0.54830000000000001</v>
      </c>
      <c r="K17" s="1602">
        <f>'[1]Form 4.1'!M16</f>
        <v>6.1588000000000003</v>
      </c>
      <c r="L17" s="1602">
        <f>'[1]Form 4.1'!N16</f>
        <v>11.3385</v>
      </c>
      <c r="M17" s="1602">
        <f>'[1]Form 4.1'!O16</f>
        <v>17.623899999999999</v>
      </c>
      <c r="N17" s="1602">
        <f>'[1]Form 4.1'!P16</f>
        <v>27.364100000000001</v>
      </c>
      <c r="O17" s="1602">
        <f>'[1]Form 4.1'!Q16</f>
        <v>16.598700000000001</v>
      </c>
      <c r="P17" s="1602">
        <f>'[1]Form 4.1'!R16</f>
        <v>4.2443999999999997</v>
      </c>
      <c r="Q17" s="1602">
        <f>'[1]Form 4.1'!S16</f>
        <v>6.5098000000000003</v>
      </c>
      <c r="R17" s="1602">
        <f>'[1]Form 4.1'!T16</f>
        <v>1.4325000000000001</v>
      </c>
      <c r="S17" s="307">
        <f t="shared" si="3"/>
        <v>95.245300000000015</v>
      </c>
      <c r="T17" s="379"/>
      <c r="U17" s="436">
        <f t="shared" si="1"/>
        <v>95.245300000000015</v>
      </c>
      <c r="V17" s="445"/>
    </row>
    <row r="18" spans="3:22" hidden="1">
      <c r="C18" s="1451" t="s">
        <v>791</v>
      </c>
      <c r="D18" s="1569"/>
      <c r="E18" s="307">
        <f>'[1]Form 4.1'!E17</f>
        <v>99.54</v>
      </c>
      <c r="F18" s="1569"/>
      <c r="G18" s="1602">
        <f>'[1]Form 4.1'!I17</f>
        <v>59.134827000000001</v>
      </c>
      <c r="H18" s="1602">
        <f>'[1]Form 4.1'!J17</f>
        <v>20.114695000000001</v>
      </c>
      <c r="I18" s="1602">
        <f>'[1]Form 4.1'!K17</f>
        <v>20.619496999999999</v>
      </c>
      <c r="J18" s="1602">
        <f>'[1]Form 4.1'!L17</f>
        <v>16.352865000000001</v>
      </c>
      <c r="K18" s="1602">
        <f>'[1]Form 4.1'!M17</f>
        <v>15.842498000000001</v>
      </c>
      <c r="L18" s="1602">
        <f>'[1]Form 4.1'!N17</f>
        <v>25.758226000000001</v>
      </c>
      <c r="M18" s="1602">
        <f>'[1]Form 4.1'!O17</f>
        <v>8.7234719999999992</v>
      </c>
      <c r="N18" s="1602">
        <f>'[1]Form 4.1'!P17</f>
        <v>35.846103999999997</v>
      </c>
      <c r="O18" s="1602">
        <f>'[1]Form 4.1'!Q17</f>
        <v>42.373413999999997</v>
      </c>
      <c r="P18" s="1602">
        <f>'[1]Form 4.1'!R17</f>
        <v>35.577514000000001</v>
      </c>
      <c r="Q18" s="1602">
        <f>'[1]Form 4.1'!S17</f>
        <v>42.100746000000001</v>
      </c>
      <c r="R18" s="1602">
        <f>'[1]Form 4.1'!T17</f>
        <v>58.786386999999998</v>
      </c>
      <c r="S18" s="307">
        <f t="shared" si="3"/>
        <v>381.23024499999997</v>
      </c>
      <c r="T18" s="379"/>
      <c r="U18" s="436">
        <f t="shared" si="1"/>
        <v>381.23024499999997</v>
      </c>
      <c r="V18" s="445"/>
    </row>
    <row r="19" spans="3:22" hidden="1">
      <c r="C19" s="1451" t="s">
        <v>792</v>
      </c>
      <c r="D19" s="1569"/>
      <c r="E19" s="307">
        <f>'[1]Form 4.1'!E18</f>
        <v>99.92</v>
      </c>
      <c r="F19" s="1569"/>
      <c r="G19" s="1602">
        <f>'[1]Form 4.1'!I18</f>
        <v>100.35743100000001</v>
      </c>
      <c r="H19" s="1602">
        <f>'[1]Form 4.1'!J18</f>
        <v>93.035003000000003</v>
      </c>
      <c r="I19" s="1602">
        <f>'[1]Form 4.1'!K18</f>
        <v>40.639629999999997</v>
      </c>
      <c r="J19" s="1602">
        <f>'[1]Form 4.1'!L18</f>
        <v>113.846447</v>
      </c>
      <c r="K19" s="1602">
        <f>'[1]Form 4.1'!M18</f>
        <v>106.83748799999999</v>
      </c>
      <c r="L19" s="1602">
        <f>'[1]Form 4.1'!N18</f>
        <v>94.870194999999995</v>
      </c>
      <c r="M19" s="1602">
        <f>'[1]Form 4.1'!O18</f>
        <v>108.323193</v>
      </c>
      <c r="N19" s="1602">
        <f>'[1]Form 4.1'!P18</f>
        <v>83.964044999999999</v>
      </c>
      <c r="O19" s="1602">
        <f>'[1]Form 4.1'!Q18</f>
        <v>38.704192999999997</v>
      </c>
      <c r="P19" s="1602">
        <f>'[1]Form 4.1'!R18</f>
        <v>77.010707999999994</v>
      </c>
      <c r="Q19" s="1602">
        <f>'[1]Form 4.1'!S18</f>
        <v>99.158874999999995</v>
      </c>
      <c r="R19" s="1602">
        <f>'[1]Form 4.1'!T18</f>
        <v>101.448814</v>
      </c>
      <c r="S19" s="307">
        <f t="shared" si="3"/>
        <v>1058.1960219999999</v>
      </c>
      <c r="T19" s="379"/>
      <c r="U19" s="436">
        <f t="shared" si="1"/>
        <v>1058.1960219999999</v>
      </c>
      <c r="V19" s="445"/>
    </row>
    <row r="20" spans="3:22" hidden="1">
      <c r="C20" s="1451" t="s">
        <v>793</v>
      </c>
      <c r="D20" s="1569"/>
      <c r="E20" s="307">
        <f>'[1]Form 4.1'!E19</f>
        <v>99.54</v>
      </c>
      <c r="F20" s="1569"/>
      <c r="G20" s="1602">
        <f>'[1]Form 4.1'!I19</f>
        <v>6.6202500000000004</v>
      </c>
      <c r="H20" s="1602">
        <f>'[1]Form 4.1'!J19</f>
        <v>10.40025</v>
      </c>
      <c r="I20" s="1602">
        <f>'[1]Form 4.1'!K19</f>
        <v>5.0425000000000004</v>
      </c>
      <c r="J20" s="1602">
        <f>'[1]Form 4.1'!L19</f>
        <v>10.560333999999999</v>
      </c>
      <c r="K20" s="1602">
        <f>'[1]Form 4.1'!M19</f>
        <v>9.6213719999999991</v>
      </c>
      <c r="L20" s="1602">
        <f>'[1]Form 4.1'!N19</f>
        <v>8.5240729999999996</v>
      </c>
      <c r="M20" s="1602">
        <f>'[1]Form 4.1'!O19</f>
        <v>9.6072290000000002</v>
      </c>
      <c r="N20" s="1602">
        <f>'[1]Form 4.1'!P19</f>
        <v>6.5332160000000004</v>
      </c>
      <c r="O20" s="1602">
        <f>'[1]Form 4.1'!Q19</f>
        <v>2.7655180000000001</v>
      </c>
      <c r="P20" s="1602">
        <f>'[1]Form 4.1'!R19</f>
        <v>9.7106820000000003</v>
      </c>
      <c r="Q20" s="1602">
        <f>'[1]Form 4.1'!S19</f>
        <v>10.460903</v>
      </c>
      <c r="R20" s="1602">
        <f>'[1]Form 4.1'!T19</f>
        <v>7.2284139999999999</v>
      </c>
      <c r="S20" s="307">
        <f t="shared" si="3"/>
        <v>97.074741000000003</v>
      </c>
      <c r="T20" s="379"/>
      <c r="U20" s="436">
        <f t="shared" si="1"/>
        <v>97.074741000000003</v>
      </c>
      <c r="V20" s="445"/>
    </row>
    <row r="21" spans="3:22" hidden="1">
      <c r="C21" s="1451" t="s">
        <v>783</v>
      </c>
      <c r="D21" s="1569"/>
      <c r="E21" s="307">
        <f>'[1]Form 4.1'!E20</f>
        <v>100</v>
      </c>
      <c r="F21" s="1569"/>
      <c r="G21" s="1602">
        <f>'[1]Form 4.1'!I20</f>
        <v>-2.8343E-2</v>
      </c>
      <c r="H21" s="1602">
        <f>'[1]Form 4.1'!J20</f>
        <v>-3.0506999999999999E-2</v>
      </c>
      <c r="I21" s="1602">
        <f>'[1]Form 4.1'!K20</f>
        <v>-2.1107000000000001E-2</v>
      </c>
      <c r="J21" s="1602">
        <f>'[1]Form 4.1'!L20</f>
        <v>-2.9638000000000001E-2</v>
      </c>
      <c r="K21" s="1602">
        <f>'[1]Form 4.1'!M20</f>
        <v>0.98047700000000004</v>
      </c>
      <c r="L21" s="1602">
        <f>'[1]Form 4.1'!N20</f>
        <v>3.5966849999999999</v>
      </c>
      <c r="M21" s="1602">
        <f>'[1]Form 4.1'!O20</f>
        <v>4.2029439999999996</v>
      </c>
      <c r="N21" s="1602">
        <f>'[1]Form 4.1'!P20</f>
        <v>2.5330910000000002</v>
      </c>
      <c r="O21" s="1602">
        <f>'[1]Form 4.1'!Q20</f>
        <v>1.5852040000000001</v>
      </c>
      <c r="P21" s="1602">
        <f>'[1]Form 4.1'!R20</f>
        <v>0.70328000000000002</v>
      </c>
      <c r="Q21" s="1602">
        <f>'[1]Form 4.1'!S20</f>
        <v>-1.1428000000000001E-2</v>
      </c>
      <c r="R21" s="1602">
        <f>'[1]Form 4.1'!T20</f>
        <v>-1.1681E-2</v>
      </c>
      <c r="S21" s="307">
        <f t="shared" si="3"/>
        <v>13.468977000000001</v>
      </c>
      <c r="T21" s="379"/>
      <c r="U21" s="436">
        <f t="shared" si="1"/>
        <v>13.468977000000001</v>
      </c>
      <c r="V21" s="445"/>
    </row>
    <row r="22" spans="3:22" hidden="1">
      <c r="C22" s="1451" t="s">
        <v>794</v>
      </c>
      <c r="D22" s="1569"/>
      <c r="E22" s="307">
        <f>'[1]Form 4.1'!E21</f>
        <v>100</v>
      </c>
      <c r="F22" s="1569"/>
      <c r="G22" s="1602">
        <f>'[1]Form 4.1'!I21</f>
        <v>0.29915000000000003</v>
      </c>
      <c r="H22" s="1602">
        <f>'[1]Form 4.1'!J21</f>
        <v>-3.4499999999999999E-3</v>
      </c>
      <c r="I22" s="1602">
        <f>'[1]Form 4.1'!K21</f>
        <v>0.13625000000000001</v>
      </c>
      <c r="J22" s="1602">
        <f>'[1]Form 4.1'!L21</f>
        <v>0.24015</v>
      </c>
      <c r="K22" s="1602">
        <f>'[1]Form 4.1'!M21</f>
        <v>0.13289999999999999</v>
      </c>
      <c r="L22" s="1602">
        <f>'[1]Form 4.1'!N21</f>
        <v>0.18725</v>
      </c>
      <c r="M22" s="1602">
        <f>'[1]Form 4.1'!O21</f>
        <v>0.15765000000000001</v>
      </c>
      <c r="N22" s="1602">
        <f>'[1]Form 4.1'!P21</f>
        <v>0.28489999999999999</v>
      </c>
      <c r="O22" s="1602">
        <f>'[1]Form 4.1'!Q21</f>
        <v>0.37945000000000001</v>
      </c>
      <c r="P22" s="1602">
        <f>'[1]Form 4.1'!R21</f>
        <v>0.38190000000000002</v>
      </c>
      <c r="Q22" s="1602">
        <f>'[1]Form 4.1'!S21</f>
        <v>0.29054999999999997</v>
      </c>
      <c r="R22" s="1602">
        <f>'[1]Form 4.1'!T21</f>
        <v>0.38485000000000003</v>
      </c>
      <c r="S22" s="307">
        <f t="shared" si="3"/>
        <v>2.8715500000000005</v>
      </c>
      <c r="T22" s="379"/>
      <c r="U22" s="436">
        <f t="shared" si="1"/>
        <v>2.8715500000000005</v>
      </c>
      <c r="V22" s="446">
        <f t="shared" ref="V22" si="4">SUM(V8:V21)</f>
        <v>0</v>
      </c>
    </row>
    <row r="23" spans="3:22" hidden="1">
      <c r="C23" s="1451" t="s">
        <v>795</v>
      </c>
      <c r="D23" s="1569"/>
      <c r="E23" s="307">
        <f>'[1]Form 4.1'!E22</f>
        <v>100</v>
      </c>
      <c r="F23" s="1569"/>
      <c r="G23" s="1602">
        <f>'[1]Form 4.1'!I22</f>
        <v>23.9331</v>
      </c>
      <c r="H23" s="1602">
        <f>'[1]Form 4.1'!J22</f>
        <v>19.504799999999999</v>
      </c>
      <c r="I23" s="1602">
        <f>'[1]Form 4.1'!K22</f>
        <v>22.334399999999999</v>
      </c>
      <c r="J23" s="1602">
        <f>'[1]Form 4.1'!L22</f>
        <v>26.293800000000001</v>
      </c>
      <c r="K23" s="1602">
        <f>'[1]Form 4.1'!M22</f>
        <v>19.627199999999998</v>
      </c>
      <c r="L23" s="1602">
        <f>'[1]Form 4.1'!N22</f>
        <v>19.05</v>
      </c>
      <c r="M23" s="1602">
        <f>'[1]Form 4.1'!O22</f>
        <v>25.461600000000001</v>
      </c>
      <c r="N23" s="1602">
        <f>'[1]Form 4.1'!P22</f>
        <v>22.778400000000001</v>
      </c>
      <c r="O23" s="1602">
        <f>'[1]Form 4.1'!Q22</f>
        <v>25.4316</v>
      </c>
      <c r="P23" s="1602">
        <f>'[1]Form 4.1'!R22</f>
        <v>20.358599999999999</v>
      </c>
      <c r="Q23" s="1602">
        <f>'[1]Form 4.1'!S22</f>
        <v>17.496600000000001</v>
      </c>
      <c r="R23" s="1602">
        <f>'[1]Form 4.1'!T22</f>
        <v>22.875</v>
      </c>
      <c r="S23" s="307">
        <f t="shared" si="3"/>
        <v>265.14510000000001</v>
      </c>
      <c r="T23" s="379"/>
      <c r="U23" s="436">
        <f t="shared" si="1"/>
        <v>265.14510000000001</v>
      </c>
      <c r="V23" s="444"/>
    </row>
    <row r="24" spans="3:22" hidden="1">
      <c r="C24" s="1451" t="s">
        <v>796</v>
      </c>
      <c r="D24" s="1569"/>
      <c r="E24" s="307">
        <f>'[1]Form 4.1'!E23</f>
        <v>100</v>
      </c>
      <c r="F24" s="1569"/>
      <c r="G24" s="1602">
        <f>'[1]Form 4.1'!I23</f>
        <v>6.51</v>
      </c>
      <c r="H24" s="1602">
        <f>'[1]Form 4.1'!J23</f>
        <v>-0.40079999999999999</v>
      </c>
      <c r="I24" s="1602">
        <f>'[1]Form 4.1'!K23</f>
        <v>-7.8E-2</v>
      </c>
      <c r="J24" s="1602">
        <f>'[1]Form 4.1'!L23</f>
        <v>14.263999999999999</v>
      </c>
      <c r="K24" s="1602">
        <f>'[1]Form 4.1'!M23</f>
        <v>31.364000000000001</v>
      </c>
      <c r="L24" s="1602">
        <f>'[1]Form 4.1'!N23</f>
        <v>21.846</v>
      </c>
      <c r="M24" s="1602">
        <f>'[1]Form 4.1'!O23</f>
        <v>18.530999999999999</v>
      </c>
      <c r="N24" s="1602">
        <f>'[1]Form 4.1'!P23</f>
        <v>15.704000000000001</v>
      </c>
      <c r="O24" s="1602">
        <f>'[1]Form 4.1'!Q23</f>
        <v>10.7859</v>
      </c>
      <c r="P24" s="1602">
        <f>'[1]Form 4.1'!R23</f>
        <v>19.1754</v>
      </c>
      <c r="Q24" s="1602">
        <f>'[1]Form 4.1'!S23</f>
        <v>16.974399999999999</v>
      </c>
      <c r="R24" s="1602">
        <f>'[1]Form 4.1'!T23</f>
        <v>19.141999999999999</v>
      </c>
      <c r="S24" s="307">
        <f t="shared" si="3"/>
        <v>173.81790000000001</v>
      </c>
      <c r="T24" s="379"/>
      <c r="U24" s="436">
        <f t="shared" si="1"/>
        <v>173.81790000000001</v>
      </c>
      <c r="V24" s="445"/>
    </row>
    <row r="25" spans="3:22" ht="14.25" hidden="1">
      <c r="C25" s="1603" t="s">
        <v>797</v>
      </c>
      <c r="D25" s="1574"/>
      <c r="E25" s="1574"/>
      <c r="F25" s="1574"/>
      <c r="G25" s="1606">
        <f t="shared" ref="G25:V25" si="5">SUM(G15:G24)</f>
        <v>205.23476499999998</v>
      </c>
      <c r="H25" s="1606">
        <f t="shared" si="5"/>
        <v>144.05693399999998</v>
      </c>
      <c r="I25" s="1606">
        <f t="shared" si="5"/>
        <v>93.025706999999997</v>
      </c>
      <c r="J25" s="1606">
        <f t="shared" si="5"/>
        <v>312.08374700000007</v>
      </c>
      <c r="K25" s="1606">
        <f t="shared" si="5"/>
        <v>668.45318399999985</v>
      </c>
      <c r="L25" s="1606">
        <f t="shared" si="5"/>
        <v>657.9272269999999</v>
      </c>
      <c r="M25" s="1606">
        <f t="shared" si="5"/>
        <v>677.1375119999999</v>
      </c>
      <c r="N25" s="1606">
        <f t="shared" si="5"/>
        <v>464.19667500000003</v>
      </c>
      <c r="O25" s="1606">
        <f t="shared" si="5"/>
        <v>247.65960299999998</v>
      </c>
      <c r="P25" s="1606">
        <f t="shared" si="5"/>
        <v>260.89200099999999</v>
      </c>
      <c r="Q25" s="1606">
        <f t="shared" si="5"/>
        <v>248.33543400000002</v>
      </c>
      <c r="R25" s="1606">
        <f t="shared" si="5"/>
        <v>246.70512899999997</v>
      </c>
      <c r="S25" s="1606">
        <f t="shared" si="5"/>
        <v>4225.7079180000001</v>
      </c>
      <c r="T25" s="1606">
        <f t="shared" si="5"/>
        <v>0</v>
      </c>
      <c r="U25" s="1607">
        <f t="shared" si="5"/>
        <v>4225.7079180000001</v>
      </c>
      <c r="V25" s="1604">
        <f t="shared" si="5"/>
        <v>0</v>
      </c>
    </row>
    <row r="26" spans="3:22" ht="14.25" hidden="1">
      <c r="C26" s="1603" t="s">
        <v>798</v>
      </c>
      <c r="D26" s="1574"/>
      <c r="E26" s="1574"/>
      <c r="F26" s="1574"/>
      <c r="G26" s="1606">
        <f t="shared" ref="G26:V26" si="6">G25+G14</f>
        <v>2066.5864762000001</v>
      </c>
      <c r="H26" s="1606">
        <f t="shared" si="6"/>
        <v>2026.3419139200003</v>
      </c>
      <c r="I26" s="1606">
        <f t="shared" si="6"/>
        <v>1817.4124517999999</v>
      </c>
      <c r="J26" s="1606">
        <f t="shared" si="6"/>
        <v>1835.69353628</v>
      </c>
      <c r="K26" s="1606">
        <f t="shared" si="6"/>
        <v>1971.3010910399998</v>
      </c>
      <c r="L26" s="1606">
        <f t="shared" si="6"/>
        <v>2051.0185862000003</v>
      </c>
      <c r="M26" s="1606">
        <f t="shared" si="6"/>
        <v>2130.5530365599998</v>
      </c>
      <c r="N26" s="1606">
        <f t="shared" si="6"/>
        <v>1768.3061862</v>
      </c>
      <c r="O26" s="1606">
        <f t="shared" si="6"/>
        <v>1914.2716383600002</v>
      </c>
      <c r="P26" s="1606">
        <f t="shared" si="6"/>
        <v>2030.6255090799998</v>
      </c>
      <c r="Q26" s="1606">
        <f t="shared" si="6"/>
        <v>2022.3628836</v>
      </c>
      <c r="R26" s="1606">
        <f t="shared" si="6"/>
        <v>2234.74696356</v>
      </c>
      <c r="S26" s="1606">
        <f t="shared" si="6"/>
        <v>23869.220272800001</v>
      </c>
      <c r="T26" s="1606">
        <f t="shared" si="6"/>
        <v>0</v>
      </c>
      <c r="U26" s="1607">
        <f t="shared" si="6"/>
        <v>23869.220272800001</v>
      </c>
      <c r="V26" s="1604">
        <f t="shared" si="6"/>
        <v>0</v>
      </c>
    </row>
    <row r="27" spans="3:22" hidden="1">
      <c r="C27" s="1451" t="s">
        <v>801</v>
      </c>
      <c r="D27" s="1569"/>
      <c r="E27" s="307">
        <f>'[1]Form 4.1'!E26</f>
        <v>41.815780821917819</v>
      </c>
      <c r="F27" s="1569"/>
      <c r="G27" s="1602">
        <f>'[1]Form 4.1'!I26</f>
        <v>515.4019199999999</v>
      </c>
      <c r="H27" s="1602">
        <f>'[1]Form 4.1'!J26</f>
        <v>458.56588800000009</v>
      </c>
      <c r="I27" s="1602">
        <f>'[1]Form 4.1'!K26</f>
        <v>276.38899200000003</v>
      </c>
      <c r="J27" s="1602">
        <f>'[1]Form 4.1'!L26</f>
        <v>488.61753599999997</v>
      </c>
      <c r="K27" s="1602">
        <f>'[1]Form 4.1'!M26</f>
        <v>571.20391680000012</v>
      </c>
      <c r="L27" s="1602">
        <f>'[1]Form 4.1'!N26</f>
        <v>554.50137599999994</v>
      </c>
      <c r="M27" s="1602">
        <f>'[1]Form 4.1'!O26</f>
        <v>349.93474560000004</v>
      </c>
      <c r="N27" s="1602">
        <f>'[1]Form 4.1'!P26</f>
        <v>414.79891200000003</v>
      </c>
      <c r="O27" s="1602">
        <f>'[1]Form 4.1'!Q26</f>
        <v>475.14994559999997</v>
      </c>
      <c r="P27" s="1602">
        <f>'[1]Form 4.1'!R26</f>
        <v>408.92501760000005</v>
      </c>
      <c r="Q27" s="1602">
        <f>'[1]Form 4.1'!S26</f>
        <v>459.02545920000006</v>
      </c>
      <c r="R27" s="1602">
        <f>'[1]Form 4.1'!T26</f>
        <v>507.42764160000002</v>
      </c>
      <c r="S27" s="307">
        <f t="shared" si="3"/>
        <v>5479.9413504000013</v>
      </c>
      <c r="T27" s="379"/>
      <c r="U27" s="436">
        <f t="shared" ref="U27:U29" si="7">S27-T27</f>
        <v>5479.9413504000013</v>
      </c>
      <c r="V27" s="445"/>
    </row>
    <row r="28" spans="3:22" hidden="1">
      <c r="C28" s="1451" t="s">
        <v>964</v>
      </c>
      <c r="D28" s="1569"/>
      <c r="E28" s="307">
        <f>'[1]Form 4.1'!E27</f>
        <v>30.421087533156498</v>
      </c>
      <c r="F28" s="1569"/>
      <c r="G28" s="1602">
        <f>'[1]Form 4.1'!I27</f>
        <v>0</v>
      </c>
      <c r="H28" s="1602">
        <f>'[1]Form 4.1'!J27</f>
        <v>0</v>
      </c>
      <c r="I28" s="1602">
        <f>'[1]Form 4.1'!K27</f>
        <v>0</v>
      </c>
      <c r="J28" s="1602">
        <f>'[1]Form 4.1'!L27</f>
        <v>0</v>
      </c>
      <c r="K28" s="1602">
        <f>'[1]Form 4.1'!M27</f>
        <v>0</v>
      </c>
      <c r="L28" s="1602">
        <f>'[1]Form 4.1'!N27</f>
        <v>0</v>
      </c>
      <c r="M28" s="1602">
        <f>'[1]Form 4.1'!O27</f>
        <v>0</v>
      </c>
      <c r="N28" s="1602">
        <f>'[1]Form 4.1'!P27</f>
        <v>0</v>
      </c>
      <c r="O28" s="1602">
        <f>'[1]Form 4.1'!Q27</f>
        <v>0</v>
      </c>
      <c r="P28" s="1602">
        <f>'[1]Form 4.1'!R27</f>
        <v>0</v>
      </c>
      <c r="Q28" s="1602">
        <f>'[1]Form 4.1'!S27</f>
        <v>0</v>
      </c>
      <c r="R28" s="1602">
        <f>'[1]Form 4.1'!T27</f>
        <v>121.11</v>
      </c>
      <c r="S28" s="307">
        <f t="shared" si="3"/>
        <v>121.11</v>
      </c>
      <c r="T28" s="379"/>
      <c r="U28" s="436">
        <f t="shared" si="7"/>
        <v>121.11</v>
      </c>
      <c r="V28" s="445"/>
    </row>
    <row r="29" spans="3:22" hidden="1">
      <c r="C29" s="1451" t="s">
        <v>648</v>
      </c>
      <c r="D29" s="1569"/>
      <c r="E29" s="307">
        <f>'[1]Form 4.1'!E28</f>
        <v>12.624064604808089</v>
      </c>
      <c r="F29" s="1569"/>
      <c r="G29" s="1602">
        <f>'[1]Form 4.1'!I28</f>
        <v>43.918939000000002</v>
      </c>
      <c r="H29" s="1602">
        <f>'[1]Form 4.1'!J28</f>
        <v>42.790317000000002</v>
      </c>
      <c r="I29" s="1602">
        <f>'[1]Form 4.1'!K28</f>
        <v>41.037880999999999</v>
      </c>
      <c r="J29" s="1602">
        <f>'[1]Form 4.1'!L28</f>
        <v>28.036704000000004</v>
      </c>
      <c r="K29" s="1602">
        <f>'[1]Form 4.1'!M28</f>
        <v>31.579059000000001</v>
      </c>
      <c r="L29" s="1602">
        <f>'[1]Form 4.1'!N28</f>
        <v>37.222841000000003</v>
      </c>
      <c r="M29" s="1602">
        <f>'[1]Form 4.1'!O28</f>
        <v>6.2039439999999999</v>
      </c>
      <c r="N29" s="1602">
        <f>'[1]Form 4.1'!P28</f>
        <v>-0.38803899999999997</v>
      </c>
      <c r="O29" s="1602">
        <f>'[1]Form 4.1'!Q28</f>
        <v>-0.51196399999999997</v>
      </c>
      <c r="P29" s="1602">
        <f>'[1]Form 4.1'!R28</f>
        <v>-0.55162100000000003</v>
      </c>
      <c r="Q29" s="1602">
        <f>'[1]Form 4.1'!S28</f>
        <v>-0.65959883559999999</v>
      </c>
      <c r="R29" s="1602">
        <f>'[1]Form 4.1'!T28</f>
        <v>-0.67286199999999996</v>
      </c>
      <c r="S29" s="307">
        <f t="shared" si="3"/>
        <v>228.00560016440002</v>
      </c>
      <c r="T29" s="379"/>
      <c r="U29" s="436">
        <f t="shared" si="7"/>
        <v>228.00560016440002</v>
      </c>
      <c r="V29" s="445"/>
    </row>
    <row r="30" spans="3:22" ht="14.25" hidden="1">
      <c r="C30" s="1603" t="s">
        <v>802</v>
      </c>
      <c r="D30" s="1574"/>
      <c r="E30" s="1574"/>
      <c r="F30" s="1574"/>
      <c r="G30" s="1606">
        <f>SUM(G27:G29)</f>
        <v>559.32085899999993</v>
      </c>
      <c r="H30" s="1606">
        <f t="shared" ref="H30:U30" si="8">SUM(H27:H29)</f>
        <v>501.3562050000001</v>
      </c>
      <c r="I30" s="1606">
        <f t="shared" si="8"/>
        <v>317.426873</v>
      </c>
      <c r="J30" s="1606">
        <f t="shared" si="8"/>
        <v>516.65423999999996</v>
      </c>
      <c r="K30" s="1606">
        <f t="shared" si="8"/>
        <v>602.78297580000014</v>
      </c>
      <c r="L30" s="1606">
        <f t="shared" si="8"/>
        <v>591.72421699999995</v>
      </c>
      <c r="M30" s="1606">
        <f t="shared" si="8"/>
        <v>356.13868960000002</v>
      </c>
      <c r="N30" s="1606">
        <f t="shared" si="8"/>
        <v>414.41087300000004</v>
      </c>
      <c r="O30" s="1606">
        <f t="shared" si="8"/>
        <v>474.63798159999999</v>
      </c>
      <c r="P30" s="1606">
        <f t="shared" si="8"/>
        <v>408.37339660000004</v>
      </c>
      <c r="Q30" s="1606">
        <f t="shared" si="8"/>
        <v>458.36586036440008</v>
      </c>
      <c r="R30" s="1606">
        <f t="shared" si="8"/>
        <v>627.86477960000002</v>
      </c>
      <c r="S30" s="1606">
        <f t="shared" si="8"/>
        <v>5829.0569505644007</v>
      </c>
      <c r="T30" s="1606">
        <f t="shared" si="8"/>
        <v>0</v>
      </c>
      <c r="U30" s="1607">
        <f t="shared" si="8"/>
        <v>5829.0569505644007</v>
      </c>
      <c r="V30" s="445"/>
    </row>
    <row r="31" spans="3:22" hidden="1">
      <c r="C31" s="1451" t="s">
        <v>803</v>
      </c>
      <c r="D31" s="1569"/>
      <c r="E31" s="307">
        <f>'[1]Form 4.1'!E30</f>
        <v>86.933999999999997</v>
      </c>
      <c r="F31" s="1569"/>
      <c r="G31" s="1602">
        <f>'[1]Form 4.1'!I30</f>
        <v>161.44</v>
      </c>
      <c r="H31" s="1602">
        <f>'[1]Form 4.1'!J30</f>
        <v>172.02</v>
      </c>
      <c r="I31" s="1602">
        <f>'[1]Form 4.1'!K30</f>
        <v>181.23</v>
      </c>
      <c r="J31" s="1602">
        <f>'[1]Form 4.1'!L30</f>
        <v>190.31</v>
      </c>
      <c r="K31" s="1602">
        <f>'[1]Form 4.1'!M30</f>
        <v>218.73</v>
      </c>
      <c r="L31" s="1602">
        <f>'[1]Form 4.1'!N30</f>
        <v>209.94</v>
      </c>
      <c r="M31" s="1602">
        <f>'[1]Form 4.1'!O30</f>
        <v>220.01</v>
      </c>
      <c r="N31" s="1602">
        <f>'[1]Form 4.1'!P30</f>
        <v>267.98</v>
      </c>
      <c r="O31" s="1602">
        <f>'[1]Form 4.1'!Q30</f>
        <v>132.63999999999999</v>
      </c>
      <c r="P31" s="1602">
        <f>'[1]Form 4.1'!R30</f>
        <v>130.47</v>
      </c>
      <c r="Q31" s="1602">
        <f>'[1]Form 4.1'!S30</f>
        <v>133.69999999999999</v>
      </c>
      <c r="R31" s="1602">
        <f>'[1]Form 4.1'!T30</f>
        <v>156.04</v>
      </c>
      <c r="S31" s="307">
        <f t="shared" si="3"/>
        <v>2174.5100000000002</v>
      </c>
      <c r="T31" s="379"/>
      <c r="U31" s="436">
        <f t="shared" ref="U31:U57" si="9">S31-T31</f>
        <v>2174.5100000000002</v>
      </c>
      <c r="V31" s="445"/>
    </row>
    <row r="32" spans="3:22" hidden="1">
      <c r="C32" s="1451" t="s">
        <v>804</v>
      </c>
      <c r="D32" s="1569"/>
      <c r="E32" s="307">
        <f>'[1]Form 4.1'!E31</f>
        <v>93.94</v>
      </c>
      <c r="F32" s="1569"/>
      <c r="G32" s="1602">
        <f>'[1]Form 4.1'!I31</f>
        <v>303.89</v>
      </c>
      <c r="H32" s="1602">
        <f>'[1]Form 4.1'!J31</f>
        <v>318.64</v>
      </c>
      <c r="I32" s="1602">
        <f>'[1]Form 4.1'!K31</f>
        <v>320.43</v>
      </c>
      <c r="J32" s="1602">
        <f>'[1]Form 4.1'!L31</f>
        <v>332.77</v>
      </c>
      <c r="K32" s="1602">
        <f>'[1]Form 4.1'!M31</f>
        <v>329.52</v>
      </c>
      <c r="L32" s="1602">
        <f>'[1]Form 4.1'!N31</f>
        <v>323.67</v>
      </c>
      <c r="M32" s="1602">
        <f>'[1]Form 4.1'!O31</f>
        <v>283.19</v>
      </c>
      <c r="N32" s="1602">
        <f>'[1]Form 4.1'!P31</f>
        <v>216.86</v>
      </c>
      <c r="O32" s="1602">
        <f>'[1]Form 4.1'!Q31</f>
        <v>280.10000000000002</v>
      </c>
      <c r="P32" s="1602">
        <f>'[1]Form 4.1'!R31</f>
        <v>326.20999999999998</v>
      </c>
      <c r="Q32" s="1602">
        <f>'[1]Form 4.1'!S31</f>
        <v>293.31</v>
      </c>
      <c r="R32" s="1602">
        <f>'[1]Form 4.1'!T31</f>
        <v>318.33</v>
      </c>
      <c r="S32" s="307">
        <f t="shared" si="3"/>
        <v>3646.92</v>
      </c>
      <c r="T32" s="379"/>
      <c r="U32" s="436">
        <f t="shared" si="9"/>
        <v>3646.92</v>
      </c>
      <c r="V32" s="445"/>
    </row>
    <row r="33" spans="3:22" hidden="1">
      <c r="C33" s="1451" t="s">
        <v>805</v>
      </c>
      <c r="D33" s="1569"/>
      <c r="E33" s="307">
        <f>'[1]Form 4.1'!E32</f>
        <v>93.688999999999993</v>
      </c>
      <c r="F33" s="1569"/>
      <c r="G33" s="1602">
        <f>'[1]Form 4.1'!I32</f>
        <v>140.01</v>
      </c>
      <c r="H33" s="1602">
        <f>'[1]Form 4.1'!J32</f>
        <v>120.1</v>
      </c>
      <c r="I33" s="1602">
        <f>'[1]Form 4.1'!K32</f>
        <v>74.260000000000005</v>
      </c>
      <c r="J33" s="1602">
        <f>'[1]Form 4.1'!L32</f>
        <v>119.95</v>
      </c>
      <c r="K33" s="1602">
        <f>'[1]Form 4.1'!M32</f>
        <v>152.74</v>
      </c>
      <c r="L33" s="1602">
        <f>'[1]Form 4.1'!N32</f>
        <v>132.16999999999999</v>
      </c>
      <c r="M33" s="1602">
        <f>'[1]Form 4.1'!O32</f>
        <v>156.71</v>
      </c>
      <c r="N33" s="1602">
        <f>'[1]Form 4.1'!P32</f>
        <v>150.43</v>
      </c>
      <c r="O33" s="1602">
        <f>'[1]Form 4.1'!Q32</f>
        <v>154.46</v>
      </c>
      <c r="P33" s="1602">
        <f>'[1]Form 4.1'!R32</f>
        <v>144.12</v>
      </c>
      <c r="Q33" s="1602">
        <f>'[1]Form 4.1'!S32</f>
        <v>120.12</v>
      </c>
      <c r="R33" s="1602">
        <f>'[1]Form 4.1'!T32</f>
        <v>149.49</v>
      </c>
      <c r="S33" s="307">
        <f t="shared" si="3"/>
        <v>1614.5599999999997</v>
      </c>
      <c r="T33" s="379"/>
      <c r="U33" s="436">
        <f t="shared" si="9"/>
        <v>1614.5599999999997</v>
      </c>
      <c r="V33" s="445"/>
    </row>
    <row r="34" spans="3:22" hidden="1">
      <c r="C34" s="1451" t="s">
        <v>806</v>
      </c>
      <c r="D34" s="1569"/>
      <c r="E34" s="307">
        <f>'[1]Form 4.1'!E33</f>
        <v>96.316000000000003</v>
      </c>
      <c r="F34" s="1569"/>
      <c r="G34" s="1602">
        <f>'[1]Form 4.1'!I33</f>
        <v>119.23</v>
      </c>
      <c r="H34" s="1602">
        <f>'[1]Form 4.1'!J33</f>
        <v>121.73</v>
      </c>
      <c r="I34" s="1602">
        <f>'[1]Form 4.1'!K33</f>
        <v>124.14</v>
      </c>
      <c r="J34" s="1602">
        <f>'[1]Form 4.1'!L33</f>
        <v>121.06</v>
      </c>
      <c r="K34" s="1602">
        <f>'[1]Form 4.1'!M33</f>
        <v>127.9</v>
      </c>
      <c r="L34" s="1602">
        <f>'[1]Form 4.1'!N33</f>
        <v>125.07</v>
      </c>
      <c r="M34" s="1602">
        <f>'[1]Form 4.1'!O33</f>
        <v>131.72999999999999</v>
      </c>
      <c r="N34" s="1602">
        <f>'[1]Form 4.1'!P33</f>
        <v>93.89</v>
      </c>
      <c r="O34" s="1602">
        <f>'[1]Form 4.1'!Q33</f>
        <v>107.27</v>
      </c>
      <c r="P34" s="1602">
        <f>'[1]Form 4.1'!R33</f>
        <v>106.07</v>
      </c>
      <c r="Q34" s="1602">
        <f>'[1]Form 4.1'!S33</f>
        <v>106.25</v>
      </c>
      <c r="R34" s="1602">
        <f>'[1]Form 4.1'!T33</f>
        <v>124.24</v>
      </c>
      <c r="S34" s="307">
        <f t="shared" si="3"/>
        <v>1408.5800000000002</v>
      </c>
      <c r="T34" s="379"/>
      <c r="U34" s="436">
        <f t="shared" si="9"/>
        <v>1408.5800000000002</v>
      </c>
      <c r="V34" s="445"/>
    </row>
    <row r="35" spans="3:22" hidden="1">
      <c r="C35" s="1451" t="s">
        <v>807</v>
      </c>
      <c r="D35" s="1569"/>
      <c r="E35" s="307">
        <f>'[1]Form 4.1'!E34</f>
        <v>84.826999999999998</v>
      </c>
      <c r="F35" s="1569"/>
      <c r="G35" s="1602">
        <f>'[1]Form 4.1'!I34</f>
        <v>48.47</v>
      </c>
      <c r="H35" s="1602">
        <f>'[1]Form 4.1'!J34</f>
        <v>50.25</v>
      </c>
      <c r="I35" s="1602">
        <f>'[1]Form 4.1'!K34</f>
        <v>17.86</v>
      </c>
      <c r="J35" s="1602">
        <f>'[1]Form 4.1'!L34</f>
        <v>0</v>
      </c>
      <c r="K35" s="1602">
        <f>'[1]Form 4.1'!M34</f>
        <v>27.96</v>
      </c>
      <c r="L35" s="1602">
        <f>'[1]Form 4.1'!N34</f>
        <v>56.86</v>
      </c>
      <c r="M35" s="1602">
        <f>'[1]Form 4.1'!O34</f>
        <v>67.349999999999994</v>
      </c>
      <c r="N35" s="1602">
        <f>'[1]Form 4.1'!P34</f>
        <v>74.19</v>
      </c>
      <c r="O35" s="1602">
        <f>'[1]Form 4.1'!Q34</f>
        <v>51.04</v>
      </c>
      <c r="P35" s="1602">
        <f>'[1]Form 4.1'!R34</f>
        <v>43.03</v>
      </c>
      <c r="Q35" s="1602">
        <f>'[1]Form 4.1'!S34</f>
        <v>34.71</v>
      </c>
      <c r="R35" s="1602">
        <f>'[1]Form 4.1'!T34</f>
        <v>39.78</v>
      </c>
      <c r="S35" s="307">
        <f t="shared" si="3"/>
        <v>511.5</v>
      </c>
      <c r="T35" s="379"/>
      <c r="U35" s="436">
        <f t="shared" si="9"/>
        <v>511.5</v>
      </c>
      <c r="V35" s="446">
        <f t="shared" ref="V35" si="10">SUM(V24:V34)</f>
        <v>0</v>
      </c>
    </row>
    <row r="36" spans="3:22" hidden="1">
      <c r="C36" s="1451" t="s">
        <v>808</v>
      </c>
      <c r="D36" s="1569"/>
      <c r="E36" s="307">
        <f>'[1]Form 4.1'!E35</f>
        <v>89.79</v>
      </c>
      <c r="F36" s="1569"/>
      <c r="G36" s="1602">
        <f>'[1]Form 4.1'!I35</f>
        <v>116.2</v>
      </c>
      <c r="H36" s="1602">
        <f>'[1]Form 4.1'!J35</f>
        <v>162.38</v>
      </c>
      <c r="I36" s="1602">
        <f>'[1]Form 4.1'!K35</f>
        <v>173.24</v>
      </c>
      <c r="J36" s="1602">
        <f>'[1]Form 4.1'!L35</f>
        <v>174.18</v>
      </c>
      <c r="K36" s="1602">
        <f>'[1]Form 4.1'!M35</f>
        <v>181.5</v>
      </c>
      <c r="L36" s="1602">
        <f>'[1]Form 4.1'!N35</f>
        <v>232.13</v>
      </c>
      <c r="M36" s="1602">
        <f>'[1]Form 4.1'!O35</f>
        <v>301</v>
      </c>
      <c r="N36" s="1602">
        <f>'[1]Form 4.1'!P35</f>
        <v>102.17</v>
      </c>
      <c r="O36" s="1602">
        <f>'[1]Form 4.1'!Q35</f>
        <v>113.07</v>
      </c>
      <c r="P36" s="1602">
        <f>'[1]Form 4.1'!R35</f>
        <v>113.86</v>
      </c>
      <c r="Q36" s="1602">
        <f>'[1]Form 4.1'!S35</f>
        <v>115.55</v>
      </c>
      <c r="R36" s="1602">
        <f>'[1]Form 4.1'!T35</f>
        <v>137.59</v>
      </c>
      <c r="S36" s="307">
        <f t="shared" si="3"/>
        <v>1922.87</v>
      </c>
      <c r="T36" s="379"/>
      <c r="U36" s="436">
        <f t="shared" si="9"/>
        <v>1922.87</v>
      </c>
      <c r="V36" s="446">
        <f t="shared" ref="V36" si="11">SUM(V35,V22)</f>
        <v>0</v>
      </c>
    </row>
    <row r="37" spans="3:22" hidden="1">
      <c r="C37" s="1451" t="s">
        <v>809</v>
      </c>
      <c r="D37" s="1569"/>
      <c r="E37" s="307">
        <f>'[1]Form 4.1'!E36</f>
        <v>88.873000000000005</v>
      </c>
      <c r="F37" s="1569"/>
      <c r="G37" s="1602">
        <f>'[1]Form 4.1'!I36</f>
        <v>62.5</v>
      </c>
      <c r="H37" s="1602">
        <f>'[1]Form 4.1'!J36</f>
        <v>62.22</v>
      </c>
      <c r="I37" s="1602">
        <f>'[1]Form 4.1'!K36</f>
        <v>57.12</v>
      </c>
      <c r="J37" s="1602">
        <f>'[1]Form 4.1'!L36</f>
        <v>39.53</v>
      </c>
      <c r="K37" s="1602">
        <f>'[1]Form 4.1'!M36</f>
        <v>46.14</v>
      </c>
      <c r="L37" s="1602">
        <f>'[1]Form 4.1'!N36</f>
        <v>58.45</v>
      </c>
      <c r="M37" s="1602">
        <f>'[1]Form 4.1'!O36</f>
        <v>60.46</v>
      </c>
      <c r="N37" s="1602">
        <f>'[1]Form 4.1'!P36</f>
        <v>55.99</v>
      </c>
      <c r="O37" s="1602">
        <f>'[1]Form 4.1'!Q36</f>
        <v>50.33</v>
      </c>
      <c r="P37" s="1602">
        <f>'[1]Form 4.1'!R36</f>
        <v>38.32</v>
      </c>
      <c r="Q37" s="1602">
        <f>'[1]Form 4.1'!S36</f>
        <v>47.91</v>
      </c>
      <c r="R37" s="1602">
        <f>'[1]Form 4.1'!T36</f>
        <v>57.68</v>
      </c>
      <c r="S37" s="307">
        <f t="shared" si="3"/>
        <v>636.64999999999986</v>
      </c>
      <c r="T37" s="379"/>
      <c r="U37" s="436">
        <f t="shared" si="9"/>
        <v>636.64999999999986</v>
      </c>
      <c r="V37" s="446"/>
    </row>
    <row r="38" spans="3:22" hidden="1">
      <c r="C38" s="1451" t="s">
        <v>681</v>
      </c>
      <c r="D38" s="1569"/>
      <c r="E38" s="307">
        <f>'[1]Form 4.1'!E37</f>
        <v>59.463999999999999</v>
      </c>
      <c r="F38" s="1569"/>
      <c r="G38" s="1602">
        <f>'[1]Form 4.1'!I37</f>
        <v>26.48</v>
      </c>
      <c r="H38" s="1602">
        <f>'[1]Form 4.1'!J37</f>
        <v>22.82</v>
      </c>
      <c r="I38" s="1602">
        <f>'[1]Form 4.1'!K37</f>
        <v>26.32</v>
      </c>
      <c r="J38" s="1602">
        <f>'[1]Form 4.1'!L37</f>
        <v>16.47</v>
      </c>
      <c r="K38" s="1602">
        <f>'[1]Form 4.1'!M37</f>
        <v>13.52</v>
      </c>
      <c r="L38" s="1602">
        <f>'[1]Form 4.1'!N37</f>
        <v>11.68</v>
      </c>
      <c r="M38" s="1602">
        <f>'[1]Form 4.1'!O37</f>
        <v>11.19</v>
      </c>
      <c r="N38" s="1602">
        <f>'[1]Form 4.1'!P37</f>
        <v>14.78</v>
      </c>
      <c r="O38" s="1602">
        <f>'[1]Form 4.1'!Q37</f>
        <v>15.67</v>
      </c>
      <c r="P38" s="1602">
        <f>'[1]Form 4.1'!R37</f>
        <v>19.41</v>
      </c>
      <c r="Q38" s="1602">
        <f>'[1]Form 4.1'!S37</f>
        <v>13.68</v>
      </c>
      <c r="R38" s="1602">
        <f>'[1]Form 4.1'!T37</f>
        <v>16.829999999999998</v>
      </c>
      <c r="S38" s="307">
        <f t="shared" si="3"/>
        <v>208.84999999999997</v>
      </c>
      <c r="T38" s="379"/>
      <c r="U38" s="436">
        <f t="shared" si="9"/>
        <v>208.84999999999997</v>
      </c>
      <c r="V38" s="444"/>
    </row>
    <row r="39" spans="3:22" hidden="1">
      <c r="C39" s="1451" t="s">
        <v>680</v>
      </c>
      <c r="D39" s="1569"/>
      <c r="E39" s="307">
        <f>'[1]Form 4.1'!E38</f>
        <v>67.063999999999993</v>
      </c>
      <c r="F39" s="1569"/>
      <c r="G39" s="1602">
        <f>'[1]Form 4.1'!I38</f>
        <v>51.58</v>
      </c>
      <c r="H39" s="1602">
        <f>'[1]Form 4.1'!J38</f>
        <v>46.7</v>
      </c>
      <c r="I39" s="1602">
        <f>'[1]Form 4.1'!K38</f>
        <v>40.64</v>
      </c>
      <c r="J39" s="1602">
        <f>'[1]Form 4.1'!L38</f>
        <v>44.75</v>
      </c>
      <c r="K39" s="1602">
        <f>'[1]Form 4.1'!M38</f>
        <v>48.52</v>
      </c>
      <c r="L39" s="1602">
        <f>'[1]Form 4.1'!N38</f>
        <v>44.99</v>
      </c>
      <c r="M39" s="1602">
        <f>'[1]Form 4.1'!O38</f>
        <v>35.14</v>
      </c>
      <c r="N39" s="1602">
        <f>'[1]Form 4.1'!P38</f>
        <v>20.43</v>
      </c>
      <c r="O39" s="1602">
        <f>'[1]Form 4.1'!Q38</f>
        <v>16.02</v>
      </c>
      <c r="P39" s="1602">
        <f>'[1]Form 4.1'!R38</f>
        <v>19.190000000000001</v>
      </c>
      <c r="Q39" s="1602">
        <f>'[1]Form 4.1'!S38</f>
        <v>29.31</v>
      </c>
      <c r="R39" s="1602">
        <f>'[1]Form 4.1'!T38</f>
        <v>37.619999999999997</v>
      </c>
      <c r="S39" s="307">
        <f t="shared" si="3"/>
        <v>434.89</v>
      </c>
      <c r="T39" s="379"/>
      <c r="U39" s="436">
        <f t="shared" si="9"/>
        <v>434.89</v>
      </c>
      <c r="V39" s="444"/>
    </row>
    <row r="40" spans="3:22" hidden="1">
      <c r="C40" s="1451" t="s">
        <v>810</v>
      </c>
      <c r="D40" s="1569"/>
      <c r="E40" s="307">
        <f>'[1]Form 4.1'!E39</f>
        <v>17.675000000000001</v>
      </c>
      <c r="F40" s="1569"/>
      <c r="G40" s="1602">
        <f>'[1]Form 4.1'!I39</f>
        <v>4.6316750000000004</v>
      </c>
      <c r="H40" s="1602">
        <f>'[1]Form 4.1'!J39</f>
        <v>3.4795159999999998</v>
      </c>
      <c r="I40" s="1602">
        <f>'[1]Form 4.1'!K39</f>
        <v>4.0798649999999999</v>
      </c>
      <c r="J40" s="1602">
        <f>'[1]Form 4.1'!L39</f>
        <v>5.8127649999999997</v>
      </c>
      <c r="K40" s="1602">
        <f>'[1]Form 4.1'!M39</f>
        <v>4.2172669999999997</v>
      </c>
      <c r="L40" s="1602">
        <f>'[1]Form 4.1'!N39</f>
        <v>5.1865519999999998</v>
      </c>
      <c r="M40" s="1602">
        <f>'[1]Form 4.1'!O39</f>
        <v>5.1723879999999998</v>
      </c>
      <c r="N40" s="1602">
        <f>'[1]Form 4.1'!P39</f>
        <v>5.6180510000000004</v>
      </c>
      <c r="O40" s="1602">
        <f>'[1]Form 4.1'!Q39</f>
        <v>5.8571010000000001</v>
      </c>
      <c r="P40" s="1602">
        <f>'[1]Form 4.1'!R39</f>
        <v>5.8302519999999998</v>
      </c>
      <c r="Q40" s="1602">
        <f>'[1]Form 4.1'!S39</f>
        <v>3.9677660000000001</v>
      </c>
      <c r="R40" s="1602">
        <f>'[1]Form 4.1'!T39</f>
        <v>5.4863980000000003</v>
      </c>
      <c r="S40" s="307">
        <f t="shared" si="3"/>
        <v>59.339596</v>
      </c>
      <c r="T40" s="379"/>
      <c r="U40" s="436">
        <f t="shared" si="9"/>
        <v>59.339596</v>
      </c>
      <c r="V40" s="445"/>
    </row>
    <row r="41" spans="3:22" hidden="1">
      <c r="C41" s="1451" t="s">
        <v>811</v>
      </c>
      <c r="D41" s="1569"/>
      <c r="E41" s="307">
        <f>'[1]Form 4.1'!E40</f>
        <v>95.26</v>
      </c>
      <c r="F41" s="1569"/>
      <c r="G41" s="1602">
        <f>'[1]Form 4.1'!I40</f>
        <v>76.047753</v>
      </c>
      <c r="H41" s="1602">
        <f>'[1]Form 4.1'!J40</f>
        <v>78.952562999999998</v>
      </c>
      <c r="I41" s="1602">
        <f>'[1]Form 4.1'!K40</f>
        <v>73.466387999999995</v>
      </c>
      <c r="J41" s="1602">
        <f>'[1]Form 4.1'!L40</f>
        <v>78.801261999999994</v>
      </c>
      <c r="K41" s="1602">
        <f>'[1]Form 4.1'!M40</f>
        <v>77.314705000000004</v>
      </c>
      <c r="L41" s="1602">
        <f>'[1]Form 4.1'!N40</f>
        <v>60.927061000000002</v>
      </c>
      <c r="M41" s="1602">
        <f>'[1]Form 4.1'!O40</f>
        <v>76.904002000000006</v>
      </c>
      <c r="N41" s="1602">
        <f>'[1]Form 4.1'!P40</f>
        <v>71.201136000000005</v>
      </c>
      <c r="O41" s="1602">
        <f>'[1]Form 4.1'!Q40</f>
        <v>57.373614000000011</v>
      </c>
      <c r="P41" s="1602">
        <f>'[1]Form 4.1'!R40</f>
        <v>79.220318000000006</v>
      </c>
      <c r="Q41" s="1602">
        <f>'[1]Form 4.1'!S40</f>
        <v>70.153097000000002</v>
      </c>
      <c r="R41" s="1602">
        <f>'[1]Form 4.1'!T40</f>
        <v>78.376576999999997</v>
      </c>
      <c r="S41" s="307">
        <f t="shared" si="3"/>
        <v>878.73847599999999</v>
      </c>
      <c r="T41" s="379"/>
      <c r="U41" s="436">
        <f t="shared" si="9"/>
        <v>878.73847599999999</v>
      </c>
      <c r="V41" s="445"/>
    </row>
    <row r="42" spans="3:22" hidden="1">
      <c r="C42" s="1451" t="s">
        <v>965</v>
      </c>
      <c r="D42" s="1569"/>
      <c r="E42" s="307">
        <f>'[1]Form 4.1'!E41</f>
        <v>0</v>
      </c>
      <c r="F42" s="1569"/>
      <c r="G42" s="1602">
        <f>'[1]Form 4.1'!I41</f>
        <v>0</v>
      </c>
      <c r="H42" s="1602">
        <f>'[1]Form 4.1'!J41</f>
        <v>0</v>
      </c>
      <c r="I42" s="1602">
        <f>'[1]Form 4.1'!K41</f>
        <v>0</v>
      </c>
      <c r="J42" s="1602">
        <f>'[1]Form 4.1'!L41</f>
        <v>0</v>
      </c>
      <c r="K42" s="1602">
        <f>'[1]Form 4.1'!M41</f>
        <v>0</v>
      </c>
      <c r="L42" s="1602">
        <f>'[1]Form 4.1'!N41</f>
        <v>0</v>
      </c>
      <c r="M42" s="1602">
        <f>'[1]Form 4.1'!O41</f>
        <v>0.62233700000000003</v>
      </c>
      <c r="N42" s="1602">
        <f>'[1]Form 4.1'!P41</f>
        <v>1.0999369999999999</v>
      </c>
      <c r="O42" s="1602">
        <f>'[1]Form 4.1'!Q41</f>
        <v>1.198332</v>
      </c>
      <c r="P42" s="1602">
        <f>'[1]Form 4.1'!R41</f>
        <v>1.1453340000000001</v>
      </c>
      <c r="Q42" s="1602">
        <f>'[1]Form 4.1'!S41</f>
        <v>1.0656969999999999</v>
      </c>
      <c r="R42" s="1602">
        <f>'[1]Form 4.1'!T41</f>
        <v>1.235074</v>
      </c>
      <c r="S42" s="307">
        <f t="shared" si="3"/>
        <v>6.3667110000000005</v>
      </c>
      <c r="T42" s="379"/>
      <c r="U42" s="436">
        <f t="shared" si="9"/>
        <v>6.3667110000000005</v>
      </c>
      <c r="V42" s="445"/>
    </row>
    <row r="43" spans="3:22" hidden="1">
      <c r="C43" s="1608" t="s">
        <v>1122</v>
      </c>
      <c r="D43" s="1609"/>
      <c r="E43" s="307">
        <f>'[1]Form 4.1'!E42</f>
        <v>87.683999999999997</v>
      </c>
      <c r="F43" s="1609"/>
      <c r="G43" s="1602">
        <f>'[1]Form 4.1'!I42</f>
        <v>0</v>
      </c>
      <c r="H43" s="1602">
        <f>'[1]Form 4.1'!J42</f>
        <v>0</v>
      </c>
      <c r="I43" s="1602">
        <f>'[1]Form 4.1'!K42</f>
        <v>0</v>
      </c>
      <c r="J43" s="1602">
        <f>'[1]Form 4.1'!L42</f>
        <v>0</v>
      </c>
      <c r="K43" s="1602">
        <f>'[1]Form 4.1'!M42</f>
        <v>0</v>
      </c>
      <c r="L43" s="1602">
        <f>'[1]Form 4.1'!N42</f>
        <v>0</v>
      </c>
      <c r="M43" s="1602">
        <f>'[1]Form 4.1'!O42</f>
        <v>2.7</v>
      </c>
      <c r="N43" s="1602">
        <f>'[1]Form 4.1'!P42</f>
        <v>2.48</v>
      </c>
      <c r="O43" s="1602">
        <f>'[1]Form 4.1'!Q42</f>
        <v>1.45</v>
      </c>
      <c r="P43" s="1602">
        <f>'[1]Form 4.1'!R42</f>
        <v>1.17</v>
      </c>
      <c r="Q43" s="1602">
        <f>'[1]Form 4.1'!S42</f>
        <v>1.22</v>
      </c>
      <c r="R43" s="1602">
        <f>'[1]Form 4.1'!T42</f>
        <v>0.82</v>
      </c>
      <c r="S43" s="307">
        <f t="shared" si="3"/>
        <v>9.84</v>
      </c>
      <c r="T43" s="379"/>
      <c r="U43" s="436">
        <f t="shared" si="9"/>
        <v>9.84</v>
      </c>
      <c r="V43" s="444"/>
    </row>
    <row r="44" spans="3:22" hidden="1">
      <c r="C44" s="1610" t="s">
        <v>1123</v>
      </c>
      <c r="D44" s="1609"/>
      <c r="E44" s="307">
        <f>'[1]Form 4.1'!E43</f>
        <v>44.993000000000002</v>
      </c>
      <c r="F44" s="1609"/>
      <c r="G44" s="1602">
        <f>'[1]Form 4.1'!I43</f>
        <v>0</v>
      </c>
      <c r="H44" s="1602">
        <f>'[1]Form 4.1'!J43</f>
        <v>0</v>
      </c>
      <c r="I44" s="1602">
        <f>'[1]Form 4.1'!K43</f>
        <v>0</v>
      </c>
      <c r="J44" s="1602">
        <f>'[1]Form 4.1'!L43</f>
        <v>0</v>
      </c>
      <c r="K44" s="1602">
        <f>'[1]Form 4.1'!M43</f>
        <v>0</v>
      </c>
      <c r="L44" s="1602">
        <f>'[1]Form 4.1'!N43</f>
        <v>0</v>
      </c>
      <c r="M44" s="1602">
        <f>'[1]Form 4.1'!O43</f>
        <v>0.85</v>
      </c>
      <c r="N44" s="1602">
        <f>'[1]Form 4.1'!P43</f>
        <v>0.42</v>
      </c>
      <c r="O44" s="1602">
        <f>'[1]Form 4.1'!Q43</f>
        <v>0.7</v>
      </c>
      <c r="P44" s="1602">
        <f>'[1]Form 4.1'!R43</f>
        <v>0.36</v>
      </c>
      <c r="Q44" s="1602">
        <f>'[1]Form 4.1'!S43</f>
        <v>0.86</v>
      </c>
      <c r="R44" s="1602">
        <f>'[1]Form 4.1'!T43</f>
        <v>0.45</v>
      </c>
      <c r="S44" s="307">
        <f t="shared" si="3"/>
        <v>3.64</v>
      </c>
      <c r="T44" s="379"/>
      <c r="U44" s="436">
        <f t="shared" si="9"/>
        <v>3.64</v>
      </c>
      <c r="V44" s="445"/>
    </row>
    <row r="45" spans="3:22" hidden="1">
      <c r="C45" s="1451" t="s">
        <v>812</v>
      </c>
      <c r="D45" s="1609"/>
      <c r="E45" s="307">
        <f>'[1]Form 4.1'!E44</f>
        <v>84.73</v>
      </c>
      <c r="F45" s="1609"/>
      <c r="G45" s="1602">
        <f>'[1]Form 4.1'!I44</f>
        <v>39.46</v>
      </c>
      <c r="H45" s="1602">
        <f>'[1]Form 4.1'!J44</f>
        <v>90.07</v>
      </c>
      <c r="I45" s="1602">
        <f>'[1]Form 4.1'!K44</f>
        <v>80.92</v>
      </c>
      <c r="J45" s="1602">
        <f>'[1]Form 4.1'!L44</f>
        <v>76.819999999999993</v>
      </c>
      <c r="K45" s="1602">
        <f>'[1]Form 4.1'!M44</f>
        <v>85.86</v>
      </c>
      <c r="L45" s="1602">
        <f>'[1]Form 4.1'!N44</f>
        <v>62.45</v>
      </c>
      <c r="M45" s="1602">
        <f>'[1]Form 4.1'!O44</f>
        <v>85.26</v>
      </c>
      <c r="N45" s="1602">
        <f>'[1]Form 4.1'!P44</f>
        <v>41.74</v>
      </c>
      <c r="O45" s="1602">
        <f>'[1]Form 4.1'!Q44</f>
        <v>83.62</v>
      </c>
      <c r="P45" s="1602">
        <f>'[1]Form 4.1'!R44</f>
        <v>81.14</v>
      </c>
      <c r="Q45" s="1602">
        <f>'[1]Form 4.1'!S44</f>
        <v>64.16</v>
      </c>
      <c r="R45" s="1602">
        <f>'[1]Form 4.1'!T44</f>
        <v>75.930000000000007</v>
      </c>
      <c r="S45" s="307">
        <f t="shared" si="3"/>
        <v>867.43000000000006</v>
      </c>
      <c r="T45" s="379"/>
      <c r="U45" s="436">
        <f t="shared" si="9"/>
        <v>867.43000000000006</v>
      </c>
      <c r="V45" s="445"/>
    </row>
    <row r="46" spans="3:22" hidden="1">
      <c r="C46" s="1451" t="s">
        <v>780</v>
      </c>
      <c r="D46" s="1609"/>
      <c r="E46" s="307">
        <f>'[1]Form 4.1'!E45</f>
        <v>86.921999999999997</v>
      </c>
      <c r="F46" s="1609"/>
      <c r="G46" s="1602">
        <f>'[1]Form 4.1'!I45</f>
        <v>27.72</v>
      </c>
      <c r="H46" s="1602">
        <f>'[1]Form 4.1'!J45</f>
        <v>34.94</v>
      </c>
      <c r="I46" s="1602">
        <f>'[1]Form 4.1'!K45</f>
        <v>28.13</v>
      </c>
      <c r="J46" s="1602">
        <f>'[1]Form 4.1'!L45</f>
        <v>34.869999999999997</v>
      </c>
      <c r="K46" s="1602">
        <f>'[1]Form 4.1'!M45</f>
        <v>32.04</v>
      </c>
      <c r="L46" s="1602">
        <f>'[1]Form 4.1'!N45</f>
        <v>29.4</v>
      </c>
      <c r="M46" s="1602">
        <f>'[1]Form 4.1'!O45</f>
        <v>32.19</v>
      </c>
      <c r="N46" s="1602">
        <f>'[1]Form 4.1'!P45</f>
        <v>27.73</v>
      </c>
      <c r="O46" s="1602">
        <f>'[1]Form 4.1'!Q45</f>
        <v>11.84</v>
      </c>
      <c r="P46" s="1602">
        <f>'[1]Form 4.1'!R45</f>
        <v>29.17</v>
      </c>
      <c r="Q46" s="1602">
        <f>'[1]Form 4.1'!S45</f>
        <v>28.35</v>
      </c>
      <c r="R46" s="1602">
        <f>'[1]Form 4.1'!T45</f>
        <v>35.01</v>
      </c>
      <c r="S46" s="307">
        <f t="shared" si="3"/>
        <v>351.39</v>
      </c>
      <c r="T46" s="379"/>
      <c r="U46" s="436">
        <f t="shared" si="9"/>
        <v>351.39</v>
      </c>
      <c r="V46" s="445"/>
    </row>
    <row r="47" spans="3:22" hidden="1">
      <c r="C47" s="1451" t="s">
        <v>813</v>
      </c>
      <c r="D47" s="1609"/>
      <c r="E47" s="307">
        <f>'[1]Form 4.1'!E46</f>
        <v>0</v>
      </c>
      <c r="F47" s="1609"/>
      <c r="G47" s="1602">
        <f>'[1]Form 4.1'!I46</f>
        <v>22.920300000000001</v>
      </c>
      <c r="H47" s="1602">
        <f>'[1]Form 4.1'!J46</f>
        <v>20.587672000000001</v>
      </c>
      <c r="I47" s="1602">
        <f>'[1]Form 4.1'!K46</f>
        <v>22.142683000000002</v>
      </c>
      <c r="J47" s="1602">
        <f>'[1]Form 4.1'!L46</f>
        <v>15.032525</v>
      </c>
      <c r="K47" s="1602">
        <f>'[1]Form 4.1'!M46</f>
        <v>13.22195</v>
      </c>
      <c r="L47" s="1602">
        <f>'[1]Form 4.1'!N46</f>
        <v>17.730989000000001</v>
      </c>
      <c r="M47" s="1602">
        <f>'[1]Form 4.1'!O46</f>
        <v>12.495611999999999</v>
      </c>
      <c r="N47" s="1602">
        <f>'[1]Form 4.1'!P46</f>
        <v>15.706534</v>
      </c>
      <c r="O47" s="1602">
        <f>'[1]Form 4.1'!Q46</f>
        <v>18.666333999999999</v>
      </c>
      <c r="P47" s="1602">
        <f>'[1]Form 4.1'!R46</f>
        <v>26.299678</v>
      </c>
      <c r="Q47" s="1602">
        <f>'[1]Form 4.1'!S46</f>
        <v>12.782181</v>
      </c>
      <c r="R47" s="1602">
        <f>'[1]Form 4.1'!T46</f>
        <v>28.314458999999999</v>
      </c>
      <c r="S47" s="307">
        <f t="shared" si="3"/>
        <v>225.90091699999999</v>
      </c>
      <c r="T47" s="379"/>
      <c r="U47" s="436">
        <f t="shared" si="9"/>
        <v>225.90091699999999</v>
      </c>
      <c r="V47" s="447">
        <f t="shared" ref="V47" si="12">SUM(V45:V46)</f>
        <v>0</v>
      </c>
    </row>
    <row r="48" spans="3:22" ht="14.25" hidden="1">
      <c r="C48" s="1603" t="s">
        <v>815</v>
      </c>
      <c r="D48" s="1574"/>
      <c r="E48" s="1574"/>
      <c r="F48" s="1574"/>
      <c r="G48" s="1606">
        <f>SUM(G31:G47)</f>
        <v>1200.5797280000002</v>
      </c>
      <c r="H48" s="1606">
        <f t="shared" ref="H48:U48" si="13">SUM(H31:H47)</f>
        <v>1304.8897510000004</v>
      </c>
      <c r="I48" s="1606">
        <f t="shared" si="13"/>
        <v>1223.9789360000002</v>
      </c>
      <c r="J48" s="1606">
        <f t="shared" si="13"/>
        <v>1250.3565519999997</v>
      </c>
      <c r="K48" s="1606">
        <f t="shared" si="13"/>
        <v>1359.1839219999999</v>
      </c>
      <c r="L48" s="1606">
        <f t="shared" si="13"/>
        <v>1370.6546020000001</v>
      </c>
      <c r="M48" s="1606">
        <f t="shared" si="13"/>
        <v>1482.9743390000001</v>
      </c>
      <c r="N48" s="1606">
        <f t="shared" si="13"/>
        <v>1162.7156579999998</v>
      </c>
      <c r="O48" s="1606">
        <f t="shared" si="13"/>
        <v>1101.3053809999999</v>
      </c>
      <c r="P48" s="1606">
        <f t="shared" si="13"/>
        <v>1165.0155820000002</v>
      </c>
      <c r="Q48" s="1606">
        <f t="shared" si="13"/>
        <v>1077.0987409999998</v>
      </c>
      <c r="R48" s="1606">
        <f t="shared" si="13"/>
        <v>1263.2225079999998</v>
      </c>
      <c r="S48" s="1606">
        <f t="shared" si="13"/>
        <v>14961.975699999999</v>
      </c>
      <c r="T48" s="1606">
        <f t="shared" si="13"/>
        <v>0</v>
      </c>
      <c r="U48" s="1607">
        <f t="shared" si="13"/>
        <v>14961.975699999999</v>
      </c>
      <c r="V48" s="445"/>
    </row>
    <row r="49" spans="3:22" hidden="1">
      <c r="C49" s="1451" t="s">
        <v>1119</v>
      </c>
      <c r="D49" s="1569"/>
      <c r="E49" s="307">
        <f>'[1]Form 4.1'!E48</f>
        <v>97.258757549611744</v>
      </c>
      <c r="F49" s="1569"/>
      <c r="G49" s="1602">
        <f>'[1]Form 4.1'!I48</f>
        <v>152.63332199999999</v>
      </c>
      <c r="H49" s="1602">
        <f>'[1]Form 4.1'!J48</f>
        <v>163.51878636000001</v>
      </c>
      <c r="I49" s="1602">
        <f>'[1]Form 4.1'!K48</f>
        <v>103.83049799999999</v>
      </c>
      <c r="J49" s="1602">
        <f>'[1]Form 4.1'!L48</f>
        <v>165.55998384</v>
      </c>
      <c r="K49" s="1602">
        <f>'[1]Form 4.1'!M48</f>
        <v>171.40912956</v>
      </c>
      <c r="L49" s="1602">
        <f>'[1]Form 4.1'!N48</f>
        <v>149.87778840000001</v>
      </c>
      <c r="M49" s="1602">
        <f>'[1]Form 4.1'!O48</f>
        <v>171.42628248000003</v>
      </c>
      <c r="N49" s="1602">
        <f>'[1]Form 4.1'!P48</f>
        <v>153.04831200000001</v>
      </c>
      <c r="O49" s="1602">
        <f>'[1]Form 4.1'!Q48</f>
        <v>161.35751844000001</v>
      </c>
      <c r="P49" s="1602">
        <f>'[1]Form 4.1'!R48</f>
        <v>152.90112888000002</v>
      </c>
      <c r="Q49" s="1602">
        <f>'[1]Form 4.1'!S48</f>
        <v>154.85213519999999</v>
      </c>
      <c r="R49" s="1602">
        <f>'[1]Form 4.1'!T48</f>
        <v>170.74016568000005</v>
      </c>
      <c r="S49" s="307">
        <f t="shared" si="3"/>
        <v>1871.1550508400001</v>
      </c>
      <c r="T49" s="379"/>
      <c r="U49" s="436">
        <f t="shared" si="9"/>
        <v>1871.1550508400001</v>
      </c>
      <c r="V49" s="445"/>
    </row>
    <row r="50" spans="3:22" hidden="1">
      <c r="C50" s="1451" t="s">
        <v>1124</v>
      </c>
      <c r="D50" s="1569"/>
      <c r="E50" s="307">
        <f>'[1]Form 4.1'!E49</f>
        <v>76.32784216682056</v>
      </c>
      <c r="F50" s="1569"/>
      <c r="G50" s="1602">
        <f>'[1]Form 4.1'!I49</f>
        <v>0</v>
      </c>
      <c r="H50" s="1602">
        <f>'[1]Form 4.1'!J49</f>
        <v>0</v>
      </c>
      <c r="I50" s="1602">
        <f>'[1]Form 4.1'!K49</f>
        <v>0</v>
      </c>
      <c r="J50" s="1602">
        <f>'[1]Form 4.1'!L49</f>
        <v>0</v>
      </c>
      <c r="K50" s="1602">
        <f>'[1]Form 4.1'!M49</f>
        <v>0</v>
      </c>
      <c r="L50" s="1602">
        <f>'[1]Form 4.1'!N49</f>
        <v>0</v>
      </c>
      <c r="M50" s="1602">
        <f>'[1]Form 4.1'!O49</f>
        <v>0</v>
      </c>
      <c r="N50" s="1602">
        <f>'[1]Form 4.1'!P49</f>
        <v>0</v>
      </c>
      <c r="O50" s="1602">
        <f>'[1]Form 4.1'!Q49</f>
        <v>0</v>
      </c>
      <c r="P50" s="1602">
        <f>'[1]Form 4.1'!R49</f>
        <v>0</v>
      </c>
      <c r="Q50" s="1602">
        <f>'[1]Form 4.1'!S49</f>
        <v>268.87737800000002</v>
      </c>
      <c r="R50" s="1602">
        <f>'[1]Form 4.1'!T49</f>
        <v>351.09552000000002</v>
      </c>
      <c r="S50" s="307">
        <f t="shared" si="3"/>
        <v>619.97289799999999</v>
      </c>
      <c r="T50" s="379"/>
      <c r="U50" s="436">
        <f t="shared" si="9"/>
        <v>619.97289799999999</v>
      </c>
      <c r="V50" s="444"/>
    </row>
    <row r="51" spans="3:22" hidden="1">
      <c r="C51" s="1451" t="s">
        <v>968</v>
      </c>
      <c r="D51" s="1569"/>
      <c r="E51" s="307">
        <f>'[1]Form 4.1'!E50</f>
        <v>54.637404371584708</v>
      </c>
      <c r="F51" s="1569"/>
      <c r="G51" s="1602">
        <f>'[1]Form 4.1'!I50</f>
        <v>293.94237599999997</v>
      </c>
      <c r="H51" s="1602">
        <f>'[1]Form 4.1'!J50</f>
        <v>435.30054671999994</v>
      </c>
      <c r="I51" s="1602">
        <f>'[1]Form 4.1'!K50</f>
        <v>357.45933600000001</v>
      </c>
      <c r="J51" s="1602">
        <f>'[1]Form 4.1'!L50</f>
        <v>396.64930032000012</v>
      </c>
      <c r="K51" s="1602">
        <f>'[1]Form 4.1'!M50</f>
        <v>458.27251392000011</v>
      </c>
      <c r="L51" s="1602">
        <f>'[1]Form 4.1'!N50</f>
        <v>378.70223040000002</v>
      </c>
      <c r="M51" s="1602">
        <f>'[1]Form 4.1'!O50</f>
        <v>331.81730400000004</v>
      </c>
      <c r="N51" s="1602">
        <f>'[1]Form 4.1'!P50</f>
        <v>476.02432799999997</v>
      </c>
      <c r="O51" s="1602">
        <f>'[1]Form 4.1'!Q50</f>
        <v>357.05000447999998</v>
      </c>
      <c r="P51" s="1602">
        <f>'[1]Form 4.1'!R50</f>
        <v>345.52755744000001</v>
      </c>
      <c r="Q51" s="1602">
        <f>'[1]Form 4.1'!S50</f>
        <v>359.51540352000001</v>
      </c>
      <c r="R51" s="1602">
        <f>'[1]Form 4.1'!T50</f>
        <v>514.06157712000004</v>
      </c>
      <c r="S51" s="307">
        <f t="shared" si="3"/>
        <v>4704.3224779200009</v>
      </c>
      <c r="T51" s="379"/>
      <c r="U51" s="436">
        <f t="shared" si="9"/>
        <v>4704.3224779200009</v>
      </c>
      <c r="V51" s="444"/>
    </row>
    <row r="52" spans="3:22" ht="14.25" hidden="1">
      <c r="C52" s="1603" t="s">
        <v>819</v>
      </c>
      <c r="D52" s="1574"/>
      <c r="E52" s="1574"/>
      <c r="F52" s="1574"/>
      <c r="G52" s="1606">
        <f>SUM(G49:G51)</f>
        <v>446.57569799999999</v>
      </c>
      <c r="H52" s="1606">
        <f t="shared" ref="H52:V52" si="14">SUM(H49:H51)</f>
        <v>598.81933307999998</v>
      </c>
      <c r="I52" s="1606">
        <f t="shared" si="14"/>
        <v>461.28983399999998</v>
      </c>
      <c r="J52" s="1606">
        <f t="shared" si="14"/>
        <v>562.20928416000015</v>
      </c>
      <c r="K52" s="1606">
        <f t="shared" si="14"/>
        <v>629.68164348000005</v>
      </c>
      <c r="L52" s="1606">
        <f t="shared" si="14"/>
        <v>528.58001880000006</v>
      </c>
      <c r="M52" s="1606">
        <f t="shared" si="14"/>
        <v>503.24358648000009</v>
      </c>
      <c r="N52" s="1606">
        <f t="shared" si="14"/>
        <v>629.07263999999998</v>
      </c>
      <c r="O52" s="1606">
        <f t="shared" si="14"/>
        <v>518.40752292000002</v>
      </c>
      <c r="P52" s="1606">
        <f t="shared" si="14"/>
        <v>498.42868632</v>
      </c>
      <c r="Q52" s="1606">
        <f t="shared" si="14"/>
        <v>783.24491671999999</v>
      </c>
      <c r="R52" s="1606">
        <f t="shared" si="14"/>
        <v>1035.8972628000001</v>
      </c>
      <c r="S52" s="1606">
        <f t="shared" si="14"/>
        <v>7195.4504267600005</v>
      </c>
      <c r="T52" s="1606">
        <f t="shared" si="14"/>
        <v>0</v>
      </c>
      <c r="U52" s="1607">
        <f t="shared" si="14"/>
        <v>7195.4504267600005</v>
      </c>
      <c r="V52" s="1604">
        <f t="shared" si="14"/>
        <v>0</v>
      </c>
    </row>
    <row r="53" spans="3:22" hidden="1">
      <c r="C53" s="1451" t="s">
        <v>820</v>
      </c>
      <c r="D53" s="1569"/>
      <c r="E53" s="307">
        <f>'[1]Form 4.1'!E52</f>
        <v>15.986271522586179</v>
      </c>
      <c r="F53" s="1569"/>
      <c r="G53" s="1602">
        <f>'[1]Form 4.1'!I52</f>
        <v>29.812381670000001</v>
      </c>
      <c r="H53" s="1602">
        <f>'[1]Form 4.1'!J52</f>
        <v>29.766290000000001</v>
      </c>
      <c r="I53" s="1602">
        <f>'[1]Form 4.1'!K52</f>
        <v>24.987847000000013</v>
      </c>
      <c r="J53" s="1602">
        <f>'[1]Form 4.1'!L52</f>
        <v>29.716353329999986</v>
      </c>
      <c r="K53" s="1602">
        <f>'[1]Form 4.1'!M52</f>
        <v>35.894996670000019</v>
      </c>
      <c r="L53" s="1602">
        <f>'[1]Form 4.1'!N52</f>
        <v>40.218903329999996</v>
      </c>
      <c r="M53" s="1602">
        <f>'[1]Form 4.1'!O52</f>
        <v>40.623017261347997</v>
      </c>
      <c r="N53" s="1602">
        <f>'[1]Form 4.1'!P52</f>
        <v>29.623152999999999</v>
      </c>
      <c r="O53" s="1602">
        <f>'[1]Form 4.1'!Q52</f>
        <v>30.645026999999999</v>
      </c>
      <c r="P53" s="1602">
        <f>'[1]Form 4.1'!R52</f>
        <v>29.784976670000002</v>
      </c>
      <c r="Q53" s="1602">
        <f>'[1]Form 4.1'!S52</f>
        <v>21.255047000000001</v>
      </c>
      <c r="R53" s="1602">
        <f>'[1]Form 4.1'!T52</f>
        <v>23.755489169999986</v>
      </c>
      <c r="S53" s="307">
        <f t="shared" si="3"/>
        <v>366.08348210134801</v>
      </c>
      <c r="T53" s="379"/>
      <c r="U53" s="436">
        <f t="shared" si="9"/>
        <v>366.08348210134801</v>
      </c>
      <c r="V53" s="444"/>
    </row>
    <row r="54" spans="3:22" hidden="1">
      <c r="C54" s="1451" t="s">
        <v>1125</v>
      </c>
      <c r="D54" s="1569"/>
      <c r="E54" s="307">
        <f>'[1]Form 4.1'!E53</f>
        <v>21.576976174566148</v>
      </c>
      <c r="F54" s="1569"/>
      <c r="G54" s="1602">
        <f>'[1]Form 4.1'!I53</f>
        <v>422.73165996406959</v>
      </c>
      <c r="H54" s="1602">
        <f>'[1]Form 4.1'!J53</f>
        <v>378.60666525713964</v>
      </c>
      <c r="I54" s="1602">
        <f>'[1]Form 4.1'!K53</f>
        <v>391.22465696296365</v>
      </c>
      <c r="J54" s="1602">
        <f>'[1]Form 4.1'!L53</f>
        <v>333.110682</v>
      </c>
      <c r="K54" s="1602">
        <f>'[1]Form 4.1'!M53</f>
        <v>364.31903</v>
      </c>
      <c r="L54" s="1602">
        <f>'[1]Form 4.1'!N53</f>
        <v>362.03188899999998</v>
      </c>
      <c r="M54" s="1602">
        <f>'[1]Form 4.1'!O53</f>
        <v>361.33587699999998</v>
      </c>
      <c r="N54" s="1602">
        <f>'[1]Form 4.1'!P53</f>
        <v>320.654651</v>
      </c>
      <c r="O54" s="1602">
        <f>'[1]Form 4.1'!Q53</f>
        <v>360.18664000000001</v>
      </c>
      <c r="P54" s="1602">
        <f>'[1]Form 4.1'!R53</f>
        <v>452.65950499999991</v>
      </c>
      <c r="Q54" s="1602">
        <f>'[1]Form 4.1'!S53</f>
        <v>426.80715200000009</v>
      </c>
      <c r="R54" s="1602">
        <f>'[1]Form 4.1'!T53</f>
        <v>441.61072799999988</v>
      </c>
      <c r="S54" s="307">
        <f t="shared" si="3"/>
        <v>4615.2791361841728</v>
      </c>
      <c r="T54" s="379"/>
      <c r="U54" s="436">
        <f t="shared" si="9"/>
        <v>4615.2791361841728</v>
      </c>
      <c r="V54" s="444"/>
    </row>
    <row r="55" spans="3:22" hidden="1">
      <c r="C55" s="1451" t="s">
        <v>1114</v>
      </c>
      <c r="D55" s="1569"/>
      <c r="E55" s="307">
        <f>'[1]Form 4.1'!E54</f>
        <v>20.338670725339476</v>
      </c>
      <c r="F55" s="1569"/>
      <c r="G55" s="1602">
        <f>'[1]Form 4.1'!I54</f>
        <v>346.67067809150018</v>
      </c>
      <c r="H55" s="1602">
        <f>'[1]Form 4.1'!J54</f>
        <v>896.12824549727611</v>
      </c>
      <c r="I55" s="1602">
        <f>'[1]Form 4.1'!K54</f>
        <v>951.32284665557404</v>
      </c>
      <c r="J55" s="1602">
        <f>'[1]Form 4.1'!L54</f>
        <v>1210.2167568965947</v>
      </c>
      <c r="K55" s="1602">
        <f>'[1]Form 4.1'!M54</f>
        <v>985.15883544865005</v>
      </c>
      <c r="L55" s="1602">
        <f>'[1]Form 4.1'!N54</f>
        <v>713.54475183794148</v>
      </c>
      <c r="M55" s="1602">
        <f>'[1]Form 4.1'!O54</f>
        <v>217.19379684119997</v>
      </c>
      <c r="N55" s="1602">
        <f>'[1]Form 4.1'!P54</f>
        <v>191.75114888654909</v>
      </c>
      <c r="O55" s="1602">
        <f>'[1]Form 4.1'!Q54</f>
        <v>289.23026601491301</v>
      </c>
      <c r="P55" s="1602">
        <f>'[1]Form 4.1'!R54</f>
        <v>327.83073597679999</v>
      </c>
      <c r="Q55" s="1602">
        <f>'[1]Form 4.1'!S54</f>
        <v>240.99730761993766</v>
      </c>
      <c r="R55" s="1602">
        <f>'[1]Form 4.1'!T54</f>
        <v>309.62272479954021</v>
      </c>
      <c r="S55" s="307">
        <f t="shared" si="3"/>
        <v>6679.6680945664766</v>
      </c>
      <c r="T55" s="379"/>
      <c r="U55" s="436">
        <f t="shared" si="9"/>
        <v>6679.6680945664766</v>
      </c>
      <c r="V55" s="444"/>
    </row>
    <row r="56" spans="3:22" hidden="1">
      <c r="C56" s="1451" t="s">
        <v>1115</v>
      </c>
      <c r="D56" s="1569"/>
      <c r="E56" s="307">
        <f>'[1]Form 4.1'!E55</f>
        <v>12.056406483999439</v>
      </c>
      <c r="F56" s="1569"/>
      <c r="G56" s="1602">
        <f>'[1]Form 4.1'!I55</f>
        <v>4.1211149999999996</v>
      </c>
      <c r="H56" s="1602">
        <f>'[1]Form 4.1'!J55</f>
        <v>5.1743699999999997</v>
      </c>
      <c r="I56" s="1602">
        <f>'[1]Form 4.1'!K55</f>
        <v>0.92475700000000005</v>
      </c>
      <c r="J56" s="1602">
        <f>'[1]Form 4.1'!L55</f>
        <v>4.7760030000000002</v>
      </c>
      <c r="K56" s="1602">
        <f>'[1]Form 4.1'!M55</f>
        <v>-0.38426100000000002</v>
      </c>
      <c r="L56" s="1602">
        <f>'[1]Form 4.1'!N55</f>
        <v>2.7138239999999998</v>
      </c>
      <c r="M56" s="1602">
        <f>'[1]Form 4.1'!O55</f>
        <v>5.4215220000000004</v>
      </c>
      <c r="N56" s="1602">
        <f>'[1]Form 4.1'!P55</f>
        <v>2.796135</v>
      </c>
      <c r="O56" s="1602">
        <f>'[1]Form 4.1'!Q55</f>
        <v>0.497782</v>
      </c>
      <c r="P56" s="1602">
        <f>'[1]Form 4.1'!R55</f>
        <v>2.180202</v>
      </c>
      <c r="Q56" s="1602">
        <f>'[1]Form 4.1'!S55</f>
        <v>4.6747509999999997</v>
      </c>
      <c r="R56" s="1602">
        <f>'[1]Form 4.1'!T55</f>
        <v>8.0905280000000008</v>
      </c>
      <c r="S56" s="307">
        <f t="shared" si="3"/>
        <v>40.986727999999999</v>
      </c>
      <c r="T56" s="379"/>
      <c r="U56" s="436">
        <f t="shared" si="9"/>
        <v>40.986727999999999</v>
      </c>
      <c r="V56" s="444"/>
    </row>
    <row r="57" spans="3:22" hidden="1">
      <c r="C57" s="1451" t="s">
        <v>1116</v>
      </c>
      <c r="D57" s="1569"/>
      <c r="E57" s="307">
        <f>'[1]Form 4.1'!E56</f>
        <v>24.859294294543609</v>
      </c>
      <c r="F57" s="1569"/>
      <c r="G57" s="1602">
        <f>'[1]Form 4.1'!I56</f>
        <v>209.63539800000001</v>
      </c>
      <c r="H57" s="1602">
        <f>'[1]Form 4.1'!J56</f>
        <v>286.32280100000003</v>
      </c>
      <c r="I57" s="1602">
        <f>'[1]Form 4.1'!K56</f>
        <v>183.788599</v>
      </c>
      <c r="J57" s="1602">
        <f>'[1]Form 4.1'!L56</f>
        <v>224.197799</v>
      </c>
      <c r="K57" s="1602">
        <f>'[1]Form 4.1'!M56</f>
        <v>141.46449899999999</v>
      </c>
      <c r="L57" s="1602">
        <f>'[1]Form 4.1'!N56</f>
        <v>227.41200000000001</v>
      </c>
      <c r="M57" s="1602">
        <f>'[1]Form 4.1'!O56</f>
        <v>200.30960199999998</v>
      </c>
      <c r="N57" s="1602">
        <f>'[1]Form 4.1'!P56</f>
        <v>223.3768</v>
      </c>
      <c r="O57" s="1602">
        <f>'[1]Form 4.1'!Q56</f>
        <v>211.14030099999999</v>
      </c>
      <c r="P57" s="1602">
        <f>'[1]Form 4.1'!R56</f>
        <v>235.84189799999999</v>
      </c>
      <c r="Q57" s="1602">
        <f>'[1]Form 4.1'!S56</f>
        <v>279.84400099999999</v>
      </c>
      <c r="R57" s="1602">
        <f>'[1]Form 4.1'!T56</f>
        <v>271.53809999999999</v>
      </c>
      <c r="S57" s="307">
        <f t="shared" si="3"/>
        <v>2694.8717980000001</v>
      </c>
      <c r="T57" s="379"/>
      <c r="U57" s="436">
        <f t="shared" si="9"/>
        <v>2694.8717980000001</v>
      </c>
      <c r="V57" s="444"/>
    </row>
    <row r="58" spans="3:22" ht="14.25" hidden="1">
      <c r="C58" s="1603" t="s">
        <v>825</v>
      </c>
      <c r="D58" s="1574"/>
      <c r="E58" s="1574"/>
      <c r="F58" s="1574"/>
      <c r="G58" s="1606">
        <f>SUM(G53:G57)</f>
        <v>1012.9712327255697</v>
      </c>
      <c r="H58" s="1606">
        <f t="shared" ref="H58:U58" si="15">SUM(H53:H57)</f>
        <v>1595.9983717544158</v>
      </c>
      <c r="I58" s="1606">
        <f t="shared" si="15"/>
        <v>1552.2487066185377</v>
      </c>
      <c r="J58" s="1606">
        <f t="shared" si="15"/>
        <v>1802.0175942265946</v>
      </c>
      <c r="K58" s="1606">
        <f t="shared" si="15"/>
        <v>1526.4531001186501</v>
      </c>
      <c r="L58" s="1606">
        <f t="shared" si="15"/>
        <v>1345.9213681679414</v>
      </c>
      <c r="M58" s="1606">
        <f t="shared" si="15"/>
        <v>824.88381510254794</v>
      </c>
      <c r="N58" s="1606">
        <f t="shared" si="15"/>
        <v>768.20188788654912</v>
      </c>
      <c r="O58" s="1606">
        <f t="shared" si="15"/>
        <v>891.7000160149131</v>
      </c>
      <c r="P58" s="1606">
        <f t="shared" si="15"/>
        <v>1048.2973176467999</v>
      </c>
      <c r="Q58" s="1606">
        <f t="shared" si="15"/>
        <v>973.57825861993774</v>
      </c>
      <c r="R58" s="1606">
        <f t="shared" si="15"/>
        <v>1054.61756996954</v>
      </c>
      <c r="S58" s="1606">
        <f t="shared" si="15"/>
        <v>14396.889238851996</v>
      </c>
      <c r="T58" s="1606">
        <f t="shared" si="15"/>
        <v>0</v>
      </c>
      <c r="U58" s="1607">
        <f t="shared" si="15"/>
        <v>14396.889238851996</v>
      </c>
      <c r="V58" s="444"/>
    </row>
    <row r="59" spans="3:22" ht="15" hidden="1" thickBot="1">
      <c r="C59" s="1611" t="s">
        <v>828</v>
      </c>
      <c r="D59" s="1612"/>
      <c r="E59" s="1612"/>
      <c r="F59" s="1612"/>
      <c r="G59" s="1613">
        <f t="shared" ref="G59" si="16">+G58+G52+G48+G30+G26</f>
        <v>5286.03399392557</v>
      </c>
      <c r="H59" s="1613">
        <f t="shared" ref="H59:U59" si="17">+H58+H52+H48+H30+H26</f>
        <v>6027.4055747544171</v>
      </c>
      <c r="I59" s="1613">
        <f t="shared" si="17"/>
        <v>5372.3568014185375</v>
      </c>
      <c r="J59" s="1613">
        <f t="shared" si="17"/>
        <v>5966.9312066665952</v>
      </c>
      <c r="K59" s="1613">
        <f t="shared" si="17"/>
        <v>6089.4027324386498</v>
      </c>
      <c r="L59" s="1613">
        <f t="shared" si="17"/>
        <v>5887.8987921679418</v>
      </c>
      <c r="M59" s="1613">
        <f t="shared" si="17"/>
        <v>5297.793466742547</v>
      </c>
      <c r="N59" s="1613">
        <f t="shared" si="17"/>
        <v>4742.7072450865489</v>
      </c>
      <c r="O59" s="1613">
        <f t="shared" si="17"/>
        <v>4900.3225398949126</v>
      </c>
      <c r="P59" s="1613">
        <f t="shared" si="17"/>
        <v>5150.7404916467995</v>
      </c>
      <c r="Q59" s="1613">
        <f t="shared" si="17"/>
        <v>5314.6506603043372</v>
      </c>
      <c r="R59" s="1613">
        <f t="shared" si="17"/>
        <v>6216.34908392954</v>
      </c>
      <c r="S59" s="1613">
        <f t="shared" si="17"/>
        <v>66252.592588976404</v>
      </c>
      <c r="T59" s="1613">
        <f t="shared" si="17"/>
        <v>0</v>
      </c>
      <c r="U59" s="1614">
        <f t="shared" si="17"/>
        <v>66252.592588976404</v>
      </c>
      <c r="V59" s="444"/>
    </row>
    <row r="60" spans="3:22" ht="19.5" customHeight="1">
      <c r="C60" s="1042" t="s">
        <v>394</v>
      </c>
      <c r="D60" s="1882" t="s">
        <v>144</v>
      </c>
      <c r="E60" s="1882"/>
      <c r="F60" s="1882"/>
      <c r="G60" s="1882"/>
      <c r="H60" s="1636"/>
      <c r="I60" s="1636"/>
      <c r="J60" s="451"/>
      <c r="K60" s="451"/>
      <c r="L60" s="451"/>
      <c r="M60" s="451"/>
      <c r="N60" s="451"/>
      <c r="O60" s="451"/>
      <c r="P60" s="451"/>
      <c r="Q60" s="451"/>
      <c r="R60" s="451"/>
      <c r="S60" s="451"/>
      <c r="T60" s="451"/>
      <c r="U60" s="451"/>
      <c r="V60" s="448"/>
    </row>
    <row r="61" spans="3:22" ht="21" customHeight="1" thickBot="1">
      <c r="C61" s="385" t="s">
        <v>646</v>
      </c>
      <c r="D61" s="1882"/>
      <c r="E61" s="1882"/>
      <c r="F61" s="1882"/>
      <c r="G61" s="1882"/>
      <c r="H61" s="1883"/>
      <c r="I61" s="1883"/>
    </row>
    <row r="62" spans="3:22">
      <c r="C62" s="1880" t="s">
        <v>92</v>
      </c>
      <c r="D62" s="1839" t="s">
        <v>93</v>
      </c>
      <c r="E62" s="1834" t="s">
        <v>489</v>
      </c>
      <c r="F62" s="1834" t="s">
        <v>145</v>
      </c>
      <c r="G62" s="1834" t="s">
        <v>518</v>
      </c>
      <c r="H62" s="1834"/>
      <c r="I62" s="1834"/>
      <c r="J62" s="1834"/>
      <c r="K62" s="1834"/>
      <c r="L62" s="1834"/>
      <c r="M62" s="1834"/>
      <c r="N62" s="1834"/>
      <c r="O62" s="1834"/>
      <c r="P62" s="1834"/>
      <c r="Q62" s="1834"/>
      <c r="R62" s="1834"/>
      <c r="S62" s="1834"/>
      <c r="T62" s="1834" t="s">
        <v>519</v>
      </c>
      <c r="U62" s="1877" t="s">
        <v>520</v>
      </c>
      <c r="V62" s="1879" t="s">
        <v>365</v>
      </c>
    </row>
    <row r="63" spans="3:22" ht="48" customHeight="1">
      <c r="C63" s="1881"/>
      <c r="D63" s="1710"/>
      <c r="E63" s="1840"/>
      <c r="F63" s="1840"/>
      <c r="G63" s="1515" t="s">
        <v>146</v>
      </c>
      <c r="H63" s="1515" t="s">
        <v>147</v>
      </c>
      <c r="I63" s="1515" t="s">
        <v>148</v>
      </c>
      <c r="J63" s="1515" t="s">
        <v>149</v>
      </c>
      <c r="K63" s="1515" t="s">
        <v>150</v>
      </c>
      <c r="L63" s="1515" t="s">
        <v>151</v>
      </c>
      <c r="M63" s="1515" t="s">
        <v>152</v>
      </c>
      <c r="N63" s="1515" t="s">
        <v>153</v>
      </c>
      <c r="O63" s="1515" t="s">
        <v>154</v>
      </c>
      <c r="P63" s="1515" t="s">
        <v>155</v>
      </c>
      <c r="Q63" s="1515" t="s">
        <v>156</v>
      </c>
      <c r="R63" s="1515" t="s">
        <v>157</v>
      </c>
      <c r="S63" s="1515" t="s">
        <v>98</v>
      </c>
      <c r="T63" s="1840"/>
      <c r="U63" s="1878"/>
      <c r="V63" s="1879"/>
    </row>
    <row r="64" spans="3:22">
      <c r="C64" s="1283" t="s">
        <v>100</v>
      </c>
      <c r="D64" s="1615"/>
      <c r="E64" s="1615"/>
      <c r="F64" s="1615"/>
      <c r="G64" s="1615"/>
      <c r="H64" s="1615"/>
      <c r="I64" s="1615"/>
      <c r="J64" s="1615"/>
      <c r="K64" s="1615"/>
      <c r="L64" s="1615"/>
      <c r="M64" s="1615"/>
      <c r="N64" s="1615"/>
      <c r="O64" s="1615"/>
      <c r="P64" s="1615"/>
      <c r="Q64" s="1615"/>
      <c r="R64" s="1615"/>
      <c r="S64" s="1615"/>
      <c r="T64" s="1615"/>
      <c r="U64" s="1616"/>
      <c r="V64" s="444"/>
    </row>
    <row r="65" spans="3:22" ht="14.25">
      <c r="C65" s="1600" t="s">
        <v>785</v>
      </c>
      <c r="D65" s="1568"/>
      <c r="E65" s="1568"/>
      <c r="F65" s="1568"/>
      <c r="G65" s="1568"/>
      <c r="H65" s="1568"/>
      <c r="I65" s="1568"/>
      <c r="J65" s="1568"/>
      <c r="K65" s="1568"/>
      <c r="L65" s="1568"/>
      <c r="M65" s="1568"/>
      <c r="N65" s="1568"/>
      <c r="O65" s="1568"/>
      <c r="P65" s="1568"/>
      <c r="Q65" s="1568"/>
      <c r="R65" s="1568"/>
      <c r="S65" s="1568"/>
      <c r="T65" s="1568"/>
      <c r="U65" s="1617"/>
      <c r="V65" s="445"/>
    </row>
    <row r="66" spans="3:22">
      <c r="C66" s="1451" t="s">
        <v>786</v>
      </c>
      <c r="D66" s="1569"/>
      <c r="E66" s="307">
        <v>30.099620128656685</v>
      </c>
      <c r="F66" s="1569"/>
      <c r="G66" s="307">
        <f>VLOOKUP($C66,'[1]Form 4.1'!$C$66:$U$118,7,0)</f>
        <v>278.18919885354762</v>
      </c>
      <c r="H66" s="307">
        <f>VLOOKUP($C66,'[1]Form 4.1'!$C$66:$U$118,8,0)</f>
        <v>296.22524944173961</v>
      </c>
      <c r="I66" s="307">
        <f>VLOOKUP($C66,'[1]Form 4.1'!$C$66:$U$118,9,0)</f>
        <v>280.23291535842037</v>
      </c>
      <c r="J66" s="307">
        <f>VLOOKUP($C66,'[1]Form 4.1'!$C$66:$U$118,10,0)</f>
        <v>235.48076582105719</v>
      </c>
      <c r="K66" s="307">
        <f>VLOOKUP($C66,'[1]Form 4.1'!$C$66:$U$118,11,0)</f>
        <v>204.01591067026914</v>
      </c>
      <c r="L66" s="307">
        <f>VLOOKUP($C66,'[1]Form 4.1'!$C$66:$U$118,12,0)</f>
        <v>206.87218804986119</v>
      </c>
      <c r="M66" s="307">
        <f>VLOOKUP($C66,'[1]Form 4.1'!$C$66:$U$118,13,0)</f>
        <v>292.24882445448179</v>
      </c>
      <c r="N66" s="307">
        <f>VLOOKUP($C66,'[1]Form 4.1'!$C$66:$U$118,14,0)</f>
        <v>244.97977306657205</v>
      </c>
      <c r="O66" s="307">
        <f>VLOOKUP($C66,'[1]Form 4.1'!$C$66:$U$118,15,0)</f>
        <v>273.19673379104262</v>
      </c>
      <c r="P66" s="307">
        <f>VLOOKUP($C66,'[1]Form 4.1'!$C$66:$U$118,16,0)</f>
        <v>254.34546017933991</v>
      </c>
      <c r="Q66" s="307">
        <f>VLOOKUP($C66,'[1]Form 4.1'!$C$66:$U$118,17,0)</f>
        <v>228.35070300899196</v>
      </c>
      <c r="R66" s="307">
        <f>VLOOKUP($C66,'[1]Form 4.1'!$C$66:$U$118,18,0)</f>
        <v>237.41607207191632</v>
      </c>
      <c r="S66" s="307">
        <f>'[1]Form 4.1'!U66</f>
        <v>3031.5537947672401</v>
      </c>
      <c r="T66" s="307"/>
      <c r="U66" s="436">
        <f t="shared" ref="U66:U83" si="18">S66-T66</f>
        <v>3031.5537947672401</v>
      </c>
      <c r="V66" s="445"/>
    </row>
    <row r="67" spans="3:22">
      <c r="C67" s="1451" t="s">
        <v>787</v>
      </c>
      <c r="D67" s="1569"/>
      <c r="E67" s="307">
        <v>28.769709113623044</v>
      </c>
      <c r="F67" s="1569"/>
      <c r="G67" s="307">
        <f>VLOOKUP($C67,'[1]Form 4.1'!$C$66:$U$118,7,0)</f>
        <v>113.40772107197698</v>
      </c>
      <c r="H67" s="307">
        <f>VLOOKUP($C67,'[1]Form 4.1'!$C$66:$U$118,8,0)</f>
        <v>110.81497691697543</v>
      </c>
      <c r="I67" s="307">
        <f>VLOOKUP($C67,'[1]Form 4.1'!$C$66:$U$118,9,0)</f>
        <v>127.76771100480545</v>
      </c>
      <c r="J67" s="307">
        <f>VLOOKUP($C67,'[1]Form 4.1'!$C$66:$U$118,10,0)</f>
        <v>112.96372154986366</v>
      </c>
      <c r="K67" s="307">
        <f>VLOOKUP($C67,'[1]Form 4.1'!$C$66:$U$118,11,0)</f>
        <v>94.08328314129227</v>
      </c>
      <c r="L67" s="307">
        <f>VLOOKUP($C67,'[1]Form 4.1'!$C$66:$U$118,12,0)</f>
        <v>102.16708935662497</v>
      </c>
      <c r="M67" s="307">
        <f>VLOOKUP($C67,'[1]Form 4.1'!$C$66:$U$118,13,0)</f>
        <v>117.88337808320061</v>
      </c>
      <c r="N67" s="307">
        <f>VLOOKUP($C67,'[1]Form 4.1'!$C$66:$U$118,14,0)</f>
        <v>116.27246884442404</v>
      </c>
      <c r="O67" s="307">
        <f>VLOOKUP($C67,'[1]Form 4.1'!$C$66:$U$118,15,0)</f>
        <v>58.074754787916248</v>
      </c>
      <c r="P67" s="307">
        <f>VLOOKUP($C67,'[1]Form 4.1'!$C$66:$U$118,16,0)</f>
        <v>24.597618748459141</v>
      </c>
      <c r="Q67" s="307">
        <f>VLOOKUP($C67,'[1]Form 4.1'!$C$66:$U$118,17,0)</f>
        <v>94.999794893175448</v>
      </c>
      <c r="R67" s="307">
        <f>VLOOKUP($C67,'[1]Form 4.1'!$C$66:$U$118,18,0)</f>
        <v>95.765684051335498</v>
      </c>
      <c r="S67" s="307">
        <f>'[1]Form 4.1'!U67</f>
        <v>1168.7982024500498</v>
      </c>
      <c r="T67" s="1569"/>
      <c r="U67" s="436">
        <f t="shared" si="18"/>
        <v>1168.7982024500498</v>
      </c>
      <c r="V67" s="445"/>
    </row>
    <row r="68" spans="3:22">
      <c r="C68" s="1451" t="s">
        <v>1117</v>
      </c>
      <c r="D68" s="1569"/>
      <c r="E68" s="307">
        <v>7.2209892826558129</v>
      </c>
      <c r="F68" s="1569"/>
      <c r="G68" s="307">
        <f>VLOOKUP($C68,'[1]Form 4.1'!$C$66:$U$118,7,0)</f>
        <v>0</v>
      </c>
      <c r="H68" s="307">
        <f>VLOOKUP($C68,'[1]Form 4.1'!$C$66:$U$118,8,0)</f>
        <v>0</v>
      </c>
      <c r="I68" s="307">
        <f>VLOOKUP($C68,'[1]Form 4.1'!$C$66:$U$118,9,0)</f>
        <v>0</v>
      </c>
      <c r="J68" s="307">
        <f>VLOOKUP($C68,'[1]Form 4.1'!$C$66:$U$118,10,0)</f>
        <v>0</v>
      </c>
      <c r="K68" s="307">
        <f>VLOOKUP($C68,'[1]Form 4.1'!$C$66:$U$118,11,0)</f>
        <v>0</v>
      </c>
      <c r="L68" s="307">
        <f>VLOOKUP($C68,'[1]Form 4.1'!$C$66:$U$118,12,0)</f>
        <v>0</v>
      </c>
      <c r="M68" s="307">
        <f>VLOOKUP($C68,'[1]Form 4.1'!$C$66:$U$118,13,0)</f>
        <v>0</v>
      </c>
      <c r="N68" s="307">
        <f>VLOOKUP($C68,'[1]Form 4.1'!$C$66:$U$118,14,0)</f>
        <v>0</v>
      </c>
      <c r="O68" s="307">
        <f>VLOOKUP($C68,'[1]Form 4.1'!$C$66:$U$118,15,0)</f>
        <v>0</v>
      </c>
      <c r="P68" s="307">
        <f>VLOOKUP($C68,'[1]Form 4.1'!$C$66:$U$118,16,0)</f>
        <v>167.25665181861351</v>
      </c>
      <c r="Q68" s="307">
        <f>VLOOKUP($C68,'[1]Form 4.1'!$C$66:$U$118,17,0)</f>
        <v>154.8753412961174</v>
      </c>
      <c r="R68" s="307">
        <f>VLOOKUP($C68,'[1]Form 4.1'!$C$66:$U$118,18,0)</f>
        <v>156.12394762098805</v>
      </c>
      <c r="S68" s="307">
        <f>'[1]Form 4.1'!U68</f>
        <v>478.25594073571892</v>
      </c>
      <c r="T68" s="1569"/>
      <c r="U68" s="436">
        <f t="shared" si="18"/>
        <v>478.25594073571892</v>
      </c>
      <c r="V68" s="445"/>
    </row>
    <row r="69" spans="3:22">
      <c r="C69" s="1451" t="s">
        <v>677</v>
      </c>
      <c r="D69" s="1569"/>
      <c r="E69" s="307">
        <v>24.565187361390308</v>
      </c>
      <c r="F69" s="1569"/>
      <c r="G69" s="307">
        <f>VLOOKUP($C69,'[1]Form 4.1'!$C$66:$U$118,7,0)</f>
        <v>76.848079753563326</v>
      </c>
      <c r="H69" s="307">
        <f>VLOOKUP($C69,'[1]Form 4.1'!$C$66:$U$118,8,0)</f>
        <v>85.356481179863465</v>
      </c>
      <c r="I69" s="307">
        <f>VLOOKUP($C69,'[1]Form 4.1'!$C$66:$U$118,9,0)</f>
        <v>92.628782967079388</v>
      </c>
      <c r="J69" s="307">
        <f>VLOOKUP($C69,'[1]Form 4.1'!$C$66:$U$118,10,0)</f>
        <v>85.219018175573069</v>
      </c>
      <c r="K69" s="307">
        <f>VLOOKUP($C69,'[1]Form 4.1'!$C$66:$U$118,11,0)</f>
        <v>76.012612924195793</v>
      </c>
      <c r="L69" s="307">
        <f>VLOOKUP($C69,'[1]Form 4.1'!$C$66:$U$118,12,0)</f>
        <v>73.062873464663369</v>
      </c>
      <c r="M69" s="307">
        <f>VLOOKUP($C69,'[1]Form 4.1'!$C$66:$U$118,13,0)</f>
        <v>66.97368893748542</v>
      </c>
      <c r="N69" s="307">
        <f>VLOOKUP($C69,'[1]Form 4.1'!$C$66:$U$118,14,0)</f>
        <v>66.058474799422655</v>
      </c>
      <c r="O69" s="307">
        <f>VLOOKUP($C69,'[1]Form 4.1'!$C$66:$U$118,15,0)</f>
        <v>49.07725756725317</v>
      </c>
      <c r="P69" s="307">
        <f>VLOOKUP($C69,'[1]Form 4.1'!$C$66:$U$118,16,0)</f>
        <v>45.095634372175091</v>
      </c>
      <c r="Q69" s="307">
        <f>VLOOKUP($C69,'[1]Form 4.1'!$C$66:$U$118,17,0)</f>
        <v>53.972721309444367</v>
      </c>
      <c r="R69" s="307">
        <f>VLOOKUP($C69,'[1]Form 4.1'!$C$66:$U$118,18,0)</f>
        <v>54.407849849814156</v>
      </c>
      <c r="S69" s="307">
        <f>'[1]Form 4.1'!U69</f>
        <v>824.71347530053333</v>
      </c>
      <c r="T69" s="1569"/>
      <c r="U69" s="436">
        <f t="shared" si="18"/>
        <v>824.71347530053333</v>
      </c>
      <c r="V69" s="445"/>
    </row>
    <row r="70" spans="3:22">
      <c r="C70" s="1451" t="s">
        <v>105</v>
      </c>
      <c r="D70" s="1569"/>
      <c r="E70" s="307">
        <v>28.169139367476316</v>
      </c>
      <c r="F70" s="1569"/>
      <c r="G70" s="307">
        <f>VLOOKUP($C70,'[1]Form 4.1'!$C$66:$U$118,7,0)</f>
        <v>104.13902762291698</v>
      </c>
      <c r="H70" s="307">
        <f>VLOOKUP($C70,'[1]Form 4.1'!$C$66:$U$118,8,0)</f>
        <v>106.30341084663942</v>
      </c>
      <c r="I70" s="307">
        <f>VLOOKUP($C70,'[1]Form 4.1'!$C$66:$U$118,9,0)</f>
        <v>101.83878089292126</v>
      </c>
      <c r="J70" s="307">
        <f>VLOOKUP($C70,'[1]Form 4.1'!$C$66:$U$118,10,0)</f>
        <v>54.642697573850285</v>
      </c>
      <c r="K70" s="307">
        <f>VLOOKUP($C70,'[1]Form 4.1'!$C$66:$U$118,11,0)</f>
        <v>92.233871900814989</v>
      </c>
      <c r="L70" s="307">
        <f>VLOOKUP($C70,'[1]Form 4.1'!$C$66:$U$118,12,0)</f>
        <v>96.42126423775278</v>
      </c>
      <c r="M70" s="307">
        <f>VLOOKUP($C70,'[1]Form 4.1'!$C$66:$U$118,13,0)</f>
        <v>73.062206113620462</v>
      </c>
      <c r="N70" s="307">
        <f>VLOOKUP($C70,'[1]Form 4.1'!$C$66:$U$118,14,0)</f>
        <v>65.468732457445981</v>
      </c>
      <c r="O70" s="307">
        <f>VLOOKUP($C70,'[1]Form 4.1'!$C$66:$U$118,15,0)</f>
        <v>69.777259572999498</v>
      </c>
      <c r="P70" s="307">
        <f>VLOOKUP($C70,'[1]Form 4.1'!$C$66:$U$118,16,0)</f>
        <v>63.586365044834977</v>
      </c>
      <c r="Q70" s="307">
        <f>VLOOKUP($C70,'[1]Form 4.1'!$C$66:$U$118,17,0)</f>
        <v>58.879332337575669</v>
      </c>
      <c r="R70" s="307">
        <f>VLOOKUP($C70,'[1]Form 4.1'!$C$66:$U$118,18,0)</f>
        <v>59.35401801797908</v>
      </c>
      <c r="S70" s="307">
        <f>'[1]Form 4.1'!U70</f>
        <v>945.70696661935142</v>
      </c>
      <c r="T70" s="1569"/>
      <c r="U70" s="436">
        <f t="shared" si="18"/>
        <v>945.70696661935142</v>
      </c>
      <c r="V70" s="445"/>
    </row>
    <row r="71" spans="3:22">
      <c r="C71" s="1451" t="s">
        <v>399</v>
      </c>
      <c r="D71" s="1569"/>
      <c r="E71" s="307">
        <v>24.6121526032201</v>
      </c>
      <c r="F71" s="1569"/>
      <c r="G71" s="307">
        <f>VLOOKUP($C71,'[1]Form 4.1'!$C$66:$U$118,7,0)</f>
        <v>43.634709370716266</v>
      </c>
      <c r="H71" s="307">
        <f>VLOOKUP($C71,'[1]Form 4.1'!$C$66:$U$118,8,0)</f>
        <v>45.313535890143037</v>
      </c>
      <c r="I71" s="307">
        <f>VLOOKUP($C71,'[1]Form 4.1'!$C$66:$U$118,9,0)</f>
        <v>41.301772995192742</v>
      </c>
      <c r="J71" s="307">
        <f>VLOOKUP($C71,'[1]Form 4.1'!$C$66:$U$118,10,0)</f>
        <v>40.205139663615462</v>
      </c>
      <c r="K71" s="307">
        <f>VLOOKUP($C71,'[1]Form 4.1'!$C$66:$U$118,11,0)</f>
        <v>2.9446234448002997</v>
      </c>
      <c r="L71" s="307">
        <f>VLOOKUP($C71,'[1]Form 4.1'!$C$66:$U$118,12,0)</f>
        <v>41.383839466723465</v>
      </c>
      <c r="M71" s="307">
        <f>VLOOKUP($C71,'[1]Form 4.1'!$C$66:$U$118,13,0)</f>
        <v>36.531103056810231</v>
      </c>
      <c r="N71" s="307">
        <f>VLOOKUP($C71,'[1]Form 4.1'!$C$66:$U$118,14,0)</f>
        <v>36.031895345139631</v>
      </c>
      <c r="O71" s="307">
        <f>VLOOKUP($C71,'[1]Form 4.1'!$C$66:$U$118,15,0)</f>
        <v>34.888629786499749</v>
      </c>
      <c r="P71" s="307">
        <f>VLOOKUP($C71,'[1]Form 4.1'!$C$66:$U$118,16,0)</f>
        <v>31.793182522417489</v>
      </c>
      <c r="Q71" s="307">
        <f>VLOOKUP($C71,'[1]Form 4.1'!$C$66:$U$118,17,0)</f>
        <v>29.439666168787834</v>
      </c>
      <c r="R71" s="307">
        <f>VLOOKUP($C71,'[1]Form 4.1'!$C$66:$U$118,18,0)</f>
        <v>29.67700900898954</v>
      </c>
      <c r="S71" s="307">
        <f>'[1]Form 4.1'!U71</f>
        <v>413.14510671983572</v>
      </c>
      <c r="T71" s="1569"/>
      <c r="U71" s="436">
        <f t="shared" si="18"/>
        <v>413.14510671983572</v>
      </c>
      <c r="V71" s="445"/>
    </row>
    <row r="72" spans="3:22">
      <c r="C72" s="1451" t="s">
        <v>678</v>
      </c>
      <c r="D72" s="1569"/>
      <c r="E72" s="307">
        <v>25.531989370611168</v>
      </c>
      <c r="F72" s="1569"/>
      <c r="G72" s="307">
        <f>VLOOKUP($C72,'[1]Form 4.1'!$C$66:$U$118,7,0)</f>
        <v>107.30657787947031</v>
      </c>
      <c r="H72" s="307">
        <f>VLOOKUP($C72,'[1]Form 4.1'!$C$66:$U$118,8,0)</f>
        <v>129.24843400896518</v>
      </c>
      <c r="I72" s="307">
        <f>VLOOKUP($C72,'[1]Form 4.1'!$C$66:$U$118,9,0)</f>
        <v>131.11948760794149</v>
      </c>
      <c r="J72" s="307">
        <f>VLOOKUP($C72,'[1]Form 4.1'!$C$66:$U$118,10,0)</f>
        <v>129.21055362374906</v>
      </c>
      <c r="K72" s="307">
        <f>VLOOKUP($C72,'[1]Form 4.1'!$C$66:$U$118,11,0)</f>
        <v>108.06493927810708</v>
      </c>
      <c r="L72" s="307">
        <f>VLOOKUP($C72,'[1]Form 4.1'!$C$66:$U$118,12,0)</f>
        <v>94.346886319621277</v>
      </c>
      <c r="M72" s="307">
        <f>VLOOKUP($C72,'[1]Form 4.1'!$C$66:$U$118,13,0)</f>
        <v>117.11076405116884</v>
      </c>
      <c r="N72" s="307">
        <f>VLOOKUP($C72,'[1]Form 4.1'!$C$66:$U$118,14,0)</f>
        <v>48.573575694234108</v>
      </c>
      <c r="O72" s="307">
        <f>VLOOKUP($C72,'[1]Form 4.1'!$C$66:$U$118,15,0)</f>
        <v>111.84535229175512</v>
      </c>
      <c r="P72" s="307">
        <f>VLOOKUP($C72,'[1]Form 4.1'!$C$66:$U$118,16,0)</f>
        <v>101.92202220196761</v>
      </c>
      <c r="Q72" s="307">
        <f>VLOOKUP($C72,'[1]Form 4.1'!$C$66:$U$118,17,0)</f>
        <v>94.377161102321537</v>
      </c>
      <c r="R72" s="307">
        <f>VLOOKUP($C72,'[1]Form 4.1'!$C$66:$U$118,18,0)</f>
        <v>95.138030581539596</v>
      </c>
      <c r="S72" s="307">
        <f>'[1]Form 4.1'!U72</f>
        <v>1268.2637846408413</v>
      </c>
      <c r="T72" s="1569"/>
      <c r="U72" s="436">
        <f t="shared" si="18"/>
        <v>1268.2637846408413</v>
      </c>
      <c r="V72" s="445"/>
    </row>
    <row r="73" spans="3:22" ht="14.25">
      <c r="C73" s="1603" t="s">
        <v>788</v>
      </c>
      <c r="D73" s="1574"/>
      <c r="E73" s="1574"/>
      <c r="F73" s="1574"/>
      <c r="G73" s="1618">
        <f t="shared" ref="G73:S73" si="19">SUM(G66:G72)</f>
        <v>723.52531455219139</v>
      </c>
      <c r="H73" s="1618">
        <f t="shared" si="19"/>
        <v>773.26208828432618</v>
      </c>
      <c r="I73" s="1618">
        <f t="shared" si="19"/>
        <v>774.88945082636064</v>
      </c>
      <c r="J73" s="1618">
        <f t="shared" si="19"/>
        <v>657.72189640770875</v>
      </c>
      <c r="K73" s="1618">
        <f t="shared" si="19"/>
        <v>577.35524135947958</v>
      </c>
      <c r="L73" s="1618">
        <f t="shared" si="19"/>
        <v>614.25414089524702</v>
      </c>
      <c r="M73" s="1618">
        <f t="shared" si="19"/>
        <v>703.80996469676745</v>
      </c>
      <c r="N73" s="1618">
        <f t="shared" si="19"/>
        <v>577.38492020723845</v>
      </c>
      <c r="O73" s="1618">
        <f t="shared" si="19"/>
        <v>596.85998779746637</v>
      </c>
      <c r="P73" s="1618">
        <f t="shared" si="19"/>
        <v>688.59693488780772</v>
      </c>
      <c r="Q73" s="1618">
        <f t="shared" si="19"/>
        <v>714.89472011641431</v>
      </c>
      <c r="R73" s="1618">
        <f t="shared" si="19"/>
        <v>727.88261120256232</v>
      </c>
      <c r="S73" s="1618">
        <f t="shared" si="19"/>
        <v>8130.4372712335708</v>
      </c>
      <c r="T73" s="1618">
        <f t="shared" ref="T73" si="20">SUM(T66:T72)</f>
        <v>0</v>
      </c>
      <c r="U73" s="1619">
        <f t="shared" ref="U73" si="21">SUM(U66:U72)</f>
        <v>8130.4372712335708</v>
      </c>
      <c r="V73" s="445"/>
    </row>
    <row r="74" spans="3:22">
      <c r="C74" s="1451" t="s">
        <v>789</v>
      </c>
      <c r="D74" s="1569"/>
      <c r="E74" s="307">
        <v>3.1205730082298948</v>
      </c>
      <c r="F74" s="1569"/>
      <c r="G74" s="307">
        <f>VLOOKUP($C74,'[1]Form 4.1'!$C$66:$U$118,7,0)</f>
        <v>1.884990503615233</v>
      </c>
      <c r="H74" s="307">
        <f>VLOOKUP($C74,'[1]Form 4.1'!$C$66:$U$118,8,0)</f>
        <v>-2.9271218998878509E-2</v>
      </c>
      <c r="I74" s="307">
        <f>VLOOKUP($C74,'[1]Form 4.1'!$C$66:$U$118,9,0)</f>
        <v>-0.12470622326624485</v>
      </c>
      <c r="J74" s="307">
        <f>VLOOKUP($C74,'[1]Form 4.1'!$C$66:$U$118,10,0)</f>
        <v>-7.2031003184336001E-2</v>
      </c>
      <c r="K74" s="307">
        <f>VLOOKUP($C74,'[1]Form 4.1'!$C$66:$U$118,11,0)</f>
        <v>9.4397487248675985E-2</v>
      </c>
      <c r="L74" s="307">
        <f>VLOOKUP($C74,'[1]Form 4.1'!$C$66:$U$118,12,0)</f>
        <v>-8.6021665497016023E-2</v>
      </c>
      <c r="M74" s="307">
        <f>VLOOKUP($C74,'[1]Form 4.1'!$C$66:$U$118,13,0)</f>
        <v>53.100620758198481</v>
      </c>
      <c r="N74" s="307">
        <f>VLOOKUP($C74,'[1]Form 4.1'!$C$66:$U$118,14,0)</f>
        <v>50.685470289635596</v>
      </c>
      <c r="O74" s="307">
        <f>VLOOKUP($C74,'[1]Form 4.1'!$C$66:$U$118,15,0)</f>
        <v>43.351577517740303</v>
      </c>
      <c r="P74" s="307">
        <f>VLOOKUP($C74,'[1]Form 4.1'!$C$66:$U$118,16,0)</f>
        <v>24.970309941617611</v>
      </c>
      <c r="Q74" s="307">
        <f>VLOOKUP($C74,'[1]Form 4.1'!$C$66:$U$118,17,0)</f>
        <v>18.445129483763488</v>
      </c>
      <c r="R74" s="307">
        <f>VLOOKUP($C74,'[1]Form 4.1'!$C$66:$U$118,18,0)</f>
        <v>16.734450847740362</v>
      </c>
      <c r="S74" s="307">
        <f>'[1]Form 4.1'!U74</f>
        <v>208.95491671861328</v>
      </c>
      <c r="T74" s="1569"/>
      <c r="U74" s="436">
        <f t="shared" si="18"/>
        <v>208.95491671861328</v>
      </c>
      <c r="V74" s="445"/>
    </row>
    <row r="75" spans="3:22">
      <c r="C75" s="1451" t="s">
        <v>782</v>
      </c>
      <c r="D75" s="1569"/>
      <c r="E75" s="307">
        <v>3.5290461081314008</v>
      </c>
      <c r="F75" s="1569"/>
      <c r="G75" s="307">
        <f>VLOOKUP($C75,'[1]Form 4.1'!$C$66:$U$118,7,0)</f>
        <v>2.2511872292760925E-2</v>
      </c>
      <c r="H75" s="307">
        <f>VLOOKUP($C75,'[1]Form 4.1'!$C$66:$U$118,8,0)</f>
        <v>-1.4489947975743142E-2</v>
      </c>
      <c r="I75" s="307">
        <f>VLOOKUP($C75,'[1]Form 4.1'!$C$66:$U$118,9,0)</f>
        <v>-1.4485138267156568E-2</v>
      </c>
      <c r="J75" s="307">
        <f>VLOOKUP($C75,'[1]Form 4.1'!$C$66:$U$118,10,0)</f>
        <v>-1.1788994419283518E-2</v>
      </c>
      <c r="K75" s="307">
        <f>VLOOKUP($C75,'[1]Form 4.1'!$C$66:$U$118,11,0)</f>
        <v>-1.1095156545902887E-2</v>
      </c>
      <c r="L75" s="307">
        <f>VLOOKUP($C75,'[1]Form 4.1'!$C$66:$U$118,12,0)</f>
        <v>-1.1294424500737955E-2</v>
      </c>
      <c r="M75" s="307">
        <f>VLOOKUP($C75,'[1]Form 4.1'!$C$66:$U$118,13,0)</f>
        <v>8.992847063888453</v>
      </c>
      <c r="N75" s="307">
        <f>VLOOKUP($C75,'[1]Form 4.1'!$C$66:$U$118,14,0)</f>
        <v>8.4475783816059327</v>
      </c>
      <c r="O75" s="307">
        <f>VLOOKUP($C75,'[1]Form 4.1'!$C$66:$U$118,15,0)</f>
        <v>6.1346571959066463</v>
      </c>
      <c r="P75" s="307">
        <f>VLOOKUP($C75,'[1]Form 4.1'!$C$66:$U$118,16,0)</f>
        <v>1.8634559657923591</v>
      </c>
      <c r="Q75" s="307">
        <f>VLOOKUP($C75,'[1]Form 4.1'!$C$66:$U$118,17,0)</f>
        <v>1.1067077690258091</v>
      </c>
      <c r="R75" s="307">
        <f>VLOOKUP($C75,'[1]Form 4.1'!$C$66:$U$118,18,0)</f>
        <v>1.1156300565160242</v>
      </c>
      <c r="S75" s="307">
        <f>'[1]Form 4.1'!U75</f>
        <v>27.620234643319161</v>
      </c>
      <c r="T75" s="1569"/>
      <c r="U75" s="436">
        <f t="shared" si="18"/>
        <v>27.620234643319161</v>
      </c>
      <c r="V75" s="445"/>
    </row>
    <row r="76" spans="3:22">
      <c r="C76" s="1451" t="s">
        <v>790</v>
      </c>
      <c r="D76" s="1569"/>
      <c r="E76" s="307">
        <v>6.0474564685931096</v>
      </c>
      <c r="F76" s="1569"/>
      <c r="G76" s="307">
        <f>VLOOKUP($C76,'[1]Form 4.1'!$C$66:$U$118,7,0)</f>
        <v>8.3538869315844366E-2</v>
      </c>
      <c r="H76" s="307">
        <f>VLOOKUP($C76,'[1]Form 4.1'!$C$66:$U$118,8,0)</f>
        <v>-2.6989056161677811E-2</v>
      </c>
      <c r="I76" s="307">
        <f>VLOOKUP($C76,'[1]Form 4.1'!$C$66:$U$118,9,0)</f>
        <v>-4.1195089483456168E-2</v>
      </c>
      <c r="J76" s="307">
        <f>VLOOKUP($C76,'[1]Form 4.1'!$C$66:$U$118,10,0)</f>
        <v>-3.6015501592168001E-2</v>
      </c>
      <c r="K76" s="307">
        <f>VLOOKUP($C76,'[1]Form 4.1'!$C$66:$U$118,11,0)</f>
        <v>5.0650537807796124E-2</v>
      </c>
      <c r="L76" s="307">
        <f>VLOOKUP($C76,'[1]Form 4.1'!$C$66:$U$118,12,0)</f>
        <v>-3.4013862438361145E-2</v>
      </c>
      <c r="M76" s="307">
        <f>VLOOKUP($C76,'[1]Form 4.1'!$C$66:$U$118,13,0)</f>
        <v>9.4210778764545697</v>
      </c>
      <c r="N76" s="307">
        <f>VLOOKUP($C76,'[1]Form 4.1'!$C$66:$U$118,14,0)</f>
        <v>8.4475783816059327</v>
      </c>
      <c r="O76" s="307">
        <f>VLOOKUP($C76,'[1]Form 4.1'!$C$66:$U$118,15,0)</f>
        <v>2.862840024756435</v>
      </c>
      <c r="P76" s="307">
        <f>VLOOKUP($C76,'[1]Form 4.1'!$C$66:$U$118,16,0)</f>
        <v>1.8634559657923591</v>
      </c>
      <c r="Q76" s="307">
        <f>VLOOKUP($C76,'[1]Form 4.1'!$C$66:$U$118,17,0)</f>
        <v>1.8445129483763487</v>
      </c>
      <c r="R76" s="307">
        <f>VLOOKUP($C76,'[1]Form 4.1'!$C$66:$U$118,18,0)</f>
        <v>1.8593834275267067</v>
      </c>
      <c r="S76" s="307">
        <f>'[1]Form 4.1'!U76</f>
        <v>26.294824521960329</v>
      </c>
      <c r="T76" s="1569"/>
      <c r="U76" s="436">
        <f t="shared" si="18"/>
        <v>26.294824521960329</v>
      </c>
      <c r="V76" s="445"/>
    </row>
    <row r="77" spans="3:22">
      <c r="C77" s="1451" t="s">
        <v>791</v>
      </c>
      <c r="D77" s="1569"/>
      <c r="E77" s="307">
        <v>8.368373060039346</v>
      </c>
      <c r="F77" s="1569"/>
      <c r="G77" s="307">
        <f>VLOOKUP($C77,'[1]Form 4.1'!$C$66:$U$118,7,0)</f>
        <v>9.3284523847248355</v>
      </c>
      <c r="H77" s="307">
        <f>VLOOKUP($C77,'[1]Form 4.1'!$C$66:$U$118,8,0)</f>
        <v>14.13403852936448</v>
      </c>
      <c r="I77" s="307">
        <f>VLOOKUP($C77,'[1]Form 4.1'!$C$66:$U$118,9,0)</f>
        <v>13.589893708571999</v>
      </c>
      <c r="J77" s="307">
        <f>VLOOKUP($C77,'[1]Form 4.1'!$C$66:$U$118,10,0)</f>
        <v>14.145899097663259</v>
      </c>
      <c r="K77" s="307">
        <f>VLOOKUP($C77,'[1]Form 4.1'!$C$66:$U$118,11,0)</f>
        <v>15.321814937865041</v>
      </c>
      <c r="L77" s="307">
        <f>VLOOKUP($C77,'[1]Form 4.1'!$C$66:$U$118,12,0)</f>
        <v>9.7675372808329186</v>
      </c>
      <c r="M77" s="307">
        <f>VLOOKUP($C77,'[1]Form 4.1'!$C$66:$U$118,13,0)</f>
        <v>19.270386565475256</v>
      </c>
      <c r="N77" s="307">
        <f>VLOOKUP($C77,'[1]Form 4.1'!$C$66:$U$118,14,0)</f>
        <v>18.162293520452756</v>
      </c>
      <c r="O77" s="307">
        <f>VLOOKUP($C77,'[1]Form 4.1'!$C$66:$U$118,15,0)</f>
        <v>16.768063002144832</v>
      </c>
      <c r="P77" s="307">
        <f>VLOOKUP($C77,'[1]Form 4.1'!$C$66:$U$118,16,0)</f>
        <v>14.5349565331804</v>
      </c>
      <c r="Q77" s="307">
        <f>VLOOKUP($C77,'[1]Form 4.1'!$C$66:$U$118,17,0)</f>
        <v>14.75610358701079</v>
      </c>
      <c r="R77" s="307">
        <f>VLOOKUP($C77,'[1]Form 4.1'!$C$66:$U$118,18,0)</f>
        <v>14.875067420213654</v>
      </c>
      <c r="S77" s="307">
        <f>'[1]Form 4.1'!U77</f>
        <v>174.65450656750022</v>
      </c>
      <c r="T77" s="1569"/>
      <c r="U77" s="436">
        <f t="shared" si="18"/>
        <v>174.65450656750022</v>
      </c>
      <c r="V77" s="445"/>
    </row>
    <row r="78" spans="3:22">
      <c r="C78" s="1451" t="s">
        <v>792</v>
      </c>
      <c r="D78" s="1569"/>
      <c r="E78" s="307">
        <v>10.442041663601053</v>
      </c>
      <c r="F78" s="1569"/>
      <c r="G78" s="307">
        <f>VLOOKUP($C78,'[1]Form 4.1'!$C$66:$U$118,7,0)</f>
        <v>31.650334743975911</v>
      </c>
      <c r="H78" s="307">
        <f>VLOOKUP($C78,'[1]Form 4.1'!$C$66:$U$118,8,0)</f>
        <v>35.062670378106759</v>
      </c>
      <c r="I78" s="307">
        <f>VLOOKUP($C78,'[1]Form 4.1'!$C$66:$U$118,9,0)</f>
        <v>30.389828091314595</v>
      </c>
      <c r="J78" s="307">
        <f>VLOOKUP($C78,'[1]Form 4.1'!$C$66:$U$118,10,0)</f>
        <v>34.95039877114521</v>
      </c>
      <c r="K78" s="307">
        <f>VLOOKUP($C78,'[1]Form 4.1'!$C$66:$U$118,11,0)</f>
        <v>35.071779667889857</v>
      </c>
      <c r="L78" s="307">
        <f>VLOOKUP($C78,'[1]Form 4.1'!$C$66:$U$118,12,0)</f>
        <v>34.665725584565322</v>
      </c>
      <c r="M78" s="307">
        <f>VLOOKUP($C78,'[1]Form 4.1'!$C$66:$U$118,13,0)</f>
        <v>41.966619631479446</v>
      </c>
      <c r="N78" s="307">
        <f>VLOOKUP($C78,'[1]Form 4.1'!$C$66:$U$118,14,0)</f>
        <v>41.39313406986907</v>
      </c>
      <c r="O78" s="307">
        <f>VLOOKUP($C78,'[1]Form 4.1'!$C$66:$U$118,15,0)</f>
        <v>36.807943175439874</v>
      </c>
      <c r="P78" s="307">
        <f>VLOOKUP($C78,'[1]Form 4.1'!$C$66:$U$118,16,0)</f>
        <v>29.815295452677745</v>
      </c>
      <c r="Q78" s="307">
        <f>VLOOKUP($C78,'[1]Form 4.1'!$C$66:$U$118,17,0)</f>
        <v>32.463427891423734</v>
      </c>
      <c r="R78" s="307">
        <f>VLOOKUP($C78,'[1]Form 4.1'!$C$66:$U$118,18,0)</f>
        <v>33.468901695480724</v>
      </c>
      <c r="S78" s="307">
        <f>'[1]Form 4.1'!U78</f>
        <v>417.7060591533683</v>
      </c>
      <c r="T78" s="1569"/>
      <c r="U78" s="436">
        <f t="shared" si="18"/>
        <v>417.7060591533683</v>
      </c>
      <c r="V78" s="445"/>
    </row>
    <row r="79" spans="3:22">
      <c r="C79" s="1451" t="s">
        <v>793</v>
      </c>
      <c r="D79" s="1569"/>
      <c r="E79" s="307">
        <v>17.244434504764172</v>
      </c>
      <c r="F79" s="1569"/>
      <c r="G79" s="307">
        <f>VLOOKUP($C79,'[1]Form 4.1'!$C$66:$U$118,7,0)</f>
        <v>1.0307773840037002</v>
      </c>
      <c r="H79" s="307">
        <f>VLOOKUP($C79,'[1]Form 4.1'!$C$66:$U$118,8,0)</f>
        <v>-6.2384806419833544E-2</v>
      </c>
      <c r="I79" s="307">
        <f>VLOOKUP($C79,'[1]Form 4.1'!$C$66:$U$118,9,0)</f>
        <v>-6.4382840531869975E-2</v>
      </c>
      <c r="J79" s="307">
        <f>VLOOKUP($C79,'[1]Form 4.1'!$C$66:$U$118,10,0)</f>
        <v>0.62139981826255686</v>
      </c>
      <c r="K79" s="307">
        <f>VLOOKUP($C79,'[1]Form 4.1'!$C$66:$U$118,11,0)</f>
        <v>3.3470874586971102</v>
      </c>
      <c r="L79" s="307">
        <f>VLOOKUP($C79,'[1]Form 4.1'!$C$66:$U$118,12,0)</f>
        <v>3.8086771916814608</v>
      </c>
      <c r="M79" s="307">
        <f>VLOOKUP($C79,'[1]Form 4.1'!$C$66:$U$118,13,0)</f>
        <v>5.1987220645526584</v>
      </c>
      <c r="N79" s="307">
        <f>VLOOKUP($C79,'[1]Form 4.1'!$C$66:$U$118,14,0)</f>
        <v>5.1276800776348015</v>
      </c>
      <c r="O79" s="307">
        <f>VLOOKUP($C79,'[1]Form 4.1'!$C$66:$U$118,15,0)</f>
        <v>4.9649825572204458</v>
      </c>
      <c r="P79" s="307">
        <f>VLOOKUP($C79,'[1]Form 4.1'!$C$66:$U$118,16,0)</f>
        <v>4.5244710849438485</v>
      </c>
      <c r="Q79" s="307">
        <f>VLOOKUP($C79,'[1]Form 4.1'!$C$66:$U$118,17,0)</f>
        <v>4.4784774386577748</v>
      </c>
      <c r="R79" s="307">
        <f>VLOOKUP($C79,'[1]Form 4.1'!$C$66:$U$118,18,0)</f>
        <v>4.5145829620348445</v>
      </c>
      <c r="S79" s="307">
        <f>'[1]Form 4.1'!U79</f>
        <v>37.4900903907375</v>
      </c>
      <c r="T79" s="1569"/>
      <c r="U79" s="436">
        <f t="shared" si="18"/>
        <v>37.4900903907375</v>
      </c>
      <c r="V79" s="446">
        <f t="shared" ref="V79" si="22">SUM(V65:V78)</f>
        <v>0</v>
      </c>
    </row>
    <row r="80" spans="3:22">
      <c r="C80" s="1451" t="s">
        <v>783</v>
      </c>
      <c r="D80" s="1569"/>
      <c r="E80" s="307">
        <v>0.5925344242636833</v>
      </c>
      <c r="F80" s="1569"/>
      <c r="G80" s="307">
        <f>VLOOKUP($C80,'[1]Form 4.1'!$C$66:$U$118,7,0)</f>
        <v>-4.3182337900509937E-3</v>
      </c>
      <c r="H80" s="307">
        <f>VLOOKUP($C80,'[1]Form 4.1'!$C$66:$U$118,8,0)</f>
        <v>-8.0931447675407688E-3</v>
      </c>
      <c r="I80" s="307">
        <f>VLOOKUP($C80,'[1]Form 4.1'!$C$66:$U$118,9,0)</f>
        <v>-7.8939239498035819E-3</v>
      </c>
      <c r="J80" s="307">
        <f>VLOOKUP($C80,'[1]Form 4.1'!$C$66:$U$118,10,0)</f>
        <v>-8.1248259461135577E-3</v>
      </c>
      <c r="K80" s="307">
        <f>VLOOKUP($C80,'[1]Form 4.1'!$C$66:$U$118,11,0)</f>
        <v>-1.0080329055966196E-2</v>
      </c>
      <c r="L80" s="307">
        <f>VLOOKUP($C80,'[1]Form 4.1'!$C$66:$U$118,12,0)</f>
        <v>-8.4916974205770136E-3</v>
      </c>
      <c r="M80" s="307">
        <f>VLOOKUP($C80,'[1]Form 4.1'!$C$66:$U$118,13,0)</f>
        <v>0.37256080693252158</v>
      </c>
      <c r="N80" s="307">
        <f>VLOOKUP($C80,'[1]Form 4.1'!$C$66:$U$118,14,0)</f>
        <v>0.27581343415943371</v>
      </c>
      <c r="O80" s="307">
        <f>VLOOKUP($C80,'[1]Form 4.1'!$C$66:$U$118,15,0)</f>
        <v>0.26706207659513603</v>
      </c>
      <c r="P80" s="307">
        <f>VLOOKUP($C80,'[1]Form 4.1'!$C$66:$U$118,16,0)</f>
        <v>0.16212066902393524</v>
      </c>
      <c r="Q80" s="307">
        <f>VLOOKUP($C80,'[1]Form 4.1'!$C$66:$U$118,17,0)</f>
        <v>0</v>
      </c>
      <c r="R80" s="307">
        <f>VLOOKUP($C80,'[1]Form 4.1'!$C$66:$U$118,18,0)</f>
        <v>0</v>
      </c>
      <c r="S80" s="307">
        <f>'[1]Form 4.1'!U80</f>
        <v>1.0305548317809745</v>
      </c>
      <c r="T80" s="1569"/>
      <c r="U80" s="436">
        <f t="shared" si="18"/>
        <v>1.0305548317809745</v>
      </c>
      <c r="V80" s="444"/>
    </row>
    <row r="81" spans="3:22">
      <c r="C81" s="1451" t="s">
        <v>794</v>
      </c>
      <c r="D81" s="1569"/>
      <c r="E81" s="307">
        <v>13.771901023624288</v>
      </c>
      <c r="F81" s="1569"/>
      <c r="G81" s="307">
        <f>VLOOKUP($C81,'[1]Form 4.1'!$C$66:$U$118,7,0)</f>
        <v>0.10421126511927997</v>
      </c>
      <c r="H81" s="307">
        <f>VLOOKUP($C81,'[1]Form 4.1'!$C$66:$U$118,8,0)</f>
        <v>-9.5255492335333453E-4</v>
      </c>
      <c r="I81" s="307">
        <f>VLOOKUP($C81,'[1]Form 4.1'!$C$66:$U$118,9,0)</f>
        <v>0.10103606130599854</v>
      </c>
      <c r="J81" s="307">
        <f>VLOOKUP($C81,'[1]Form 4.1'!$C$66:$U$118,10,0)</f>
        <v>0.14241677996703639</v>
      </c>
      <c r="K81" s="307">
        <f>VLOOKUP($C81,'[1]Form 4.1'!$C$66:$U$118,11,0)</f>
        <v>0.14418507651060761</v>
      </c>
      <c r="L81" s="307">
        <f>VLOOKUP($C81,'[1]Form 4.1'!$C$66:$U$118,12,0)</f>
        <v>0.15488455217468022</v>
      </c>
      <c r="M81" s="307">
        <f>VLOOKUP($C81,'[1]Form 4.1'!$C$66:$U$118,13,0)</f>
        <v>2.9976156879628176E-2</v>
      </c>
      <c r="N81" s="307">
        <f>VLOOKUP($C81,'[1]Form 4.1'!$C$66:$U$118,14,0)</f>
        <v>2.1118945954014832E-2</v>
      </c>
      <c r="O81" s="307">
        <f>VLOOKUP($C81,'[1]Form 4.1'!$C$66:$U$118,15,0)</f>
        <v>0.11451360099025741</v>
      </c>
      <c r="P81" s="307">
        <f>VLOOKUP($C81,'[1]Form 4.1'!$C$66:$U$118,16,0)</f>
        <v>0.14534956533180401</v>
      </c>
      <c r="Q81" s="307">
        <f>VLOOKUP($C81,'[1]Form 4.1'!$C$66:$U$118,17,0)</f>
        <v>0.10329272510907553</v>
      </c>
      <c r="R81" s="307">
        <f>VLOOKUP($C81,'[1]Form 4.1'!$C$66:$U$118,18,0)</f>
        <v>0.1375943736369763</v>
      </c>
      <c r="S81" s="307">
        <f>'[1]Form 4.1'!U81</f>
        <v>1.1976265480560058</v>
      </c>
      <c r="T81" s="1569"/>
      <c r="U81" s="436">
        <f t="shared" si="18"/>
        <v>1.1976265480560058</v>
      </c>
      <c r="V81" s="445"/>
    </row>
    <row r="82" spans="3:22">
      <c r="C82" s="1451" t="s">
        <v>795</v>
      </c>
      <c r="D82" s="1569"/>
      <c r="E82" s="307">
        <v>25.369091349784451</v>
      </c>
      <c r="F82" s="1569"/>
      <c r="G82" s="307">
        <f>VLOOKUP($C82,'[1]Form 4.1'!$C$66:$U$118,7,0)</f>
        <v>9.7219324264157176</v>
      </c>
      <c r="H82" s="307">
        <f>VLOOKUP($C82,'[1]Form 4.1'!$C$66:$U$118,8,0)</f>
        <v>12.918788009248763</v>
      </c>
      <c r="I82" s="307">
        <f>VLOOKUP($C82,'[1]Form 4.1'!$C$66:$U$118,9,0)</f>
        <v>16.956763567962806</v>
      </c>
      <c r="J82" s="307">
        <f>VLOOKUP($C82,'[1]Form 4.1'!$C$66:$U$118,10,0)</f>
        <v>17.54373712440816</v>
      </c>
      <c r="K82" s="307">
        <f>VLOOKUP($C82,'[1]Form 4.1'!$C$66:$U$118,11,0)</f>
        <v>15.955355425563162</v>
      </c>
      <c r="L82" s="307">
        <f>VLOOKUP($C82,'[1]Form 4.1'!$C$66:$U$118,12,0)</f>
        <v>14.446401061292784</v>
      </c>
      <c r="M82" s="307">
        <f>VLOOKUP($C82,'[1]Form 4.1'!$C$66:$U$118,13,0)</f>
        <v>8.5646162513223363</v>
      </c>
      <c r="N82" s="307">
        <f>VLOOKUP($C82,'[1]Form 4.1'!$C$66:$U$118,14,0)</f>
        <v>8.4475783816059327</v>
      </c>
      <c r="O82" s="307">
        <f>VLOOKUP($C82,'[1]Form 4.1'!$C$66:$U$118,15,0)</f>
        <v>7.7705657814817517</v>
      </c>
      <c r="P82" s="307">
        <f>VLOOKUP($C82,'[1]Form 4.1'!$C$66:$U$118,16,0)</f>
        <v>6.7084414768524931</v>
      </c>
      <c r="Q82" s="307">
        <f>VLOOKUP($C82,'[1]Form 4.1'!$C$66:$U$118,17,0)</f>
        <v>6.6402466141548553</v>
      </c>
      <c r="R82" s="307">
        <f>VLOOKUP($C82,'[1]Form 4.1'!$C$66:$U$118,18,0)</f>
        <v>6.6937803390961443</v>
      </c>
      <c r="S82" s="307">
        <f>'[1]Form 4.1'!U82</f>
        <v>132.36820645940492</v>
      </c>
      <c r="T82" s="1569"/>
      <c r="U82" s="436">
        <f t="shared" si="18"/>
        <v>132.36820645940492</v>
      </c>
      <c r="V82" s="445"/>
    </row>
    <row r="83" spans="3:22">
      <c r="C83" s="1451" t="s">
        <v>796</v>
      </c>
      <c r="D83" s="1569"/>
      <c r="E83" s="307">
        <v>9.7099290416060633</v>
      </c>
      <c r="F83" s="1569"/>
      <c r="G83" s="307">
        <f>VLOOKUP($C83,'[1]Form 4.1'!$C$66:$U$118,7,0)</f>
        <v>1.1982654822383592</v>
      </c>
      <c r="H83" s="307">
        <f>VLOOKUP($C83,'[1]Form 4.1'!$C$66:$U$118,8,0)</f>
        <v>-8.3427935370362888E-2</v>
      </c>
      <c r="I83" s="307">
        <f>VLOOKUP($C83,'[1]Form 4.1'!$C$66:$U$118,9,0)</f>
        <v>-9.6522216467067851E-2</v>
      </c>
      <c r="J83" s="307">
        <f>VLOOKUP($C83,'[1]Form 4.1'!$C$66:$U$118,10,0)</f>
        <v>0.16835153069827363</v>
      </c>
      <c r="K83" s="307">
        <f>VLOOKUP($C83,'[1]Form 4.1'!$C$66:$U$118,11,0)</f>
        <v>5.1332903015852374</v>
      </c>
      <c r="L83" s="307">
        <f>VLOOKUP($C83,'[1]Form 4.1'!$C$66:$U$118,12,0)</f>
        <v>7.4720787473270791</v>
      </c>
      <c r="M83" s="307">
        <f>VLOOKUP($C83,'[1]Form 4.1'!$C$66:$U$118,13,0)</f>
        <v>8.5646162513223363</v>
      </c>
      <c r="N83" s="307">
        <f>VLOOKUP($C83,'[1]Form 4.1'!$C$66:$U$118,14,0)</f>
        <v>8.4475783816059327</v>
      </c>
      <c r="O83" s="307">
        <f>VLOOKUP($C83,'[1]Form 4.1'!$C$66:$U$118,15,0)</f>
        <v>8.1795429278755289</v>
      </c>
      <c r="P83" s="307">
        <f>VLOOKUP($C83,'[1]Form 4.1'!$C$66:$U$118,16,0)</f>
        <v>3.7269119315847181</v>
      </c>
      <c r="Q83" s="307">
        <f>VLOOKUP($C83,'[1]Form 4.1'!$C$66:$U$118,17,0)</f>
        <v>2.9512207174021579</v>
      </c>
      <c r="R83" s="307">
        <f>VLOOKUP($C83,'[1]Form 4.1'!$C$66:$U$118,18,0)</f>
        <v>2.9750134840427309</v>
      </c>
      <c r="S83" s="307">
        <f>'[1]Form 4.1'!U83</f>
        <v>48.636919603844923</v>
      </c>
      <c r="T83" s="1569"/>
      <c r="U83" s="436">
        <f t="shared" si="18"/>
        <v>48.636919603844923</v>
      </c>
      <c r="V83" s="445"/>
    </row>
    <row r="84" spans="3:22" ht="14.25">
      <c r="C84" s="1603" t="s">
        <v>797</v>
      </c>
      <c r="D84" s="1574"/>
      <c r="E84" s="1574"/>
      <c r="F84" s="1574"/>
      <c r="G84" s="1577">
        <f t="shared" ref="G84:S84" si="23">SUM(G74:G83)</f>
        <v>55.020696697911596</v>
      </c>
      <c r="H84" s="1577">
        <f t="shared" si="23"/>
        <v>61.889888252102608</v>
      </c>
      <c r="I84" s="1577">
        <f t="shared" si="23"/>
        <v>60.688335997189796</v>
      </c>
      <c r="J84" s="1577">
        <f t="shared" si="23"/>
        <v>67.444242797002602</v>
      </c>
      <c r="K84" s="1577">
        <f t="shared" si="23"/>
        <v>75.097385407565625</v>
      </c>
      <c r="L84" s="1577">
        <f t="shared" si="23"/>
        <v>70.175482768017559</v>
      </c>
      <c r="M84" s="1577">
        <f t="shared" si="23"/>
        <v>155.48204342650573</v>
      </c>
      <c r="N84" s="1577">
        <f t="shared" si="23"/>
        <v>149.45582386412937</v>
      </c>
      <c r="O84" s="1577">
        <f t="shared" si="23"/>
        <v>127.22174786015123</v>
      </c>
      <c r="P84" s="1577">
        <f t="shared" si="23"/>
        <v>88.314768586797285</v>
      </c>
      <c r="Q84" s="1577">
        <f t="shared" si="23"/>
        <v>82.789119174924025</v>
      </c>
      <c r="R84" s="1577">
        <f t="shared" si="23"/>
        <v>82.374404606288181</v>
      </c>
      <c r="S84" s="1577">
        <f t="shared" si="23"/>
        <v>1075.9539394385856</v>
      </c>
      <c r="T84" s="1577">
        <f t="shared" ref="T84" si="24">SUM(T74:T83)</f>
        <v>0</v>
      </c>
      <c r="U84" s="1620">
        <f t="shared" ref="U84" si="25">SUM(U74:U83)</f>
        <v>1075.9539394385856</v>
      </c>
      <c r="V84" s="445"/>
    </row>
    <row r="85" spans="3:22" ht="14.25">
      <c r="C85" s="1603" t="s">
        <v>798</v>
      </c>
      <c r="D85" s="1574"/>
      <c r="E85" s="1574"/>
      <c r="F85" s="1574"/>
      <c r="G85" s="1575">
        <f t="shared" ref="G85" si="26">G84+G73</f>
        <v>778.54601125010299</v>
      </c>
      <c r="H85" s="1575">
        <f t="shared" ref="H85:S85" si="27">H84+H73</f>
        <v>835.15197653642883</v>
      </c>
      <c r="I85" s="1575">
        <f t="shared" si="27"/>
        <v>835.57778682355047</v>
      </c>
      <c r="J85" s="1575">
        <f t="shared" si="27"/>
        <v>725.16613920471138</v>
      </c>
      <c r="K85" s="1575">
        <f t="shared" si="27"/>
        <v>652.45262676704522</v>
      </c>
      <c r="L85" s="1575">
        <f t="shared" si="27"/>
        <v>684.42962366326458</v>
      </c>
      <c r="M85" s="1575">
        <f t="shared" si="27"/>
        <v>859.29200812327315</v>
      </c>
      <c r="N85" s="1575">
        <f t="shared" si="27"/>
        <v>726.84074407136779</v>
      </c>
      <c r="O85" s="1575">
        <f t="shared" si="27"/>
        <v>724.08173565761763</v>
      </c>
      <c r="P85" s="1575">
        <f t="shared" si="27"/>
        <v>776.91170347460502</v>
      </c>
      <c r="Q85" s="1575">
        <f t="shared" si="27"/>
        <v>797.68383929133836</v>
      </c>
      <c r="R85" s="1575">
        <f t="shared" si="27"/>
        <v>810.2570158088505</v>
      </c>
      <c r="S85" s="1575">
        <f t="shared" si="27"/>
        <v>9206.3912106721564</v>
      </c>
      <c r="T85" s="1575">
        <f t="shared" ref="T85:U85" si="28">T84+T73</f>
        <v>0</v>
      </c>
      <c r="U85" s="1621">
        <f t="shared" si="28"/>
        <v>9206.3912106721564</v>
      </c>
      <c r="V85" s="445"/>
    </row>
    <row r="86" spans="3:22">
      <c r="C86" s="1451" t="s">
        <v>801</v>
      </c>
      <c r="D86" s="1569"/>
      <c r="E86" s="307">
        <v>23.218032372204711</v>
      </c>
      <c r="F86" s="1569"/>
      <c r="G86" s="307">
        <f>VLOOKUP($C86,'[1]Form 4.1'!$C$66:$U$118,7,0)</f>
        <v>235.76453965902246</v>
      </c>
      <c r="H86" s="307">
        <f>VLOOKUP($C86,'[1]Form 4.1'!$C$66:$U$118,8,0)</f>
        <v>284.93318195905096</v>
      </c>
      <c r="I86" s="307">
        <f>VLOOKUP($C86,'[1]Form 4.1'!$C$66:$U$118,9,0)</f>
        <v>212.33041570309584</v>
      </c>
      <c r="J86" s="307">
        <f>VLOOKUP($C86,'[1]Form 4.1'!$C$66:$U$118,10,0)</f>
        <v>203.49364704391093</v>
      </c>
      <c r="K86" s="307">
        <f>VLOOKUP($C86,'[1]Form 4.1'!$C$66:$U$118,11,0)</f>
        <v>228.49371785535311</v>
      </c>
      <c r="L86" s="307">
        <f>VLOOKUP($C86,'[1]Form 4.1'!$C$66:$U$118,12,0)</f>
        <v>163.72164518355873</v>
      </c>
      <c r="M86" s="307">
        <f>VLOOKUP($C86,'[1]Form 4.1'!$C$66:$U$118,13,0)</f>
        <v>255.9133029743868</v>
      </c>
      <c r="N86" s="307">
        <f>VLOOKUP($C86,'[1]Form 4.1'!$C$66:$U$118,14,0)</f>
        <v>258.56483071673546</v>
      </c>
      <c r="O86" s="307">
        <f>VLOOKUP($C86,'[1]Form 4.1'!$C$66:$U$118,15,0)</f>
        <v>250.36075866328267</v>
      </c>
      <c r="P86" s="307">
        <f>VLOOKUP($C86,'[1]Form 4.1'!$C$66:$U$118,16,0)</f>
        <v>228.14783341570825</v>
      </c>
      <c r="Q86" s="307">
        <f>VLOOKUP($C86,'[1]Form 4.1'!$C$66:$U$118,17,0)</f>
        <v>211.25900334622912</v>
      </c>
      <c r="R86" s="307">
        <f>VLOOKUP($C86,'[1]Form 4.1'!$C$66:$U$118,18,0)</f>
        <v>212.96217523632126</v>
      </c>
      <c r="S86" s="307">
        <f>'[1]Form 4.1'!U86</f>
        <v>2745.9450517566556</v>
      </c>
      <c r="T86" s="1569"/>
      <c r="U86" s="436">
        <f t="shared" ref="U86:U88" si="29">S86-T86</f>
        <v>2745.9450517566556</v>
      </c>
      <c r="V86" s="445"/>
    </row>
    <row r="87" spans="3:22">
      <c r="C87" s="1451" t="s">
        <v>964</v>
      </c>
      <c r="D87" s="1569"/>
      <c r="E87" s="307">
        <v>18.315097841432927</v>
      </c>
      <c r="F87" s="1569"/>
      <c r="G87" s="307">
        <f>VLOOKUP($C87,'[1]Form 4.1'!$C$66:$U$118,7,0)</f>
        <v>142.69820590426514</v>
      </c>
      <c r="H87" s="307">
        <f>VLOOKUP($C87,'[1]Form 4.1'!$C$66:$U$118,8,0)</f>
        <v>147.90651974531542</v>
      </c>
      <c r="I87" s="307">
        <f>VLOOKUP($C87,'[1]Form 4.1'!$C$66:$U$118,9,0)</f>
        <v>158.11275855258984</v>
      </c>
      <c r="J87" s="307">
        <f>VLOOKUP($C87,'[1]Form 4.1'!$C$66:$U$118,10,0)</f>
        <v>102.69721924381091</v>
      </c>
      <c r="K87" s="307">
        <f>VLOOKUP($C87,'[1]Form 4.1'!$C$66:$U$118,11,0)</f>
        <v>1.3248872642197318</v>
      </c>
      <c r="L87" s="307">
        <f>VLOOKUP($C87,'[1]Form 4.1'!$C$66:$U$118,12,0)</f>
        <v>11.726382331993124</v>
      </c>
      <c r="M87" s="307">
        <f>VLOOKUP($C87,'[1]Form 4.1'!$C$66:$U$118,13,0)</f>
        <v>63.262966171204994</v>
      </c>
      <c r="N87" s="307">
        <f>VLOOKUP($C87,'[1]Form 4.1'!$C$66:$U$118,14,0)</f>
        <v>130.31944008049365</v>
      </c>
      <c r="O87" s="307">
        <f>VLOOKUP($C87,'[1]Form 4.1'!$C$66:$U$118,15,0)</f>
        <v>126.1845000214673</v>
      </c>
      <c r="P87" s="307">
        <f>VLOOKUP($C87,'[1]Form 4.1'!$C$66:$U$118,16,0)</f>
        <v>114.98894812529677</v>
      </c>
      <c r="Q87" s="307">
        <f>VLOOKUP($C87,'[1]Form 4.1'!$C$66:$U$118,17,0)</f>
        <v>106.47679714108072</v>
      </c>
      <c r="R87" s="307">
        <f>VLOOKUP($C87,'[1]Form 4.1'!$C$66:$U$118,18,0)</f>
        <v>107.33521398942929</v>
      </c>
      <c r="S87" s="307">
        <f>'[1]Form 4.1'!U87</f>
        <v>1213.0338385711671</v>
      </c>
      <c r="T87" s="1569"/>
      <c r="U87" s="436">
        <f t="shared" si="29"/>
        <v>1213.0338385711671</v>
      </c>
      <c r="V87" s="445"/>
    </row>
    <row r="88" spans="3:22">
      <c r="C88" s="1451" t="s">
        <v>648</v>
      </c>
      <c r="D88" s="1569"/>
      <c r="E88" s="1692">
        <v>-5.1218516254131985E-2</v>
      </c>
      <c r="F88" s="1569"/>
      <c r="G88" s="307">
        <f>VLOOKUP($C88,'[1]Form 4.1'!$C$66:$U$118,7,0)</f>
        <v>-0.18402485675999544</v>
      </c>
      <c r="H88" s="307">
        <f>VLOOKUP($C88,'[1]Form 4.1'!$C$66:$U$118,8,0)</f>
        <v>-0.17463506928144468</v>
      </c>
      <c r="I88" s="307">
        <f>VLOOKUP($C88,'[1]Form 4.1'!$C$66:$U$118,9,0)</f>
        <v>-0.17206656423702099</v>
      </c>
      <c r="J88" s="307">
        <f>VLOOKUP($C88,'[1]Form 4.1'!$C$66:$U$118,10,0)</f>
        <v>-0.14557760887199689</v>
      </c>
      <c r="K88" s="307">
        <f>VLOOKUP($C88,'[1]Form 4.1'!$C$66:$U$118,11,0)</f>
        <v>-0.1229111239378209</v>
      </c>
      <c r="L88" s="307">
        <f>VLOOKUP($C88,'[1]Form 4.1'!$C$66:$U$118,12,0)</f>
        <v>-0.14701846686680878</v>
      </c>
      <c r="M88" s="307">
        <f>VLOOKUP($C88,'[1]Form 4.1'!$C$66:$U$118,13,0)</f>
        <v>0</v>
      </c>
      <c r="N88" s="307">
        <f>VLOOKUP($C88,'[1]Form 4.1'!$C$66:$U$118,14,0)</f>
        <v>0</v>
      </c>
      <c r="O88" s="307">
        <f>VLOOKUP($C88,'[1]Form 4.1'!$C$66:$U$118,15,0)</f>
        <v>0</v>
      </c>
      <c r="P88" s="307">
        <f>VLOOKUP($C88,'[1]Form 4.1'!$C$66:$U$118,16,0)</f>
        <v>0</v>
      </c>
      <c r="Q88" s="307">
        <f>VLOOKUP($C88,'[1]Form 4.1'!$C$66:$U$118,17,0)</f>
        <v>0</v>
      </c>
      <c r="R88" s="307">
        <f>VLOOKUP($C88,'[1]Form 4.1'!$C$66:$U$118,18,0)</f>
        <v>0</v>
      </c>
      <c r="S88" s="307">
        <f>'[1]Form 4.1'!U88</f>
        <v>-0.94623368995508772</v>
      </c>
      <c r="T88" s="1569"/>
      <c r="U88" s="436">
        <f t="shared" si="29"/>
        <v>-0.94623368995508772</v>
      </c>
      <c r="V88" s="445"/>
    </row>
    <row r="89" spans="3:22" ht="14.25">
      <c r="C89" s="1603" t="s">
        <v>802</v>
      </c>
      <c r="D89" s="1574"/>
      <c r="E89" s="1574"/>
      <c r="F89" s="1574"/>
      <c r="G89" s="1577">
        <f t="shared" ref="G89:U89" si="30">SUM(G86:G88)</f>
        <v>378.27872070652762</v>
      </c>
      <c r="H89" s="1577">
        <f t="shared" si="30"/>
        <v>432.66506663508488</v>
      </c>
      <c r="I89" s="1577">
        <f t="shared" si="30"/>
        <v>370.27110769144866</v>
      </c>
      <c r="J89" s="1577">
        <f t="shared" si="30"/>
        <v>306.04528867884989</v>
      </c>
      <c r="K89" s="1577">
        <f t="shared" si="30"/>
        <v>229.69569399563503</v>
      </c>
      <c r="L89" s="1577">
        <f t="shared" si="30"/>
        <v>175.30100904868507</v>
      </c>
      <c r="M89" s="1577">
        <f t="shared" si="30"/>
        <v>319.17626914559179</v>
      </c>
      <c r="N89" s="1577">
        <f t="shared" si="30"/>
        <v>388.88427079722908</v>
      </c>
      <c r="O89" s="1577">
        <f t="shared" si="30"/>
        <v>376.54525868474997</v>
      </c>
      <c r="P89" s="1577">
        <f t="shared" si="30"/>
        <v>343.13678154100501</v>
      </c>
      <c r="Q89" s="1577">
        <f t="shared" si="30"/>
        <v>317.73580048730986</v>
      </c>
      <c r="R89" s="1577">
        <f t="shared" si="30"/>
        <v>320.29738922575052</v>
      </c>
      <c r="S89" s="1577">
        <f t="shared" si="30"/>
        <v>3958.0326566378676</v>
      </c>
      <c r="T89" s="1577">
        <f t="shared" si="30"/>
        <v>0</v>
      </c>
      <c r="U89" s="1620">
        <f t="shared" si="30"/>
        <v>3958.0326566378676</v>
      </c>
      <c r="V89" s="445"/>
    </row>
    <row r="90" spans="3:22">
      <c r="C90" s="1451" t="s">
        <v>803</v>
      </c>
      <c r="D90" s="1569"/>
      <c r="E90" s="307">
        <v>32.074618846739639</v>
      </c>
      <c r="F90" s="1569"/>
      <c r="G90" s="307">
        <f>VLOOKUP($C90,'[1]Form 4.1'!$C$66:$U$118,7,0)</f>
        <v>63.827228627154213</v>
      </c>
      <c r="H90" s="307">
        <f>VLOOKUP($C90,'[1]Form 4.1'!$C$66:$U$118,8,0)</f>
        <v>66.012125506812552</v>
      </c>
      <c r="I90" s="307">
        <f>VLOOKUP($C90,'[1]Form 4.1'!$C$66:$U$118,9,0)</f>
        <v>56.305755538682767</v>
      </c>
      <c r="J90" s="307">
        <f>VLOOKUP($C90,'[1]Form 4.1'!$C$66:$U$118,10,0)</f>
        <v>64.937162903529654</v>
      </c>
      <c r="K90" s="307">
        <f>VLOOKUP($C90,'[1]Form 4.1'!$C$66:$U$118,11,0)</f>
        <v>58.88808414521538</v>
      </c>
      <c r="L90" s="307">
        <f>VLOOKUP($C90,'[1]Form 4.1'!$C$66:$U$118,12,0)</f>
        <v>58.62070579890613</v>
      </c>
      <c r="M90" s="307">
        <f>VLOOKUP($C90,'[1]Form 4.1'!$C$66:$U$118,13,0)</f>
        <v>62.927617719266401</v>
      </c>
      <c r="N90" s="307">
        <f>VLOOKUP($C90,'[1]Form 4.1'!$C$66:$U$118,14,0)</f>
        <v>76.509774582369303</v>
      </c>
      <c r="O90" s="307">
        <f>VLOOKUP($C90,'[1]Form 4.1'!$C$66:$U$118,15,0)</f>
        <v>73.30352629063205</v>
      </c>
      <c r="P90" s="307">
        <f>VLOOKUP($C90,'[1]Form 4.1'!$C$66:$U$118,16,0)</f>
        <v>72.244681949153389</v>
      </c>
      <c r="Q90" s="307">
        <f>VLOOKUP($C90,'[1]Form 4.1'!$C$66:$U$118,17,0)</f>
        <v>63.662972400412066</v>
      </c>
      <c r="R90" s="307">
        <f>VLOOKUP($C90,'[1]Form 4.1'!$C$66:$U$118,18,0)</f>
        <v>68.826984662171725</v>
      </c>
      <c r="S90" s="307">
        <f>'[1]Form 4.1'!U90</f>
        <v>786.06662012430559</v>
      </c>
      <c r="T90" s="1569"/>
      <c r="U90" s="436">
        <f t="shared" ref="U90:U107" si="31">S90-T90</f>
        <v>786.06662012430559</v>
      </c>
      <c r="V90" s="445"/>
    </row>
    <row r="91" spans="3:22">
      <c r="C91" s="1451" t="s">
        <v>804</v>
      </c>
      <c r="D91" s="1569"/>
      <c r="E91" s="307">
        <v>35.472404209764534</v>
      </c>
      <c r="F91" s="1569"/>
      <c r="G91" s="307">
        <f>VLOOKUP($C91,'[1]Form 4.1'!$C$66:$U$118,7,0)</f>
        <v>117.44180911804395</v>
      </c>
      <c r="H91" s="307">
        <f>VLOOKUP($C91,'[1]Form 4.1'!$C$66:$U$118,8,0)</f>
        <v>127.61777047334053</v>
      </c>
      <c r="I91" s="307">
        <f>VLOOKUP($C91,'[1]Form 4.1'!$C$66:$U$118,9,0)</f>
        <v>127.74046962508473</v>
      </c>
      <c r="J91" s="307">
        <f>VLOOKUP($C91,'[1]Form 4.1'!$C$66:$U$118,10,0)</f>
        <v>135.37841604486042</v>
      </c>
      <c r="K91" s="307">
        <f>VLOOKUP($C91,'[1]Form 4.1'!$C$66:$U$118,11,0)</f>
        <v>118.60558902201706</v>
      </c>
      <c r="L91" s="307">
        <f>VLOOKUP($C91,'[1]Form 4.1'!$C$66:$U$118,12,0)</f>
        <v>122.21200981866389</v>
      </c>
      <c r="M91" s="307">
        <f>VLOOKUP($C91,'[1]Form 4.1'!$C$66:$U$118,13,0)</f>
        <v>131.53790933024169</v>
      </c>
      <c r="N91" s="307">
        <f>VLOOKUP($C91,'[1]Form 4.1'!$C$66:$U$118,14,0)</f>
        <v>81.61090124898584</v>
      </c>
      <c r="O91" s="307">
        <f>VLOOKUP($C91,'[1]Form 4.1'!$C$66:$U$118,15,0)</f>
        <v>62.81191967261779</v>
      </c>
      <c r="P91" s="307">
        <f>VLOOKUP($C91,'[1]Form 4.1'!$C$66:$U$118,16,0)</f>
        <v>108.93877174161263</v>
      </c>
      <c r="Q91" s="307">
        <f>VLOOKUP($C91,'[1]Form 4.1'!$C$66:$U$118,17,0)</f>
        <v>106.00370137196525</v>
      </c>
      <c r="R91" s="307">
        <f>VLOOKUP($C91,'[1]Form 4.1'!$C$66:$U$118,18,0)</f>
        <v>114.22784233322776</v>
      </c>
      <c r="S91" s="307">
        <f>'[1]Form 4.1'!U91</f>
        <v>1354.1271098006612</v>
      </c>
      <c r="T91" s="1569"/>
      <c r="U91" s="436">
        <f t="shared" si="31"/>
        <v>1354.1271098006612</v>
      </c>
      <c r="V91" s="445"/>
    </row>
    <row r="92" spans="3:22">
      <c r="C92" s="1451" t="s">
        <v>805</v>
      </c>
      <c r="D92" s="1569"/>
      <c r="E92" s="307">
        <v>34.12923051763714</v>
      </c>
      <c r="F92" s="1569"/>
      <c r="G92" s="307">
        <f>VLOOKUP($C92,'[1]Form 4.1'!$C$66:$U$118,7,0)</f>
        <v>57.38178057926239</v>
      </c>
      <c r="H92" s="307">
        <f>VLOOKUP($C92,'[1]Form 4.1'!$C$66:$U$118,8,0)</f>
        <v>57.902073581670848</v>
      </c>
      <c r="I92" s="307">
        <f>VLOOKUP($C92,'[1]Form 4.1'!$C$66:$U$118,9,0)</f>
        <v>56.249239133992901</v>
      </c>
      <c r="J92" s="307">
        <f>VLOOKUP($C92,'[1]Form 4.1'!$C$66:$U$118,10,0)</f>
        <v>29.571031429219122</v>
      </c>
      <c r="K92" s="307">
        <f>VLOOKUP($C92,'[1]Form 4.1'!$C$66:$U$118,11,0)</f>
        <v>40.795323319245831</v>
      </c>
      <c r="L92" s="307">
        <f>VLOOKUP($C92,'[1]Form 4.1'!$C$66:$U$118,12,0)</f>
        <v>49.447104661780315</v>
      </c>
      <c r="M92" s="307">
        <f>VLOOKUP($C92,'[1]Form 4.1'!$C$66:$U$118,13,0)</f>
        <v>61.781829818931733</v>
      </c>
      <c r="N92" s="307">
        <f>VLOOKUP($C92,'[1]Form 4.1'!$C$66:$U$118,14,0)</f>
        <v>58.971836016499054</v>
      </c>
      <c r="O92" s="307">
        <f>VLOOKUP($C92,'[1]Form 4.1'!$C$66:$U$118,15,0)</f>
        <v>59.004059766090428</v>
      </c>
      <c r="P92" s="307">
        <f>VLOOKUP($C92,'[1]Form 4.1'!$C$66:$U$118,16,0)</f>
        <v>53.769003058779866</v>
      </c>
      <c r="Q92" s="307">
        <f>VLOOKUP($C92,'[1]Form 4.1'!$C$66:$U$118,17,0)</f>
        <v>49.78870860640874</v>
      </c>
      <c r="R92" s="307">
        <f>VLOOKUP($C92,'[1]Form 4.1'!$C$66:$U$118,18,0)</f>
        <v>53.651492193762053</v>
      </c>
      <c r="S92" s="307">
        <f>'[1]Form 4.1'!U92</f>
        <v>628.31348216564311</v>
      </c>
      <c r="T92" s="1569"/>
      <c r="U92" s="436">
        <f t="shared" si="31"/>
        <v>628.31348216564311</v>
      </c>
      <c r="V92" s="446">
        <f t="shared" ref="V92" si="32">SUM(V81:V91)</f>
        <v>0</v>
      </c>
    </row>
    <row r="93" spans="3:22">
      <c r="C93" s="1451" t="s">
        <v>806</v>
      </c>
      <c r="D93" s="1569"/>
      <c r="E93" s="307">
        <v>29.379876392153104</v>
      </c>
      <c r="F93" s="1569"/>
      <c r="G93" s="307">
        <f>VLOOKUP($C93,'[1]Form 4.1'!$C$66:$U$118,7,0)</f>
        <v>47.793440934494186</v>
      </c>
      <c r="H93" s="307">
        <f>VLOOKUP($C93,'[1]Form 4.1'!$C$66:$U$118,8,0)</f>
        <v>50.481803263358756</v>
      </c>
      <c r="I93" s="307">
        <f>VLOOKUP($C93,'[1]Form 4.1'!$C$66:$U$118,9,0)</f>
        <v>37.945190330310922</v>
      </c>
      <c r="J93" s="307">
        <f>VLOOKUP($C93,'[1]Form 4.1'!$C$66:$U$118,10,0)</f>
        <v>38.570967335959189</v>
      </c>
      <c r="K93" s="307">
        <f>VLOOKUP($C93,'[1]Form 4.1'!$C$66:$U$118,11,0)</f>
        <v>29.133849630907818</v>
      </c>
      <c r="L93" s="307">
        <f>VLOOKUP($C93,'[1]Form 4.1'!$C$66:$U$118,12,0)</f>
        <v>34.832607017729607</v>
      </c>
      <c r="M93" s="307">
        <f>VLOOKUP($C93,'[1]Form 4.1'!$C$66:$U$118,13,0)</f>
        <v>38.467898931545825</v>
      </c>
      <c r="N93" s="307">
        <f>VLOOKUP($C93,'[1]Form 4.1'!$C$66:$U$118,14,0)</f>
        <v>36.718281642659264</v>
      </c>
      <c r="O93" s="307">
        <f>VLOOKUP($C93,'[1]Form 4.1'!$C$66:$U$118,15,0)</f>
        <v>36.738345469614686</v>
      </c>
      <c r="P93" s="307">
        <f>VLOOKUP($C93,'[1]Form 4.1'!$C$66:$U$118,16,0)</f>
        <v>33.478784642298031</v>
      </c>
      <c r="Q93" s="307">
        <f>VLOOKUP($C93,'[1]Form 4.1'!$C$66:$U$118,17,0)</f>
        <v>29.931507791244652</v>
      </c>
      <c r="R93" s="307">
        <f>VLOOKUP($C93,'[1]Form 4.1'!$C$66:$U$118,18,0)</f>
        <v>33.405617562395868</v>
      </c>
      <c r="S93" s="307">
        <f>'[1]Form 4.1'!U93</f>
        <v>447.49829455251876</v>
      </c>
      <c r="T93" s="1569"/>
      <c r="U93" s="436">
        <f t="shared" si="31"/>
        <v>447.49829455251876</v>
      </c>
      <c r="V93" s="446">
        <f t="shared" ref="V93" si="33">SUM(V92,V79)</f>
        <v>0</v>
      </c>
    </row>
    <row r="94" spans="3:22">
      <c r="C94" s="1451" t="s">
        <v>807</v>
      </c>
      <c r="D94" s="1569"/>
      <c r="E94" s="307">
        <v>36.894922467710586</v>
      </c>
      <c r="F94" s="1569"/>
      <c r="G94" s="307">
        <f>VLOOKUP($C94,'[1]Form 4.1'!$C$66:$U$118,7,0)</f>
        <v>17.449936276134917</v>
      </c>
      <c r="H94" s="307">
        <f>VLOOKUP($C94,'[1]Form 4.1'!$C$66:$U$118,8,0)</f>
        <v>20.250881993302436</v>
      </c>
      <c r="I94" s="307">
        <f>VLOOKUP($C94,'[1]Form 4.1'!$C$66:$U$118,9,0)</f>
        <v>19.733424774697543</v>
      </c>
      <c r="J94" s="307">
        <f>VLOOKUP($C94,'[1]Form 4.1'!$C$66:$U$118,10,0)</f>
        <v>19.933878791890084</v>
      </c>
      <c r="K94" s="307">
        <f>VLOOKUP($C94,'[1]Form 4.1'!$C$66:$U$118,11,0)</f>
        <v>18.407694586059083</v>
      </c>
      <c r="L94" s="307">
        <f>VLOOKUP($C94,'[1]Form 4.1'!$C$66:$U$118,12,0)</f>
        <v>17.938377689092256</v>
      </c>
      <c r="M94" s="307">
        <f>VLOOKUP($C94,'[1]Form 4.1'!$C$66:$U$118,13,0)</f>
        <v>21.069789838792545</v>
      </c>
      <c r="N94" s="307">
        <f>VLOOKUP($C94,'[1]Form 4.1'!$C$66:$U$118,14,0)</f>
        <v>20.111482533245187</v>
      </c>
      <c r="O94" s="307">
        <f>VLOOKUP($C94,'[1]Form 4.1'!$C$66:$U$118,15,0)</f>
        <v>20.122471971947437</v>
      </c>
      <c r="P94" s="307">
        <f>VLOOKUP($C94,'[1]Form 4.1'!$C$66:$U$118,16,0)</f>
        <v>18.337132415957218</v>
      </c>
      <c r="Q94" s="307">
        <f>VLOOKUP($C94,'[1]Form 4.1'!$C$66:$U$118,17,0)</f>
        <v>16.979711182986982</v>
      </c>
      <c r="R94" s="307">
        <f>VLOOKUP($C94,'[1]Form 4.1'!$C$66:$U$118,18,0)</f>
        <v>18.297057053395825</v>
      </c>
      <c r="S94" s="307">
        <f>'[1]Form 4.1'!U94</f>
        <v>228.63183910750152</v>
      </c>
      <c r="T94" s="1569"/>
      <c r="U94" s="436">
        <f t="shared" si="31"/>
        <v>228.63183910750152</v>
      </c>
      <c r="V94" s="446"/>
    </row>
    <row r="95" spans="3:22">
      <c r="C95" s="1451" t="s">
        <v>808</v>
      </c>
      <c r="D95" s="1569"/>
      <c r="E95" s="307">
        <v>31.64681030899084</v>
      </c>
      <c r="F95" s="1569"/>
      <c r="G95" s="307">
        <f>VLOOKUP($C95,'[1]Form 4.1'!$C$66:$U$118,7,0)</f>
        <v>56.104395801211226</v>
      </c>
      <c r="H95" s="307">
        <f>VLOOKUP($C95,'[1]Form 4.1'!$C$66:$U$118,8,0)</f>
        <v>59.864274875506808</v>
      </c>
      <c r="I95" s="307">
        <f>VLOOKUP($C95,'[1]Form 4.1'!$C$66:$U$118,9,0)</f>
        <v>59.520162432949554</v>
      </c>
      <c r="J95" s="307">
        <f>VLOOKUP($C95,'[1]Form 4.1'!$C$66:$U$118,10,0)</f>
        <v>46.155654252358367</v>
      </c>
      <c r="K95" s="307">
        <f>VLOOKUP($C95,'[1]Form 4.1'!$C$66:$U$118,11,0)</f>
        <v>45.379202024394274</v>
      </c>
      <c r="L95" s="307">
        <f>VLOOKUP($C95,'[1]Form 4.1'!$C$66:$U$118,12,0)</f>
        <v>41.30121099529228</v>
      </c>
      <c r="M95" s="307">
        <f>VLOOKUP($C95,'[1]Form 4.1'!$C$66:$U$118,13,0)</f>
        <v>63.884909501283609</v>
      </c>
      <c r="N95" s="307">
        <f>VLOOKUP($C95,'[1]Form 4.1'!$C$66:$U$118,14,0)</f>
        <v>54.203788727455077</v>
      </c>
      <c r="O95" s="307">
        <f>VLOOKUP($C95,'[1]Form 4.1'!$C$66:$U$118,15,0)</f>
        <v>40.675055318718137</v>
      </c>
      <c r="P95" s="307">
        <f>VLOOKUP($C95,'[1]Form 4.1'!$C$66:$U$118,16,0)</f>
        <v>50.218743102658991</v>
      </c>
      <c r="Q95" s="307">
        <f>VLOOKUP($C95,'[1]Form 4.1'!$C$66:$U$118,17,0)</f>
        <v>51.483537357637957</v>
      </c>
      <c r="R95" s="307">
        <f>VLOOKUP($C95,'[1]Form 4.1'!$C$66:$U$118,18,0)</f>
        <v>55.477811736113743</v>
      </c>
      <c r="S95" s="307">
        <f>'[1]Form 4.1'!U95</f>
        <v>624.26874612558004</v>
      </c>
      <c r="T95" s="1569"/>
      <c r="U95" s="436">
        <f t="shared" si="31"/>
        <v>624.26874612558004</v>
      </c>
      <c r="V95" s="444"/>
    </row>
    <row r="96" spans="3:22">
      <c r="C96" s="1451" t="s">
        <v>809</v>
      </c>
      <c r="D96" s="1569"/>
      <c r="E96" s="307">
        <v>31.610138660017036</v>
      </c>
      <c r="F96" s="1569"/>
      <c r="G96" s="307">
        <f>VLOOKUP($C96,'[1]Form 4.1'!$C$66:$U$118,7,0)</f>
        <v>22.909720369220771</v>
      </c>
      <c r="H96" s="307">
        <f>VLOOKUP($C96,'[1]Form 4.1'!$C$66:$U$118,8,0)</f>
        <v>16.812729646739005</v>
      </c>
      <c r="I96" s="307">
        <f>VLOOKUP($C96,'[1]Form 4.1'!$C$66:$U$118,9,0)</f>
        <v>20.423878414832405</v>
      </c>
      <c r="J96" s="307">
        <f>VLOOKUP($C96,'[1]Form 4.1'!$C$66:$U$118,10,0)</f>
        <v>24.970419941233736</v>
      </c>
      <c r="K96" s="307">
        <f>VLOOKUP($C96,'[1]Form 4.1'!$C$66:$U$118,11,0)</f>
        <v>17.453347099215115</v>
      </c>
      <c r="L96" s="307">
        <f>VLOOKUP($C96,'[1]Form 4.1'!$C$66:$U$118,12,0)</f>
        <v>13.371821195132421</v>
      </c>
      <c r="M96" s="307">
        <f>VLOOKUP($C96,'[1]Form 4.1'!$C$66:$U$118,13,0)</f>
        <v>16.703065135389174</v>
      </c>
      <c r="N96" s="307">
        <f>VLOOKUP($C96,'[1]Form 4.1'!$C$66:$U$118,14,0)</f>
        <v>15.943367508277291</v>
      </c>
      <c r="O96" s="307">
        <f>VLOOKUP($C96,'[1]Form 4.1'!$C$66:$U$118,15,0)</f>
        <v>15.952079380196729</v>
      </c>
      <c r="P96" s="307">
        <f>VLOOKUP($C96,'[1]Form 4.1'!$C$66:$U$118,16,0)</f>
        <v>18.522636070174702</v>
      </c>
      <c r="Q96" s="307">
        <f>VLOOKUP($C96,'[1]Form 4.1'!$C$66:$U$118,17,0)</f>
        <v>20.19098605440438</v>
      </c>
      <c r="R96" s="307">
        <f>VLOOKUP($C96,'[1]Form 4.1'!$C$66:$U$118,18,0)</f>
        <v>21.757473953497907</v>
      </c>
      <c r="S96" s="307">
        <f>'[1]Form 4.1'!U96</f>
        <v>225.01152476831365</v>
      </c>
      <c r="T96" s="1569"/>
      <c r="U96" s="436">
        <f t="shared" si="31"/>
        <v>225.01152476831365</v>
      </c>
      <c r="V96" s="444"/>
    </row>
    <row r="97" spans="3:22">
      <c r="C97" s="1451" t="s">
        <v>681</v>
      </c>
      <c r="D97" s="1569"/>
      <c r="E97" s="307">
        <v>25.610165234300293</v>
      </c>
      <c r="F97" s="1569"/>
      <c r="G97" s="307">
        <f>VLOOKUP($C97,'[1]Form 4.1'!$C$66:$U$118,7,0)</f>
        <v>5.5084839400770633</v>
      </c>
      <c r="H97" s="307">
        <f>VLOOKUP($C97,'[1]Form 4.1'!$C$66:$U$118,8,0)</f>
        <v>5.4791062676578983</v>
      </c>
      <c r="I97" s="307">
        <f>VLOOKUP($C97,'[1]Form 4.1'!$C$66:$U$118,9,0)</f>
        <v>7.8148446595681698</v>
      </c>
      <c r="J97" s="307">
        <f>VLOOKUP($C97,'[1]Form 4.1'!$C$66:$U$118,10,0)</f>
        <v>4.3445901791383372</v>
      </c>
      <c r="K97" s="307">
        <f>VLOOKUP($C97,'[1]Form 4.1'!$C$66:$U$118,11,0)</f>
        <v>4.1610750288983906</v>
      </c>
      <c r="L97" s="307">
        <f>VLOOKUP($C97,'[1]Form 4.1'!$C$66:$U$118,12,0)</f>
        <v>3.9915508580485821</v>
      </c>
      <c r="M97" s="307">
        <f>VLOOKUP($C97,'[1]Form 4.1'!$C$66:$U$118,13,0)</f>
        <v>8.6671587263016292</v>
      </c>
      <c r="N97" s="307">
        <f>VLOOKUP($C97,'[1]Form 4.1'!$C$66:$U$118,14,0)</f>
        <v>11.691631197222467</v>
      </c>
      <c r="O97" s="307">
        <f>VLOOKUP($C97,'[1]Form 4.1'!$C$66:$U$118,15,0)</f>
        <v>11.685847052160955</v>
      </c>
      <c r="P97" s="307">
        <f>VLOOKUP($C97,'[1]Form 4.1'!$C$66:$U$118,16,0)</f>
        <v>10.732231410935613</v>
      </c>
      <c r="Q97" s="307">
        <f>VLOOKUP($C97,'[1]Form 4.1'!$C$66:$U$118,17,0)</f>
        <v>10.046683535846933</v>
      </c>
      <c r="R97" s="307">
        <f>VLOOKUP($C97,'[1]Form 4.1'!$C$66:$U$118,18,0)</f>
        <v>10.791790147266084</v>
      </c>
      <c r="S97" s="307">
        <f>'[1]Form 4.1'!U97</f>
        <v>94.91499300312212</v>
      </c>
      <c r="T97" s="1569"/>
      <c r="U97" s="436">
        <f t="shared" si="31"/>
        <v>94.91499300312212</v>
      </c>
      <c r="V97" s="445"/>
    </row>
    <row r="98" spans="3:22">
      <c r="C98" s="1451" t="s">
        <v>680</v>
      </c>
      <c r="D98" s="1569"/>
      <c r="E98" s="307">
        <v>22.644348069388055</v>
      </c>
      <c r="F98" s="1569"/>
      <c r="G98" s="307">
        <f>VLOOKUP($C98,'[1]Form 4.1'!$C$66:$U$118,7,0)</f>
        <v>9.6961480119980319</v>
      </c>
      <c r="H98" s="307">
        <f>VLOOKUP($C98,'[1]Form 4.1'!$C$66:$U$118,8,0)</f>
        <v>3.9309859326795982</v>
      </c>
      <c r="I98" s="307">
        <f>VLOOKUP($C98,'[1]Form 4.1'!$C$66:$U$118,9,0)</f>
        <v>5.929191868714101</v>
      </c>
      <c r="J98" s="307">
        <f>VLOOKUP($C98,'[1]Form 4.1'!$C$66:$U$118,10,0)</f>
        <v>5.9163399575884057</v>
      </c>
      <c r="K98" s="307">
        <f>VLOOKUP($C98,'[1]Form 4.1'!$C$66:$U$118,11,0)</f>
        <v>8.5625110651343146</v>
      </c>
      <c r="L98" s="307">
        <f>VLOOKUP($C98,'[1]Form 4.1'!$C$66:$U$118,12,0)</f>
        <v>5.8749601727030845</v>
      </c>
      <c r="M98" s="307">
        <f>VLOOKUP($C98,'[1]Form 4.1'!$C$66:$U$118,13,0)</f>
        <v>22.40226817475401</v>
      </c>
      <c r="N98" s="307">
        <f>VLOOKUP($C98,'[1]Form 4.1'!$C$66:$U$118,14,0)</f>
        <v>19.420431092780515</v>
      </c>
      <c r="O98" s="307">
        <f>VLOOKUP($C98,'[1]Form 4.1'!$C$66:$U$118,15,0)</f>
        <v>15.753770283766695</v>
      </c>
      <c r="P98" s="307">
        <f>VLOOKUP($C98,'[1]Form 4.1'!$C$66:$U$118,16,0)</f>
        <v>18.011686900067073</v>
      </c>
      <c r="Q98" s="307">
        <f>VLOOKUP($C98,'[1]Form 4.1'!$C$66:$U$118,17,0)</f>
        <v>18.393977201052021</v>
      </c>
      <c r="R98" s="307">
        <f>VLOOKUP($C98,'[1]Form 4.1'!$C$66:$U$118,18,0)</f>
        <v>19.758156133721233</v>
      </c>
      <c r="S98" s="307">
        <f>'[1]Form 4.1'!U98</f>
        <v>153.65042679495909</v>
      </c>
      <c r="T98" s="1569"/>
      <c r="U98" s="436">
        <f t="shared" si="31"/>
        <v>153.65042679495909</v>
      </c>
      <c r="V98" s="445"/>
    </row>
    <row r="99" spans="3:22">
      <c r="C99" s="1451" t="s">
        <v>810</v>
      </c>
      <c r="D99" s="1569"/>
      <c r="E99" s="307">
        <v>14.470000604124253</v>
      </c>
      <c r="F99" s="1569"/>
      <c r="G99" s="307">
        <f>VLOOKUP($C99,'[1]Form 4.1'!$C$66:$U$118,7,0)</f>
        <v>2.0892438111707476</v>
      </c>
      <c r="H99" s="307">
        <f>VLOOKUP($C99,'[1]Form 4.1'!$C$66:$U$118,8,0)</f>
        <v>2.2003224933692569</v>
      </c>
      <c r="I99" s="307">
        <f>VLOOKUP($C99,'[1]Form 4.1'!$C$66:$U$118,9,0)</f>
        <v>1.9940985492429071</v>
      </c>
      <c r="J99" s="307">
        <f>VLOOKUP($C99,'[1]Form 4.1'!$C$66:$U$118,10,0)</f>
        <v>0</v>
      </c>
      <c r="K99" s="307">
        <f>VLOOKUP($C99,'[1]Form 4.1'!$C$66:$U$118,11,0)</f>
        <v>0</v>
      </c>
      <c r="L99" s="307">
        <f>VLOOKUP($C99,'[1]Form 4.1'!$C$66:$U$118,12,0)</f>
        <v>1.6561440729798145</v>
      </c>
      <c r="M99" s="307">
        <f>VLOOKUP($C99,'[1]Form 4.1'!$C$66:$U$118,13,0)</f>
        <v>2.3727221272197854</v>
      </c>
      <c r="N99" s="307">
        <f>VLOOKUP($C99,'[1]Form 4.1'!$C$66:$U$118,14,0)</f>
        <v>2.2154823126682133</v>
      </c>
      <c r="O99" s="307">
        <f>VLOOKUP($C99,'[1]Form 4.1'!$C$66:$U$118,15,0)</f>
        <v>2.2207214295990845</v>
      </c>
      <c r="P99" s="307">
        <f>VLOOKUP($C99,'[1]Form 4.1'!$C$66:$U$118,16,0)</f>
        <v>2.0236908750715092</v>
      </c>
      <c r="Q99" s="307">
        <f>VLOOKUP($C99,'[1]Form 4.1'!$C$66:$U$118,17,0)</f>
        <v>1.8668523872760634</v>
      </c>
      <c r="R99" s="307">
        <f>VLOOKUP($C99,'[1]Form 4.1'!$C$66:$U$118,18,0)</f>
        <v>2.0192681472593841</v>
      </c>
      <c r="S99" s="307">
        <f>'[1]Form 4.1'!U99</f>
        <v>20.658546205856769</v>
      </c>
      <c r="T99" s="1569"/>
      <c r="U99" s="436">
        <f t="shared" si="31"/>
        <v>20.658546205856769</v>
      </c>
      <c r="V99" s="445"/>
    </row>
    <row r="100" spans="3:22">
      <c r="C100" s="1451" t="s">
        <v>811</v>
      </c>
      <c r="D100" s="1569"/>
      <c r="E100" s="307">
        <v>35.665165976373039</v>
      </c>
      <c r="F100" s="1569"/>
      <c r="G100" s="307">
        <f>VLOOKUP($C100,'[1]Form 4.1'!$C$66:$U$118,7,0)</f>
        <v>29.945673544459122</v>
      </c>
      <c r="H100" s="307">
        <f>VLOOKUP($C100,'[1]Form 4.1'!$C$66:$U$118,8,0)</f>
        <v>27.738399368049105</v>
      </c>
      <c r="I100" s="307">
        <f>VLOOKUP($C100,'[1]Form 4.1'!$C$66:$U$118,9,0)</f>
        <v>26.123451642992858</v>
      </c>
      <c r="J100" s="307">
        <f>VLOOKUP($C100,'[1]Form 4.1'!$C$66:$U$118,10,0)</f>
        <v>29.343260992662142</v>
      </c>
      <c r="K100" s="307">
        <f>VLOOKUP($C100,'[1]Form 4.1'!$C$66:$U$118,11,0)</f>
        <v>27.98273003296395</v>
      </c>
      <c r="L100" s="307">
        <f>VLOOKUP($C100,'[1]Form 4.1'!$C$66:$U$118,12,0)</f>
        <v>29.200034992393068</v>
      </c>
      <c r="M100" s="307">
        <f>VLOOKUP($C100,'[1]Form 4.1'!$C$66:$U$118,13,0)</f>
        <v>22.216748704242473</v>
      </c>
      <c r="N100" s="307">
        <f>VLOOKUP($C100,'[1]Form 4.1'!$C$66:$U$118,14,0)</f>
        <v>25.87784455854251</v>
      </c>
      <c r="O100" s="307">
        <f>VLOOKUP($C100,'[1]Form 4.1'!$C$66:$U$118,15,0)</f>
        <v>27.989652225698666</v>
      </c>
      <c r="P100" s="307">
        <f>VLOOKUP($C100,'[1]Form 4.1'!$C$66:$U$118,16,0)</f>
        <v>25.506307567715606</v>
      </c>
      <c r="Q100" s="307">
        <f>VLOOKUP($C100,'[1]Form 4.1'!$C$66:$U$118,17,0)</f>
        <v>23.529537915075508</v>
      </c>
      <c r="R100" s="307">
        <f>VLOOKUP($C100,'[1]Form 4.1'!$C$66:$U$118,18,0)</f>
        <v>25.450564145015058</v>
      </c>
      <c r="S100" s="307">
        <f>'[1]Form 4.1'!U100</f>
        <v>320.90420568981006</v>
      </c>
      <c r="T100" s="1569"/>
      <c r="U100" s="436">
        <f t="shared" si="31"/>
        <v>320.90420568981006</v>
      </c>
      <c r="V100" s="444"/>
    </row>
    <row r="101" spans="3:22">
      <c r="C101" s="1451" t="s">
        <v>812</v>
      </c>
      <c r="D101" s="1569"/>
      <c r="E101" s="307">
        <v>32.057159269235562</v>
      </c>
      <c r="F101" s="1569"/>
      <c r="G101" s="307">
        <f>VLOOKUP($C101,'[1]Form 4.1'!$C$66:$U$118,7,0)</f>
        <v>31.083219411330084</v>
      </c>
      <c r="H101" s="307">
        <f>VLOOKUP($C101,'[1]Form 4.1'!$C$66:$U$118,8,0)</f>
        <v>23.399898847226034</v>
      </c>
      <c r="I101" s="307">
        <f>VLOOKUP($C101,'[1]Form 4.1'!$C$66:$U$118,9,0)</f>
        <v>25.256120297028232</v>
      </c>
      <c r="J101" s="307">
        <f>VLOOKUP($C101,'[1]Form 4.1'!$C$66:$U$118,10,0)</f>
        <v>18.063235011689798</v>
      </c>
      <c r="K101" s="307">
        <f>VLOOKUP($C101,'[1]Form 4.1'!$C$66:$U$118,11,0)</f>
        <v>14.383602913959784</v>
      </c>
      <c r="L101" s="307">
        <f>VLOOKUP($C101,'[1]Form 4.1'!$C$66:$U$118,12,0)</f>
        <v>25.725231167222141</v>
      </c>
      <c r="M101" s="307">
        <f>VLOOKUP($C101,'[1]Form 4.1'!$C$66:$U$118,13,0)</f>
        <v>34.370095956570587</v>
      </c>
      <c r="N101" s="307">
        <f>VLOOKUP($C101,'[1]Form 4.1'!$C$66:$U$118,14,0)</f>
        <v>24.552121646362767</v>
      </c>
      <c r="O101" s="307">
        <f>VLOOKUP($C101,'[1]Form 4.1'!$C$66:$U$118,15,0)</f>
        <v>34.863898975265258</v>
      </c>
      <c r="P101" s="307">
        <f>VLOOKUP($C101,'[1]Form 4.1'!$C$66:$U$118,16,0)</f>
        <v>31.770645919509398</v>
      </c>
      <c r="Q101" s="307">
        <f>VLOOKUP($C101,'[1]Form 4.1'!$C$66:$U$118,17,0)</f>
        <v>28.531704389583606</v>
      </c>
      <c r="R101" s="307">
        <f>VLOOKUP($C101,'[1]Form 4.1'!$C$66:$U$118,18,0)</f>
        <v>30.751532262941826</v>
      </c>
      <c r="S101" s="307">
        <f>'[1]Form 4.1'!U101</f>
        <v>322.75130679868948</v>
      </c>
      <c r="T101" s="1569"/>
      <c r="U101" s="436">
        <f t="shared" si="31"/>
        <v>322.75130679868948</v>
      </c>
      <c r="V101" s="445"/>
    </row>
    <row r="102" spans="3:22">
      <c r="C102" s="1451" t="s">
        <v>780</v>
      </c>
      <c r="D102" s="1569"/>
      <c r="E102" s="307">
        <v>31.985278076237528</v>
      </c>
      <c r="F102" s="1569"/>
      <c r="G102" s="307">
        <f>VLOOKUP($C102,'[1]Form 4.1'!$C$66:$U$118,7,0)</f>
        <v>12.656572547072654</v>
      </c>
      <c r="H102" s="307">
        <f>VLOOKUP($C102,'[1]Form 4.1'!$C$66:$U$118,8,0)</f>
        <v>11.190607193626567</v>
      </c>
      <c r="I102" s="307">
        <f>VLOOKUP($C102,'[1]Form 4.1'!$C$66:$U$118,9,0)</f>
        <v>12.540666429952147</v>
      </c>
      <c r="J102" s="307">
        <f>VLOOKUP($C102,'[1]Form 4.1'!$C$66:$U$118,10,0)</f>
        <v>12.571702356946748</v>
      </c>
      <c r="K102" s="307">
        <f>VLOOKUP($C102,'[1]Form 4.1'!$C$66:$U$118,11,0)</f>
        <v>7.7537754345135612</v>
      </c>
      <c r="L102" s="307">
        <f>VLOOKUP($C102,'[1]Form 4.1'!$C$66:$U$118,12,0)</f>
        <v>6.6289838913202113</v>
      </c>
      <c r="M102" s="307">
        <f>VLOOKUP($C102,'[1]Form 4.1'!$C$66:$U$118,13,0)</f>
        <v>15.822432505833097</v>
      </c>
      <c r="N102" s="307">
        <f>VLOOKUP($C102,'[1]Form 4.1'!$C$66:$U$118,14,0)</f>
        <v>15.116433211646129</v>
      </c>
      <c r="O102" s="307">
        <f>VLOOKUP($C102,'[1]Form 4.1'!$C$66:$U$118,15,0)</f>
        <v>10.950654413531694</v>
      </c>
      <c r="P102" s="307">
        <f>VLOOKUP($C102,'[1]Form 4.1'!$C$66:$U$118,16,0)</f>
        <v>6.9342765267310096</v>
      </c>
      <c r="Q102" s="307">
        <f>VLOOKUP($C102,'[1]Form 4.1'!$C$66:$U$118,17,0)</f>
        <v>12.833140834298662</v>
      </c>
      <c r="R102" s="307">
        <f>VLOOKUP($C102,'[1]Form 4.1'!$C$66:$U$118,18,0)</f>
        <v>13.838243663792358</v>
      </c>
      <c r="S102" s="307">
        <f>'[1]Form 4.1'!U102</f>
        <v>138.83748900926483</v>
      </c>
      <c r="T102" s="1569"/>
      <c r="U102" s="436">
        <f t="shared" si="31"/>
        <v>138.83748900926483</v>
      </c>
      <c r="V102" s="445"/>
    </row>
    <row r="103" spans="3:22">
      <c r="C103" s="1451" t="s">
        <v>965</v>
      </c>
      <c r="D103" s="1569"/>
      <c r="E103" s="307">
        <v>29.88590985863706</v>
      </c>
      <c r="F103" s="1569"/>
      <c r="G103" s="307">
        <f>VLOOKUP($C103,'[1]Form 4.1'!$C$66:$U$118,7,0)</f>
        <v>0.34986727015226321</v>
      </c>
      <c r="H103" s="307">
        <f>VLOOKUP($C103,'[1]Form 4.1'!$C$66:$U$118,8,0)</f>
        <v>0.48913695314193728</v>
      </c>
      <c r="I103" s="307">
        <f>VLOOKUP($C103,'[1]Form 4.1'!$C$66:$U$118,9,0)</f>
        <v>0.48761534490621578</v>
      </c>
      <c r="J103" s="307">
        <f>VLOOKUP($C103,'[1]Form 4.1'!$C$66:$U$118,10,0)</f>
        <v>0.50054766886124946</v>
      </c>
      <c r="K103" s="307">
        <f>VLOOKUP($C103,'[1]Form 4.1'!$C$66:$U$118,11,0)</f>
        <v>0.2907635181039982</v>
      </c>
      <c r="L103" s="307">
        <f>VLOOKUP($C103,'[1]Form 4.1'!$C$66:$U$118,12,0)</f>
        <v>0.3412736851948916</v>
      </c>
      <c r="M103" s="307">
        <f>VLOOKUP($C103,'[1]Form 4.1'!$C$66:$U$118,13,0)</f>
        <v>0.5264684409344722</v>
      </c>
      <c r="N103" s="307">
        <f>VLOOKUP($C103,'[1]Form 4.1'!$C$66:$U$118,14,0)</f>
        <v>0.50252332534728483</v>
      </c>
      <c r="O103" s="307">
        <f>VLOOKUP($C103,'[1]Form 4.1'!$C$66:$U$118,15,0)</f>
        <v>0.50279791720152667</v>
      </c>
      <c r="P103" s="307">
        <f>VLOOKUP($C103,'[1]Form 4.1'!$C$66:$U$118,16,0)</f>
        <v>0.35472607036628812</v>
      </c>
      <c r="Q103" s="307">
        <f>VLOOKUP($C103,'[1]Form 4.1'!$C$66:$U$118,17,0)</f>
        <v>0</v>
      </c>
      <c r="R103" s="307">
        <f>VLOOKUP($C103,'[1]Form 4.1'!$C$66:$U$118,18,0)</f>
        <v>0</v>
      </c>
      <c r="S103" s="307">
        <f>'[1]Form 4.1'!U103</f>
        <v>4.3457201942101271</v>
      </c>
      <c r="T103" s="1569"/>
      <c r="U103" s="436">
        <f t="shared" si="31"/>
        <v>4.3457201942101271</v>
      </c>
      <c r="V103" s="445"/>
    </row>
    <row r="104" spans="3:22">
      <c r="C104" s="1451" t="s">
        <v>966</v>
      </c>
      <c r="D104" s="1569"/>
      <c r="E104" s="307">
        <v>34.821232964126423</v>
      </c>
      <c r="F104" s="1569"/>
      <c r="G104" s="307">
        <f>VLOOKUP($C104,'[1]Form 4.1'!$C$66:$U$118,7,0)</f>
        <v>0.5478528206499137</v>
      </c>
      <c r="H104" s="307">
        <f>VLOOKUP($C104,'[1]Form 4.1'!$C$66:$U$118,8,0)</f>
        <v>0.44828885705894966</v>
      </c>
      <c r="I104" s="307">
        <f>VLOOKUP($C104,'[1]Form 4.1'!$C$66:$U$118,9,0)</f>
        <v>0.37029083277784075</v>
      </c>
      <c r="J104" s="307">
        <f>VLOOKUP($C104,'[1]Form 4.1'!$C$66:$U$118,10,0)</f>
        <v>0.58355797137356091</v>
      </c>
      <c r="K104" s="307">
        <f>VLOOKUP($C104,'[1]Form 4.1'!$C$66:$U$118,11,0)</f>
        <v>0.63132572527876563</v>
      </c>
      <c r="L104" s="307">
        <f>VLOOKUP($C104,'[1]Form 4.1'!$C$66:$U$118,12,0)</f>
        <v>0.41951796592819213</v>
      </c>
      <c r="M104" s="307">
        <f>VLOOKUP($C104,'[1]Form 4.1'!$C$66:$U$118,13,0)</f>
        <v>0.47634323386382366</v>
      </c>
      <c r="N104" s="307">
        <f>VLOOKUP($C104,'[1]Form 4.1'!$C$66:$U$118,14,0)</f>
        <v>0.48068607757969284</v>
      </c>
      <c r="O104" s="307">
        <f>VLOOKUP($C104,'[1]Form 4.1'!$C$66:$U$118,15,0)</f>
        <v>0.55808510993416027</v>
      </c>
      <c r="P104" s="307">
        <f>VLOOKUP($C104,'[1]Form 4.1'!$C$66:$U$118,16,0)</f>
        <v>0.59995337813040628</v>
      </c>
      <c r="Q104" s="307">
        <f>VLOOKUP($C104,'[1]Form 4.1'!$C$66:$U$118,17,0)</f>
        <v>0.55456141647012414</v>
      </c>
      <c r="R104" s="307">
        <f>VLOOKUP($C104,'[1]Form 4.1'!$C$66:$U$118,18,0)</f>
        <v>0.59864219442931754</v>
      </c>
      <c r="S104" s="307">
        <f>'[1]Form 4.1'!U104</f>
        <v>6.2691055834747473</v>
      </c>
      <c r="T104" s="1569"/>
      <c r="U104" s="436">
        <f t="shared" si="31"/>
        <v>6.2691055834747473</v>
      </c>
      <c r="V104" s="447">
        <f t="shared" ref="V104" si="34">SUM(V102:V103)</f>
        <v>0</v>
      </c>
    </row>
    <row r="105" spans="3:22">
      <c r="C105" s="1451" t="s">
        <v>967</v>
      </c>
      <c r="D105" s="1569"/>
      <c r="E105" s="307">
        <v>20.500872496606831</v>
      </c>
      <c r="F105" s="1569"/>
      <c r="G105" s="307">
        <f>VLOOKUP($C105,'[1]Form 4.1'!$C$66:$U$118,7,0)</f>
        <v>0.42061276416227156</v>
      </c>
      <c r="H105" s="307">
        <f>VLOOKUP($C105,'[1]Form 4.1'!$C$66:$U$118,8,0)</f>
        <v>0.30597761557643105</v>
      </c>
      <c r="I105" s="307">
        <f>VLOOKUP($C105,'[1]Form 4.1'!$C$66:$U$118,9,0)</f>
        <v>0.33558144329110395</v>
      </c>
      <c r="J105" s="307">
        <f>VLOOKUP($C105,'[1]Form 4.1'!$C$66:$U$118,10,0)</f>
        <v>0.45781957782112093</v>
      </c>
      <c r="K105" s="307">
        <f>VLOOKUP($C105,'[1]Form 4.1'!$C$66:$U$118,11,0)</f>
        <v>0.20137005592663512</v>
      </c>
      <c r="L105" s="307">
        <f>VLOOKUP($C105,'[1]Form 4.1'!$C$66:$U$118,12,0)</f>
        <v>0.42885268267233279</v>
      </c>
      <c r="M105" s="307">
        <f>VLOOKUP($C105,'[1]Form 4.1'!$C$66:$U$118,13,0)</f>
        <v>0.58435842250718206</v>
      </c>
      <c r="N105" s="307">
        <f>VLOOKUP($C105,'[1]Form 4.1'!$C$66:$U$118,14,0)</f>
        <v>0.55385843130962276</v>
      </c>
      <c r="O105" s="307">
        <f>VLOOKUP($C105,'[1]Form 4.1'!$C$66:$U$118,15,0)</f>
        <v>0.27904255496708014</v>
      </c>
      <c r="P105" s="307">
        <f>VLOOKUP($C105,'[1]Form 4.1'!$C$66:$U$118,16,0)</f>
        <v>0.25428487549897999</v>
      </c>
      <c r="Q105" s="307">
        <f>VLOOKUP($C105,'[1]Form 4.1'!$C$66:$U$118,17,0)</f>
        <v>0.23596868904682214</v>
      </c>
      <c r="R105" s="307">
        <f>VLOOKUP($C105,'[1]Form 4.1'!$C$66:$U$118,18,0)</f>
        <v>0.26958721338538794</v>
      </c>
      <c r="S105" s="307">
        <f>'[1]Form 4.1'!U105</f>
        <v>4.3273143261649709</v>
      </c>
      <c r="T105" s="1569"/>
      <c r="U105" s="436">
        <f t="shared" si="31"/>
        <v>4.3273143261649709</v>
      </c>
      <c r="V105" s="445"/>
    </row>
    <row r="106" spans="3:22">
      <c r="C106" s="1451" t="s">
        <v>1118</v>
      </c>
      <c r="D106" s="1569"/>
      <c r="E106" s="307">
        <v>29.604729195960093</v>
      </c>
      <c r="F106" s="1569"/>
      <c r="G106" s="307">
        <f>VLOOKUP($C106,'[1]Form 4.1'!$C$66:$U$118,7,0)</f>
        <v>0</v>
      </c>
      <c r="H106" s="307">
        <f>VLOOKUP($C106,'[1]Form 4.1'!$C$66:$U$118,8,0)</f>
        <v>0</v>
      </c>
      <c r="I106" s="307">
        <f>VLOOKUP($C106,'[1]Form 4.1'!$C$66:$U$118,9,0)</f>
        <v>0</v>
      </c>
      <c r="J106" s="307">
        <f>VLOOKUP($C106,'[1]Form 4.1'!$C$66:$U$118,10,0)</f>
        <v>0</v>
      </c>
      <c r="K106" s="307">
        <f>VLOOKUP($C106,'[1]Form 4.1'!$C$66:$U$118,11,0)</f>
        <v>0</v>
      </c>
      <c r="L106" s="307">
        <f>VLOOKUP($C106,'[1]Form 4.1'!$C$66:$U$118,12,0)</f>
        <v>0.38319577065017174</v>
      </c>
      <c r="M106" s="307">
        <f>VLOOKUP($C106,'[1]Form 4.1'!$C$66:$U$118,13,0)</f>
        <v>1.2017306357513895</v>
      </c>
      <c r="N106" s="307">
        <f>VLOOKUP($C106,'[1]Form 4.1'!$C$66:$U$118,14,0)</f>
        <v>1.6059020439071754</v>
      </c>
      <c r="O106" s="307">
        <f>VLOOKUP($C106,'[1]Form 4.1'!$C$66:$U$118,15,0)</f>
        <v>1.8363194864879551</v>
      </c>
      <c r="P106" s="307">
        <f>VLOOKUP($C106,'[1]Form 4.1'!$C$66:$U$118,16,0)</f>
        <v>1.6733944829777969</v>
      </c>
      <c r="Q106" s="307">
        <f>VLOOKUP($C106,'[1]Form 4.1'!$C$66:$U$118,17,0)</f>
        <v>1.496088359844286</v>
      </c>
      <c r="R106" s="307">
        <f>VLOOKUP($C106,'[1]Form 4.1'!$C$66:$U$118,18,0)</f>
        <v>1.6697373195188467</v>
      </c>
      <c r="S106" s="307">
        <f>'[1]Form 4.1'!U106</f>
        <v>9.8663680991376221</v>
      </c>
      <c r="T106" s="1569"/>
      <c r="U106" s="436">
        <f t="shared" si="31"/>
        <v>9.8663680991376221</v>
      </c>
      <c r="V106" s="445"/>
    </row>
    <row r="107" spans="3:22">
      <c r="C107" s="1451" t="s">
        <v>813</v>
      </c>
      <c r="D107" s="1569"/>
      <c r="E107" s="307">
        <v>0</v>
      </c>
      <c r="F107" s="1569"/>
      <c r="G107" s="307">
        <f>VLOOKUP($C107,'[1]Form 4.1'!$C$66:$U$118,7,0)</f>
        <v>6.1071391523875143</v>
      </c>
      <c r="H107" s="307">
        <f>VLOOKUP($C107,'[1]Form 4.1'!$C$66:$U$118,8,0)</f>
        <v>7.8585781176650107</v>
      </c>
      <c r="I107" s="307">
        <f>VLOOKUP($C107,'[1]Form 4.1'!$C$66:$U$118,9,0)</f>
        <v>7.8498864391798682</v>
      </c>
      <c r="J107" s="307">
        <f>VLOOKUP($C107,'[1]Form 4.1'!$C$66:$U$118,10,0)</f>
        <v>6.9877252258558498</v>
      </c>
      <c r="K107" s="307">
        <f>VLOOKUP($C107,'[1]Form 4.1'!$C$66:$U$118,11,0)</f>
        <v>6.863256876983221</v>
      </c>
      <c r="L107" s="307">
        <f>VLOOKUP($C107,'[1]Form 4.1'!$C$66:$U$118,12,0)</f>
        <v>7.8442143563616762</v>
      </c>
      <c r="M107" s="307">
        <f>VLOOKUP($C107,'[1]Form 4.1'!$C$66:$U$118,13,0)</f>
        <v>10.093014932239381</v>
      </c>
      <c r="N107" s="307">
        <f>VLOOKUP($C107,'[1]Form 4.1'!$C$66:$U$118,14,0)</f>
        <v>9.8836832426136212</v>
      </c>
      <c r="O107" s="307">
        <f>VLOOKUP($C107,'[1]Form 4.1'!$C$66:$U$118,15,0)</f>
        <v>8.8869665274532927</v>
      </c>
      <c r="P107" s="307">
        <f>VLOOKUP($C107,'[1]Form 4.1'!$C$66:$U$118,16,0)</f>
        <v>9.1658992647983997</v>
      </c>
      <c r="Q107" s="307">
        <f>VLOOKUP($C107,'[1]Form 4.1'!$C$66:$U$118,17,0)</f>
        <v>8.6468874346701767</v>
      </c>
      <c r="R107" s="307">
        <f>VLOOKUP($C107,'[1]Form 4.1'!$C$66:$U$118,18,0)</f>
        <v>9.3538478528399356</v>
      </c>
      <c r="S107" s="307">
        <f>'[1]Form 4.1'!U107</f>
        <v>99.541099423047939</v>
      </c>
      <c r="T107" s="1569"/>
      <c r="U107" s="436">
        <f t="shared" si="31"/>
        <v>99.541099423047939</v>
      </c>
      <c r="V107" s="444"/>
    </row>
    <row r="108" spans="3:22" ht="14.25">
      <c r="C108" s="1603" t="s">
        <v>815</v>
      </c>
      <c r="D108" s="1574"/>
      <c r="E108" s="1574"/>
      <c r="F108" s="1574"/>
      <c r="G108" s="1577">
        <f t="shared" ref="G108:U108" si="35">SUM(G90:G107)</f>
        <v>481.31312497898136</v>
      </c>
      <c r="H108" s="1577">
        <f t="shared" si="35"/>
        <v>481.98296098678173</v>
      </c>
      <c r="I108" s="1577">
        <f t="shared" si="35"/>
        <v>466.61986775820429</v>
      </c>
      <c r="J108" s="1577">
        <f t="shared" si="35"/>
        <v>438.28630964098778</v>
      </c>
      <c r="K108" s="1577">
        <f t="shared" si="35"/>
        <v>399.49350047881717</v>
      </c>
      <c r="L108" s="1577">
        <f t="shared" si="35"/>
        <v>420.21779679207111</v>
      </c>
      <c r="M108" s="1577">
        <f t="shared" si="35"/>
        <v>515.10636213566886</v>
      </c>
      <c r="N108" s="1577">
        <f t="shared" si="35"/>
        <v>455.970029399471</v>
      </c>
      <c r="O108" s="1577">
        <f t="shared" si="35"/>
        <v>424.1352138458837</v>
      </c>
      <c r="P108" s="1577">
        <f t="shared" si="35"/>
        <v>462.53685025243692</v>
      </c>
      <c r="Q108" s="1577">
        <f t="shared" si="35"/>
        <v>444.17652692822423</v>
      </c>
      <c r="R108" s="1577">
        <f t="shared" si="35"/>
        <v>480.14564857473425</v>
      </c>
      <c r="S108" s="1577">
        <f t="shared" si="35"/>
        <v>5469.9841917722606</v>
      </c>
      <c r="T108" s="1577">
        <f t="shared" si="35"/>
        <v>0</v>
      </c>
      <c r="U108" s="1620">
        <f t="shared" si="35"/>
        <v>5469.9841917722606</v>
      </c>
      <c r="V108" s="444"/>
    </row>
    <row r="109" spans="3:22">
      <c r="C109" s="1622" t="s">
        <v>1119</v>
      </c>
      <c r="D109" s="307"/>
      <c r="E109" s="307">
        <v>37.745536275867359</v>
      </c>
      <c r="F109" s="307"/>
      <c r="G109" s="307">
        <f>VLOOKUP($C109,'[1]Form 4.1'!$C$66:$U$118,7,0)</f>
        <v>61.676932514673815</v>
      </c>
      <c r="H109" s="307">
        <f>VLOOKUP($C109,'[1]Form 4.1'!$C$66:$U$118,8,0)</f>
        <v>66.309507656636882</v>
      </c>
      <c r="I109" s="307">
        <f>VLOOKUP($C109,'[1]Form 4.1'!$C$66:$U$118,9,0)</f>
        <v>64.155662384246796</v>
      </c>
      <c r="J109" s="307">
        <f>VLOOKUP($C109,'[1]Form 4.1'!$C$66:$U$118,10,0)</f>
        <v>66.784946550626401</v>
      </c>
      <c r="K109" s="307">
        <f>VLOOKUP($C109,'[1]Form 4.1'!$C$66:$U$118,11,0)</f>
        <v>58.055344784818978</v>
      </c>
      <c r="L109" s="307">
        <f>VLOOKUP($C109,'[1]Form 4.1'!$C$66:$U$118,12,0)</f>
        <v>58.667184339009395</v>
      </c>
      <c r="M109" s="307">
        <f>VLOOKUP($C109,'[1]Form 4.1'!$C$66:$U$118,13,0)</f>
        <v>62.263694922967026</v>
      </c>
      <c r="N109" s="307">
        <f>VLOOKUP($C109,'[1]Form 4.1'!$C$66:$U$118,14,0)</f>
        <v>54.631515103549617</v>
      </c>
      <c r="O109" s="307">
        <f>VLOOKUP($C109,'[1]Form 4.1'!$C$66:$U$118,15,0)</f>
        <v>46.728908499330309</v>
      </c>
      <c r="P109" s="307">
        <f>VLOOKUP($C109,'[1]Form 4.1'!$C$66:$U$118,16,0)</f>
        <v>63.927422209518149</v>
      </c>
      <c r="Q109" s="307">
        <f>VLOOKUP($C109,'[1]Form 4.1'!$C$66:$U$118,17,0)</f>
        <v>59.195142466544866</v>
      </c>
      <c r="R109" s="307">
        <f>VLOOKUP($C109,'[1]Form 4.1'!$C$66:$U$118,18,0)</f>
        <v>63.7877103633828</v>
      </c>
      <c r="S109" s="307">
        <f>'[1]Form 4.1'!U109</f>
        <v>726.18397179530496</v>
      </c>
      <c r="T109" s="307"/>
      <c r="U109" s="436">
        <f t="shared" ref="U109:U112" si="36">S109-T109</f>
        <v>726.18397179530496</v>
      </c>
      <c r="V109" s="445"/>
    </row>
    <row r="110" spans="3:22">
      <c r="C110" s="1622" t="s">
        <v>1120</v>
      </c>
      <c r="D110" s="307"/>
      <c r="E110" s="307">
        <v>34.762754796830883</v>
      </c>
      <c r="F110" s="307"/>
      <c r="G110" s="307">
        <f>VLOOKUP($C110,'[1]Form 4.1'!$C$66:$U$118,7,0)</f>
        <v>105.42081568361959</v>
      </c>
      <c r="H110" s="307">
        <f>VLOOKUP($C110,'[1]Form 4.1'!$C$66:$U$118,8,0)</f>
        <v>116.21170064910683</v>
      </c>
      <c r="I110" s="307">
        <f>VLOOKUP($C110,'[1]Form 4.1'!$C$66:$U$118,9,0)</f>
        <v>102.3271610492847</v>
      </c>
      <c r="J110" s="307">
        <f>VLOOKUP($C110,'[1]Form 4.1'!$C$66:$U$118,10,0)</f>
        <v>103.85865575415886</v>
      </c>
      <c r="K110" s="307">
        <f>VLOOKUP($C110,'[1]Form 4.1'!$C$66:$U$118,11,0)</f>
        <v>120.77646174541916</v>
      </c>
      <c r="L110" s="307">
        <f>VLOOKUP($C110,'[1]Form 4.1'!$C$66:$U$118,12,0)</f>
        <v>109.33027212330369</v>
      </c>
      <c r="M110" s="307">
        <f>VLOOKUP($C110,'[1]Form 4.1'!$C$66:$U$118,13,0)</f>
        <v>159.30186227459544</v>
      </c>
      <c r="N110" s="307">
        <f>VLOOKUP($C110,'[1]Form 4.1'!$C$66:$U$118,14,0)</f>
        <v>152.0564108689068</v>
      </c>
      <c r="O110" s="307">
        <f>VLOOKUP($C110,'[1]Form 4.1'!$C$66:$U$118,15,0)</f>
        <v>152.13949845848484</v>
      </c>
      <c r="P110" s="307">
        <f>VLOOKUP($C110,'[1]Form 4.1'!$C$66:$U$118,16,0)</f>
        <v>138.64112385495153</v>
      </c>
      <c r="Q110" s="307">
        <f>VLOOKUP($C110,'[1]Form 4.1'!$C$66:$U$118,17,0)</f>
        <v>128.37810120699388</v>
      </c>
      <c r="R110" s="307">
        <f>VLOOKUP($C110,'[1]Form 4.1'!$C$66:$U$118,18,0)</f>
        <v>138.338127007987</v>
      </c>
      <c r="S110" s="307">
        <f>'[1]Form 4.1'!U110</f>
        <v>1526.7801906768123</v>
      </c>
      <c r="T110" s="307"/>
      <c r="U110" s="436">
        <f t="shared" si="36"/>
        <v>1526.7801906768123</v>
      </c>
      <c r="V110" s="445"/>
    </row>
    <row r="111" spans="3:22">
      <c r="C111" s="1622" t="s">
        <v>1121</v>
      </c>
      <c r="D111" s="307"/>
      <c r="E111" s="307">
        <v>29.549481284736036</v>
      </c>
      <c r="F111" s="307"/>
      <c r="G111" s="307">
        <f>VLOOKUP($C111,'[1]Form 4.1'!$C$66:$U$118,7,0)</f>
        <v>12.263065930949411</v>
      </c>
      <c r="H111" s="307">
        <f>VLOOKUP($C111,'[1]Form 4.1'!$C$66:$U$118,8,0)</f>
        <v>24.967357561331543</v>
      </c>
      <c r="I111" s="307">
        <f>VLOOKUP($C111,'[1]Form 4.1'!$C$66:$U$118,9,0)</f>
        <v>0</v>
      </c>
      <c r="J111" s="307">
        <f>VLOOKUP($C111,'[1]Form 4.1'!$C$66:$U$118,10,0)</f>
        <v>0</v>
      </c>
      <c r="K111" s="307">
        <f>VLOOKUP($C111,'[1]Form 4.1'!$C$66:$U$118,11,0)</f>
        <v>19.620724832288314</v>
      </c>
      <c r="L111" s="307">
        <f>VLOOKUP($C111,'[1]Form 4.1'!$C$66:$U$118,12,0)</f>
        <v>34.165710038532403</v>
      </c>
      <c r="M111" s="307">
        <f>VLOOKUP($C111,'[1]Form 4.1'!$C$66:$U$118,13,0)</f>
        <v>39.825465568648859</v>
      </c>
      <c r="N111" s="307">
        <f>VLOOKUP($C111,'[1]Form 4.1'!$C$66:$U$118,14,0)</f>
        <v>38.014102717226699</v>
      </c>
      <c r="O111" s="307">
        <f>VLOOKUP($C111,'[1]Form 4.1'!$C$66:$U$118,15,0)</f>
        <v>38.034874614621209</v>
      </c>
      <c r="P111" s="307">
        <f>VLOOKUP($C111,'[1]Form 4.1'!$C$66:$U$118,16,0)</f>
        <v>34.660280963737883</v>
      </c>
      <c r="Q111" s="307">
        <f>VLOOKUP($C111,'[1]Form 4.1'!$C$66:$U$118,17,0)</f>
        <v>32.094525301748469</v>
      </c>
      <c r="R111" s="307">
        <f>VLOOKUP($C111,'[1]Form 4.1'!$C$66:$U$118,18,0)</f>
        <v>34.584531751996749</v>
      </c>
      <c r="S111" s="307">
        <f>'[1]Form 4.1'!U111</f>
        <v>308.23063928108155</v>
      </c>
      <c r="T111" s="307"/>
      <c r="U111" s="436">
        <f t="shared" si="36"/>
        <v>308.23063928108155</v>
      </c>
      <c r="V111" s="445"/>
    </row>
    <row r="112" spans="3:22">
      <c r="C112" s="1622" t="s">
        <v>968</v>
      </c>
      <c r="D112" s="307"/>
      <c r="E112" s="307">
        <v>24.840826458319498</v>
      </c>
      <c r="F112" s="307"/>
      <c r="G112" s="307">
        <f>VLOOKUP($C112,'[1]Form 4.1'!$C$66:$U$118,7,0)</f>
        <v>154.61242679669789</v>
      </c>
      <c r="H112" s="307">
        <f>VLOOKUP($C112,'[1]Form 4.1'!$C$66:$U$118,8,0)</f>
        <v>210.22408080434943</v>
      </c>
      <c r="I112" s="307">
        <f>VLOOKUP($C112,'[1]Form 4.1'!$C$66:$U$118,9,0)</f>
        <v>204.359925415003</v>
      </c>
      <c r="J112" s="307">
        <f>VLOOKUP($C112,'[1]Form 4.1'!$C$66:$U$118,10,0)</f>
        <v>168.67179231226959</v>
      </c>
      <c r="K112" s="307">
        <f>VLOOKUP($C112,'[1]Form 4.1'!$C$66:$U$118,11,0)</f>
        <v>163.62357713113684</v>
      </c>
      <c r="L112" s="307">
        <f>VLOOKUP($C112,'[1]Form 4.1'!$C$66:$U$118,12,0)</f>
        <v>225.42269810862422</v>
      </c>
      <c r="M112" s="307">
        <f>VLOOKUP($C112,'[1]Form 4.1'!$C$66:$U$118,13,0)</f>
        <v>187.37722248187015</v>
      </c>
      <c r="N112" s="307">
        <f>VLOOKUP($C112,'[1]Form 4.1'!$C$66:$U$118,14,0)</f>
        <v>184.816660477791</v>
      </c>
      <c r="O112" s="307">
        <f>VLOOKUP($C112,'[1]Form 4.1'!$C$66:$U$118,15,0)</f>
        <v>173.40631007096121</v>
      </c>
      <c r="P112" s="307">
        <f>VLOOKUP($C112,'[1]Form 4.1'!$C$66:$U$118,16,0)</f>
        <v>163.07523552314817</v>
      </c>
      <c r="Q112" s="307">
        <f>VLOOKUP($C112,'[1]Form 4.1'!$C$66:$U$118,17,0)</f>
        <v>151.00345776371447</v>
      </c>
      <c r="R112" s="307">
        <f>VLOOKUP($C112,'[1]Form 4.1'!$C$66:$U$118,18,0)</f>
        <v>152.22084893046335</v>
      </c>
      <c r="S112" s="307">
        <f>'[1]Form 4.1'!U112</f>
        <v>2138.8142358160289</v>
      </c>
      <c r="T112" s="307"/>
      <c r="U112" s="436">
        <f t="shared" si="36"/>
        <v>2138.8142358160289</v>
      </c>
      <c r="V112" s="447">
        <f t="shared" ref="V112" si="37">SUM(V110:V111)</f>
        <v>0</v>
      </c>
    </row>
    <row r="113" spans="3:22" ht="14.25">
      <c r="C113" s="1603" t="s">
        <v>819</v>
      </c>
      <c r="D113" s="1574"/>
      <c r="E113" s="1574"/>
      <c r="F113" s="1574"/>
      <c r="G113" s="1577">
        <f t="shared" ref="G113:S113" si="38">SUM(G109:G112)</f>
        <v>333.97324092594067</v>
      </c>
      <c r="H113" s="1577">
        <f t="shared" si="38"/>
        <v>417.71264667142464</v>
      </c>
      <c r="I113" s="1577">
        <f t="shared" si="38"/>
        <v>370.84274884853448</v>
      </c>
      <c r="J113" s="1577">
        <f t="shared" si="38"/>
        <v>339.31539461705484</v>
      </c>
      <c r="K113" s="1577">
        <f t="shared" si="38"/>
        <v>362.0761084936633</v>
      </c>
      <c r="L113" s="1577">
        <f t="shared" si="38"/>
        <v>427.5858646094697</v>
      </c>
      <c r="M113" s="1577">
        <f t="shared" si="38"/>
        <v>448.76824524808148</v>
      </c>
      <c r="N113" s="1577">
        <f t="shared" si="38"/>
        <v>429.51868916747412</v>
      </c>
      <c r="O113" s="1577">
        <f t="shared" si="38"/>
        <v>410.30959164339754</v>
      </c>
      <c r="P113" s="1577">
        <f t="shared" si="38"/>
        <v>400.30406255135574</v>
      </c>
      <c r="Q113" s="1577">
        <f t="shared" si="38"/>
        <v>370.67122673900167</v>
      </c>
      <c r="R113" s="1577">
        <f t="shared" si="38"/>
        <v>388.93121805382987</v>
      </c>
      <c r="S113" s="1577">
        <f t="shared" si="38"/>
        <v>4700.0090375692271</v>
      </c>
      <c r="T113" s="1577">
        <f t="shared" ref="T113" si="39">SUM(T109:T112)</f>
        <v>0</v>
      </c>
      <c r="U113" s="1620">
        <f t="shared" ref="U113" si="40">SUM(U109:U112)</f>
        <v>4700.0090375692271</v>
      </c>
      <c r="V113" s="445"/>
    </row>
    <row r="114" spans="3:22">
      <c r="C114" s="1622" t="s">
        <v>820</v>
      </c>
      <c r="D114" s="307"/>
      <c r="E114" s="307">
        <v>8.9623113668611509</v>
      </c>
      <c r="F114" s="307"/>
      <c r="G114" s="307">
        <f>VLOOKUP($C114,'[1]Form 4.1'!$C$66:$U$118,7,0)</f>
        <v>8.5546272829903476</v>
      </c>
      <c r="H114" s="307">
        <f>VLOOKUP($C114,'[1]Form 4.1'!$C$66:$U$118,8,0)</f>
        <v>7.1390022526485115</v>
      </c>
      <c r="I114" s="307">
        <f>VLOOKUP($C114,'[1]Form 4.1'!$C$66:$U$118,9,0)</f>
        <v>7.5003887412298464</v>
      </c>
      <c r="J114" s="307">
        <f>VLOOKUP($C114,'[1]Form 4.1'!$C$66:$U$118,10,0)</f>
        <v>8.7027491111971838</v>
      </c>
      <c r="K114" s="307">
        <f>VLOOKUP($C114,'[1]Form 4.1'!$C$66:$U$118,11,0)</f>
        <v>9.1043796689379306</v>
      </c>
      <c r="L114" s="307">
        <f>VLOOKUP($C114,'[1]Form 4.1'!$C$66:$U$118,12,0)</f>
        <v>8.0228956672352947</v>
      </c>
      <c r="M114" s="307">
        <f>VLOOKUP($C114,'[1]Form 4.1'!$C$66:$U$118,13,0)</f>
        <v>15.389729313567647</v>
      </c>
      <c r="N114" s="307">
        <f>VLOOKUP($C114,'[1]Form 4.1'!$C$66:$U$118,14,0)</f>
        <v>10.850356890999633</v>
      </c>
      <c r="O114" s="307">
        <f>VLOOKUP($C114,'[1]Form 4.1'!$C$66:$U$118,15,0)</f>
        <v>9.654772572175446</v>
      </c>
      <c r="P114" s="307">
        <f>VLOOKUP($C114,'[1]Form 4.1'!$C$66:$U$118,16,0)</f>
        <v>9.1242928753204762</v>
      </c>
      <c r="Q114" s="307">
        <f>VLOOKUP($C114,'[1]Form 4.1'!$C$66:$U$118,17,0)</f>
        <v>7.6558870898934277</v>
      </c>
      <c r="R114" s="307">
        <f>VLOOKUP($C114,'[1]Form 4.1'!$C$66:$U$118,18,0)</f>
        <v>8.1647255529285285</v>
      </c>
      <c r="S114" s="307">
        <f>'[1]Form 4.1'!U114</f>
        <v>109.86380701912428</v>
      </c>
      <c r="T114" s="307"/>
      <c r="U114" s="436">
        <f t="shared" ref="U114:U118" si="41">S114-T114</f>
        <v>109.86380701912428</v>
      </c>
      <c r="V114" s="1070"/>
    </row>
    <row r="115" spans="3:22">
      <c r="C115" s="1622" t="s">
        <v>822</v>
      </c>
      <c r="D115" s="307"/>
      <c r="E115" s="307">
        <v>8.7498573056353841</v>
      </c>
      <c r="F115" s="307"/>
      <c r="G115" s="307">
        <f>VLOOKUP($C115,'[1]Form 4.1'!$C$66:$U$118,7,0)</f>
        <v>180.14516342993889</v>
      </c>
      <c r="H115" s="307">
        <f>VLOOKUP($C115,'[1]Form 4.1'!$C$66:$U$118,8,0)</f>
        <v>175.69875561252258</v>
      </c>
      <c r="I115" s="307">
        <f>VLOOKUP($C115,'[1]Form 4.1'!$C$66:$U$118,9,0)</f>
        <v>160.87102801345586</v>
      </c>
      <c r="J115" s="307">
        <f>VLOOKUP($C115,'[1]Form 4.1'!$C$66:$U$118,10,0)</f>
        <v>134.2624396563844</v>
      </c>
      <c r="K115" s="307">
        <f>VLOOKUP($C115,'[1]Form 4.1'!$C$66:$U$118,11,0)</f>
        <v>151.87894407215768</v>
      </c>
      <c r="L115" s="307">
        <f>VLOOKUP($C115,'[1]Form 4.1'!$C$66:$U$118,12,0)</f>
        <v>145.9877313733985</v>
      </c>
      <c r="M115" s="307">
        <f>VLOOKUP($C115,'[1]Form 4.1'!$C$66:$U$118,13,0)</f>
        <v>154.73775986034084</v>
      </c>
      <c r="N115" s="307">
        <f>VLOOKUP($C115,'[1]Form 4.1'!$C$66:$U$118,14,0)</f>
        <v>135.44033295127772</v>
      </c>
      <c r="O115" s="307">
        <f>VLOOKUP($C115,'[1]Form 4.1'!$C$66:$U$118,15,0)</f>
        <v>147.30810419636245</v>
      </c>
      <c r="P115" s="307">
        <f>VLOOKUP($C115,'[1]Form 4.1'!$C$66:$U$118,16,0)</f>
        <v>168.70221101297324</v>
      </c>
      <c r="Q115" s="307">
        <f>VLOOKUP($C115,'[1]Form 4.1'!$C$66:$U$118,17,0)</f>
        <v>157.45026366472649</v>
      </c>
      <c r="R115" s="307">
        <f>VLOOKUP($C115,'[1]Form 4.1'!$C$66:$U$118,18,0)</f>
        <v>164.2247338122408</v>
      </c>
      <c r="S115" s="307">
        <f>'[1]Form 4.1'!U115</f>
        <v>1876.7074676557795</v>
      </c>
      <c r="T115" s="307"/>
      <c r="U115" s="436">
        <f t="shared" si="41"/>
        <v>1876.7074676557795</v>
      </c>
      <c r="V115" s="1070"/>
    </row>
    <row r="116" spans="3:22">
      <c r="C116" s="1622" t="s">
        <v>1114</v>
      </c>
      <c r="D116" s="307"/>
      <c r="E116" s="307">
        <v>8.5620349023977784</v>
      </c>
      <c r="F116" s="307"/>
      <c r="G116" s="307">
        <f>VLOOKUP($C116,'[1]Form 4.1'!$C$66:$U$118,7,0)</f>
        <v>132.8399275428614</v>
      </c>
      <c r="H116" s="307">
        <f>VLOOKUP($C116,'[1]Form 4.1'!$C$66:$U$118,8,0)</f>
        <v>200.34214527544279</v>
      </c>
      <c r="I116" s="307">
        <f>VLOOKUP($C116,'[1]Form 4.1'!$C$66:$U$118,9,0)</f>
        <v>459.73159386129134</v>
      </c>
      <c r="J116" s="307">
        <f>VLOOKUP($C116,'[1]Form 4.1'!$C$66:$U$118,10,0)</f>
        <v>654.68045502175153</v>
      </c>
      <c r="K116" s="307">
        <f>VLOOKUP($C116,'[1]Form 4.1'!$C$66:$U$118,11,0)</f>
        <v>356.38503230558649</v>
      </c>
      <c r="L116" s="307">
        <f>VLOOKUP($C116,'[1]Form 4.1'!$C$66:$U$118,12,0)</f>
        <v>356.1628003036293</v>
      </c>
      <c r="M116" s="307">
        <f>VLOOKUP($C116,'[1]Form 4.1'!$C$66:$U$118,13,0)</f>
        <v>76.91833397160984</v>
      </c>
      <c r="N116" s="307">
        <f>VLOOKUP($C116,'[1]Form 4.1'!$C$66:$U$118,14,0)</f>
        <v>103.03557494606289</v>
      </c>
      <c r="O116" s="307">
        <f>VLOOKUP($C116,'[1]Form 4.1'!$C$66:$U$118,15,0)</f>
        <v>100.64369881752565</v>
      </c>
      <c r="P116" s="307">
        <f>VLOOKUP($C116,'[1]Form 4.1'!$C$66:$U$118,16,0)</f>
        <v>88.136501219937514</v>
      </c>
      <c r="Q116" s="307">
        <f>VLOOKUP($C116,'[1]Form 4.1'!$C$66:$U$118,17,0)</f>
        <v>94.921368821818859</v>
      </c>
      <c r="R116" s="307">
        <f>VLOOKUP($C116,'[1]Form 4.1'!$C$66:$U$118,18,0)</f>
        <v>97.46246938199242</v>
      </c>
      <c r="S116" s="307">
        <f>'[1]Form 4.1'!U116</f>
        <v>2721.2599014695093</v>
      </c>
      <c r="T116" s="307"/>
      <c r="U116" s="436">
        <f t="shared" si="41"/>
        <v>2721.2599014695093</v>
      </c>
      <c r="V116" s="1070"/>
    </row>
    <row r="117" spans="3:22">
      <c r="C117" s="1622" t="s">
        <v>1115</v>
      </c>
      <c r="D117" s="307"/>
      <c r="E117" s="307">
        <v>5.0370046581226191</v>
      </c>
      <c r="F117" s="307"/>
      <c r="G117" s="307">
        <f>VLOOKUP($C117,'[1]Form 4.1'!$C$66:$U$118,7,0)</f>
        <v>1.2662083704065135</v>
      </c>
      <c r="H117" s="307">
        <f>VLOOKUP($C117,'[1]Form 4.1'!$C$66:$U$118,8,0)</f>
        <v>2.8076556365839536</v>
      </c>
      <c r="I117" s="307">
        <f>VLOOKUP($C117,'[1]Form 4.1'!$C$66:$U$118,9,0)</f>
        <v>1.1641916444887319</v>
      </c>
      <c r="J117" s="307">
        <f>VLOOKUP($C117,'[1]Form 4.1'!$C$66:$U$118,10,0)</f>
        <v>0.9540318915666206</v>
      </c>
      <c r="K117" s="307">
        <f>VLOOKUP($C117,'[1]Form 4.1'!$C$66:$U$118,11,0)</f>
        <v>0.29024138881540562</v>
      </c>
      <c r="L117" s="307">
        <f>VLOOKUP($C117,'[1]Form 4.1'!$C$66:$U$118,12,0)</f>
        <v>1.4362683683128274</v>
      </c>
      <c r="M117" s="307">
        <f>VLOOKUP($C117,'[1]Form 4.1'!$C$66:$U$118,13,0)</f>
        <v>2.3216627714050788</v>
      </c>
      <c r="N117" s="307">
        <f>VLOOKUP($C117,'[1]Form 4.1'!$C$66:$U$118,14,0)</f>
        <v>1.1810284789025851</v>
      </c>
      <c r="O117" s="307">
        <f>VLOOKUP($C117,'[1]Form 4.1'!$C$66:$U$118,15,0)</f>
        <v>0.20358146188618681</v>
      </c>
      <c r="P117" s="307">
        <f>VLOOKUP($C117,'[1]Form 4.1'!$C$66:$U$118,16,0)</f>
        <v>0.81254208470648659</v>
      </c>
      <c r="Q117" s="307">
        <f>VLOOKUP($C117,'[1]Form 4.1'!$C$66:$U$118,17,0)</f>
        <v>1.7245277499870568</v>
      </c>
      <c r="R117" s="307">
        <f>VLOOKUP($C117,'[1]Form 4.1'!$C$66:$U$118,18,0)</f>
        <v>3.0086787366281587</v>
      </c>
      <c r="S117" s="307">
        <f>'[1]Form 4.1'!U117</f>
        <v>17.170618583689603</v>
      </c>
      <c r="T117" s="307"/>
      <c r="U117" s="436">
        <f t="shared" si="41"/>
        <v>17.170618583689603</v>
      </c>
      <c r="V117" s="1070"/>
    </row>
    <row r="118" spans="3:22">
      <c r="C118" s="1622" t="s">
        <v>1116</v>
      </c>
      <c r="D118" s="307"/>
      <c r="E118" s="307">
        <v>9.9325444577168085</v>
      </c>
      <c r="F118" s="307"/>
      <c r="G118" s="307">
        <f>VLOOKUP($C118,'[1]Form 4.1'!$C$66:$U$118,7,0)</f>
        <v>67.278900851965602</v>
      </c>
      <c r="H118" s="307">
        <f>VLOOKUP($C118,'[1]Form 4.1'!$C$66:$U$118,8,0)</f>
        <v>111.15601539340901</v>
      </c>
      <c r="I118" s="307">
        <f>VLOOKUP($C118,'[1]Form 4.1'!$C$66:$U$118,9,0)</f>
        <v>116.87995694639953</v>
      </c>
      <c r="J118" s="307">
        <f>VLOOKUP($C118,'[1]Form 4.1'!$C$66:$U$118,10,0)</f>
        <v>80.155031444921477</v>
      </c>
      <c r="K118" s="307">
        <f>VLOOKUP($C118,'[1]Form 4.1'!$C$66:$U$118,11,0)</f>
        <v>46.871731543799861</v>
      </c>
      <c r="L118" s="307">
        <f>VLOOKUP($C118,'[1]Form 4.1'!$C$66:$U$118,12,0)</f>
        <v>98.755795056877687</v>
      </c>
      <c r="M118" s="307">
        <f>VLOOKUP($C118,'[1]Form 4.1'!$C$66:$U$118,13,0)</f>
        <v>85.778743629255445</v>
      </c>
      <c r="N118" s="307">
        <f>VLOOKUP($C118,'[1]Form 4.1'!$C$66:$U$118,14,0)</f>
        <v>94.349651331615604</v>
      </c>
      <c r="O118" s="307">
        <f>VLOOKUP($C118,'[1]Form 4.1'!$C$66:$U$118,15,0)</f>
        <v>86.351557791703016</v>
      </c>
      <c r="P118" s="307">
        <f>VLOOKUP($C118,'[1]Form 4.1'!$C$66:$U$118,16,0)</f>
        <v>87.896198362378598</v>
      </c>
      <c r="Q118" s="307">
        <f>VLOOKUP($C118,'[1]Form 4.1'!$C$66:$U$118,17,0)</f>
        <v>103.23517667398878</v>
      </c>
      <c r="R118" s="307">
        <f>VLOOKUP($C118,'[1]Form 4.1'!$C$66:$U$118,18,0)</f>
        <v>100.97868861641793</v>
      </c>
      <c r="S118" s="307">
        <f>'[1]Form 4.1'!U118</f>
        <v>1079.6874476427326</v>
      </c>
      <c r="T118" s="307"/>
      <c r="U118" s="436">
        <f t="shared" si="41"/>
        <v>1079.6874476427326</v>
      </c>
      <c r="V118" s="1070"/>
    </row>
    <row r="119" spans="3:22" ht="14.25">
      <c r="C119" s="1603" t="s">
        <v>825</v>
      </c>
      <c r="D119" s="1574"/>
      <c r="E119" s="1574"/>
      <c r="F119" s="1574"/>
      <c r="G119" s="1577">
        <f t="shared" ref="G119:V119" si="42">SUM(G114:G118)</f>
        <v>390.08482747816271</v>
      </c>
      <c r="H119" s="1577">
        <f t="shared" si="42"/>
        <v>497.14357417060683</v>
      </c>
      <c r="I119" s="1577">
        <f t="shared" si="42"/>
        <v>746.14715920686524</v>
      </c>
      <c r="J119" s="1577">
        <f t="shared" si="42"/>
        <v>878.75470712582126</v>
      </c>
      <c r="K119" s="1577">
        <f t="shared" si="42"/>
        <v>564.53032897929734</v>
      </c>
      <c r="L119" s="1577">
        <f t="shared" si="42"/>
        <v>610.36549076945369</v>
      </c>
      <c r="M119" s="1577">
        <f t="shared" si="42"/>
        <v>335.14622954617886</v>
      </c>
      <c r="N119" s="1577">
        <f t="shared" si="42"/>
        <v>344.85694459885843</v>
      </c>
      <c r="O119" s="1577">
        <f t="shared" si="42"/>
        <v>344.16171483965275</v>
      </c>
      <c r="P119" s="1577">
        <f t="shared" si="42"/>
        <v>354.67174555531625</v>
      </c>
      <c r="Q119" s="1577">
        <f t="shared" si="42"/>
        <v>364.98722400041459</v>
      </c>
      <c r="R119" s="1577">
        <f t="shared" si="42"/>
        <v>373.83929610020783</v>
      </c>
      <c r="S119" s="1577">
        <f t="shared" si="42"/>
        <v>5804.689242370835</v>
      </c>
      <c r="T119" s="1577">
        <f t="shared" ref="T119" si="43">SUM(T114:T118)</f>
        <v>0</v>
      </c>
      <c r="U119" s="1620">
        <f t="shared" ref="U119" si="44">SUM(U114:U118)</f>
        <v>5804.689242370835</v>
      </c>
      <c r="V119" s="1618">
        <f t="shared" si="42"/>
        <v>0</v>
      </c>
    </row>
    <row r="120" spans="3:22" ht="15" thickBot="1">
      <c r="C120" s="1611" t="s">
        <v>828</v>
      </c>
      <c r="D120" s="1612"/>
      <c r="E120" s="1612"/>
      <c r="F120" s="1612"/>
      <c r="G120" s="1613">
        <f t="shared" ref="G120:V120" si="45">G119+G113+G108+G89+G85</f>
        <v>2362.1959253397154</v>
      </c>
      <c r="H120" s="1613">
        <f t="shared" si="45"/>
        <v>2664.6562250003271</v>
      </c>
      <c r="I120" s="1613">
        <f t="shared" si="45"/>
        <v>2789.4586703286031</v>
      </c>
      <c r="J120" s="1613">
        <f t="shared" si="45"/>
        <v>2687.5678392674249</v>
      </c>
      <c r="K120" s="1613">
        <f t="shared" si="45"/>
        <v>2208.2482587144582</v>
      </c>
      <c r="L120" s="1613">
        <f t="shared" si="45"/>
        <v>2317.899784882944</v>
      </c>
      <c r="M120" s="1613">
        <f t="shared" si="45"/>
        <v>2477.4891141987941</v>
      </c>
      <c r="N120" s="1613">
        <f t="shared" si="45"/>
        <v>2346.0706780344003</v>
      </c>
      <c r="O120" s="1613">
        <f t="shared" si="45"/>
        <v>2279.2335146713017</v>
      </c>
      <c r="P120" s="1613">
        <f t="shared" si="45"/>
        <v>2337.561143374719</v>
      </c>
      <c r="Q120" s="1613">
        <f t="shared" si="45"/>
        <v>2295.2546174462886</v>
      </c>
      <c r="R120" s="1613">
        <f t="shared" si="45"/>
        <v>2373.4705677633729</v>
      </c>
      <c r="S120" s="1613">
        <f t="shared" si="45"/>
        <v>29139.106339022343</v>
      </c>
      <c r="T120" s="1613">
        <f t="shared" ref="T120" si="46">T119+T113+T108+T89+T85</f>
        <v>0</v>
      </c>
      <c r="U120" s="1614">
        <f t="shared" ref="U120" si="47">U119+U113+U108+U89+U85</f>
        <v>29139.106339022343</v>
      </c>
      <c r="V120" s="1618">
        <f t="shared" si="45"/>
        <v>0</v>
      </c>
    </row>
    <row r="121" spans="3:22" ht="18" customHeight="1">
      <c r="C121" s="449"/>
      <c r="D121" s="450"/>
      <c r="E121" s="425"/>
      <c r="F121" s="425"/>
      <c r="G121" s="451"/>
      <c r="H121" s="451"/>
      <c r="I121" s="451"/>
      <c r="J121" s="451"/>
      <c r="K121" s="451"/>
      <c r="L121" s="451"/>
      <c r="M121" s="451"/>
      <c r="N121" s="451"/>
      <c r="O121" s="451"/>
      <c r="P121" s="451"/>
      <c r="Q121" s="451"/>
      <c r="R121" s="451"/>
      <c r="S121" s="451"/>
      <c r="T121" s="451"/>
      <c r="U121" s="451"/>
      <c r="V121" s="448"/>
    </row>
    <row r="122" spans="3:22" ht="18" customHeight="1">
      <c r="C122" s="449"/>
      <c r="D122" s="450"/>
      <c r="E122" s="425"/>
      <c r="F122" s="425"/>
      <c r="G122" s="451"/>
      <c r="H122" s="451"/>
      <c r="I122" s="451"/>
      <c r="J122" s="451"/>
      <c r="K122" s="451"/>
      <c r="L122" s="451"/>
      <c r="M122" s="451"/>
      <c r="N122" s="451"/>
      <c r="O122" s="451"/>
      <c r="P122" s="451"/>
      <c r="Q122" s="451"/>
      <c r="R122" s="451"/>
      <c r="S122" s="451"/>
      <c r="T122" s="451"/>
      <c r="U122" s="451"/>
      <c r="V122" s="448"/>
    </row>
    <row r="123" spans="3:22" ht="19.5" customHeight="1" thickBot="1">
      <c r="C123" s="385" t="s">
        <v>974</v>
      </c>
      <c r="D123" s="1882" t="s">
        <v>144</v>
      </c>
      <c r="E123" s="1882"/>
      <c r="F123" s="1882"/>
      <c r="G123" s="1882"/>
      <c r="H123" s="1802"/>
      <c r="I123" s="1802"/>
    </row>
    <row r="124" spans="3:22">
      <c r="C124" s="1880" t="s">
        <v>92</v>
      </c>
      <c r="D124" s="1839" t="s">
        <v>93</v>
      </c>
      <c r="E124" s="1834" t="s">
        <v>489</v>
      </c>
      <c r="F124" s="1834" t="s">
        <v>145</v>
      </c>
      <c r="G124" s="1834" t="s">
        <v>518</v>
      </c>
      <c r="H124" s="1834"/>
      <c r="I124" s="1834"/>
      <c r="J124" s="1834"/>
      <c r="K124" s="1834"/>
      <c r="L124" s="1834"/>
      <c r="M124" s="1834"/>
      <c r="N124" s="1834"/>
      <c r="O124" s="1834"/>
      <c r="P124" s="1834"/>
      <c r="Q124" s="1834"/>
      <c r="R124" s="1834"/>
      <c r="S124" s="1834"/>
      <c r="T124" s="1834" t="s">
        <v>519</v>
      </c>
      <c r="U124" s="1877" t="s">
        <v>520</v>
      </c>
      <c r="V124" s="1879" t="s">
        <v>365</v>
      </c>
    </row>
    <row r="125" spans="3:22" ht="48" customHeight="1">
      <c r="C125" s="1881"/>
      <c r="D125" s="1710"/>
      <c r="E125" s="1840"/>
      <c r="F125" s="1840"/>
      <c r="G125" s="1515" t="s">
        <v>146</v>
      </c>
      <c r="H125" s="1515" t="s">
        <v>147</v>
      </c>
      <c r="I125" s="1515" t="s">
        <v>148</v>
      </c>
      <c r="J125" s="1515" t="s">
        <v>149</v>
      </c>
      <c r="K125" s="1515" t="s">
        <v>150</v>
      </c>
      <c r="L125" s="1515" t="s">
        <v>151</v>
      </c>
      <c r="M125" s="1515" t="s">
        <v>152</v>
      </c>
      <c r="N125" s="1515" t="s">
        <v>153</v>
      </c>
      <c r="O125" s="1515" t="s">
        <v>154</v>
      </c>
      <c r="P125" s="1515" t="s">
        <v>155</v>
      </c>
      <c r="Q125" s="1515" t="s">
        <v>156</v>
      </c>
      <c r="R125" s="1515" t="s">
        <v>157</v>
      </c>
      <c r="S125" s="1515" t="s">
        <v>98</v>
      </c>
      <c r="T125" s="1840"/>
      <c r="U125" s="1878"/>
      <c r="V125" s="1879"/>
    </row>
    <row r="126" spans="3:22">
      <c r="C126" s="1623" t="s">
        <v>785</v>
      </c>
      <c r="D126" s="1615"/>
      <c r="E126" s="1615"/>
      <c r="F126" s="1615"/>
      <c r="G126" s="1624"/>
      <c r="H126" s="1624"/>
      <c r="I126" s="1624"/>
      <c r="J126" s="1624"/>
      <c r="K126" s="1624"/>
      <c r="L126" s="1624"/>
      <c r="M126" s="1624"/>
      <c r="N126" s="1624"/>
      <c r="O126" s="1624"/>
      <c r="P126" s="1624"/>
      <c r="Q126" s="1624"/>
      <c r="R126" s="1624"/>
      <c r="S126" s="1615"/>
      <c r="T126" s="1615"/>
      <c r="U126" s="1616"/>
      <c r="V126" s="444"/>
    </row>
    <row r="127" spans="3:22">
      <c r="C127" s="1625" t="str">
        <f>'[1]Form 4.1'!C131</f>
        <v>Dr. NTTPS</v>
      </c>
      <c r="D127" s="1573"/>
      <c r="E127" s="1573">
        <v>31.748936765163293</v>
      </c>
      <c r="F127" s="1573"/>
      <c r="G127" s="307">
        <v>255.73030480394081</v>
      </c>
      <c r="H127" s="307">
        <v>275.68068433099722</v>
      </c>
      <c r="I127" s="307">
        <v>271.70731446311714</v>
      </c>
      <c r="J127" s="307">
        <v>282.27695023149374</v>
      </c>
      <c r="K127" s="307">
        <v>254.85843474912977</v>
      </c>
      <c r="L127" s="307">
        <v>263.63790339733572</v>
      </c>
      <c r="M127" s="307">
        <v>287.12530931462015</v>
      </c>
      <c r="N127" s="307">
        <v>272.07393276319527</v>
      </c>
      <c r="O127" s="307">
        <v>279.88999195183993</v>
      </c>
      <c r="P127" s="307">
        <v>256.77280204948624</v>
      </c>
      <c r="Q127" s="307">
        <v>231.55056169495168</v>
      </c>
      <c r="R127" s="307">
        <v>257.62759664630676</v>
      </c>
      <c r="S127" s="307">
        <f>SUM(G127:R127)</f>
        <v>3188.9317863964143</v>
      </c>
      <c r="T127" s="1573"/>
      <c r="U127" s="1626">
        <f>S127-T127</f>
        <v>3188.9317863964143</v>
      </c>
      <c r="V127" s="445"/>
    </row>
    <row r="128" spans="3:22">
      <c r="C128" s="1625" t="str">
        <f>'[1]Form 4.1'!C132</f>
        <v>Dr. NTTPS-IV</v>
      </c>
      <c r="D128" s="1573"/>
      <c r="E128" s="1573">
        <v>30.804690656266832</v>
      </c>
      <c r="F128" s="1573"/>
      <c r="G128" s="307">
        <v>103.15303154702828</v>
      </c>
      <c r="H128" s="307">
        <v>111.20034580768026</v>
      </c>
      <c r="I128" s="307">
        <v>109.59762161101662</v>
      </c>
      <c r="J128" s="307">
        <v>113.8610583307743</v>
      </c>
      <c r="K128" s="307">
        <v>102.80134839653975</v>
      </c>
      <c r="L128" s="307">
        <v>106.34269171574024</v>
      </c>
      <c r="M128" s="307">
        <v>115.81672384267554</v>
      </c>
      <c r="N128" s="307">
        <v>109.74550314231449</v>
      </c>
      <c r="O128" s="307">
        <v>74.642108282087364</v>
      </c>
      <c r="P128" s="307">
        <v>103.57353998594745</v>
      </c>
      <c r="Q128" s="307">
        <v>93.399733807705502</v>
      </c>
      <c r="R128" s="307">
        <v>103.9183354691408</v>
      </c>
      <c r="S128" s="307">
        <f t="shared" ref="S128:S133" si="48">SUM(G128:R128)</f>
        <v>1248.0520419386507</v>
      </c>
      <c r="T128" s="1573"/>
      <c r="U128" s="1626">
        <f t="shared" ref="U128:U144" si="49">S128-T128</f>
        <v>1248.0520419386507</v>
      </c>
      <c r="V128" s="445"/>
    </row>
    <row r="129" spans="3:22">
      <c r="C129" s="1625" t="str">
        <f>'[1]Form 4.1'!C133</f>
        <v>Dr. NTTPS-V</v>
      </c>
      <c r="D129" s="1573"/>
      <c r="E129" s="1573">
        <v>30.670261107315877</v>
      </c>
      <c r="F129" s="1573"/>
      <c r="G129" s="307">
        <v>168.16732061937151</v>
      </c>
      <c r="H129" s="307">
        <v>181.28661781403443</v>
      </c>
      <c r="I129" s="307">
        <v>178.67374420477088</v>
      </c>
      <c r="J129" s="307">
        <v>185.62429833817043</v>
      </c>
      <c r="K129" s="307">
        <v>167.59398203457511</v>
      </c>
      <c r="L129" s="307">
        <v>173.36732876468787</v>
      </c>
      <c r="M129" s="307">
        <v>188.81256168081592</v>
      </c>
      <c r="N129" s="307">
        <v>178.91483106876785</v>
      </c>
      <c r="O129" s="307">
        <v>112.80768456255122</v>
      </c>
      <c r="P129" s="307">
        <v>168.85286302573923</v>
      </c>
      <c r="Q129" s="307">
        <v>152.26680927785938</v>
      </c>
      <c r="R129" s="307">
        <v>169.4149728513128</v>
      </c>
      <c r="S129" s="307">
        <f t="shared" si="48"/>
        <v>2025.7830142426567</v>
      </c>
      <c r="T129" s="1573"/>
      <c r="U129" s="1626">
        <f t="shared" si="49"/>
        <v>2025.7830142426567</v>
      </c>
      <c r="V129" s="445"/>
    </row>
    <row r="130" spans="3:22">
      <c r="C130" s="1625" t="str">
        <f>'[1]Form 4.1'!C134</f>
        <v>RTPP Stage-I</v>
      </c>
      <c r="D130" s="1573"/>
      <c r="E130" s="1573">
        <v>21.827394026049767</v>
      </c>
      <c r="F130" s="1573"/>
      <c r="G130" s="307">
        <v>58.604861517569773</v>
      </c>
      <c r="H130" s="307">
        <v>63.176823492520192</v>
      </c>
      <c r="I130" s="307">
        <v>62.266259564464342</v>
      </c>
      <c r="J130" s="307">
        <v>64.688467761383976</v>
      </c>
      <c r="K130" s="307">
        <v>58.40505796334223</v>
      </c>
      <c r="L130" s="307">
        <v>60.417019528556104</v>
      </c>
      <c r="M130" s="307">
        <v>65.799550051267104</v>
      </c>
      <c r="N130" s="307">
        <v>62.350276258232249</v>
      </c>
      <c r="O130" s="307">
        <v>64.141456488963314</v>
      </c>
      <c r="P130" s="307">
        <v>58.843767136340588</v>
      </c>
      <c r="Q130" s="307">
        <v>53.063670388426416</v>
      </c>
      <c r="R130" s="307">
        <v>59.039657564778622</v>
      </c>
      <c r="S130" s="307">
        <f t="shared" si="48"/>
        <v>730.796867715845</v>
      </c>
      <c r="T130" s="1573"/>
      <c r="U130" s="1626">
        <f t="shared" si="49"/>
        <v>730.796867715845</v>
      </c>
      <c r="V130" s="445"/>
    </row>
    <row r="131" spans="3:22">
      <c r="C131" s="1625" t="str">
        <f>'[1]Form 4.1'!C135</f>
        <v>RTPP Stage-II</v>
      </c>
      <c r="D131" s="1573"/>
      <c r="E131" s="1573">
        <v>23.811702573872466</v>
      </c>
      <c r="F131" s="1573"/>
      <c r="G131" s="307">
        <v>63.932576200985203</v>
      </c>
      <c r="H131" s="307">
        <v>68.920171082749306</v>
      </c>
      <c r="I131" s="307">
        <v>67.926828615779286</v>
      </c>
      <c r="J131" s="307">
        <v>70.569237557873436</v>
      </c>
      <c r="K131" s="307">
        <v>63.714608687282443</v>
      </c>
      <c r="L131" s="307">
        <v>65.90947584933393</v>
      </c>
      <c r="M131" s="307">
        <v>71.781327328655038</v>
      </c>
      <c r="N131" s="307">
        <v>68.018483190798818</v>
      </c>
      <c r="O131" s="307">
        <v>69.972497987959983</v>
      </c>
      <c r="P131" s="307">
        <v>64.193200512371561</v>
      </c>
      <c r="Q131" s="307">
        <v>57.887640423737921</v>
      </c>
      <c r="R131" s="307">
        <v>64.406899161576689</v>
      </c>
      <c r="S131" s="307">
        <f t="shared" si="48"/>
        <v>797.23294659910357</v>
      </c>
      <c r="T131" s="1573"/>
      <c r="U131" s="1626">
        <f t="shared" si="49"/>
        <v>797.23294659910357</v>
      </c>
      <c r="V131" s="445"/>
    </row>
    <row r="132" spans="3:22">
      <c r="C132" s="1625" t="str">
        <f>'[1]Form 4.1'!C136</f>
        <v>RTPP Stage-III</v>
      </c>
      <c r="D132" s="1573"/>
      <c r="E132" s="1573">
        <v>23.537157933156351</v>
      </c>
      <c r="F132" s="1573"/>
      <c r="G132" s="307">
        <v>31.966288100492601</v>
      </c>
      <c r="H132" s="307">
        <v>34.460085541374653</v>
      </c>
      <c r="I132" s="307">
        <v>33.963414307889643</v>
      </c>
      <c r="J132" s="307">
        <v>35.284618778936718</v>
      </c>
      <c r="K132" s="307">
        <v>27.261328221982719</v>
      </c>
      <c r="L132" s="307">
        <v>32.954737924666965</v>
      </c>
      <c r="M132" s="307">
        <v>35.890663664327519</v>
      </c>
      <c r="N132" s="307">
        <v>34.009241595399409</v>
      </c>
      <c r="O132" s="307">
        <v>34.986248993979991</v>
      </c>
      <c r="P132" s="307">
        <v>32.096600256185781</v>
      </c>
      <c r="Q132" s="307">
        <v>28.94382021186896</v>
      </c>
      <c r="R132" s="307">
        <v>32.203449580788345</v>
      </c>
      <c r="S132" s="307">
        <f t="shared" si="48"/>
        <v>394.02049717789328</v>
      </c>
      <c r="T132" s="1573"/>
      <c r="U132" s="1626">
        <f t="shared" si="49"/>
        <v>394.02049717789328</v>
      </c>
      <c r="V132" s="445"/>
    </row>
    <row r="133" spans="3:22">
      <c r="C133" s="1625" t="str">
        <f>'[1]Form 4.1'!C137</f>
        <v>RTPP Stage-IV</v>
      </c>
      <c r="D133" s="1573"/>
      <c r="E133" s="1573">
        <v>23.473387695256235</v>
      </c>
      <c r="F133" s="1573"/>
      <c r="G133" s="307">
        <v>102.47696100242952</v>
      </c>
      <c r="H133" s="307">
        <v>110.47153273042723</v>
      </c>
      <c r="I133" s="307">
        <v>108.87931287478227</v>
      </c>
      <c r="J133" s="307">
        <v>113.11480679982262</v>
      </c>
      <c r="K133" s="307">
        <v>102.1275828023192</v>
      </c>
      <c r="L133" s="307">
        <v>105.64571596598168</v>
      </c>
      <c r="M133" s="307">
        <v>0</v>
      </c>
      <c r="N133" s="307">
        <v>109.02622518253041</v>
      </c>
      <c r="O133" s="307">
        <v>112.15829822049706</v>
      </c>
      <c r="P133" s="307">
        <v>102.89471340630983</v>
      </c>
      <c r="Q133" s="307">
        <v>92.787586903695541</v>
      </c>
      <c r="R133" s="307">
        <v>103.23724908126873</v>
      </c>
      <c r="S133" s="307">
        <f t="shared" si="48"/>
        <v>1162.8199849700643</v>
      </c>
      <c r="T133" s="1573"/>
      <c r="U133" s="1626">
        <f t="shared" si="49"/>
        <v>1162.8199849700643</v>
      </c>
      <c r="V133" s="445"/>
    </row>
    <row r="134" spans="3:22" ht="14.25">
      <c r="C134" s="1627" t="str">
        <f>'[1]Form 4.1'!C138</f>
        <v>Genco-Thermal Total</v>
      </c>
      <c r="D134" s="1618"/>
      <c r="E134" s="1618"/>
      <c r="F134" s="1618"/>
      <c r="G134" s="1618">
        <f>SUM(G127:G133)</f>
        <v>784.03134379181779</v>
      </c>
      <c r="H134" s="1618">
        <f t="shared" ref="H134:U134" si="50">SUM(H127:H133)</f>
        <v>845.19626079978332</v>
      </c>
      <c r="I134" s="1618">
        <f t="shared" si="50"/>
        <v>833.01449564182019</v>
      </c>
      <c r="J134" s="1618">
        <f t="shared" si="50"/>
        <v>865.41943779845531</v>
      </c>
      <c r="K134" s="1618">
        <f t="shared" si="50"/>
        <v>776.76234285517114</v>
      </c>
      <c r="L134" s="1618">
        <f t="shared" si="50"/>
        <v>808.27487314630253</v>
      </c>
      <c r="M134" s="1618">
        <f t="shared" si="50"/>
        <v>765.2261358823614</v>
      </c>
      <c r="N134" s="1618">
        <f t="shared" si="50"/>
        <v>834.13849320123859</v>
      </c>
      <c r="O134" s="1618">
        <f t="shared" si="50"/>
        <v>748.5982864878788</v>
      </c>
      <c r="P134" s="1618">
        <f t="shared" si="50"/>
        <v>787.22748637238067</v>
      </c>
      <c r="Q134" s="1618">
        <f t="shared" si="50"/>
        <v>709.89982270824544</v>
      </c>
      <c r="R134" s="1618">
        <f t="shared" si="50"/>
        <v>789.84816035517281</v>
      </c>
      <c r="S134" s="1628">
        <f t="shared" si="50"/>
        <v>9547.6371390406293</v>
      </c>
      <c r="T134" s="1628">
        <f t="shared" ref="T134" si="51">SUM(T127:T133)</f>
        <v>0</v>
      </c>
      <c r="U134" s="1629">
        <f t="shared" si="50"/>
        <v>9547.6371390406293</v>
      </c>
      <c r="V134" s="445"/>
    </row>
    <row r="135" spans="3:22">
      <c r="C135" s="1625" t="str">
        <f>'[1]Form 4.1'!C139</f>
        <v>Srisailam RCPH</v>
      </c>
      <c r="D135" s="1573"/>
      <c r="E135" s="1573">
        <v>5.9303677814557956</v>
      </c>
      <c r="F135" s="1573"/>
      <c r="G135" s="307">
        <v>7.744221587614736</v>
      </c>
      <c r="H135" s="307">
        <v>1.2118607869189217</v>
      </c>
      <c r="I135" s="307">
        <v>0.82280496704967443</v>
      </c>
      <c r="J135" s="307">
        <v>9.0996195992336339</v>
      </c>
      <c r="K135" s="307">
        <v>93.36071308898191</v>
      </c>
      <c r="L135" s="307">
        <v>91.014015432390309</v>
      </c>
      <c r="M135" s="307">
        <v>95.083477144887652</v>
      </c>
      <c r="N135" s="307">
        <v>33.780522739000709</v>
      </c>
      <c r="O135" s="307">
        <v>12.713765696399495</v>
      </c>
      <c r="P135" s="307">
        <v>16.178662523233584</v>
      </c>
      <c r="Q135" s="307">
        <v>20.660333652766258</v>
      </c>
      <c r="R135" s="307">
        <v>14.345018700331845</v>
      </c>
      <c r="S135" s="307">
        <f t="shared" ref="S135:S144" si="52">SUM(G135:R135)</f>
        <v>396.01501591880873</v>
      </c>
      <c r="T135" s="1573"/>
      <c r="U135" s="1626">
        <f t="shared" si="49"/>
        <v>396.01501591880873</v>
      </c>
      <c r="V135" s="445"/>
    </row>
    <row r="136" spans="3:22">
      <c r="C136" s="1625" t="str">
        <f>'[1]Form 4.1'!C140</f>
        <v>NSRCPH</v>
      </c>
      <c r="D136" s="1573"/>
      <c r="E136" s="1573">
        <v>6.5627433780012288</v>
      </c>
      <c r="F136" s="1573"/>
      <c r="G136" s="307">
        <v>0.38721107938073679</v>
      </c>
      <c r="H136" s="307">
        <v>0</v>
      </c>
      <c r="I136" s="307">
        <v>0</v>
      </c>
      <c r="J136" s="307">
        <v>0.82723814538487583</v>
      </c>
      <c r="K136" s="307">
        <v>3.7344285235592767</v>
      </c>
      <c r="L136" s="307">
        <v>9.5804226770937166</v>
      </c>
      <c r="M136" s="307">
        <v>9.6766370545682125</v>
      </c>
      <c r="N136" s="307">
        <v>9.4750246706953209</v>
      </c>
      <c r="O136" s="307">
        <v>7.3821865333932557</v>
      </c>
      <c r="P136" s="307">
        <v>5.2674715191923296</v>
      </c>
      <c r="Q136" s="307">
        <v>3.005139440402365</v>
      </c>
      <c r="R136" s="307">
        <v>1.8875024605699797</v>
      </c>
      <c r="S136" s="307">
        <f t="shared" si="52"/>
        <v>51.223262104240071</v>
      </c>
      <c r="T136" s="1573"/>
      <c r="U136" s="1626">
        <f t="shared" si="49"/>
        <v>51.223262104240071</v>
      </c>
      <c r="V136" s="445"/>
    </row>
    <row r="137" spans="3:22">
      <c r="C137" s="1625" t="str">
        <f>'[1]Form 4.1'!C141</f>
        <v>NSTPDC PH</v>
      </c>
      <c r="D137" s="1573"/>
      <c r="E137" s="1573">
        <v>7.2294638092793777</v>
      </c>
      <c r="F137" s="1573"/>
      <c r="G137" s="307">
        <v>0.38721107938073679</v>
      </c>
      <c r="H137" s="307">
        <v>0.40395359563964062</v>
      </c>
      <c r="I137" s="307">
        <v>0.41140248352483721</v>
      </c>
      <c r="J137" s="307">
        <v>1.2408572180773136</v>
      </c>
      <c r="K137" s="307">
        <v>3.3609856712033492</v>
      </c>
      <c r="L137" s="307">
        <v>5.9877641731835727</v>
      </c>
      <c r="M137" s="307">
        <v>7.1522969533765055</v>
      </c>
      <c r="N137" s="307">
        <v>5.7674063212928042</v>
      </c>
      <c r="O137" s="307">
        <v>2.8708503185418213</v>
      </c>
      <c r="P137" s="307">
        <v>1.1287438969697849</v>
      </c>
      <c r="Q137" s="307">
        <v>1.1269272901508869</v>
      </c>
      <c r="R137" s="307">
        <v>1.5100019684559838</v>
      </c>
      <c r="S137" s="307">
        <f t="shared" si="52"/>
        <v>31.34840096979724</v>
      </c>
      <c r="T137" s="1573"/>
      <c r="U137" s="1626">
        <f t="shared" si="49"/>
        <v>31.34840096979724</v>
      </c>
      <c r="V137" s="445"/>
    </row>
    <row r="138" spans="3:22">
      <c r="C138" s="1625" t="str">
        <f>'[1]Form 4.1'!C142</f>
        <v>Upper Sileru</v>
      </c>
      <c r="D138" s="1573"/>
      <c r="E138" s="1573">
        <v>9.0278292973027732</v>
      </c>
      <c r="F138" s="1573"/>
      <c r="G138" s="307">
        <v>18.198920730894628</v>
      </c>
      <c r="H138" s="307">
        <v>12.9265150604685</v>
      </c>
      <c r="I138" s="307">
        <v>10.285062088120931</v>
      </c>
      <c r="J138" s="307">
        <v>12.408572180773138</v>
      </c>
      <c r="K138" s="307">
        <v>13.070499832457468</v>
      </c>
      <c r="L138" s="307">
        <v>13.971449737428337</v>
      </c>
      <c r="M138" s="307">
        <v>16.4082106577461</v>
      </c>
      <c r="N138" s="307">
        <v>15.654388586366183</v>
      </c>
      <c r="O138" s="307">
        <v>14.354251592709108</v>
      </c>
      <c r="P138" s="307">
        <v>17.307406420203368</v>
      </c>
      <c r="Q138" s="307">
        <v>19.157763932565079</v>
      </c>
      <c r="R138" s="307">
        <v>24.16003149529574</v>
      </c>
      <c r="S138" s="307">
        <f t="shared" si="52"/>
        <v>187.90307231502857</v>
      </c>
      <c r="T138" s="1573"/>
      <c r="U138" s="1626">
        <f t="shared" si="49"/>
        <v>187.90307231502857</v>
      </c>
      <c r="V138" s="445"/>
    </row>
    <row r="139" spans="3:22">
      <c r="C139" s="1625" t="str">
        <f>'[1]Form 4.1'!C143</f>
        <v>Lower Sileru</v>
      </c>
      <c r="D139" s="1573"/>
      <c r="E139" s="1573">
        <v>10.708801179613637</v>
      </c>
      <c r="F139" s="1573"/>
      <c r="G139" s="307">
        <v>36.010630382408522</v>
      </c>
      <c r="H139" s="307">
        <v>27.468844503495561</v>
      </c>
      <c r="I139" s="307">
        <v>23.449941560915722</v>
      </c>
      <c r="J139" s="307">
        <v>37.225716542319411</v>
      </c>
      <c r="K139" s="307">
        <v>35.103628121457199</v>
      </c>
      <c r="L139" s="307">
        <v>36.724953595525911</v>
      </c>
      <c r="M139" s="307">
        <v>41.230888319464562</v>
      </c>
      <c r="N139" s="307">
        <v>35.428353116512945</v>
      </c>
      <c r="O139" s="307">
        <v>37.470789491229347</v>
      </c>
      <c r="P139" s="307">
        <v>36.119804703033118</v>
      </c>
      <c r="Q139" s="307">
        <v>38.315527865130157</v>
      </c>
      <c r="R139" s="307">
        <v>42.657555608881545</v>
      </c>
      <c r="S139" s="307">
        <f t="shared" si="52"/>
        <v>427.206633810374</v>
      </c>
      <c r="T139" s="1573"/>
      <c r="U139" s="1626">
        <f t="shared" si="49"/>
        <v>427.206633810374</v>
      </c>
      <c r="V139" s="445"/>
    </row>
    <row r="140" spans="3:22">
      <c r="C140" s="1625" t="str">
        <f>'[1]Form 4.1'!C144</f>
        <v>Donkarayi</v>
      </c>
      <c r="D140" s="1573"/>
      <c r="E140" s="1573">
        <v>17.76756657538105</v>
      </c>
      <c r="F140" s="1573"/>
      <c r="G140" s="307">
        <v>2.7104775556651575</v>
      </c>
      <c r="H140" s="307">
        <v>2.4237215738378435</v>
      </c>
      <c r="I140" s="307">
        <v>2.0570124176241862</v>
      </c>
      <c r="J140" s="307">
        <v>3.3089525815395033</v>
      </c>
      <c r="K140" s="307">
        <v>2.6140999664914935</v>
      </c>
      <c r="L140" s="307">
        <v>3.5926585039101435</v>
      </c>
      <c r="M140" s="307">
        <v>4.6279568521847976</v>
      </c>
      <c r="N140" s="307">
        <v>3.7076183494025172</v>
      </c>
      <c r="O140" s="307">
        <v>3.6910932666966279</v>
      </c>
      <c r="P140" s="307">
        <v>3.0099837252527597</v>
      </c>
      <c r="Q140" s="307">
        <v>3.3807818704526609</v>
      </c>
      <c r="R140" s="307">
        <v>3.3975044290259637</v>
      </c>
      <c r="S140" s="307">
        <f t="shared" si="52"/>
        <v>38.521861092083654</v>
      </c>
      <c r="T140" s="1573"/>
      <c r="U140" s="1626">
        <f t="shared" si="49"/>
        <v>38.521861092083654</v>
      </c>
      <c r="V140" s="445"/>
    </row>
    <row r="141" spans="3:22">
      <c r="C141" s="1625" t="str">
        <f>'[1]Form 4.1'!C145</f>
        <v>PABM</v>
      </c>
      <c r="D141" s="1573"/>
      <c r="E141" s="1573">
        <v>1.5193637986777122</v>
      </c>
      <c r="F141" s="1573"/>
      <c r="G141" s="307">
        <v>0</v>
      </c>
      <c r="H141" s="307">
        <v>0</v>
      </c>
      <c r="I141" s="307">
        <v>0</v>
      </c>
      <c r="J141" s="307">
        <v>0</v>
      </c>
      <c r="K141" s="307">
        <v>0.23159058488852854</v>
      </c>
      <c r="L141" s="307">
        <v>0.40321603942218176</v>
      </c>
      <c r="M141" s="307">
        <v>0.7089398812521811</v>
      </c>
      <c r="N141" s="307">
        <v>0.48242294089642418</v>
      </c>
      <c r="O141" s="307">
        <v>0.44118817573876634</v>
      </c>
      <c r="P141" s="307">
        <v>0.17604642313072075</v>
      </c>
      <c r="Q141" s="307">
        <v>0.10054695711012915</v>
      </c>
      <c r="R141" s="307">
        <v>9.1355119091587014E-2</v>
      </c>
      <c r="S141" s="307">
        <f t="shared" si="52"/>
        <v>2.6353061215305185</v>
      </c>
      <c r="T141" s="1573"/>
      <c r="U141" s="1626">
        <f t="shared" si="49"/>
        <v>2.6353061215305185</v>
      </c>
      <c r="V141" s="446">
        <f t="shared" ref="V141" si="53">SUM(V127:V140)</f>
        <v>0</v>
      </c>
    </row>
    <row r="142" spans="3:22">
      <c r="C142" s="1625" t="str">
        <f>'[1]Form 4.1'!C146</f>
        <v>Minihydel(Chettipet)</v>
      </c>
      <c r="D142" s="1573"/>
      <c r="E142" s="1573">
        <v>11.938040426322766</v>
      </c>
      <c r="F142" s="1573"/>
      <c r="G142" s="307">
        <v>5.0337440319495781E-2</v>
      </c>
      <c r="H142" s="307">
        <v>0</v>
      </c>
      <c r="I142" s="307">
        <v>2.7563966396164093E-2</v>
      </c>
      <c r="J142" s="307">
        <v>0.1571752476231264</v>
      </c>
      <c r="K142" s="307">
        <v>0.1120328557067783</v>
      </c>
      <c r="L142" s="307">
        <v>0.13173081181003859</v>
      </c>
      <c r="M142" s="307">
        <v>2.945063451390326E-2</v>
      </c>
      <c r="N142" s="307">
        <v>2.0597879718902874E-2</v>
      </c>
      <c r="O142" s="307">
        <v>0.11483401274167288</v>
      </c>
      <c r="P142" s="307">
        <v>0.14673670660607205</v>
      </c>
      <c r="Q142" s="307">
        <v>0.10517988041408279</v>
      </c>
      <c r="R142" s="307">
        <v>0.1396751820821785</v>
      </c>
      <c r="S142" s="307">
        <f t="shared" si="52"/>
        <v>1.0353146179324155</v>
      </c>
      <c r="T142" s="1573"/>
      <c r="U142" s="1626">
        <f t="shared" si="49"/>
        <v>1.0353146179324155</v>
      </c>
      <c r="V142" s="444"/>
    </row>
    <row r="143" spans="3:22">
      <c r="C143" s="1625" t="str">
        <f>'[1]Form 4.1'!C147</f>
        <v>Machkund AP Share</v>
      </c>
      <c r="D143" s="1573"/>
      <c r="E143" s="1573">
        <v>23.994222993717138</v>
      </c>
      <c r="F143" s="1573"/>
      <c r="G143" s="307">
        <v>10.067488063899157</v>
      </c>
      <c r="H143" s="307">
        <v>11.310700677909937</v>
      </c>
      <c r="I143" s="307">
        <v>10.490763329883348</v>
      </c>
      <c r="J143" s="307">
        <v>11.78814357173448</v>
      </c>
      <c r="K143" s="307">
        <v>11.576728423033758</v>
      </c>
      <c r="L143" s="307">
        <v>9.5804226770937166</v>
      </c>
      <c r="M143" s="307">
        <v>10.518083754965449</v>
      </c>
      <c r="N143" s="307">
        <v>9.8869822650733781</v>
      </c>
      <c r="O143" s="307">
        <v>10.458097588973779</v>
      </c>
      <c r="P143" s="307">
        <v>10.158695072728063</v>
      </c>
      <c r="Q143" s="307">
        <v>9.5788819662825393</v>
      </c>
      <c r="R143" s="307">
        <v>9.4375123028498979</v>
      </c>
      <c r="S143" s="307">
        <f t="shared" si="52"/>
        <v>124.85249969442749</v>
      </c>
      <c r="T143" s="1573"/>
      <c r="U143" s="1626">
        <f t="shared" si="49"/>
        <v>124.85249969442749</v>
      </c>
      <c r="V143" s="445"/>
    </row>
    <row r="144" spans="3:22">
      <c r="C144" s="1625" t="str">
        <f>'[1]Form 4.1'!C148</f>
        <v>TB Dam AP Share</v>
      </c>
      <c r="D144" s="1573"/>
      <c r="E144" s="1573">
        <v>10.147277139696202</v>
      </c>
      <c r="F144" s="1573"/>
      <c r="G144" s="307">
        <v>1.1616332381422103</v>
      </c>
      <c r="H144" s="307">
        <v>0</v>
      </c>
      <c r="I144" s="307">
        <v>0</v>
      </c>
      <c r="J144" s="307">
        <v>1.6544762907697517</v>
      </c>
      <c r="K144" s="307">
        <v>7.4688570471185534</v>
      </c>
      <c r="L144" s="307">
        <v>7.9836855642447633</v>
      </c>
      <c r="M144" s="307">
        <v>8.4144670039723586</v>
      </c>
      <c r="N144" s="307">
        <v>7.4152366988050344</v>
      </c>
      <c r="O144" s="307">
        <v>4.9214576889288368</v>
      </c>
      <c r="P144" s="307">
        <v>4.5149755878791398</v>
      </c>
      <c r="Q144" s="307">
        <v>3.7564243005029563</v>
      </c>
      <c r="R144" s="307">
        <v>3.3975044290259637</v>
      </c>
      <c r="S144" s="307">
        <f t="shared" si="52"/>
        <v>50.688717849389576</v>
      </c>
      <c r="T144" s="1573"/>
      <c r="U144" s="1626">
        <f t="shared" si="49"/>
        <v>50.688717849389576</v>
      </c>
      <c r="V144" s="445"/>
    </row>
    <row r="145" spans="3:22" ht="14.25">
      <c r="C145" s="1627" t="str">
        <f>'[1]Form 4.1'!C149</f>
        <v>Genco Hydel Total</v>
      </c>
      <c r="D145" s="1577"/>
      <c r="E145" s="1577"/>
      <c r="F145" s="1577"/>
      <c r="G145" s="1577">
        <f>SUM(G135:G144)</f>
        <v>76.718131157705386</v>
      </c>
      <c r="H145" s="1577">
        <f t="shared" ref="H145:R145" si="54">SUM(H135:H144)</f>
        <v>55.745596198270405</v>
      </c>
      <c r="I145" s="1577">
        <f t="shared" si="54"/>
        <v>47.544550813514867</v>
      </c>
      <c r="J145" s="1577">
        <f t="shared" si="54"/>
        <v>77.710751377455239</v>
      </c>
      <c r="K145" s="1577">
        <f t="shared" si="54"/>
        <v>170.63356411489832</v>
      </c>
      <c r="L145" s="1577">
        <f t="shared" si="54"/>
        <v>178.97031921210265</v>
      </c>
      <c r="M145" s="1577">
        <f t="shared" si="54"/>
        <v>193.85040825693173</v>
      </c>
      <c r="N145" s="1577">
        <f t="shared" si="54"/>
        <v>121.61855356776424</v>
      </c>
      <c r="O145" s="1577">
        <f t="shared" si="54"/>
        <v>94.418514365352692</v>
      </c>
      <c r="P145" s="1577">
        <f t="shared" si="54"/>
        <v>94.008526578228953</v>
      </c>
      <c r="Q145" s="1577">
        <f t="shared" si="54"/>
        <v>99.187507155777112</v>
      </c>
      <c r="R145" s="1577">
        <f t="shared" si="54"/>
        <v>101.02366169561066</v>
      </c>
      <c r="S145" s="1577">
        <f t="shared" ref="S145" si="55">SUM(S135:S144)</f>
        <v>1311.4300844936122</v>
      </c>
      <c r="T145" s="1577">
        <f t="shared" ref="T145" si="56">SUM(T135:T144)</f>
        <v>0</v>
      </c>
      <c r="U145" s="1620">
        <f t="shared" ref="U145" si="57">SUM(U135:U144)</f>
        <v>1311.4300844936122</v>
      </c>
      <c r="V145" s="445"/>
    </row>
    <row r="146" spans="3:22" ht="14.25">
      <c r="C146" s="1627" t="str">
        <f>'[1]Form 4.1'!C150</f>
        <v>APGENCO-TOTAL</v>
      </c>
      <c r="D146" s="1575"/>
      <c r="E146" s="1575"/>
      <c r="F146" s="1575"/>
      <c r="G146" s="1575">
        <f t="shared" ref="G146:R146" si="58">G145+G134</f>
        <v>860.74947494952312</v>
      </c>
      <c r="H146" s="1575">
        <f t="shared" si="58"/>
        <v>900.94185699805371</v>
      </c>
      <c r="I146" s="1575">
        <f t="shared" si="58"/>
        <v>880.55904645533508</v>
      </c>
      <c r="J146" s="1575">
        <f t="shared" si="58"/>
        <v>943.13018917591057</v>
      </c>
      <c r="K146" s="1575">
        <f t="shared" si="58"/>
        <v>947.39590697006952</v>
      </c>
      <c r="L146" s="1575">
        <f t="shared" si="58"/>
        <v>987.24519235840512</v>
      </c>
      <c r="M146" s="1575">
        <f t="shared" si="58"/>
        <v>959.07654413929311</v>
      </c>
      <c r="N146" s="1575">
        <f t="shared" si="58"/>
        <v>955.75704676900284</v>
      </c>
      <c r="O146" s="1575">
        <f t="shared" si="58"/>
        <v>843.01680085323153</v>
      </c>
      <c r="P146" s="1575">
        <f t="shared" si="58"/>
        <v>881.23601295060962</v>
      </c>
      <c r="Q146" s="1575">
        <f t="shared" si="58"/>
        <v>809.08732986402254</v>
      </c>
      <c r="R146" s="1575">
        <f t="shared" si="58"/>
        <v>890.87182205078352</v>
      </c>
      <c r="S146" s="1575">
        <f t="shared" ref="S146:U146" si="59">S145+S134</f>
        <v>10859.067223534241</v>
      </c>
      <c r="T146" s="1575">
        <f t="shared" si="59"/>
        <v>0</v>
      </c>
      <c r="U146" s="1621">
        <f t="shared" si="59"/>
        <v>10859.067223534241</v>
      </c>
      <c r="V146" s="445"/>
    </row>
    <row r="147" spans="3:22">
      <c r="C147" s="1625" t="str">
        <f>'[1]Form 4.1'!C151</f>
        <v>APPDCL Stage-I</v>
      </c>
      <c r="D147" s="1573"/>
      <c r="E147" s="1573">
        <v>21.667424078272486</v>
      </c>
      <c r="F147" s="1573"/>
      <c r="G147" s="307">
        <v>229.39003880241859</v>
      </c>
      <c r="H147" s="307">
        <v>247.28552575826848</v>
      </c>
      <c r="I147" s="307">
        <v>243.72141367984997</v>
      </c>
      <c r="J147" s="307">
        <v>253.20237512043545</v>
      </c>
      <c r="K147" s="307">
        <v>228.60797151533225</v>
      </c>
      <c r="L147" s="307">
        <v>236.48315336138131</v>
      </c>
      <c r="M147" s="307">
        <v>257.55135237230661</v>
      </c>
      <c r="N147" s="307">
        <v>223.08627256283751</v>
      </c>
      <c r="O147" s="307">
        <v>251.06127395994014</v>
      </c>
      <c r="P147" s="307">
        <v>230.32515864983131</v>
      </c>
      <c r="Q147" s="307">
        <v>207.70081345129753</v>
      </c>
      <c r="R147" s="307">
        <v>231.09190925407856</v>
      </c>
      <c r="S147" s="307">
        <f t="shared" ref="S147:S174" si="60">SUM(G147:R147)</f>
        <v>2839.5072584879777</v>
      </c>
      <c r="T147" s="1573"/>
      <c r="U147" s="1626">
        <f t="shared" ref="U147:U181" si="61">S147-T147</f>
        <v>2839.5072584879777</v>
      </c>
      <c r="V147" s="445"/>
    </row>
    <row r="148" spans="3:22">
      <c r="C148" s="1625" t="str">
        <f>'[1]Form 4.1'!C152</f>
        <v>APPDCL Stage-II</v>
      </c>
      <c r="D148" s="1573"/>
      <c r="E148" s="1573">
        <v>21.644889234925607</v>
      </c>
      <c r="F148" s="1573"/>
      <c r="G148" s="307">
        <v>115.61503292581791</v>
      </c>
      <c r="H148" s="307">
        <v>124.63454974714865</v>
      </c>
      <c r="I148" s="307">
        <v>122.83819914077999</v>
      </c>
      <c r="J148" s="307">
        <v>127.61670510749217</v>
      </c>
      <c r="K148" s="307">
        <v>103.1663481931033</v>
      </c>
      <c r="L148" s="307">
        <v>119.19003852572293</v>
      </c>
      <c r="M148" s="307">
        <v>129.80863615556095</v>
      </c>
      <c r="N148" s="307">
        <v>123.00394635977791</v>
      </c>
      <c r="O148" s="307">
        <v>126.53756722312488</v>
      </c>
      <c r="P148" s="307">
        <v>116.0863433301957</v>
      </c>
      <c r="Q148" s="307">
        <v>104.68343137852831</v>
      </c>
      <c r="R148" s="307">
        <v>116.47279383527753</v>
      </c>
      <c r="S148" s="307">
        <f t="shared" si="60"/>
        <v>1429.6535919225303</v>
      </c>
      <c r="T148" s="1573"/>
      <c r="U148" s="1626">
        <f t="shared" si="61"/>
        <v>1429.6535919225303</v>
      </c>
      <c r="V148" s="445"/>
    </row>
    <row r="149" spans="3:22">
      <c r="C149" s="1625" t="str">
        <f>'[1]Form 4.1'!C153</f>
        <v>Godavari Gas Power Plant</v>
      </c>
      <c r="D149" s="1573"/>
      <c r="E149" s="1573">
        <v>0</v>
      </c>
      <c r="F149" s="1573"/>
      <c r="G149" s="307">
        <v>0</v>
      </c>
      <c r="H149" s="307">
        <v>0</v>
      </c>
      <c r="I149" s="307">
        <v>0</v>
      </c>
      <c r="J149" s="307">
        <v>0</v>
      </c>
      <c r="K149" s="307">
        <v>0</v>
      </c>
      <c r="L149" s="307">
        <v>0</v>
      </c>
      <c r="M149" s="307">
        <v>0</v>
      </c>
      <c r="N149" s="307">
        <v>0</v>
      </c>
      <c r="O149" s="307">
        <v>0</v>
      </c>
      <c r="P149" s="307">
        <v>0</v>
      </c>
      <c r="Q149" s="307">
        <v>0</v>
      </c>
      <c r="R149" s="307">
        <v>0</v>
      </c>
      <c r="S149" s="307">
        <f t="shared" si="60"/>
        <v>0</v>
      </c>
      <c r="T149" s="1573"/>
      <c r="U149" s="1626">
        <f t="shared" si="61"/>
        <v>0</v>
      </c>
      <c r="V149" s="445"/>
    </row>
    <row r="150" spans="3:22" ht="14.25">
      <c r="C150" s="1627" t="str">
        <f>'[1]Form 4.1'!C154</f>
        <v>Joint Sector-TOTAL</v>
      </c>
      <c r="D150" s="1577"/>
      <c r="E150" s="1577"/>
      <c r="F150" s="1577"/>
      <c r="G150" s="1577">
        <f>SUM(G147:G149)</f>
        <v>345.00507172823649</v>
      </c>
      <c r="H150" s="1577">
        <f t="shared" ref="H150:V150" si="62">SUM(H147:H149)</f>
        <v>371.92007550541712</v>
      </c>
      <c r="I150" s="1577">
        <f t="shared" si="62"/>
        <v>366.55961282062998</v>
      </c>
      <c r="J150" s="1577">
        <f t="shared" si="62"/>
        <v>380.8190802279276</v>
      </c>
      <c r="K150" s="1577">
        <f t="shared" si="62"/>
        <v>331.77431970843554</v>
      </c>
      <c r="L150" s="1577">
        <f t="shared" si="62"/>
        <v>355.67319188710422</v>
      </c>
      <c r="M150" s="1577">
        <f t="shared" si="62"/>
        <v>387.35998852786759</v>
      </c>
      <c r="N150" s="1577">
        <f t="shared" si="62"/>
        <v>346.09021892261541</v>
      </c>
      <c r="O150" s="1577">
        <f t="shared" si="62"/>
        <v>377.59884118306502</v>
      </c>
      <c r="P150" s="1577">
        <f t="shared" si="62"/>
        <v>346.41150198002703</v>
      </c>
      <c r="Q150" s="1577">
        <f t="shared" si="62"/>
        <v>312.38424482982583</v>
      </c>
      <c r="R150" s="1577">
        <f t="shared" si="62"/>
        <v>347.5647030893561</v>
      </c>
      <c r="S150" s="1577">
        <f t="shared" ref="S150" si="63">SUM(S147:S149)</f>
        <v>4269.1608504105079</v>
      </c>
      <c r="T150" s="1577">
        <f t="shared" ref="T150" si="64">SUM(T147:T149)</f>
        <v>0</v>
      </c>
      <c r="U150" s="1620">
        <f t="shared" ref="U150" si="65">SUM(U147:U149)</f>
        <v>4269.1608504105079</v>
      </c>
      <c r="V150" s="1618">
        <f t="shared" si="62"/>
        <v>0</v>
      </c>
    </row>
    <row r="151" spans="3:22">
      <c r="C151" s="1625" t="str">
        <f>'[1]Form 4.1'!C155</f>
        <v>NTPC(SR) Ramagundam I &amp; II</v>
      </c>
      <c r="D151" s="1573"/>
      <c r="E151" s="1573">
        <v>35.806786658866152</v>
      </c>
      <c r="F151" s="1573"/>
      <c r="G151" s="307">
        <v>72.232430516508046</v>
      </c>
      <c r="H151" s="307">
        <v>72.445877215227739</v>
      </c>
      <c r="I151" s="307">
        <v>76.985643714287548</v>
      </c>
      <c r="J151" s="307">
        <v>79.980447939789855</v>
      </c>
      <c r="K151" s="307">
        <v>72.211676354560851</v>
      </c>
      <c r="L151" s="307">
        <v>74.69925401395173</v>
      </c>
      <c r="M151" s="307">
        <v>81.354183666080615</v>
      </c>
      <c r="N151" s="307">
        <v>77.089521469233986</v>
      </c>
      <c r="O151" s="307">
        <v>70.241147111797289</v>
      </c>
      <c r="P151" s="307">
        <v>62.021035012197899</v>
      </c>
      <c r="Q151" s="307">
        <v>62.696686423810164</v>
      </c>
      <c r="R151" s="307">
        <v>73.176945119891897</v>
      </c>
      <c r="S151" s="307">
        <f t="shared" ref="S151:S168" si="66">SUM(G151:R151)</f>
        <v>875.13484855733782</v>
      </c>
      <c r="T151" s="1573"/>
      <c r="U151" s="1626">
        <f t="shared" si="61"/>
        <v>875.13484855733782</v>
      </c>
      <c r="V151" s="445"/>
    </row>
    <row r="152" spans="3:22">
      <c r="C152" s="1625" t="str">
        <f>'[1]Form 4.1'!C156</f>
        <v>NTPC(SR) Simhadri Stage-I</v>
      </c>
      <c r="D152" s="1573"/>
      <c r="E152" s="1573">
        <v>36.09568533860346</v>
      </c>
      <c r="F152" s="1573"/>
      <c r="G152" s="307">
        <v>115.10133431361344</v>
      </c>
      <c r="H152" s="307">
        <v>124.08077578179487</v>
      </c>
      <c r="I152" s="307">
        <v>122.29240668777949</v>
      </c>
      <c r="J152" s="307">
        <v>127.0496808836623</v>
      </c>
      <c r="K152" s="307">
        <v>114.70891540677415</v>
      </c>
      <c r="L152" s="307">
        <v>118.66045551363705</v>
      </c>
      <c r="M152" s="307">
        <v>129.23187278355158</v>
      </c>
      <c r="N152" s="307">
        <v>79.597321350135886</v>
      </c>
      <c r="O152" s="307">
        <v>107.68859522050766</v>
      </c>
      <c r="P152" s="307">
        <v>115.57055060017177</v>
      </c>
      <c r="Q152" s="307">
        <v>104.21830385956234</v>
      </c>
      <c r="R152" s="307">
        <v>115.95528403539581</v>
      </c>
      <c r="S152" s="307">
        <f t="shared" si="66"/>
        <v>1374.1554964365864</v>
      </c>
      <c r="T152" s="1573"/>
      <c r="U152" s="1626">
        <f t="shared" si="61"/>
        <v>1374.1554964365864</v>
      </c>
      <c r="V152" s="445"/>
    </row>
    <row r="153" spans="3:22">
      <c r="C153" s="1625" t="str">
        <f>'[1]Form 4.1'!C157</f>
        <v>NTPC(SR) Simhadri Stage-II</v>
      </c>
      <c r="D153" s="1573"/>
      <c r="E153" s="1573">
        <v>34.364476196799266</v>
      </c>
      <c r="F153" s="1573"/>
      <c r="G153" s="307">
        <v>54.061761242093219</v>
      </c>
      <c r="H153" s="307">
        <v>58.279300714029304</v>
      </c>
      <c r="I153" s="307">
        <v>42.122171300338138</v>
      </c>
      <c r="J153" s="307">
        <v>31.761840528581867</v>
      </c>
      <c r="K153" s="307">
        <v>53.877446634665432</v>
      </c>
      <c r="L153" s="307">
        <v>55.733439174367128</v>
      </c>
      <c r="M153" s="307">
        <v>60.698711209176778</v>
      </c>
      <c r="N153" s="307">
        <v>57.516828146425155</v>
      </c>
      <c r="O153" s="307">
        <v>59.169154514371762</v>
      </c>
      <c r="P153" s="307">
        <v>54.282146687718928</v>
      </c>
      <c r="Q153" s="307">
        <v>48.950128110245579</v>
      </c>
      <c r="R153" s="307">
        <v>54.462851518301171</v>
      </c>
      <c r="S153" s="307">
        <f t="shared" si="66"/>
        <v>630.91577978031455</v>
      </c>
      <c r="T153" s="1573"/>
      <c r="U153" s="1626">
        <f t="shared" si="61"/>
        <v>630.91577978031455</v>
      </c>
      <c r="V153" s="445"/>
    </row>
    <row r="154" spans="3:22">
      <c r="C154" s="1625" t="str">
        <f>'[1]Form 4.1'!C158</f>
        <v>NTPC(SR) Talcher Stage-II</v>
      </c>
      <c r="D154" s="1573"/>
      <c r="E154" s="1573">
        <v>34.821744146849795</v>
      </c>
      <c r="F154" s="1573"/>
      <c r="G154" s="307">
        <v>44.88142384510472</v>
      </c>
      <c r="H154" s="307">
        <v>48.382774379649263</v>
      </c>
      <c r="I154" s="307">
        <v>47.685436231671801</v>
      </c>
      <c r="J154" s="307">
        <v>49.540438528613407</v>
      </c>
      <c r="K154" s="307">
        <v>44.728408075237979</v>
      </c>
      <c r="L154" s="307">
        <v>46.269230754963147</v>
      </c>
      <c r="M154" s="307">
        <v>50.39133986832708</v>
      </c>
      <c r="N154" s="307">
        <v>35.812334119663504</v>
      </c>
      <c r="O154" s="307">
        <v>41.594835738040672</v>
      </c>
      <c r="P154" s="307">
        <v>33.798288893195853</v>
      </c>
      <c r="Q154" s="307">
        <v>40.63780750963641</v>
      </c>
      <c r="R154" s="307">
        <v>45.21440416748132</v>
      </c>
      <c r="S154" s="307">
        <f t="shared" si="66"/>
        <v>528.93672211158503</v>
      </c>
      <c r="T154" s="1573"/>
      <c r="U154" s="1626">
        <f t="shared" si="61"/>
        <v>528.93672211158503</v>
      </c>
      <c r="V154" s="446">
        <f t="shared" ref="V154" si="67">SUM(V143:V153)</f>
        <v>0</v>
      </c>
    </row>
    <row r="155" spans="3:22">
      <c r="C155" s="1625" t="str">
        <f>'[1]Form 4.1'!C159</f>
        <v>NTPC(SR) Ramagundam III</v>
      </c>
      <c r="D155" s="1573"/>
      <c r="E155" s="1573">
        <v>34.108406894105819</v>
      </c>
      <c r="F155" s="1573"/>
      <c r="G155" s="307">
        <v>18.436973314390901</v>
      </c>
      <c r="H155" s="307">
        <v>19.875303492874469</v>
      </c>
      <c r="I155" s="307">
        <v>19.588841885289582</v>
      </c>
      <c r="J155" s="307">
        <v>6.5647947692591835</v>
      </c>
      <c r="K155" s="307">
        <v>13.039694879568684</v>
      </c>
      <c r="L155" s="307">
        <v>19.007074634056988</v>
      </c>
      <c r="M155" s="307">
        <v>20.700408071614309</v>
      </c>
      <c r="N155" s="307">
        <v>19.615273370679201</v>
      </c>
      <c r="O155" s="307">
        <v>20.178775122242126</v>
      </c>
      <c r="P155" s="307">
        <v>18.512132548691199</v>
      </c>
      <c r="Q155" s="307">
        <v>16.693725564418365</v>
      </c>
      <c r="R155" s="307">
        <v>18.573759289342636</v>
      </c>
      <c r="S155" s="307">
        <f t="shared" si="66"/>
        <v>210.78675694242764</v>
      </c>
      <c r="T155" s="1573"/>
      <c r="U155" s="1626">
        <f t="shared" si="61"/>
        <v>210.78675694242764</v>
      </c>
      <c r="V155" s="446">
        <f t="shared" ref="V155" si="68">SUM(V154,V141)</f>
        <v>0</v>
      </c>
    </row>
    <row r="156" spans="3:22">
      <c r="C156" s="1625" t="str">
        <f>'[1]Form 4.1'!C160</f>
        <v>NTPC Kudgi Stage-I</v>
      </c>
      <c r="D156" s="1573"/>
      <c r="E156" s="1573">
        <v>33.088976791270007</v>
      </c>
      <c r="F156" s="1573"/>
      <c r="G156" s="307">
        <v>55.902046516802976</v>
      </c>
      <c r="H156" s="307">
        <v>60.263152820588196</v>
      </c>
      <c r="I156" s="307">
        <v>39.596388973708436</v>
      </c>
      <c r="J156" s="307">
        <v>58.387603639293232</v>
      </c>
      <c r="K156" s="307">
        <v>55.711457761989493</v>
      </c>
      <c r="L156" s="307">
        <v>57.630629074678048</v>
      </c>
      <c r="M156" s="307">
        <v>62.764921074813472</v>
      </c>
      <c r="N156" s="307">
        <v>55.509743672596883</v>
      </c>
      <c r="O156" s="307">
        <v>42.104634922384328</v>
      </c>
      <c r="P156" s="307">
        <v>56.129933976440576</v>
      </c>
      <c r="Q156" s="307">
        <v>50.616411225829722</v>
      </c>
      <c r="R156" s="307">
        <v>56.316790076074156</v>
      </c>
      <c r="S156" s="307">
        <f t="shared" si="66"/>
        <v>650.9337137351996</v>
      </c>
      <c r="T156" s="1573"/>
      <c r="U156" s="1626">
        <f t="shared" si="61"/>
        <v>650.9337137351996</v>
      </c>
      <c r="V156" s="446"/>
    </row>
    <row r="157" spans="3:22">
      <c r="C157" s="1625" t="str">
        <f>'[1]Form 4.1'!C161</f>
        <v>NTECL Valluru</v>
      </c>
      <c r="D157" s="1573"/>
      <c r="E157" s="1573">
        <v>35.238698274944845</v>
      </c>
      <c r="F157" s="1573"/>
      <c r="G157" s="307">
        <v>21.923851770181066</v>
      </c>
      <c r="H157" s="307">
        <v>23.634205041942774</v>
      </c>
      <c r="I157" s="307">
        <v>18.117218468413824</v>
      </c>
      <c r="J157" s="307">
        <v>17.69440818343347</v>
      </c>
      <c r="K157" s="307">
        <v>21.849106034202716</v>
      </c>
      <c r="L157" s="307">
        <v>22.601773065244611</v>
      </c>
      <c r="M157" s="307">
        <v>24.615356892125813</v>
      </c>
      <c r="N157" s="307">
        <v>23.324996922064372</v>
      </c>
      <c r="O157" s="307">
        <v>18.834840293394112</v>
      </c>
      <c r="P157" s="307">
        <v>15.62228901987613</v>
      </c>
      <c r="Q157" s="307">
        <v>19.850913624782322</v>
      </c>
      <c r="R157" s="307">
        <v>22.086507287870663</v>
      </c>
      <c r="S157" s="307">
        <f t="shared" si="66"/>
        <v>250.15546660353186</v>
      </c>
      <c r="T157" s="1573"/>
      <c r="U157" s="1626">
        <f t="shared" si="61"/>
        <v>250.15546660353186</v>
      </c>
      <c r="V157" s="444"/>
    </row>
    <row r="158" spans="3:22">
      <c r="C158" s="1625" t="str">
        <f>'[1]Form 4.1'!C162</f>
        <v>NLC Stage-I</v>
      </c>
      <c r="D158" s="1573"/>
      <c r="E158" s="1573">
        <v>34.376928228527817</v>
      </c>
      <c r="F158" s="1573"/>
      <c r="G158" s="307">
        <v>10.553421532961851</v>
      </c>
      <c r="H158" s="307">
        <v>12.713759239919019</v>
      </c>
      <c r="I158" s="307">
        <v>12.530516558285502</v>
      </c>
      <c r="J158" s="307">
        <v>9.1770003980545951</v>
      </c>
      <c r="K158" s="307">
        <v>11.753484969489833</v>
      </c>
      <c r="L158" s="307">
        <v>8.2406756266313934</v>
      </c>
      <c r="M158" s="307">
        <v>7.5184912067001797</v>
      </c>
      <c r="N158" s="307">
        <v>10.061171367984764</v>
      </c>
      <c r="O158" s="307">
        <v>12.495929120903192</v>
      </c>
      <c r="P158" s="307">
        <v>11.841771187338463</v>
      </c>
      <c r="Q158" s="307">
        <v>9.5555772540699593</v>
      </c>
      <c r="R158" s="307">
        <v>10.615988307322072</v>
      </c>
      <c r="S158" s="307">
        <f t="shared" si="66"/>
        <v>127.05778676966082</v>
      </c>
      <c r="T158" s="1573"/>
      <c r="U158" s="1626">
        <f t="shared" si="61"/>
        <v>127.05778676966082</v>
      </c>
      <c r="V158" s="444"/>
    </row>
    <row r="159" spans="3:22">
      <c r="C159" s="1625" t="str">
        <f>'[1]Form 4.1'!C163</f>
        <v>NLC Stage-II</v>
      </c>
      <c r="D159" s="1573"/>
      <c r="E159" s="1573">
        <v>35.063320748765783</v>
      </c>
      <c r="F159" s="1573"/>
      <c r="G159" s="307">
        <v>19.321738798456892</v>
      </c>
      <c r="H159" s="307">
        <v>23.276994519069511</v>
      </c>
      <c r="I159" s="307">
        <v>17.695596018740726</v>
      </c>
      <c r="J159" s="307">
        <v>23.833947740456004</v>
      </c>
      <c r="K159" s="307">
        <v>16.757001129395999</v>
      </c>
      <c r="L159" s="307">
        <v>22.260166856778071</v>
      </c>
      <c r="M159" s="307">
        <v>23.469594223034381</v>
      </c>
      <c r="N159" s="307">
        <v>20.11651061716568</v>
      </c>
      <c r="O159" s="307">
        <v>17.62833121217658</v>
      </c>
      <c r="P159" s="307">
        <v>16.260385961904625</v>
      </c>
      <c r="Q159" s="307">
        <v>17.182427173233489</v>
      </c>
      <c r="R159" s="307">
        <v>19.465088947868171</v>
      </c>
      <c r="S159" s="307">
        <f t="shared" si="66"/>
        <v>237.26778319828014</v>
      </c>
      <c r="T159" s="1573"/>
      <c r="U159" s="1626">
        <f t="shared" si="61"/>
        <v>237.26778319828014</v>
      </c>
      <c r="V159" s="445"/>
    </row>
    <row r="160" spans="3:22">
      <c r="C160" s="1625" t="str">
        <f>'[1]Form 4.1'!C164</f>
        <v>NPC(MAPS)</v>
      </c>
      <c r="D160" s="1573"/>
      <c r="E160" s="1573">
        <v>25.931018809202339</v>
      </c>
      <c r="F160" s="1573"/>
      <c r="G160" s="307">
        <v>3.0465273912289144</v>
      </c>
      <c r="H160" s="307">
        <v>3.297626467825411</v>
      </c>
      <c r="I160" s="307">
        <v>3.2368622738855728</v>
      </c>
      <c r="J160" s="307">
        <v>3.3765294242479027</v>
      </c>
      <c r="K160" s="307">
        <v>3.0485556941240839</v>
      </c>
      <c r="L160" s="307">
        <v>1.9758589343642938</v>
      </c>
      <c r="M160" s="307">
        <v>3.4345243370102465</v>
      </c>
      <c r="N160" s="307">
        <v>3.2412298152849788</v>
      </c>
      <c r="O160" s="307">
        <v>3.3479771997070982</v>
      </c>
      <c r="P160" s="307">
        <v>3.0714548983034216</v>
      </c>
      <c r="Q160" s="307">
        <v>2.7612480751059407</v>
      </c>
      <c r="R160" s="307">
        <v>3.0816797470042649</v>
      </c>
      <c r="S160" s="307">
        <f t="shared" si="66"/>
        <v>36.920074258092129</v>
      </c>
      <c r="T160" s="1573"/>
      <c r="U160" s="1626">
        <f t="shared" si="61"/>
        <v>36.920074258092129</v>
      </c>
      <c r="V160" s="445"/>
    </row>
    <row r="161" spans="3:22">
      <c r="C161" s="1625" t="str">
        <f>'[1]Form 4.1'!C165</f>
        <v>NPC(KAIGA unit I,II,III,IV)</v>
      </c>
      <c r="D161" s="1573"/>
      <c r="E161" s="1573">
        <v>28.667926177764109</v>
      </c>
      <c r="F161" s="1573"/>
      <c r="G161" s="307">
        <v>24.900822503384859</v>
      </c>
      <c r="H161" s="307">
        <v>26.917837523726977</v>
      </c>
      <c r="I161" s="307">
        <v>26.456526595486988</v>
      </c>
      <c r="J161" s="307">
        <v>27.561905911048886</v>
      </c>
      <c r="K161" s="307">
        <v>24.884724712492638</v>
      </c>
      <c r="L161" s="307">
        <v>19.645681913903772</v>
      </c>
      <c r="M161" s="307">
        <v>19.315606564915065</v>
      </c>
      <c r="N161" s="307">
        <v>13.246112369686175</v>
      </c>
      <c r="O161" s="307">
        <v>18.591798655724482</v>
      </c>
      <c r="P161" s="307">
        <v>19.180822089002589</v>
      </c>
      <c r="Q161" s="307">
        <v>17.293909799099747</v>
      </c>
      <c r="R161" s="307">
        <v>19.244674891765925</v>
      </c>
      <c r="S161" s="307">
        <f t="shared" si="66"/>
        <v>257.2404235302381</v>
      </c>
      <c r="T161" s="1573"/>
      <c r="U161" s="1626">
        <f t="shared" si="61"/>
        <v>257.2404235302381</v>
      </c>
      <c r="V161" s="445"/>
    </row>
    <row r="162" spans="3:22">
      <c r="C162" s="1625" t="str">
        <f>'[1]Form 4.1'!C166</f>
        <v>NTPL(NLC TamilNadu)</v>
      </c>
      <c r="D162" s="1573"/>
      <c r="E162" s="1573">
        <v>34.035878398081607</v>
      </c>
      <c r="F162" s="1573"/>
      <c r="G162" s="307">
        <v>29.571020699769253</v>
      </c>
      <c r="H162" s="307">
        <v>20.582797308264048</v>
      </c>
      <c r="I162" s="307">
        <v>19.361400571168389</v>
      </c>
      <c r="J162" s="307">
        <v>28.972230796008482</v>
      </c>
      <c r="K162" s="307">
        <v>29.4732307630413</v>
      </c>
      <c r="L162" s="307">
        <v>30.485404944804351</v>
      </c>
      <c r="M162" s="307">
        <v>33.204749560945444</v>
      </c>
      <c r="N162" s="307">
        <v>31.460893552589603</v>
      </c>
      <c r="O162" s="307">
        <v>32.368017676882161</v>
      </c>
      <c r="P162" s="307">
        <v>29.694618724025077</v>
      </c>
      <c r="Q162" s="307">
        <v>26.768938720181772</v>
      </c>
      <c r="R162" s="307">
        <v>29.793471871388594</v>
      </c>
      <c r="S162" s="307">
        <f t="shared" si="66"/>
        <v>341.73677518906845</v>
      </c>
      <c r="T162" s="1573"/>
      <c r="U162" s="1626">
        <f t="shared" si="61"/>
        <v>341.73677518906845</v>
      </c>
      <c r="V162" s="444"/>
    </row>
    <row r="163" spans="3:22">
      <c r="C163" s="1625" t="str">
        <f>'[1]Form 4.1'!C167</f>
        <v>NLC NNTPS</v>
      </c>
      <c r="D163" s="1573"/>
      <c r="E163" s="1573">
        <v>34.215876010634155</v>
      </c>
      <c r="F163" s="1573"/>
      <c r="G163" s="307">
        <v>13.83740939233445</v>
      </c>
      <c r="H163" s="307">
        <v>7.4520685872363934</v>
      </c>
      <c r="I163" s="307">
        <v>11.275805437521718</v>
      </c>
      <c r="J163" s="307">
        <v>14.672122410749317</v>
      </c>
      <c r="K163" s="307">
        <v>12.184062591986338</v>
      </c>
      <c r="L163" s="307">
        <v>12.539984767467562</v>
      </c>
      <c r="M163" s="307">
        <v>13.970581602427394</v>
      </c>
      <c r="N163" s="307">
        <v>13.245235037603988</v>
      </c>
      <c r="O163" s="307">
        <v>9.2087234264034006</v>
      </c>
      <c r="P163" s="307">
        <v>13.683606352956444</v>
      </c>
      <c r="Q163" s="307">
        <v>12.315224888398744</v>
      </c>
      <c r="R163" s="307">
        <v>13.729158968662494</v>
      </c>
      <c r="S163" s="307">
        <f t="shared" si="66"/>
        <v>148.11398346374821</v>
      </c>
      <c r="T163" s="1573"/>
      <c r="U163" s="1626">
        <f t="shared" si="61"/>
        <v>148.11398346374821</v>
      </c>
      <c r="V163" s="445"/>
    </row>
    <row r="164" spans="3:22">
      <c r="C164" s="1625" t="str">
        <f>'[1]Form 4.1'!C168</f>
        <v>KKNPP Unit-I</v>
      </c>
      <c r="D164" s="1573"/>
      <c r="E164" s="1573">
        <v>38.502932652909379</v>
      </c>
      <c r="F164" s="1573"/>
      <c r="G164" s="307">
        <v>0.29944366013700896</v>
      </c>
      <c r="H164" s="307">
        <v>0.49662194654300068</v>
      </c>
      <c r="I164" s="307">
        <v>0.48946416295395279</v>
      </c>
      <c r="J164" s="307">
        <v>0.50850471743559844</v>
      </c>
      <c r="K164" s="307">
        <v>0.45911193330487521</v>
      </c>
      <c r="L164" s="307">
        <v>0.47492761085321716</v>
      </c>
      <c r="M164" s="307">
        <v>0.51723874075407916</v>
      </c>
      <c r="N164" s="307">
        <v>0.49012460347144837</v>
      </c>
      <c r="O164" s="307">
        <v>0.50420475761057371</v>
      </c>
      <c r="P164" s="307">
        <v>0.46256054929118717</v>
      </c>
      <c r="Q164" s="307">
        <v>0.41712422091206475</v>
      </c>
      <c r="R164" s="307">
        <v>0.46410040964664734</v>
      </c>
      <c r="S164" s="307">
        <f t="shared" si="66"/>
        <v>5.5834273129136545</v>
      </c>
      <c r="T164" s="1573"/>
      <c r="U164" s="1626">
        <f t="shared" si="61"/>
        <v>5.5834273129136545</v>
      </c>
      <c r="V164" s="445"/>
    </row>
    <row r="165" spans="3:22">
      <c r="C165" s="1625" t="str">
        <f>'[1]Form 4.1'!C169</f>
        <v>NLC TPS- I Expn.</v>
      </c>
      <c r="D165" s="1573"/>
      <c r="E165" s="1573">
        <v>36.662347133088744</v>
      </c>
      <c r="F165" s="1573"/>
      <c r="G165" s="307">
        <v>0.58617534161775742</v>
      </c>
      <c r="H165" s="307">
        <v>0.63305324362921922</v>
      </c>
      <c r="I165" s="307">
        <v>0.31139861972472571</v>
      </c>
      <c r="J165" s="307">
        <v>0.51150510357100409</v>
      </c>
      <c r="K165" s="307">
        <v>0.5852385312221946</v>
      </c>
      <c r="L165" s="307">
        <v>0.60430084031613429</v>
      </c>
      <c r="M165" s="307">
        <v>0.3812474672621719</v>
      </c>
      <c r="N165" s="307">
        <v>0.61046214606246241</v>
      </c>
      <c r="O165" s="307">
        <v>0.62523023644557785</v>
      </c>
      <c r="P165" s="307">
        <v>0.59765678496637764</v>
      </c>
      <c r="Q165" s="307">
        <v>0.5366249550929707</v>
      </c>
      <c r="R165" s="307">
        <v>0.59964637960593725</v>
      </c>
      <c r="S165" s="307">
        <f t="shared" si="66"/>
        <v>6.5825396495165336</v>
      </c>
      <c r="T165" s="1573"/>
      <c r="U165" s="1626">
        <f t="shared" si="61"/>
        <v>6.5825396495165336</v>
      </c>
      <c r="V165" s="445"/>
    </row>
    <row r="166" spans="3:22">
      <c r="C166" s="1625" t="str">
        <f>'[1]Form 4.1'!C170</f>
        <v>NLC TPS- II Expn.</v>
      </c>
      <c r="D166" s="1573"/>
      <c r="E166" s="1573">
        <v>26.341984555381487</v>
      </c>
      <c r="F166" s="1573"/>
      <c r="G166" s="307">
        <v>0.53251140189218804</v>
      </c>
      <c r="H166" s="307">
        <v>0.29714744088718453</v>
      </c>
      <c r="I166" s="307">
        <v>0.56578059076745935</v>
      </c>
      <c r="J166" s="307">
        <v>0.59087658515960828</v>
      </c>
      <c r="K166" s="307">
        <v>0.27072258587149139</v>
      </c>
      <c r="L166" s="307">
        <v>0.54897752394916421</v>
      </c>
      <c r="M166" s="307">
        <v>0.30948323813046896</v>
      </c>
      <c r="N166" s="307">
        <v>0.56654400605796862</v>
      </c>
      <c r="O166" s="307">
        <v>0.30168451968353061</v>
      </c>
      <c r="P166" s="307">
        <v>0.53748999453352075</v>
      </c>
      <c r="Q166" s="307">
        <v>0.48456432512126463</v>
      </c>
      <c r="R166" s="307">
        <v>0.53927929441070865</v>
      </c>
      <c r="S166" s="307">
        <f t="shared" si="66"/>
        <v>5.5450615064645579</v>
      </c>
      <c r="T166" s="1573"/>
      <c r="U166" s="1626">
        <f t="shared" si="61"/>
        <v>5.5450615064645579</v>
      </c>
      <c r="V166" s="447">
        <f t="shared" ref="V166" si="69">SUM(V164:V165)</f>
        <v>0</v>
      </c>
    </row>
    <row r="167" spans="3:22">
      <c r="C167" s="1625" t="str">
        <f>'[1]Form 4.1'!C171</f>
        <v>NTPC Telangana STPS - I</v>
      </c>
      <c r="D167" s="1573"/>
      <c r="E167" s="1573">
        <v>33.71919887344697</v>
      </c>
      <c r="F167" s="1573"/>
      <c r="G167" s="307">
        <v>1.7876622839773408</v>
      </c>
      <c r="H167" s="307">
        <v>1.9271238196717322</v>
      </c>
      <c r="I167" s="307">
        <v>1.8993482947547817</v>
      </c>
      <c r="J167" s="307">
        <v>1.9732344899516736</v>
      </c>
      <c r="K167" s="307">
        <v>1.7815675459496756</v>
      </c>
      <c r="L167" s="307">
        <v>1.8429397207796863</v>
      </c>
      <c r="M167" s="307">
        <v>2.0071265571383488</v>
      </c>
      <c r="N167" s="307">
        <v>1.9019111107189204</v>
      </c>
      <c r="O167" s="307">
        <v>1.9565486486188057</v>
      </c>
      <c r="P167" s="307">
        <v>1.7949497777627978</v>
      </c>
      <c r="Q167" s="307">
        <v>1.6186357197406924</v>
      </c>
      <c r="R167" s="307">
        <v>1.8009251511643005</v>
      </c>
      <c r="S167" s="307">
        <f t="shared" si="66"/>
        <v>22.291973120228757</v>
      </c>
      <c r="T167" s="1573"/>
      <c r="U167" s="1626">
        <f t="shared" si="61"/>
        <v>22.291973120228757</v>
      </c>
      <c r="V167" s="445"/>
    </row>
    <row r="168" spans="3:22">
      <c r="C168" s="1625" t="str">
        <f>'[1]Form 4.1'!C172</f>
        <v>JNNSM Ph-1 Thermal</v>
      </c>
      <c r="D168" s="1573"/>
      <c r="E168" s="1573">
        <v>0</v>
      </c>
      <c r="F168" s="1573"/>
      <c r="G168" s="307">
        <v>9.8056874858527596</v>
      </c>
      <c r="H168" s="307">
        <v>10.345450072989719</v>
      </c>
      <c r="I168" s="307">
        <v>8.7517926165603814</v>
      </c>
      <c r="J168" s="307">
        <v>9.3216819820630441</v>
      </c>
      <c r="K168" s="307">
        <v>9.5678024782157038</v>
      </c>
      <c r="L168" s="307">
        <v>10.118585616340996</v>
      </c>
      <c r="M168" s="307">
        <v>11.020046766718956</v>
      </c>
      <c r="N168" s="307">
        <v>9.9113883425883511</v>
      </c>
      <c r="O168" s="307">
        <v>8.9707160185083517</v>
      </c>
      <c r="P168" s="307">
        <v>9.1474770513300356</v>
      </c>
      <c r="Q168" s="307">
        <v>8.7661353557547059</v>
      </c>
      <c r="R168" s="307">
        <v>9.8954105677838591</v>
      </c>
      <c r="S168" s="307">
        <f t="shared" si="66"/>
        <v>115.62217435470684</v>
      </c>
      <c r="T168" s="1573"/>
      <c r="U168" s="1626">
        <f t="shared" si="61"/>
        <v>115.62217435470684</v>
      </c>
      <c r="V168" s="445"/>
    </row>
    <row r="169" spans="3:22" ht="14.25">
      <c r="C169" s="1627" t="str">
        <f>'[1]Form 4.1'!C173</f>
        <v>CGS TOTAL</v>
      </c>
      <c r="D169" s="1577"/>
      <c r="E169" s="1577"/>
      <c r="F169" s="1577"/>
      <c r="G169" s="1577">
        <f>SUM(G151:G168)</f>
        <v>496.78224201030764</v>
      </c>
      <c r="H169" s="1577">
        <f t="shared" ref="H169:R169" si="70">SUM(H151:H168)</f>
        <v>514.9018696158688</v>
      </c>
      <c r="I169" s="1577">
        <f t="shared" si="70"/>
        <v>468.96259900133907</v>
      </c>
      <c r="J169" s="1577">
        <f t="shared" si="70"/>
        <v>491.47875403137942</v>
      </c>
      <c r="K169" s="1577">
        <f t="shared" si="70"/>
        <v>486.89220808209336</v>
      </c>
      <c r="L169" s="1577">
        <f t="shared" si="70"/>
        <v>503.33936058708747</v>
      </c>
      <c r="M169" s="1577">
        <f t="shared" si="70"/>
        <v>544.90548383072633</v>
      </c>
      <c r="N169" s="1577">
        <f t="shared" si="70"/>
        <v>453.31760202001317</v>
      </c>
      <c r="O169" s="1577">
        <f t="shared" si="70"/>
        <v>465.81114439540181</v>
      </c>
      <c r="P169" s="1577">
        <f t="shared" si="70"/>
        <v>462.20917010970675</v>
      </c>
      <c r="Q169" s="1577">
        <f t="shared" si="70"/>
        <v>441.36438680499617</v>
      </c>
      <c r="R169" s="1577">
        <f t="shared" si="70"/>
        <v>495.01596603098062</v>
      </c>
      <c r="S169" s="1577">
        <f t="shared" ref="S169" si="71">SUM(S151:S168)</f>
        <v>5824.9807865199018</v>
      </c>
      <c r="T169" s="1577">
        <f t="shared" ref="T169" si="72">SUM(T151:T168)</f>
        <v>0</v>
      </c>
      <c r="U169" s="1620">
        <f t="shared" ref="U169" si="73">SUM(U151:U168)</f>
        <v>5824.9807865199018</v>
      </c>
      <c r="V169" s="444"/>
    </row>
    <row r="170" spans="3:22">
      <c r="C170" s="1625" t="str">
        <f>'[1]Form 4.1'!C174</f>
        <v>SEIL P1 (Formerly Thermal Powertech)</v>
      </c>
      <c r="D170" s="1573"/>
      <c r="E170" s="1573">
        <v>39.686170956454113</v>
      </c>
      <c r="F170" s="1573"/>
      <c r="G170" s="307">
        <v>64.2754903328848</v>
      </c>
      <c r="H170" s="307">
        <v>69.28983709719104</v>
      </c>
      <c r="I170" s="307">
        <v>68.291166655188889</v>
      </c>
      <c r="J170" s="307">
        <v>70.947748643675723</v>
      </c>
      <c r="K170" s="307">
        <v>64.056353710330384</v>
      </c>
      <c r="L170" s="307">
        <v>66.262993446118699</v>
      </c>
      <c r="M170" s="307">
        <v>72.166339680888782</v>
      </c>
      <c r="N170" s="307">
        <v>68.383312836380043</v>
      </c>
      <c r="O170" s="307">
        <v>70.347808351317681</v>
      </c>
      <c r="P170" s="307">
        <v>64.537512550703212</v>
      </c>
      <c r="Q170" s="307">
        <v>58.198131430720288</v>
      </c>
      <c r="R170" s="307">
        <v>64.75235741192003</v>
      </c>
      <c r="S170" s="307">
        <f t="shared" si="60"/>
        <v>801.50905214731949</v>
      </c>
      <c r="T170" s="1573"/>
      <c r="U170" s="1626">
        <f t="shared" si="61"/>
        <v>801.50905214731949</v>
      </c>
      <c r="V170" s="444"/>
    </row>
    <row r="171" spans="3:22">
      <c r="C171" s="1625" t="str">
        <f>'[1]Form 4.1'!C175</f>
        <v>SEIL P1 (625MW)</v>
      </c>
      <c r="D171" s="1573"/>
      <c r="E171" s="1573">
        <v>35.7175538608087</v>
      </c>
      <c r="F171" s="1573"/>
      <c r="G171" s="307">
        <v>156.82048714919841</v>
      </c>
      <c r="H171" s="307">
        <v>169.05457977518961</v>
      </c>
      <c r="I171" s="307">
        <v>166.61800582755907</v>
      </c>
      <c r="J171" s="307">
        <v>173.09958192178527</v>
      </c>
      <c r="K171" s="307">
        <v>156.28583371095573</v>
      </c>
      <c r="L171" s="307">
        <v>161.66963267595645</v>
      </c>
      <c r="M171" s="307">
        <v>176.0727220581216</v>
      </c>
      <c r="N171" s="307">
        <v>166.84282572311326</v>
      </c>
      <c r="O171" s="307">
        <v>171.63583690139319</v>
      </c>
      <c r="P171" s="307">
        <v>157.45977362728499</v>
      </c>
      <c r="Q171" s="307">
        <v>141.99283855901174</v>
      </c>
      <c r="R171" s="307">
        <v>157.98395594970731</v>
      </c>
      <c r="S171" s="307">
        <f t="shared" si="60"/>
        <v>1955.5360738792763</v>
      </c>
      <c r="T171" s="1573"/>
      <c r="U171" s="1626">
        <f t="shared" si="61"/>
        <v>1955.5360738792763</v>
      </c>
      <c r="V171" s="445"/>
    </row>
    <row r="172" spans="3:22">
      <c r="C172" s="1625" t="str">
        <f>'[1]Form 4.1'!C176</f>
        <v>SEIL P2 (500MW Firm)</v>
      </c>
      <c r="D172" s="1573"/>
      <c r="E172" s="1573">
        <v>37.995475818680816</v>
      </c>
      <c r="F172" s="1573"/>
      <c r="G172" s="307">
        <v>139.39598857706525</v>
      </c>
      <c r="H172" s="307">
        <v>150.27073757794631</v>
      </c>
      <c r="I172" s="307">
        <v>74.052447034470703</v>
      </c>
      <c r="J172" s="307">
        <v>153.86629504158691</v>
      </c>
      <c r="K172" s="307">
        <v>138.92074107640508</v>
      </c>
      <c r="L172" s="307">
        <v>143.70634015640573</v>
      </c>
      <c r="M172" s="307">
        <v>156.50908627388588</v>
      </c>
      <c r="N172" s="307">
        <v>148.30473397610069</v>
      </c>
      <c r="O172" s="307">
        <v>152.56518835679395</v>
      </c>
      <c r="P172" s="307">
        <v>139.96424322425332</v>
      </c>
      <c r="Q172" s="307">
        <v>126.21585649689933</v>
      </c>
      <c r="R172" s="307">
        <v>140.4301830664065</v>
      </c>
      <c r="S172" s="307">
        <f t="shared" si="60"/>
        <v>1664.2018408582196</v>
      </c>
      <c r="T172" s="1573"/>
      <c r="U172" s="1626">
        <f t="shared" si="61"/>
        <v>1664.2018408582196</v>
      </c>
      <c r="V172" s="445"/>
    </row>
    <row r="173" spans="3:22">
      <c r="C173" s="1625" t="str">
        <f>'[1]Form 4.1'!C177</f>
        <v>SEIL P2 (125MW Open Cap)</v>
      </c>
      <c r="D173" s="1573"/>
      <c r="E173" s="1573">
        <v>37.995475818680816</v>
      </c>
      <c r="F173" s="1573"/>
      <c r="G173" s="307">
        <v>34.848997144266313</v>
      </c>
      <c r="H173" s="307">
        <v>37.567684394486577</v>
      </c>
      <c r="I173" s="307">
        <v>18.513111758617676</v>
      </c>
      <c r="J173" s="307">
        <v>38.466573760396727</v>
      </c>
      <c r="K173" s="307">
        <v>34.73018526910127</v>
      </c>
      <c r="L173" s="307">
        <v>35.926585039101433</v>
      </c>
      <c r="M173" s="307">
        <v>39.127271568471471</v>
      </c>
      <c r="N173" s="307">
        <v>37.076183494025173</v>
      </c>
      <c r="O173" s="307">
        <v>38.141297089198488</v>
      </c>
      <c r="P173" s="307">
        <v>34.991060806063331</v>
      </c>
      <c r="Q173" s="307">
        <v>31.553964124224834</v>
      </c>
      <c r="R173" s="307">
        <v>35.107545766601625</v>
      </c>
      <c r="S173" s="307">
        <f t="shared" si="60"/>
        <v>416.0504602145549</v>
      </c>
      <c r="T173" s="1573"/>
      <c r="U173" s="1626">
        <f t="shared" si="61"/>
        <v>416.0504602145549</v>
      </c>
      <c r="V173" s="445"/>
    </row>
    <row r="174" spans="3:22">
      <c r="C174" s="1625" t="str">
        <f>'[1]Form 4.1'!C178</f>
        <v>HNPCL</v>
      </c>
      <c r="D174" s="1573"/>
      <c r="E174" s="1573">
        <v>23.811702573872466</v>
      </c>
      <c r="F174" s="1573"/>
      <c r="G174" s="307">
        <v>163.96313760388725</v>
      </c>
      <c r="H174" s="307">
        <v>176.75445236868356</v>
      </c>
      <c r="I174" s="307">
        <v>174.20690059965165</v>
      </c>
      <c r="J174" s="307">
        <v>180.98369087971619</v>
      </c>
      <c r="K174" s="307">
        <v>163.40413248371073</v>
      </c>
      <c r="L174" s="307">
        <v>169.0331455455707</v>
      </c>
      <c r="M174" s="307">
        <v>184.09224763879553</v>
      </c>
      <c r="N174" s="307">
        <v>174.44196029204869</v>
      </c>
      <c r="O174" s="307">
        <v>179.45327715279532</v>
      </c>
      <c r="P174" s="307">
        <v>164.63154145009574</v>
      </c>
      <c r="Q174" s="307">
        <v>148.46013904591288</v>
      </c>
      <c r="R174" s="307">
        <v>165.17959853002998</v>
      </c>
      <c r="S174" s="307">
        <f t="shared" si="60"/>
        <v>2044.6042235908983</v>
      </c>
      <c r="T174" s="1573"/>
      <c r="U174" s="1626">
        <f t="shared" si="61"/>
        <v>2044.6042235908983</v>
      </c>
      <c r="V174" s="445"/>
    </row>
    <row r="175" spans="3:22" ht="14.25">
      <c r="C175" s="1627" t="str">
        <f>'[1]Form 4.1'!C179</f>
        <v>IPP TOTAL</v>
      </c>
      <c r="D175" s="1577"/>
      <c r="E175" s="1577"/>
      <c r="F175" s="1577"/>
      <c r="G175" s="1577">
        <f>SUM(G170:G174)</f>
        <v>559.30410080730201</v>
      </c>
      <c r="H175" s="1577">
        <f t="shared" ref="H175:U175" si="74">SUM(H170:H174)</f>
        <v>602.93729121349713</v>
      </c>
      <c r="I175" s="1577">
        <f t="shared" si="74"/>
        <v>501.68163187548799</v>
      </c>
      <c r="J175" s="1577">
        <f t="shared" si="74"/>
        <v>617.36389024716084</v>
      </c>
      <c r="K175" s="1577">
        <f t="shared" si="74"/>
        <v>557.39724625050326</v>
      </c>
      <c r="L175" s="1577">
        <f t="shared" si="74"/>
        <v>576.59869686315301</v>
      </c>
      <c r="M175" s="1577">
        <f t="shared" si="74"/>
        <v>627.96766722016332</v>
      </c>
      <c r="N175" s="1577">
        <f t="shared" si="74"/>
        <v>595.04901632166775</v>
      </c>
      <c r="O175" s="1577">
        <f t="shared" si="74"/>
        <v>612.14340785149864</v>
      </c>
      <c r="P175" s="1577">
        <f t="shared" si="74"/>
        <v>561.58413165840057</v>
      </c>
      <c r="Q175" s="1577">
        <f t="shared" si="74"/>
        <v>506.42092965676909</v>
      </c>
      <c r="R175" s="1577">
        <f t="shared" si="74"/>
        <v>563.45364072466543</v>
      </c>
      <c r="S175" s="1577">
        <f t="shared" si="74"/>
        <v>6881.9016506902681</v>
      </c>
      <c r="T175" s="1577">
        <f t="shared" si="74"/>
        <v>0</v>
      </c>
      <c r="U175" s="1620">
        <f t="shared" si="74"/>
        <v>6881.9016506902681</v>
      </c>
      <c r="V175" s="1618">
        <f t="shared" ref="V175" si="75">SUM(V170:V173)</f>
        <v>0</v>
      </c>
    </row>
    <row r="176" spans="3:22">
      <c r="C176" s="1625" t="str">
        <f>'[1]Form 4.1'!C180</f>
        <v>NCE- Others</v>
      </c>
      <c r="D176" s="1573"/>
      <c r="E176" s="1573">
        <v>6.8837379367827509</v>
      </c>
      <c r="F176" s="1573"/>
      <c r="G176" s="307">
        <v>8.1322612987053464</v>
      </c>
      <c r="H176" s="307">
        <v>7.2660102736331691</v>
      </c>
      <c r="I176" s="307">
        <v>7.7078353441044216</v>
      </c>
      <c r="J176" s="307">
        <v>9.0222509108292961</v>
      </c>
      <c r="K176" s="307">
        <v>1.6580862644603189</v>
      </c>
      <c r="L176" s="307">
        <v>1.7524189813517255</v>
      </c>
      <c r="M176" s="307">
        <v>11.762327101676194</v>
      </c>
      <c r="N176" s="307">
        <v>9.0383578598064673</v>
      </c>
      <c r="O176" s="307">
        <v>10.005651578771587</v>
      </c>
      <c r="P176" s="307">
        <v>9.4537945090704341</v>
      </c>
      <c r="Q176" s="307">
        <v>7.9105036774571547</v>
      </c>
      <c r="R176" s="307">
        <v>8.3468397685366025</v>
      </c>
      <c r="S176" s="307">
        <f t="shared" ref="S176:S181" si="76">SUM(G176:R176)</f>
        <v>92.056337568402711</v>
      </c>
      <c r="T176" s="1573"/>
      <c r="U176" s="1626">
        <f t="shared" si="61"/>
        <v>92.056337568402711</v>
      </c>
      <c r="V176" s="445"/>
    </row>
    <row r="177" spans="3:22">
      <c r="C177" s="1625" t="str">
        <f>'[1]Form 4.1'!C181</f>
        <v>NCE Solar</v>
      </c>
      <c r="D177" s="1573"/>
      <c r="E177" s="1573">
        <v>8.6039395136866048</v>
      </c>
      <c r="F177" s="1573"/>
      <c r="G177" s="307">
        <v>173.73788305625882</v>
      </c>
      <c r="H177" s="307">
        <v>178.82143040360418</v>
      </c>
      <c r="I177" s="307">
        <v>165.3306128330477</v>
      </c>
      <c r="J177" s="307">
        <v>128.09096487243201</v>
      </c>
      <c r="K177" s="307">
        <v>136.06667793627523</v>
      </c>
      <c r="L177" s="307">
        <v>147.719030736642</v>
      </c>
      <c r="M177" s="307">
        <v>152.02499871636491</v>
      </c>
      <c r="N177" s="307">
        <v>132.09862335426936</v>
      </c>
      <c r="O177" s="307">
        <v>147.72027573978701</v>
      </c>
      <c r="P177" s="307">
        <v>170.31221789137126</v>
      </c>
      <c r="Q177" s="307">
        <v>160.32687574012593</v>
      </c>
      <c r="R177" s="307">
        <v>166.70826714281995</v>
      </c>
      <c r="S177" s="307">
        <f t="shared" si="76"/>
        <v>1858.9578584229985</v>
      </c>
      <c r="T177" s="1573"/>
      <c r="U177" s="1626">
        <f t="shared" si="61"/>
        <v>1858.9578584229985</v>
      </c>
      <c r="V177" s="445"/>
    </row>
    <row r="178" spans="3:22">
      <c r="C178" s="1625" t="str">
        <f>'[1]Form 4.1'!C182</f>
        <v>NCE WIND</v>
      </c>
      <c r="D178" s="1573"/>
      <c r="E178" s="1573">
        <v>8.5110315003639503</v>
      </c>
      <c r="F178" s="1573"/>
      <c r="G178" s="307">
        <v>133.24321657532485</v>
      </c>
      <c r="H178" s="307">
        <v>203.84393792080263</v>
      </c>
      <c r="I178" s="307">
        <v>472.34707346301286</v>
      </c>
      <c r="J178" s="307">
        <v>678.79369353760319</v>
      </c>
      <c r="K178" s="307">
        <v>366.12798434695219</v>
      </c>
      <c r="L178" s="307">
        <v>333.73470543996746</v>
      </c>
      <c r="M178" s="307">
        <v>75.569852076525734</v>
      </c>
      <c r="N178" s="307">
        <v>100.49338561347764</v>
      </c>
      <c r="O178" s="307">
        <v>100.92530225614075</v>
      </c>
      <c r="P178" s="307">
        <v>88.977630523163555</v>
      </c>
      <c r="Q178" s="307">
        <v>96.655579672984658</v>
      </c>
      <c r="R178" s="307">
        <v>98.936372158826686</v>
      </c>
      <c r="S178" s="307">
        <f t="shared" si="76"/>
        <v>2749.6487335847814</v>
      </c>
      <c r="T178" s="1573"/>
      <c r="U178" s="1626">
        <f t="shared" si="61"/>
        <v>2749.6487335847814</v>
      </c>
    </row>
    <row r="179" spans="3:22">
      <c r="C179" s="1625" t="str">
        <f>'[1]Form 4.1'!C183</f>
        <v>JNNSM PH 1 SOLAR</v>
      </c>
      <c r="D179" s="1573"/>
      <c r="E179" s="1573">
        <v>5.1133696576252836</v>
      </c>
      <c r="F179" s="1573"/>
      <c r="G179" s="307">
        <v>1.2704209653163872</v>
      </c>
      <c r="H179" s="307">
        <v>2.8576234811510157</v>
      </c>
      <c r="I179" s="307">
        <v>1.1966102004101473</v>
      </c>
      <c r="J179" s="307">
        <v>0.98978092771433301</v>
      </c>
      <c r="K179" s="307">
        <v>0.89364015650213158</v>
      </c>
      <c r="L179" s="307">
        <v>1.0833158746350482</v>
      </c>
      <c r="M179" s="307">
        <v>2.2809608990155117</v>
      </c>
      <c r="N179" s="307">
        <v>1.1518890481562898</v>
      </c>
      <c r="O179" s="307">
        <v>0.20415108760919787</v>
      </c>
      <c r="P179" s="307">
        <v>0.82029656722043964</v>
      </c>
      <c r="Q179" s="307">
        <v>1.7560348255200493</v>
      </c>
      <c r="R179" s="307">
        <v>3.0541783014620636</v>
      </c>
      <c r="S179" s="307">
        <f t="shared" si="76"/>
        <v>17.558902334712613</v>
      </c>
      <c r="T179" s="1573"/>
      <c r="U179" s="1626">
        <f t="shared" si="61"/>
        <v>17.558902334712613</v>
      </c>
    </row>
    <row r="180" spans="3:22">
      <c r="C180" s="1625" t="str">
        <f>'[1]Form 4.1'!C184</f>
        <v>JNNSM PH 2 SOLAR</v>
      </c>
      <c r="D180" s="1573"/>
      <c r="E180" s="1573">
        <v>9.9242842610239688</v>
      </c>
      <c r="F180" s="1573"/>
      <c r="G180" s="307">
        <v>67.482372879527119</v>
      </c>
      <c r="H180" s="307">
        <v>113.13217268415413</v>
      </c>
      <c r="I180" s="307">
        <v>120.10953020574819</v>
      </c>
      <c r="J180" s="307">
        <v>83.124900953277432</v>
      </c>
      <c r="K180" s="307">
        <v>52.828906013662262</v>
      </c>
      <c r="L180" s="307">
        <v>90.779295076801503</v>
      </c>
      <c r="M180" s="307">
        <v>84.274926830391777</v>
      </c>
      <c r="N180" s="307">
        <v>92.02176916786847</v>
      </c>
      <c r="O180" s="307">
        <v>86.593171483266573</v>
      </c>
      <c r="P180" s="307">
        <v>88.735034339090163</v>
      </c>
      <c r="Q180" s="307">
        <v>105.12128057063735</v>
      </c>
      <c r="R180" s="307">
        <v>102.50576637769943</v>
      </c>
      <c r="S180" s="307">
        <f t="shared" si="76"/>
        <v>1086.7091265821246</v>
      </c>
      <c r="T180" s="1573"/>
      <c r="U180" s="1626">
        <f t="shared" si="61"/>
        <v>1086.7091265821246</v>
      </c>
    </row>
    <row r="181" spans="3:22">
      <c r="C181" s="1625" t="str">
        <f>'[1]Form 4.1'!C185</f>
        <v>SECI 3000 MW APRAPL</v>
      </c>
      <c r="D181" s="1573"/>
      <c r="E181" s="1573">
        <v>4.9571746607017309</v>
      </c>
      <c r="F181" s="1573"/>
      <c r="G181" s="307">
        <v>0</v>
      </c>
      <c r="H181" s="307">
        <v>0</v>
      </c>
      <c r="I181" s="307">
        <v>0</v>
      </c>
      <c r="J181" s="307">
        <v>0</v>
      </c>
      <c r="K181" s="307">
        <v>0</v>
      </c>
      <c r="L181" s="307">
        <v>0</v>
      </c>
      <c r="M181" s="307">
        <v>234.76362941082883</v>
      </c>
      <c r="N181" s="307">
        <v>222.45710096415104</v>
      </c>
      <c r="O181" s="307">
        <v>228.8477825351909</v>
      </c>
      <c r="P181" s="307">
        <v>209.94636483637998</v>
      </c>
      <c r="Q181" s="307">
        <v>196.0853484862543</v>
      </c>
      <c r="R181" s="307">
        <v>210.64527459960973</v>
      </c>
      <c r="S181" s="307">
        <f t="shared" si="76"/>
        <v>1302.7455008324148</v>
      </c>
      <c r="T181" s="1573"/>
      <c r="U181" s="1626">
        <f t="shared" si="61"/>
        <v>1302.7455008324148</v>
      </c>
    </row>
    <row r="182" spans="3:22" ht="14.25">
      <c r="C182" s="1627" t="str">
        <f>'[1]Form 4.1'!C186</f>
        <v>NCE TOTAL</v>
      </c>
      <c r="D182" s="1577"/>
      <c r="E182" s="1577"/>
      <c r="F182" s="1577"/>
      <c r="G182" s="1577">
        <f>SUM(G176:G181)</f>
        <v>383.86615477513249</v>
      </c>
      <c r="H182" s="1577">
        <f t="shared" ref="H182:R182" si="77">SUM(H176:H181)</f>
        <v>505.92117476334505</v>
      </c>
      <c r="I182" s="1577">
        <f t="shared" si="77"/>
        <v>766.69166204632336</v>
      </c>
      <c r="J182" s="1577">
        <f t="shared" si="77"/>
        <v>900.02159120185638</v>
      </c>
      <c r="K182" s="1577">
        <f t="shared" si="77"/>
        <v>557.5752947178521</v>
      </c>
      <c r="L182" s="1577">
        <f t="shared" si="77"/>
        <v>575.06876610939776</v>
      </c>
      <c r="M182" s="1577">
        <f t="shared" si="77"/>
        <v>560.67669503480295</v>
      </c>
      <c r="N182" s="1577">
        <f t="shared" si="77"/>
        <v>557.26112600772922</v>
      </c>
      <c r="O182" s="1577">
        <f t="shared" si="77"/>
        <v>574.29633468076599</v>
      </c>
      <c r="P182" s="1577">
        <f t="shared" si="77"/>
        <v>568.24533866629588</v>
      </c>
      <c r="Q182" s="1577">
        <f t="shared" si="77"/>
        <v>567.8556229729794</v>
      </c>
      <c r="R182" s="1577">
        <f t="shared" si="77"/>
        <v>590.19669834895444</v>
      </c>
      <c r="S182" s="1577">
        <f t="shared" ref="S182" si="78">SUM(S176:S181)</f>
        <v>7107.6764593254356</v>
      </c>
      <c r="T182" s="1577">
        <f t="shared" ref="T182" si="79">SUM(T176:T181)</f>
        <v>0</v>
      </c>
      <c r="U182" s="1620">
        <f t="shared" ref="U182" si="80">SUM(U176:U181)</f>
        <v>7107.6764593254356</v>
      </c>
      <c r="V182" s="1618">
        <f t="shared" ref="V182" si="81">SUM(V176:V181)</f>
        <v>0</v>
      </c>
    </row>
    <row r="183" spans="3:22" ht="15" thickBot="1">
      <c r="C183" s="1630" t="str">
        <f>'[1]Form 4.1'!C187</f>
        <v>GRAND TOTAL</v>
      </c>
      <c r="D183" s="1613"/>
      <c r="E183" s="1613"/>
      <c r="F183" s="1613"/>
      <c r="G183" s="1613">
        <f t="shared" ref="G183:R183" si="82">G182+G175+G169+G150+G146</f>
        <v>2645.7070442705017</v>
      </c>
      <c r="H183" s="1613">
        <f t="shared" si="82"/>
        <v>2896.6222680961819</v>
      </c>
      <c r="I183" s="1613">
        <f t="shared" si="82"/>
        <v>2984.4545521991154</v>
      </c>
      <c r="J183" s="1613">
        <f t="shared" si="82"/>
        <v>3332.813504884235</v>
      </c>
      <c r="K183" s="1613">
        <f t="shared" si="82"/>
        <v>2881.0349757289537</v>
      </c>
      <c r="L183" s="1613">
        <f t="shared" si="82"/>
        <v>2997.9252078051477</v>
      </c>
      <c r="M183" s="1613">
        <f t="shared" si="82"/>
        <v>3079.9863787528534</v>
      </c>
      <c r="N183" s="1613">
        <f t="shared" si="82"/>
        <v>2907.4750100410283</v>
      </c>
      <c r="O183" s="1613">
        <f t="shared" si="82"/>
        <v>2872.8665289639625</v>
      </c>
      <c r="P183" s="1613">
        <f t="shared" si="82"/>
        <v>2819.6861553650397</v>
      </c>
      <c r="Q183" s="1613">
        <f t="shared" si="82"/>
        <v>2637.1125141285929</v>
      </c>
      <c r="R183" s="1613">
        <f t="shared" si="82"/>
        <v>2887.1028302447398</v>
      </c>
      <c r="S183" s="1613">
        <f t="shared" ref="S183:U183" si="83">S182+S175+S169+S150+S146</f>
        <v>34942.78697048036</v>
      </c>
      <c r="T183" s="1613">
        <f t="shared" si="83"/>
        <v>0</v>
      </c>
      <c r="U183" s="1614">
        <f t="shared" si="83"/>
        <v>34942.78697048036</v>
      </c>
    </row>
  </sheetData>
  <mergeCells count="30">
    <mergeCell ref="D123:G123"/>
    <mergeCell ref="G124:S124"/>
    <mergeCell ref="F124:F125"/>
    <mergeCell ref="H123:I123"/>
    <mergeCell ref="V124:V125"/>
    <mergeCell ref="C124:C125"/>
    <mergeCell ref="E124:E125"/>
    <mergeCell ref="D124:D125"/>
    <mergeCell ref="U124:U125"/>
    <mergeCell ref="T124:T125"/>
    <mergeCell ref="D2:G2"/>
    <mergeCell ref="C5:C6"/>
    <mergeCell ref="D5:D6"/>
    <mergeCell ref="E5:E6"/>
    <mergeCell ref="F5:F6"/>
    <mergeCell ref="G5:S5"/>
    <mergeCell ref="T5:T6"/>
    <mergeCell ref="U5:U6"/>
    <mergeCell ref="V5:V6"/>
    <mergeCell ref="D61:G61"/>
    <mergeCell ref="H61:I61"/>
    <mergeCell ref="D60:G60"/>
    <mergeCell ref="T62:T63"/>
    <mergeCell ref="U62:U63"/>
    <mergeCell ref="V62:V63"/>
    <mergeCell ref="C62:C63"/>
    <mergeCell ref="D62:D63"/>
    <mergeCell ref="E62:E63"/>
    <mergeCell ref="F62:F63"/>
    <mergeCell ref="G62:S62"/>
  </mergeCells>
  <phoneticPr fontId="11" type="noConversion"/>
  <dataValidations count="1">
    <dataValidation type="decimal" allowBlank="1" showInputMessage="1" showErrorMessage="1" sqref="J123:U123 U166:V166 G137:U137 V154:V156 E121:U122 U141:V141 U140 U104:V104 S53:U57 G161:U161 U147:U149 T156:T157 U162:U165 U99:U103 T151:T152 E126:F126 S126:U126 U142:U144 T164:T165 U167:U168 U127:U133 E123:G123 U170:U174 U114:U118 F178:F65160 E182:E65160 V92:V94 U112:V112 U77:U78 U80:U83 T108 S64:U64 E64:F64 T73 G77:S83 T88:T89 G76:U76 U79:V79 T93:T94 S65:S73 T101:T102 U105 J61:U61 E60:G61 G176:S65160 U65:U75 T98:U98 T111:U111 G113:U113 U107:U110 T66 G75:S75 U85:U97 T106:U106 G85:S112 T85 G65 E114:E118 G74:T74 G139:U139 U135:U136 U138 U151:U160 G138:S138 V182 T178:T65160 U176:U65160 U47:V47 V35:V37 G6:R6 E7:U7 E1:U4 U22:V22 S27:U29 U31:U46 S49:U51 S8:U13 U23:U24 S15:T24 U15:U21 S31:T47 E66:E72 E74:E83 E86:E88 E90:E107 E109:E112 G66:R73 G114:S118 G127:S133 G135:S136 G140:S144 G147:S149 G151:S160 G162:S168 G170:S174 H60:U60">
      <formula1>-999999999999999000000</formula1>
      <formula2>9.99999999999999E+30</formula2>
    </dataValidation>
  </dataValidations>
  <hyperlinks>
    <hyperlink ref="A1" location="Index!A1" display="Index sheet"/>
  </hyperlinks>
  <printOptions horizontalCentered="1"/>
  <pageMargins left="0.511811023622047" right="0.511811023622047" top="0.511811023622047" bottom="0.511811023622047" header="0.23622047244094499" footer="0.23622047244094499"/>
  <pageSetup paperSize="9" scale="63" fitToHeight="18" pageOrder="overThenDown" orientation="landscape" blackAndWhite="1" r:id="rId1"/>
  <headerFooter alignWithMargins="0"/>
  <rowBreaks count="1" manualBreakCount="1">
    <brk id="122" min="2" max="20" man="1"/>
  </rowBreaks>
</worksheet>
</file>

<file path=xl/worksheets/sheet28.xml><?xml version="1.0" encoding="utf-8"?>
<worksheet xmlns="http://schemas.openxmlformats.org/spreadsheetml/2006/main" xmlns:r="http://schemas.openxmlformats.org/officeDocument/2006/relationships">
  <sheetPr codeName="Sheet25"/>
  <dimension ref="A1:S283"/>
  <sheetViews>
    <sheetView view="pageBreakPreview" topLeftCell="A261" zoomScale="98" zoomScaleSheetLayoutView="98" workbookViewId="0">
      <selection activeCell="T292" sqref="T292"/>
    </sheetView>
  </sheetViews>
  <sheetFormatPr defaultRowHeight="12.75"/>
  <cols>
    <col min="1" max="1" width="12.140625" style="121" customWidth="1"/>
    <col min="2" max="2" width="8.28515625" style="121" customWidth="1"/>
    <col min="3" max="3" width="33.42578125" style="121" customWidth="1"/>
    <col min="4" max="4" width="8" style="121" customWidth="1"/>
    <col min="5" max="5" width="10" style="382" customWidth="1"/>
    <col min="6" max="10" width="9.85546875" style="423" customWidth="1"/>
    <col min="11" max="17" width="10.140625" style="423" customWidth="1"/>
    <col min="18" max="18" width="9.5703125" style="423" bestFit="1" customWidth="1"/>
    <col min="19" max="19" width="7.28515625" style="424" hidden="1" customWidth="1"/>
    <col min="20" max="20" width="9.140625" style="121"/>
    <col min="21" max="28" width="15.140625" style="121" customWidth="1"/>
    <col min="29" max="16384" width="9.140625" style="121"/>
  </cols>
  <sheetData>
    <row r="1" spans="1:19">
      <c r="A1" s="371" t="s">
        <v>396</v>
      </c>
    </row>
    <row r="2" spans="1:19" ht="15" hidden="1" customHeight="1">
      <c r="C2" s="386" t="s">
        <v>395</v>
      </c>
      <c r="D2" s="386" t="s">
        <v>386</v>
      </c>
      <c r="E2" s="429"/>
      <c r="F2" s="426"/>
      <c r="G2" s="426"/>
      <c r="H2" s="426"/>
      <c r="I2" s="426"/>
      <c r="J2" s="426"/>
      <c r="K2" s="426"/>
      <c r="L2" s="426"/>
      <c r="M2" s="426"/>
      <c r="N2" s="426"/>
      <c r="O2" s="426"/>
      <c r="P2" s="426"/>
      <c r="Q2" s="426"/>
      <c r="R2" s="427"/>
      <c r="S2" s="428"/>
    </row>
    <row r="3" spans="1:19" ht="15" hidden="1" customHeight="1">
      <c r="C3" s="386"/>
      <c r="D3" s="386"/>
      <c r="E3" s="429"/>
      <c r="F3" s="426"/>
      <c r="G3" s="426"/>
      <c r="H3" s="426"/>
      <c r="I3" s="426"/>
      <c r="J3" s="426"/>
      <c r="K3" s="426"/>
      <c r="L3" s="426"/>
      <c r="M3" s="426"/>
      <c r="N3" s="426"/>
      <c r="O3" s="426"/>
      <c r="P3" s="426"/>
      <c r="Q3" s="426"/>
      <c r="R3" s="427"/>
      <c r="S3" s="428"/>
    </row>
    <row r="4" spans="1:19" ht="16.5" hidden="1" customHeight="1" thickBot="1">
      <c r="C4" s="386" t="s">
        <v>645</v>
      </c>
      <c r="D4" s="304"/>
      <c r="E4" s="430"/>
    </row>
    <row r="5" spans="1:19" hidden="1">
      <c r="C5" s="1884" t="s">
        <v>92</v>
      </c>
      <c r="D5" s="1886" t="s">
        <v>93</v>
      </c>
      <c r="E5" s="1834" t="s">
        <v>145</v>
      </c>
      <c r="F5" s="1834" t="s">
        <v>346</v>
      </c>
      <c r="G5" s="1834"/>
      <c r="H5" s="1834"/>
      <c r="I5" s="1834"/>
      <c r="J5" s="1834"/>
      <c r="K5" s="1834"/>
      <c r="L5" s="1834"/>
      <c r="M5" s="1834"/>
      <c r="N5" s="1834"/>
      <c r="O5" s="1834"/>
      <c r="P5" s="1834"/>
      <c r="Q5" s="1834"/>
      <c r="R5" s="1877"/>
      <c r="S5" s="1879" t="s">
        <v>365</v>
      </c>
    </row>
    <row r="6" spans="1:19" ht="35.25" hidden="1" customHeight="1">
      <c r="C6" s="1885"/>
      <c r="D6" s="1887"/>
      <c r="E6" s="1840"/>
      <c r="F6" s="431" t="s">
        <v>146</v>
      </c>
      <c r="G6" s="431" t="s">
        <v>147</v>
      </c>
      <c r="H6" s="431" t="s">
        <v>148</v>
      </c>
      <c r="I6" s="431" t="s">
        <v>149</v>
      </c>
      <c r="J6" s="431" t="s">
        <v>150</v>
      </c>
      <c r="K6" s="431" t="s">
        <v>151</v>
      </c>
      <c r="L6" s="431" t="s">
        <v>152</v>
      </c>
      <c r="M6" s="431" t="s">
        <v>153</v>
      </c>
      <c r="N6" s="431" t="s">
        <v>154</v>
      </c>
      <c r="O6" s="431" t="s">
        <v>155</v>
      </c>
      <c r="P6" s="431" t="s">
        <v>156</v>
      </c>
      <c r="Q6" s="431" t="s">
        <v>157</v>
      </c>
      <c r="R6" s="432" t="s">
        <v>98</v>
      </c>
      <c r="S6" s="1879"/>
    </row>
    <row r="7" spans="1:19" hidden="1">
      <c r="A7" s="304"/>
      <c r="B7" s="304"/>
      <c r="C7" s="1283" t="s">
        <v>99</v>
      </c>
      <c r="D7" s="123"/>
      <c r="E7" s="391"/>
      <c r="F7" s="1043"/>
      <c r="G7" s="1043"/>
      <c r="H7" s="1043"/>
      <c r="I7" s="1043"/>
      <c r="J7" s="1043"/>
      <c r="K7" s="1043"/>
      <c r="L7" s="1043"/>
      <c r="M7" s="1043"/>
      <c r="N7" s="1043"/>
      <c r="O7" s="1043"/>
      <c r="P7" s="1043"/>
      <c r="Q7" s="1043"/>
      <c r="R7" s="1288"/>
    </row>
    <row r="8" spans="1:19" hidden="1">
      <c r="A8" s="304"/>
      <c r="B8" s="304"/>
      <c r="C8" s="1283" t="s">
        <v>100</v>
      </c>
      <c r="D8" s="123"/>
      <c r="E8" s="391"/>
      <c r="F8" s="1043"/>
      <c r="G8" s="1043"/>
      <c r="H8" s="1043"/>
      <c r="I8" s="1043"/>
      <c r="J8" s="1043"/>
      <c r="K8" s="1043"/>
      <c r="L8" s="1043"/>
      <c r="M8" s="1043"/>
      <c r="N8" s="1043"/>
      <c r="O8" s="1043"/>
      <c r="P8" s="1043"/>
      <c r="Q8" s="1043"/>
      <c r="R8" s="1288"/>
    </row>
    <row r="9" spans="1:19" ht="15.75" hidden="1" customHeight="1">
      <c r="A9" s="304"/>
      <c r="B9" s="304"/>
      <c r="C9" s="1297" t="s">
        <v>101</v>
      </c>
      <c r="D9" s="123"/>
      <c r="E9" s="809">
        <v>1.3094028392590356</v>
      </c>
      <c r="F9" s="809">
        <v>83.832035133333335</v>
      </c>
      <c r="G9" s="809">
        <v>78.634187446666672</v>
      </c>
      <c r="H9" s="809">
        <v>68.861222533333333</v>
      </c>
      <c r="I9" s="809">
        <v>65.276251446666677</v>
      </c>
      <c r="J9" s="809">
        <v>57.237862333333332</v>
      </c>
      <c r="K9" s="809">
        <v>57.354406219999994</v>
      </c>
      <c r="L9" s="809">
        <v>49.702025719999995</v>
      </c>
      <c r="M9" s="809">
        <v>55.192881133333337</v>
      </c>
      <c r="N9" s="809">
        <v>69.72784639999999</v>
      </c>
      <c r="O9" s="809">
        <v>80.963531866666656</v>
      </c>
      <c r="P9" s="809">
        <v>79.13529114666666</v>
      </c>
      <c r="Q9" s="809">
        <v>86.575458666666677</v>
      </c>
      <c r="R9" s="1289">
        <f>SUM(F9:Q9)</f>
        <v>832.49300004666668</v>
      </c>
    </row>
    <row r="10" spans="1:19" ht="15.75" hidden="1" customHeight="1">
      <c r="A10" s="304"/>
      <c r="B10" s="304"/>
      <c r="C10" s="1297" t="s">
        <v>102</v>
      </c>
      <c r="D10" s="123"/>
      <c r="E10" s="809">
        <v>1.3094028392590356</v>
      </c>
      <c r="F10" s="809">
        <v>83.832035133333335</v>
      </c>
      <c r="G10" s="809">
        <v>78.634187446666672</v>
      </c>
      <c r="H10" s="809">
        <v>68.861222533333333</v>
      </c>
      <c r="I10" s="809">
        <v>65.276251446666677</v>
      </c>
      <c r="J10" s="809">
        <v>57.237862333333332</v>
      </c>
      <c r="K10" s="809">
        <v>57.354406219999994</v>
      </c>
      <c r="L10" s="809">
        <v>49.702025719999995</v>
      </c>
      <c r="M10" s="809">
        <v>55.192881133333337</v>
      </c>
      <c r="N10" s="809">
        <v>69.72784639999999</v>
      </c>
      <c r="O10" s="809">
        <v>80.963531866666656</v>
      </c>
      <c r="P10" s="809">
        <v>79.13529114666666</v>
      </c>
      <c r="Q10" s="809">
        <v>86.575458666666677</v>
      </c>
      <c r="R10" s="1289">
        <f t="shared" ref="R10:R23" si="0">SUM(F10:Q10)</f>
        <v>832.49300004666668</v>
      </c>
    </row>
    <row r="11" spans="1:19" ht="15.75" hidden="1" customHeight="1">
      <c r="A11" s="304"/>
      <c r="B11" s="304"/>
      <c r="C11" s="1297" t="s">
        <v>103</v>
      </c>
      <c r="D11" s="123"/>
      <c r="E11" s="809">
        <v>1.3094028392590356</v>
      </c>
      <c r="F11" s="809">
        <v>83.832035133333335</v>
      </c>
      <c r="G11" s="809">
        <v>78.634187446666672</v>
      </c>
      <c r="H11" s="809">
        <v>68.861222533333333</v>
      </c>
      <c r="I11" s="809">
        <v>65.276251446666677</v>
      </c>
      <c r="J11" s="809">
        <v>57.237862333333332</v>
      </c>
      <c r="K11" s="809">
        <v>57.354406219999994</v>
      </c>
      <c r="L11" s="809">
        <v>49.702025719999995</v>
      </c>
      <c r="M11" s="809">
        <v>55.192881133333337</v>
      </c>
      <c r="N11" s="809">
        <v>69.72784639999999</v>
      </c>
      <c r="O11" s="809">
        <v>80.963531866666656</v>
      </c>
      <c r="P11" s="809">
        <v>79.13529114666666</v>
      </c>
      <c r="Q11" s="809">
        <v>86.575458666666677</v>
      </c>
      <c r="R11" s="1289">
        <f t="shared" si="0"/>
        <v>832.49300004666668</v>
      </c>
    </row>
    <row r="12" spans="1:19" ht="15.75" hidden="1" customHeight="1">
      <c r="A12" s="304"/>
      <c r="B12" s="304"/>
      <c r="C12" s="1297" t="s">
        <v>398</v>
      </c>
      <c r="D12" s="123"/>
      <c r="E12" s="809">
        <v>3.59759062529365</v>
      </c>
      <c r="F12" s="809">
        <v>113.77009870000001</v>
      </c>
      <c r="G12" s="809">
        <v>106.69741929999999</v>
      </c>
      <c r="H12" s="809">
        <v>116.1481228</v>
      </c>
      <c r="I12" s="809">
        <v>60.496454999999997</v>
      </c>
      <c r="J12" s="809">
        <v>82.946697599999993</v>
      </c>
      <c r="K12" s="809">
        <v>90.933388700000009</v>
      </c>
      <c r="L12" s="809">
        <v>94.74373270000001</v>
      </c>
      <c r="M12" s="809">
        <v>98.455196099999995</v>
      </c>
      <c r="N12" s="809">
        <v>84.937529900000001</v>
      </c>
      <c r="O12" s="809">
        <v>103.9519433</v>
      </c>
      <c r="P12" s="809">
        <v>100.3759427</v>
      </c>
      <c r="Q12" s="809">
        <v>116.38373390000001</v>
      </c>
      <c r="R12" s="1289">
        <f t="shared" si="0"/>
        <v>1169.8402607</v>
      </c>
    </row>
    <row r="13" spans="1:19" ht="15.75" hidden="1" customHeight="1">
      <c r="A13" s="304"/>
      <c r="B13" s="304"/>
      <c r="C13" s="1297" t="s">
        <v>104</v>
      </c>
      <c r="D13" s="123"/>
      <c r="E13" s="809">
        <v>4.2875861616595721</v>
      </c>
      <c r="F13" s="809">
        <v>82.444724620000002</v>
      </c>
      <c r="G13" s="809">
        <v>58.596462459999998</v>
      </c>
      <c r="H13" s="809">
        <v>60.109480520000005</v>
      </c>
      <c r="I13" s="809">
        <v>36.809408060000003</v>
      </c>
      <c r="J13" s="809">
        <v>51.085738380000002</v>
      </c>
      <c r="K13" s="809">
        <v>69.29671974</v>
      </c>
      <c r="L13" s="809">
        <v>54.933678740000005</v>
      </c>
      <c r="M13" s="809">
        <v>46.883530200000003</v>
      </c>
      <c r="N13" s="809">
        <v>41.201879900000002</v>
      </c>
      <c r="O13" s="809">
        <v>44.609457499999998</v>
      </c>
      <c r="P13" s="809">
        <v>69.02709806</v>
      </c>
      <c r="Q13" s="809">
        <v>70.266944880000011</v>
      </c>
      <c r="R13" s="1289">
        <f t="shared" si="0"/>
        <v>685.26512305999995</v>
      </c>
    </row>
    <row r="14" spans="1:19" ht="15.75" hidden="1" customHeight="1">
      <c r="A14" s="304"/>
      <c r="B14" s="304"/>
      <c r="C14" s="1297" t="s">
        <v>105</v>
      </c>
      <c r="D14" s="123"/>
      <c r="E14" s="809">
        <v>4.3037101204373167</v>
      </c>
      <c r="F14" s="809">
        <v>70.546382180000009</v>
      </c>
      <c r="G14" s="809">
        <v>73.625480599999989</v>
      </c>
      <c r="H14" s="809">
        <v>86.909419139999997</v>
      </c>
      <c r="I14" s="809">
        <v>75.950551060000009</v>
      </c>
      <c r="J14" s="809">
        <v>69.616542340000009</v>
      </c>
      <c r="K14" s="809">
        <v>82.709058180000014</v>
      </c>
      <c r="L14" s="809">
        <v>63.976074179999998</v>
      </c>
      <c r="M14" s="809">
        <v>27.989729399999998</v>
      </c>
      <c r="N14" s="809">
        <v>93.789408140000006</v>
      </c>
      <c r="O14" s="809">
        <v>93.612038799999993</v>
      </c>
      <c r="P14" s="809">
        <v>81.260584159999993</v>
      </c>
      <c r="Q14" s="809">
        <v>78.792372260000008</v>
      </c>
      <c r="R14" s="1289">
        <f t="shared" si="0"/>
        <v>898.77764044000003</v>
      </c>
    </row>
    <row r="15" spans="1:19" ht="15.75" hidden="1" customHeight="1">
      <c r="A15" s="304"/>
      <c r="B15" s="304"/>
      <c r="C15" s="1297" t="s">
        <v>399</v>
      </c>
      <c r="D15" s="123"/>
      <c r="E15" s="809">
        <v>4.311298224772834</v>
      </c>
      <c r="F15" s="809">
        <v>27.722606899999999</v>
      </c>
      <c r="G15" s="809">
        <v>37.277732659999998</v>
      </c>
      <c r="H15" s="809">
        <v>39.782671640000004</v>
      </c>
      <c r="I15" s="809">
        <v>29.490287780000003</v>
      </c>
      <c r="J15" s="809">
        <v>40.782234979999998</v>
      </c>
      <c r="K15" s="809">
        <v>36.539786380000002</v>
      </c>
      <c r="L15" s="809">
        <v>38.163203000000003</v>
      </c>
      <c r="M15" s="809">
        <v>37.986268299999999</v>
      </c>
      <c r="N15" s="809">
        <v>42.338463500000003</v>
      </c>
      <c r="O15" s="809">
        <v>42.5746179</v>
      </c>
      <c r="P15" s="809">
        <v>37.905859899999996</v>
      </c>
      <c r="Q15" s="809">
        <v>30.31498096</v>
      </c>
      <c r="R15" s="1289">
        <f t="shared" si="0"/>
        <v>440.87871390000004</v>
      </c>
    </row>
    <row r="16" spans="1:19" ht="15.75" hidden="1" customHeight="1">
      <c r="A16" s="304"/>
      <c r="B16" s="304"/>
      <c r="C16" s="1297" t="s">
        <v>667</v>
      </c>
      <c r="D16" s="123"/>
      <c r="E16" s="809">
        <v>4.0421949905427663</v>
      </c>
      <c r="F16" s="809">
        <v>102.62429920000001</v>
      </c>
      <c r="G16" s="809">
        <v>100.67747420000001</v>
      </c>
      <c r="H16" s="809">
        <v>80.782190400000005</v>
      </c>
      <c r="I16" s="809">
        <v>100.17292959999999</v>
      </c>
      <c r="J16" s="809">
        <v>23.650211199999998</v>
      </c>
      <c r="K16" s="809">
        <v>26.490583600000001</v>
      </c>
      <c r="L16" s="809">
        <v>90.137454200000008</v>
      </c>
      <c r="M16" s="809">
        <v>86.3307322</v>
      </c>
      <c r="N16" s="809">
        <v>109.31739299999998</v>
      </c>
      <c r="O16" s="809">
        <v>94.752606599999993</v>
      </c>
      <c r="P16" s="809">
        <v>110.22434179999999</v>
      </c>
      <c r="Q16" s="809">
        <v>113.692769</v>
      </c>
      <c r="R16" s="1289">
        <f t="shared" si="0"/>
        <v>1038.852985</v>
      </c>
    </row>
    <row r="17" spans="1:18" ht="15.75" hidden="1" customHeight="1">
      <c r="A17" s="304"/>
      <c r="B17" s="304"/>
      <c r="C17" s="1297" t="s">
        <v>189</v>
      </c>
      <c r="D17" s="123"/>
      <c r="E17" s="809">
        <v>3.2332587086056321</v>
      </c>
      <c r="F17" s="809">
        <v>99.879909799999993</v>
      </c>
      <c r="G17" s="809">
        <v>77.980935599999995</v>
      </c>
      <c r="H17" s="809">
        <v>88.326454200000001</v>
      </c>
      <c r="I17" s="809">
        <v>89.240646999999996</v>
      </c>
      <c r="J17" s="809">
        <v>107.0188718</v>
      </c>
      <c r="K17" s="809">
        <v>103.67323040000001</v>
      </c>
      <c r="L17" s="809">
        <v>93.307428599999994</v>
      </c>
      <c r="M17" s="809">
        <v>98.365913800000001</v>
      </c>
      <c r="N17" s="809">
        <v>76.772274199999998</v>
      </c>
      <c r="O17" s="809">
        <v>37.805711600000002</v>
      </c>
      <c r="P17" s="809">
        <v>85.603796799999998</v>
      </c>
      <c r="Q17" s="809">
        <v>88.943280799999997</v>
      </c>
      <c r="R17" s="1289">
        <f t="shared" si="0"/>
        <v>1046.9184545999999</v>
      </c>
    </row>
    <row r="18" spans="1:18" ht="15.75" hidden="1" customHeight="1">
      <c r="A18" s="304"/>
      <c r="B18" s="304"/>
      <c r="C18" s="1297" t="s">
        <v>190</v>
      </c>
      <c r="D18" s="913"/>
      <c r="E18" s="809">
        <v>3.2340422341039043</v>
      </c>
      <c r="F18" s="809">
        <v>82.739519200000004</v>
      </c>
      <c r="G18" s="809">
        <v>90.770942000000005</v>
      </c>
      <c r="H18" s="809">
        <v>6.8850597999999996</v>
      </c>
      <c r="I18" s="809">
        <v>86.472714599999989</v>
      </c>
      <c r="J18" s="809">
        <v>99.233382800000001</v>
      </c>
      <c r="K18" s="809">
        <v>96.710659800000002</v>
      </c>
      <c r="L18" s="809">
        <v>34.329315999999999</v>
      </c>
      <c r="M18" s="809">
        <v>49.379088200000005</v>
      </c>
      <c r="N18" s="809">
        <v>97.014183400000007</v>
      </c>
      <c r="O18" s="809">
        <v>110.05881640000001</v>
      </c>
      <c r="P18" s="809">
        <v>80.654333800000003</v>
      </c>
      <c r="Q18" s="809">
        <v>92.123759000000007</v>
      </c>
      <c r="R18" s="1289">
        <f t="shared" si="0"/>
        <v>926.37177500000007</v>
      </c>
    </row>
    <row r="19" spans="1:18" ht="27" hidden="1" customHeight="1">
      <c r="A19" s="304"/>
      <c r="B19" s="304"/>
      <c r="C19" s="1297" t="s">
        <v>1010</v>
      </c>
      <c r="D19" s="913"/>
      <c r="E19" s="809">
        <v>3.1399999982927724</v>
      </c>
      <c r="F19" s="809">
        <v>0</v>
      </c>
      <c r="G19" s="809">
        <v>0</v>
      </c>
      <c r="H19" s="809">
        <v>0</v>
      </c>
      <c r="I19" s="809">
        <v>0</v>
      </c>
      <c r="J19" s="809">
        <v>0</v>
      </c>
      <c r="K19" s="809">
        <v>0</v>
      </c>
      <c r="L19" s="809">
        <v>0</v>
      </c>
      <c r="M19" s="809">
        <v>0</v>
      </c>
      <c r="N19" s="809">
        <v>0</v>
      </c>
      <c r="O19" s="809">
        <v>0</v>
      </c>
      <c r="P19" s="809">
        <v>0</v>
      </c>
      <c r="Q19" s="809">
        <v>42.431360556000001</v>
      </c>
      <c r="R19" s="1289">
        <f t="shared" si="0"/>
        <v>42.431360556000001</v>
      </c>
    </row>
    <row r="20" spans="1:18" ht="15.75" hidden="1" customHeight="1">
      <c r="A20" s="304"/>
      <c r="B20" s="304"/>
      <c r="C20" s="1297" t="s">
        <v>1011</v>
      </c>
      <c r="D20" s="913"/>
      <c r="E20" s="809"/>
      <c r="F20" s="809">
        <v>0</v>
      </c>
      <c r="G20" s="809">
        <v>0</v>
      </c>
      <c r="H20" s="809">
        <v>0</v>
      </c>
      <c r="I20" s="809">
        <v>0</v>
      </c>
      <c r="J20" s="809">
        <v>0</v>
      </c>
      <c r="K20" s="809">
        <v>0</v>
      </c>
      <c r="L20" s="809">
        <v>0</v>
      </c>
      <c r="M20" s="809">
        <v>0</v>
      </c>
      <c r="N20" s="809">
        <v>0</v>
      </c>
      <c r="O20" s="809">
        <v>0</v>
      </c>
      <c r="P20" s="809">
        <v>0</v>
      </c>
      <c r="Q20" s="809">
        <v>0</v>
      </c>
      <c r="R20" s="1289">
        <f t="shared" si="0"/>
        <v>0</v>
      </c>
    </row>
    <row r="21" spans="1:18" ht="15.75" hidden="1" customHeight="1">
      <c r="A21" s="304"/>
      <c r="B21" s="304"/>
      <c r="C21" s="1297" t="s">
        <v>1012</v>
      </c>
      <c r="D21" s="123"/>
      <c r="E21" s="809">
        <v>4.1129080665781741</v>
      </c>
      <c r="F21" s="809">
        <v>0</v>
      </c>
      <c r="G21" s="809">
        <v>0</v>
      </c>
      <c r="H21" s="809">
        <v>0</v>
      </c>
      <c r="I21" s="809">
        <v>0</v>
      </c>
      <c r="J21" s="809">
        <v>2.5553210000000002</v>
      </c>
      <c r="K21" s="809">
        <v>23.835657999999999</v>
      </c>
      <c r="L21" s="809">
        <v>53.975043999999997</v>
      </c>
      <c r="M21" s="809">
        <v>6.7007000000000003</v>
      </c>
      <c r="N21" s="809">
        <v>0</v>
      </c>
      <c r="O21" s="809">
        <v>16.312764000000001</v>
      </c>
      <c r="P21" s="809">
        <v>52.580573999999999</v>
      </c>
      <c r="Q21" s="809">
        <v>52.041257999999999</v>
      </c>
      <c r="R21" s="1289">
        <f t="shared" si="0"/>
        <v>208.001319</v>
      </c>
    </row>
    <row r="22" spans="1:18" ht="15.75" hidden="1" customHeight="1">
      <c r="A22" s="304"/>
      <c r="B22" s="304"/>
      <c r="C22" s="1297" t="s">
        <v>1013</v>
      </c>
      <c r="D22" s="123"/>
      <c r="E22" s="809"/>
      <c r="F22" s="809">
        <v>0</v>
      </c>
      <c r="G22" s="809">
        <v>0</v>
      </c>
      <c r="H22" s="809">
        <v>0</v>
      </c>
      <c r="I22" s="809">
        <v>0</v>
      </c>
      <c r="J22" s="809">
        <v>0</v>
      </c>
      <c r="K22" s="809">
        <v>0</v>
      </c>
      <c r="L22" s="809">
        <v>0</v>
      </c>
      <c r="M22" s="809">
        <v>0</v>
      </c>
      <c r="N22" s="809">
        <v>0</v>
      </c>
      <c r="O22" s="809">
        <v>0</v>
      </c>
      <c r="P22" s="809">
        <v>0</v>
      </c>
      <c r="Q22" s="809">
        <v>0</v>
      </c>
      <c r="R22" s="1289">
        <f t="shared" si="0"/>
        <v>0</v>
      </c>
    </row>
    <row r="23" spans="1:18" ht="15.75" hidden="1" customHeight="1">
      <c r="A23" s="304"/>
      <c r="B23" s="304"/>
      <c r="C23" s="1297" t="s">
        <v>1014</v>
      </c>
      <c r="D23" s="123"/>
      <c r="E23" s="809"/>
      <c r="F23" s="809">
        <v>0</v>
      </c>
      <c r="G23" s="809">
        <v>0</v>
      </c>
      <c r="H23" s="809">
        <v>0</v>
      </c>
      <c r="I23" s="809">
        <v>0</v>
      </c>
      <c r="J23" s="809">
        <v>0</v>
      </c>
      <c r="K23" s="809">
        <v>0</v>
      </c>
      <c r="L23" s="809">
        <v>0</v>
      </c>
      <c r="M23" s="809">
        <v>0</v>
      </c>
      <c r="N23" s="809">
        <v>0</v>
      </c>
      <c r="O23" s="809">
        <v>0</v>
      </c>
      <c r="P23" s="809">
        <v>0</v>
      </c>
      <c r="Q23" s="809">
        <v>0</v>
      </c>
      <c r="R23" s="1289">
        <f t="shared" si="0"/>
        <v>0</v>
      </c>
    </row>
    <row r="24" spans="1:18" hidden="1">
      <c r="A24" s="304"/>
      <c r="B24" s="304"/>
      <c r="C24" s="1283" t="s">
        <v>107</v>
      </c>
      <c r="D24" s="433"/>
      <c r="E24" s="1044">
        <f>SUM(E9:E23)</f>
        <v>38.190797648063722</v>
      </c>
      <c r="F24" s="1044">
        <f>SUM(F9:F23)</f>
        <v>831.22364599999992</v>
      </c>
      <c r="G24" s="1044">
        <f t="shared" ref="G24:Q24" si="1">SUM(G9:G23)</f>
        <v>781.52900915999999</v>
      </c>
      <c r="H24" s="1044">
        <f t="shared" si="1"/>
        <v>685.52706610000007</v>
      </c>
      <c r="I24" s="1044">
        <f t="shared" si="1"/>
        <v>674.46174744000007</v>
      </c>
      <c r="J24" s="1044">
        <f t="shared" si="1"/>
        <v>648.60258710000005</v>
      </c>
      <c r="K24" s="1044">
        <f t="shared" si="1"/>
        <v>702.25230346000001</v>
      </c>
      <c r="L24" s="1044">
        <f t="shared" si="1"/>
        <v>672.67200858000001</v>
      </c>
      <c r="M24" s="1044">
        <f t="shared" si="1"/>
        <v>617.66980159999991</v>
      </c>
      <c r="N24" s="1044">
        <f t="shared" si="1"/>
        <v>754.55467123999983</v>
      </c>
      <c r="O24" s="1044">
        <f t="shared" si="1"/>
        <v>786.56855169999994</v>
      </c>
      <c r="P24" s="1044">
        <f t="shared" si="1"/>
        <v>855.03840465999997</v>
      </c>
      <c r="Q24" s="1044">
        <f t="shared" si="1"/>
        <v>944.71683535599993</v>
      </c>
      <c r="R24" s="1298">
        <f>SUM(R9:R23)</f>
        <v>8954.8166323960013</v>
      </c>
    </row>
    <row r="25" spans="1:18" hidden="1">
      <c r="A25" s="304"/>
      <c r="B25" s="304"/>
      <c r="C25" s="434"/>
      <c r="D25" s="123"/>
      <c r="E25" s="809"/>
      <c r="F25" s="809"/>
      <c r="G25" s="809"/>
      <c r="H25" s="809"/>
      <c r="I25" s="809"/>
      <c r="J25" s="809"/>
      <c r="K25" s="809"/>
      <c r="L25" s="809"/>
      <c r="M25" s="809"/>
      <c r="N25" s="809"/>
      <c r="O25" s="809"/>
      <c r="P25" s="809"/>
      <c r="Q25" s="809"/>
      <c r="R25" s="1289"/>
    </row>
    <row r="26" spans="1:18" ht="15.75" hidden="1" customHeight="1">
      <c r="A26" s="304"/>
      <c r="B26" s="304"/>
      <c r="C26" s="1297" t="s">
        <v>108</v>
      </c>
      <c r="D26" s="1045"/>
      <c r="E26" s="809">
        <v>0</v>
      </c>
      <c r="F26" s="809">
        <v>8.6685688200000008</v>
      </c>
      <c r="G26" s="809">
        <v>7.0646385599999997</v>
      </c>
      <c r="H26" s="809">
        <v>8.0895196800000004</v>
      </c>
      <c r="I26" s="809">
        <v>9.5236143599999998</v>
      </c>
      <c r="J26" s="809">
        <v>7.1089718399999997</v>
      </c>
      <c r="K26" s="809">
        <v>6.8999100000000002</v>
      </c>
      <c r="L26" s="809">
        <v>9.2221915199999991</v>
      </c>
      <c r="M26" s="809">
        <v>8.2503364799999996</v>
      </c>
      <c r="N26" s="809">
        <v>9.211325519999999</v>
      </c>
      <c r="O26" s="809">
        <v>7.3738849200000001</v>
      </c>
      <c r="P26" s="809">
        <v>6.3372685199999994</v>
      </c>
      <c r="Q26" s="809">
        <v>8.2853250000000003</v>
      </c>
      <c r="R26" s="1289">
        <f>SUM(F26:Q26)</f>
        <v>96.035555219999992</v>
      </c>
    </row>
    <row r="27" spans="1:18" ht="15.75" hidden="1" customHeight="1">
      <c r="A27" s="304"/>
      <c r="B27" s="304"/>
      <c r="C27" s="1297" t="s">
        <v>109</v>
      </c>
      <c r="D27" s="123"/>
      <c r="E27" s="809">
        <v>0</v>
      </c>
      <c r="F27" s="809">
        <v>2.3579219999999999</v>
      </c>
      <c r="G27" s="809">
        <v>-0.14516976000000001</v>
      </c>
      <c r="H27" s="809">
        <v>-2.8251599999999998E-2</v>
      </c>
      <c r="I27" s="809">
        <v>5.1664208</v>
      </c>
      <c r="J27" s="809">
        <v>11.3600408</v>
      </c>
      <c r="K27" s="809">
        <v>7.9126212000000002</v>
      </c>
      <c r="L27" s="809">
        <v>6.7119282</v>
      </c>
      <c r="M27" s="809">
        <v>5.6879887999999994</v>
      </c>
      <c r="N27" s="809">
        <v>3.9066529800000001</v>
      </c>
      <c r="O27" s="809">
        <v>6.9453298800000001</v>
      </c>
      <c r="P27" s="809">
        <v>6.14812768</v>
      </c>
      <c r="Q27" s="809">
        <v>6.9332324000000005</v>
      </c>
      <c r="R27" s="1289">
        <f t="shared" ref="R27:R35" si="2">SUM(F27:Q27)</f>
        <v>62.956843380000002</v>
      </c>
    </row>
    <row r="28" spans="1:18" ht="15.75" hidden="1" customHeight="1">
      <c r="A28" s="304"/>
      <c r="B28" s="304"/>
      <c r="C28" s="1297" t="s">
        <v>612</v>
      </c>
      <c r="D28" s="123"/>
      <c r="E28" s="809">
        <v>0</v>
      </c>
      <c r="F28" s="809">
        <v>21.4186343394</v>
      </c>
      <c r="G28" s="809">
        <v>7.2855425289999998</v>
      </c>
      <c r="H28" s="809">
        <v>7.4683818134000006</v>
      </c>
      <c r="I28" s="809">
        <v>5.9230077029999997</v>
      </c>
      <c r="J28" s="809">
        <v>5.7381527756000006</v>
      </c>
      <c r="K28" s="809">
        <v>9.3296294571999994</v>
      </c>
      <c r="L28" s="809">
        <v>3.1596415584000002</v>
      </c>
      <c r="M28" s="809">
        <v>12.9834588688</v>
      </c>
      <c r="N28" s="809">
        <v>15.347650550799999</v>
      </c>
      <c r="O28" s="809">
        <v>12.886175570800001</v>
      </c>
      <c r="P28" s="809">
        <v>15.248890201199998</v>
      </c>
      <c r="Q28" s="809">
        <v>21.292429371399997</v>
      </c>
      <c r="R28" s="1289">
        <f t="shared" si="2"/>
        <v>138.081594739</v>
      </c>
    </row>
    <row r="29" spans="1:18" ht="15.75" hidden="1" customHeight="1">
      <c r="A29" s="304"/>
      <c r="B29" s="304"/>
      <c r="C29" s="1297" t="s">
        <v>613</v>
      </c>
      <c r="D29" s="123"/>
      <c r="E29" s="809">
        <v>0</v>
      </c>
      <c r="F29" s="809">
        <v>36.349461508199994</v>
      </c>
      <c r="G29" s="809">
        <v>33.697278086600001</v>
      </c>
      <c r="H29" s="809">
        <v>14.719673986</v>
      </c>
      <c r="I29" s="809">
        <v>41.235183103399997</v>
      </c>
      <c r="J29" s="809">
        <v>38.696538153600002</v>
      </c>
      <c r="K29" s="809">
        <v>34.361984628999998</v>
      </c>
      <c r="L29" s="809">
        <v>39.234660504600001</v>
      </c>
      <c r="M29" s="809">
        <v>30.411777098999998</v>
      </c>
      <c r="N29" s="809">
        <v>14.0186587046</v>
      </c>
      <c r="O29" s="809">
        <v>27.893278437600003</v>
      </c>
      <c r="P29" s="809">
        <v>35.915344525000002</v>
      </c>
      <c r="Q29" s="809">
        <v>36.7447604308</v>
      </c>
      <c r="R29" s="1289">
        <f t="shared" si="2"/>
        <v>383.27859916840004</v>
      </c>
    </row>
    <row r="30" spans="1:18" ht="15.75" hidden="1" customHeight="1">
      <c r="A30" s="304"/>
      <c r="B30" s="304"/>
      <c r="C30" s="1297" t="s">
        <v>614</v>
      </c>
      <c r="D30" s="123"/>
      <c r="E30" s="809">
        <v>0</v>
      </c>
      <c r="F30" s="809">
        <v>2.3978545499999999</v>
      </c>
      <c r="G30" s="809">
        <v>3.7669705499999999</v>
      </c>
      <c r="H30" s="809">
        <v>1.8263935</v>
      </c>
      <c r="I30" s="809">
        <v>3.8249529748</v>
      </c>
      <c r="J30" s="809">
        <v>3.4848609383999998</v>
      </c>
      <c r="K30" s="809">
        <v>3.0874192406000001</v>
      </c>
      <c r="L30" s="809">
        <v>3.4797383437999998</v>
      </c>
      <c r="M30" s="809">
        <v>2.3663308351999999</v>
      </c>
      <c r="N30" s="809">
        <v>1.0016706196</v>
      </c>
      <c r="O30" s="809">
        <v>3.5172090203999997</v>
      </c>
      <c r="P30" s="809">
        <v>3.7889390666000002</v>
      </c>
      <c r="Q30" s="809">
        <v>2.6181315507999998</v>
      </c>
      <c r="R30" s="1289">
        <f t="shared" si="2"/>
        <v>35.160471190199999</v>
      </c>
    </row>
    <row r="31" spans="1:18" ht="15.75" hidden="1" customHeight="1">
      <c r="A31" s="304"/>
      <c r="B31" s="304"/>
      <c r="C31" s="1297" t="s">
        <v>615</v>
      </c>
      <c r="D31" s="123"/>
      <c r="E31" s="809">
        <v>0</v>
      </c>
      <c r="F31" s="809">
        <v>-0.10601594</v>
      </c>
      <c r="G31" s="809">
        <v>-0.11293396</v>
      </c>
      <c r="H31" s="809">
        <v>-0.10744663</v>
      </c>
      <c r="I31" s="809">
        <v>46.259749360000001</v>
      </c>
      <c r="J31" s="809">
        <v>162.05909166999999</v>
      </c>
      <c r="K31" s="809">
        <v>155.02207086000001</v>
      </c>
      <c r="L31" s="809">
        <v>160.33194097000001</v>
      </c>
      <c r="M31" s="809">
        <v>81.498766879999991</v>
      </c>
      <c r="N31" s="809">
        <v>25.365608510000001</v>
      </c>
      <c r="O31" s="809">
        <v>19.677800809999997</v>
      </c>
      <c r="P31" s="809">
        <v>10.409845320000001</v>
      </c>
      <c r="Q31" s="809">
        <v>7.4617184199999995</v>
      </c>
      <c r="R31" s="1289">
        <f t="shared" si="2"/>
        <v>667.76019627000005</v>
      </c>
    </row>
    <row r="32" spans="1:18" ht="15.75" hidden="1" customHeight="1">
      <c r="A32" s="304"/>
      <c r="B32" s="304"/>
      <c r="C32" s="1297" t="s">
        <v>616</v>
      </c>
      <c r="D32" s="123"/>
      <c r="E32" s="809">
        <v>0</v>
      </c>
      <c r="F32" s="809">
        <v>2.5884441900000001</v>
      </c>
      <c r="G32" s="809">
        <v>0.3968781146</v>
      </c>
      <c r="H32" s="809">
        <v>1.2425223914000001</v>
      </c>
      <c r="I32" s="809">
        <v>0.82896315579999991</v>
      </c>
      <c r="J32" s="809">
        <v>11.0321045578</v>
      </c>
      <c r="K32" s="809">
        <v>16.2102602756</v>
      </c>
      <c r="L32" s="809">
        <v>15.1563220228</v>
      </c>
      <c r="M32" s="809">
        <v>16.001423361800001</v>
      </c>
      <c r="N32" s="809">
        <v>14.1270945028</v>
      </c>
      <c r="O32" s="809">
        <v>14.271030247400001</v>
      </c>
      <c r="P32" s="809">
        <v>9.6397313336000003</v>
      </c>
      <c r="Q32" s="809">
        <v>5.3669872390000002</v>
      </c>
      <c r="R32" s="1289">
        <f t="shared" si="2"/>
        <v>106.8617613926</v>
      </c>
    </row>
    <row r="33" spans="1:18" ht="15.75" hidden="1" customHeight="1">
      <c r="A33" s="304"/>
      <c r="B33" s="304"/>
      <c r="C33" s="1297" t="s">
        <v>617</v>
      </c>
      <c r="D33" s="123"/>
      <c r="E33" s="809">
        <v>0</v>
      </c>
      <c r="F33" s="809">
        <v>-1.0265834600000001E-2</v>
      </c>
      <c r="G33" s="809">
        <v>-1.1049635399999999E-2</v>
      </c>
      <c r="H33" s="809">
        <v>-7.6449553999999994E-3</v>
      </c>
      <c r="I33" s="809">
        <v>-1.07348836E-2</v>
      </c>
      <c r="J33" s="809">
        <v>0.35512876939999999</v>
      </c>
      <c r="K33" s="809">
        <v>1.302719307</v>
      </c>
      <c r="L33" s="809">
        <v>1.5223063167999999</v>
      </c>
      <c r="M33" s="809">
        <v>0.91748556019999994</v>
      </c>
      <c r="N33" s="809">
        <v>0.57416088879999994</v>
      </c>
      <c r="O33" s="809">
        <v>0.254728016</v>
      </c>
      <c r="P33" s="809">
        <v>-4.1392215999999996E-3</v>
      </c>
      <c r="Q33" s="809">
        <v>-4.2308581999999997E-3</v>
      </c>
      <c r="R33" s="1289">
        <f t="shared" si="2"/>
        <v>4.8784634693999998</v>
      </c>
    </row>
    <row r="34" spans="1:18" ht="15.75" hidden="1" customHeight="1">
      <c r="A34" s="304"/>
      <c r="B34" s="304"/>
      <c r="C34" s="1297" t="s">
        <v>618</v>
      </c>
      <c r="D34" s="123"/>
      <c r="E34" s="809">
        <v>0</v>
      </c>
      <c r="F34" s="809">
        <v>0.10835213</v>
      </c>
      <c r="G34" s="809">
        <v>-1.2495899999999999E-3</v>
      </c>
      <c r="H34" s="809">
        <v>4.9349749999999998E-2</v>
      </c>
      <c r="I34" s="809">
        <v>8.6982329999999997E-2</v>
      </c>
      <c r="J34" s="809">
        <v>4.8136379999999999E-2</v>
      </c>
      <c r="K34" s="809">
        <v>6.7821949999999992E-2</v>
      </c>
      <c r="L34" s="809">
        <v>5.7100830000000005E-2</v>
      </c>
      <c r="M34" s="809">
        <v>0.10319078</v>
      </c>
      <c r="N34" s="809">
        <v>0.13743679</v>
      </c>
      <c r="O34" s="809">
        <v>0.13832417999999999</v>
      </c>
      <c r="P34" s="809">
        <v>0.10523721000000001</v>
      </c>
      <c r="Q34" s="809">
        <v>0.13939267000000002</v>
      </c>
      <c r="R34" s="1289">
        <f t="shared" si="2"/>
        <v>1.04007541</v>
      </c>
    </row>
    <row r="35" spans="1:18" ht="15.75" hidden="1" customHeight="1">
      <c r="A35" s="304"/>
      <c r="B35" s="304"/>
      <c r="C35" s="1297" t="s">
        <v>400</v>
      </c>
      <c r="D35" s="123"/>
      <c r="E35" s="809">
        <v>0</v>
      </c>
      <c r="F35" s="809">
        <v>0.56307611999999996</v>
      </c>
      <c r="G35" s="809">
        <v>0.23651659999999999</v>
      </c>
      <c r="H35" s="809">
        <v>0.44141314000000004</v>
      </c>
      <c r="I35" s="809">
        <v>0.19859426000000002</v>
      </c>
      <c r="J35" s="809">
        <v>2.2307173599999999</v>
      </c>
      <c r="K35" s="809">
        <v>4.1068047000000005</v>
      </c>
      <c r="L35" s="809">
        <v>6.3833765800000002</v>
      </c>
      <c r="M35" s="809">
        <v>9.91127702</v>
      </c>
      <c r="N35" s="809">
        <v>6.0120491399999993</v>
      </c>
      <c r="O35" s="809">
        <v>1.53732168</v>
      </c>
      <c r="P35" s="809">
        <v>2.35784956</v>
      </c>
      <c r="Q35" s="809">
        <v>0.51885150000000002</v>
      </c>
      <c r="R35" s="1289">
        <f t="shared" si="2"/>
        <v>34.497847659999998</v>
      </c>
    </row>
    <row r="36" spans="1:18" ht="15.75" hidden="1" customHeight="1">
      <c r="A36" s="304"/>
      <c r="B36" s="304"/>
      <c r="C36" s="1283" t="s">
        <v>110</v>
      </c>
      <c r="D36" s="433"/>
      <c r="E36" s="1044">
        <f>SUM(E26:E35)</f>
        <v>0</v>
      </c>
      <c r="F36" s="1044">
        <f>SUM(F26:F35)</f>
        <v>74.33603188299999</v>
      </c>
      <c r="G36" s="1044">
        <f t="shared" ref="G36:Q36" si="3">SUM(G26:G35)</f>
        <v>52.177421494800008</v>
      </c>
      <c r="H36" s="1044">
        <f t="shared" si="3"/>
        <v>33.693911075400003</v>
      </c>
      <c r="I36" s="1044">
        <f t="shared" si="3"/>
        <v>113.03673316339999</v>
      </c>
      <c r="J36" s="1044">
        <f t="shared" si="3"/>
        <v>242.11374324479999</v>
      </c>
      <c r="K36" s="1044">
        <f t="shared" si="3"/>
        <v>238.3012416194</v>
      </c>
      <c r="L36" s="1044">
        <f t="shared" si="3"/>
        <v>245.25920684640002</v>
      </c>
      <c r="M36" s="1044">
        <f t="shared" si="3"/>
        <v>168.13203568499998</v>
      </c>
      <c r="N36" s="1044">
        <f t="shared" si="3"/>
        <v>89.702308206599994</v>
      </c>
      <c r="O36" s="1044">
        <f t="shared" si="3"/>
        <v>94.495082762200013</v>
      </c>
      <c r="P36" s="1044">
        <f t="shared" si="3"/>
        <v>89.947094194800002</v>
      </c>
      <c r="Q36" s="1044">
        <f t="shared" si="3"/>
        <v>89.356597723799993</v>
      </c>
      <c r="R36" s="1298">
        <f>SUM(R26:R35)</f>
        <v>1530.5514078996002</v>
      </c>
    </row>
    <row r="37" spans="1:18" ht="15.75" hidden="1" customHeight="1">
      <c r="A37" s="304"/>
      <c r="B37" s="304"/>
      <c r="C37" s="1283" t="s">
        <v>111</v>
      </c>
      <c r="D37" s="433"/>
      <c r="E37" s="1044">
        <f t="shared" ref="E37:R37" si="4">SUM(E36,E24)</f>
        <v>38.190797648063722</v>
      </c>
      <c r="F37" s="1044">
        <f t="shared" si="4"/>
        <v>905.55967788299995</v>
      </c>
      <c r="G37" s="1044">
        <f t="shared" si="4"/>
        <v>833.70643065479999</v>
      </c>
      <c r="H37" s="1044">
        <f t="shared" si="4"/>
        <v>719.22097717540009</v>
      </c>
      <c r="I37" s="1044">
        <f t="shared" si="4"/>
        <v>787.49848060340003</v>
      </c>
      <c r="J37" s="1044">
        <f t="shared" si="4"/>
        <v>890.7163303448001</v>
      </c>
      <c r="K37" s="1044">
        <f t="shared" si="4"/>
        <v>940.55354507940001</v>
      </c>
      <c r="L37" s="1044">
        <f t="shared" si="4"/>
        <v>917.93121542640006</v>
      </c>
      <c r="M37" s="1044">
        <f t="shared" si="4"/>
        <v>785.80183728499992</v>
      </c>
      <c r="N37" s="1044">
        <f t="shared" si="4"/>
        <v>844.25697944659987</v>
      </c>
      <c r="O37" s="1044">
        <f t="shared" si="4"/>
        <v>881.06363446219996</v>
      </c>
      <c r="P37" s="1044">
        <f t="shared" si="4"/>
        <v>944.98549885479997</v>
      </c>
      <c r="Q37" s="1044">
        <f t="shared" si="4"/>
        <v>1034.0734330798</v>
      </c>
      <c r="R37" s="1298">
        <f t="shared" si="4"/>
        <v>10485.368040295602</v>
      </c>
    </row>
    <row r="38" spans="1:18" hidden="1">
      <c r="A38" s="304"/>
      <c r="B38" s="304"/>
      <c r="C38" s="434"/>
      <c r="D38" s="123"/>
      <c r="E38" s="809"/>
      <c r="F38" s="809"/>
      <c r="G38" s="809"/>
      <c r="H38" s="809"/>
      <c r="I38" s="809"/>
      <c r="J38" s="809"/>
      <c r="K38" s="809"/>
      <c r="L38" s="809"/>
      <c r="M38" s="809"/>
      <c r="N38" s="809"/>
      <c r="O38" s="809"/>
      <c r="P38" s="809"/>
      <c r="Q38" s="809"/>
      <c r="R38" s="1289"/>
    </row>
    <row r="39" spans="1:18" hidden="1">
      <c r="A39" s="304"/>
      <c r="B39" s="304"/>
      <c r="C39" s="1283" t="s">
        <v>211</v>
      </c>
      <c r="D39" s="123"/>
      <c r="E39" s="809"/>
      <c r="F39" s="809"/>
      <c r="G39" s="809"/>
      <c r="H39" s="809"/>
      <c r="I39" s="809"/>
      <c r="J39" s="809"/>
      <c r="K39" s="809"/>
      <c r="L39" s="809"/>
      <c r="M39" s="809"/>
      <c r="N39" s="809"/>
      <c r="O39" s="809"/>
      <c r="P39" s="809"/>
      <c r="Q39" s="809"/>
      <c r="R39" s="1289"/>
    </row>
    <row r="40" spans="1:18" hidden="1">
      <c r="A40" s="304"/>
      <c r="B40" s="304"/>
      <c r="C40" s="1283" t="s">
        <v>212</v>
      </c>
      <c r="D40" s="123"/>
      <c r="E40" s="809"/>
      <c r="F40" s="809"/>
      <c r="G40" s="809"/>
      <c r="H40" s="809"/>
      <c r="I40" s="809"/>
      <c r="J40" s="809"/>
      <c r="K40" s="809"/>
      <c r="L40" s="809"/>
      <c r="M40" s="809"/>
      <c r="N40" s="809"/>
      <c r="O40" s="809"/>
      <c r="P40" s="809"/>
      <c r="Q40" s="809"/>
      <c r="R40" s="1289"/>
    </row>
    <row r="41" spans="1:18" hidden="1">
      <c r="A41" s="304"/>
      <c r="B41" s="304"/>
      <c r="C41" s="434" t="s">
        <v>213</v>
      </c>
      <c r="D41" s="123"/>
      <c r="E41" s="809"/>
      <c r="F41" s="809"/>
      <c r="G41" s="809"/>
      <c r="H41" s="809"/>
      <c r="I41" s="809"/>
      <c r="J41" s="809"/>
      <c r="K41" s="809"/>
      <c r="L41" s="809"/>
      <c r="M41" s="809"/>
      <c r="N41" s="809"/>
      <c r="O41" s="809"/>
      <c r="P41" s="809"/>
      <c r="Q41" s="809"/>
      <c r="R41" s="1289"/>
    </row>
    <row r="42" spans="1:18" hidden="1">
      <c r="A42" s="304"/>
      <c r="B42" s="304"/>
      <c r="C42" s="1297" t="s">
        <v>619</v>
      </c>
      <c r="D42" s="123"/>
      <c r="E42" s="809">
        <v>4.13683814576682</v>
      </c>
      <c r="F42" s="809">
        <v>58.192186999999997</v>
      </c>
      <c r="G42" s="809">
        <v>58.043112999999998</v>
      </c>
      <c r="H42" s="809">
        <v>63.887993999999999</v>
      </c>
      <c r="I42" s="809">
        <v>67.886936000000006</v>
      </c>
      <c r="J42" s="809">
        <v>72.045123000000004</v>
      </c>
      <c r="K42" s="809">
        <v>71.374938999999998</v>
      </c>
      <c r="L42" s="809">
        <v>69.129746999999995</v>
      </c>
      <c r="M42" s="809">
        <v>97.457542000000004</v>
      </c>
      <c r="N42" s="809">
        <v>42.843167999999999</v>
      </c>
      <c r="O42" s="809">
        <v>36.452317999999998</v>
      </c>
      <c r="P42" s="809">
        <v>45.627698000000002</v>
      </c>
      <c r="Q42" s="809">
        <v>44.222428000000001</v>
      </c>
      <c r="R42" s="1289">
        <f>SUM(F42:Q42)</f>
        <v>727.16319299999998</v>
      </c>
    </row>
    <row r="43" spans="1:18" hidden="1">
      <c r="A43" s="304"/>
      <c r="B43" s="304"/>
      <c r="C43" s="1297" t="s">
        <v>1015</v>
      </c>
      <c r="D43" s="123"/>
      <c r="E43" s="809"/>
      <c r="F43" s="809">
        <v>0</v>
      </c>
      <c r="G43" s="809">
        <v>0</v>
      </c>
      <c r="H43" s="809">
        <v>0</v>
      </c>
      <c r="I43" s="809">
        <v>0</v>
      </c>
      <c r="J43" s="809">
        <v>0</v>
      </c>
      <c r="K43" s="809">
        <v>0</v>
      </c>
      <c r="L43" s="809">
        <v>0</v>
      </c>
      <c r="M43" s="809">
        <v>0</v>
      </c>
      <c r="N43" s="809">
        <v>0</v>
      </c>
      <c r="O43" s="809">
        <v>0</v>
      </c>
      <c r="P43" s="809">
        <v>0</v>
      </c>
      <c r="Q43" s="809">
        <v>0</v>
      </c>
      <c r="R43" s="1289">
        <f t="shared" ref="R43:R44" si="5">SUM(F43:Q43)</f>
        <v>0</v>
      </c>
    </row>
    <row r="44" spans="1:18" hidden="1">
      <c r="A44" s="304"/>
      <c r="B44" s="304"/>
      <c r="C44" s="1297" t="s">
        <v>620</v>
      </c>
      <c r="D44" s="123"/>
      <c r="E44" s="809">
        <v>3.8435582870051626</v>
      </c>
      <c r="F44" s="809">
        <v>17.099366</v>
      </c>
      <c r="G44" s="809">
        <v>16.443708000000001</v>
      </c>
      <c r="H44" s="809">
        <v>6.3926040000000004</v>
      </c>
      <c r="I44" s="809">
        <v>0</v>
      </c>
      <c r="J44" s="809">
        <v>10.423322000000001</v>
      </c>
      <c r="K44" s="809">
        <v>18.829066000000001</v>
      </c>
      <c r="L44" s="809">
        <v>21.336085000000001</v>
      </c>
      <c r="M44" s="809">
        <v>25.759003</v>
      </c>
      <c r="N44" s="809">
        <v>15.494291</v>
      </c>
      <c r="O44" s="809">
        <v>11.659443</v>
      </c>
      <c r="P44" s="809">
        <v>10.809536</v>
      </c>
      <c r="Q44" s="809">
        <v>10.109121</v>
      </c>
      <c r="R44" s="1289">
        <f t="shared" si="5"/>
        <v>164.35554500000001</v>
      </c>
    </row>
    <row r="45" spans="1:18" hidden="1">
      <c r="A45" s="304"/>
      <c r="B45" s="304"/>
      <c r="C45" s="1283" t="s">
        <v>112</v>
      </c>
      <c r="D45" s="433"/>
      <c r="E45" s="1044">
        <f>SUM(E42:E44)</f>
        <v>7.9803964327719825</v>
      </c>
      <c r="F45" s="1044">
        <f>SUM(F42:F44)</f>
        <v>75.291552999999993</v>
      </c>
      <c r="G45" s="1044">
        <f t="shared" ref="G45:Q45" si="6">SUM(G42:G44)</f>
        <v>74.486820999999992</v>
      </c>
      <c r="H45" s="1044">
        <f t="shared" si="6"/>
        <v>70.280597999999998</v>
      </c>
      <c r="I45" s="1044">
        <f t="shared" si="6"/>
        <v>67.886936000000006</v>
      </c>
      <c r="J45" s="1044">
        <f t="shared" si="6"/>
        <v>82.468445000000003</v>
      </c>
      <c r="K45" s="1044">
        <f t="shared" si="6"/>
        <v>90.204004999999995</v>
      </c>
      <c r="L45" s="1044">
        <f t="shared" si="6"/>
        <v>90.465831999999992</v>
      </c>
      <c r="M45" s="1044">
        <f t="shared" si="6"/>
        <v>123.216545</v>
      </c>
      <c r="N45" s="1044">
        <f t="shared" si="6"/>
        <v>58.337458999999996</v>
      </c>
      <c r="O45" s="1044">
        <f t="shared" si="6"/>
        <v>48.111761000000001</v>
      </c>
      <c r="P45" s="1044">
        <f t="shared" si="6"/>
        <v>56.437234000000004</v>
      </c>
      <c r="Q45" s="1044">
        <f t="shared" si="6"/>
        <v>54.331549000000003</v>
      </c>
      <c r="R45" s="1298">
        <f>SUM(R42:R44)</f>
        <v>891.51873799999998</v>
      </c>
    </row>
    <row r="46" spans="1:18" hidden="1">
      <c r="A46" s="304"/>
      <c r="B46" s="304"/>
      <c r="C46" s="434"/>
      <c r="D46" s="123"/>
      <c r="E46" s="809"/>
      <c r="F46" s="809"/>
      <c r="G46" s="809"/>
      <c r="H46" s="809"/>
      <c r="I46" s="809"/>
      <c r="J46" s="809"/>
      <c r="K46" s="809"/>
      <c r="L46" s="809"/>
      <c r="M46" s="809"/>
      <c r="N46" s="809"/>
      <c r="O46" s="809"/>
      <c r="P46" s="809"/>
      <c r="Q46" s="809"/>
      <c r="R46" s="1289"/>
    </row>
    <row r="47" spans="1:18" hidden="1">
      <c r="A47" s="304"/>
      <c r="B47" s="304"/>
      <c r="C47" s="1283" t="s">
        <v>214</v>
      </c>
      <c r="D47" s="433"/>
      <c r="E47" s="1044"/>
      <c r="F47" s="1044"/>
      <c r="G47" s="1044"/>
      <c r="H47" s="1044"/>
      <c r="I47" s="1044"/>
      <c r="J47" s="1044"/>
      <c r="K47" s="1044"/>
      <c r="L47" s="1044"/>
      <c r="M47" s="1044"/>
      <c r="N47" s="1044"/>
      <c r="O47" s="1044"/>
      <c r="P47" s="1044"/>
      <c r="Q47" s="1044"/>
      <c r="R47" s="1298"/>
    </row>
    <row r="48" spans="1:18" hidden="1">
      <c r="A48" s="304"/>
      <c r="B48" s="304"/>
      <c r="C48" s="1297" t="s">
        <v>118</v>
      </c>
      <c r="D48" s="123"/>
      <c r="E48" s="809">
        <v>0</v>
      </c>
      <c r="F48" s="809">
        <v>0</v>
      </c>
      <c r="G48" s="809">
        <v>0</v>
      </c>
      <c r="H48" s="809">
        <v>0</v>
      </c>
      <c r="I48" s="809">
        <v>0</v>
      </c>
      <c r="J48" s="809">
        <v>0</v>
      </c>
      <c r="K48" s="809">
        <v>0</v>
      </c>
      <c r="L48" s="809">
        <v>0</v>
      </c>
      <c r="M48" s="809">
        <v>0</v>
      </c>
      <c r="N48" s="809">
        <v>0</v>
      </c>
      <c r="O48" s="809">
        <v>0</v>
      </c>
      <c r="P48" s="809">
        <v>0</v>
      </c>
      <c r="Q48" s="809">
        <v>0</v>
      </c>
      <c r="R48" s="1289">
        <f>SUM(F48:Q48)</f>
        <v>0</v>
      </c>
    </row>
    <row r="49" spans="1:18" hidden="1">
      <c r="A49" s="304"/>
      <c r="B49" s="304"/>
      <c r="C49" s="1297" t="s">
        <v>119</v>
      </c>
      <c r="D49" s="123"/>
      <c r="E49" s="809">
        <v>0</v>
      </c>
      <c r="F49" s="809">
        <v>0</v>
      </c>
      <c r="G49" s="809">
        <v>0</v>
      </c>
      <c r="H49" s="809">
        <v>0</v>
      </c>
      <c r="I49" s="809">
        <v>0</v>
      </c>
      <c r="J49" s="809">
        <v>0</v>
      </c>
      <c r="K49" s="809">
        <v>0</v>
      </c>
      <c r="L49" s="809">
        <v>0</v>
      </c>
      <c r="M49" s="809">
        <v>0</v>
      </c>
      <c r="N49" s="809">
        <v>0</v>
      </c>
      <c r="O49" s="809">
        <v>0</v>
      </c>
      <c r="P49" s="809">
        <v>0</v>
      </c>
      <c r="Q49" s="809">
        <v>0</v>
      </c>
      <c r="R49" s="1289">
        <f t="shared" ref="R49:R54" si="7">SUM(F49:Q49)</f>
        <v>0</v>
      </c>
    </row>
    <row r="50" spans="1:18" hidden="1">
      <c r="A50" s="304"/>
      <c r="B50" s="304"/>
      <c r="C50" s="1297" t="s">
        <v>120</v>
      </c>
      <c r="D50" s="123"/>
      <c r="E50" s="809">
        <v>0</v>
      </c>
      <c r="F50" s="809">
        <v>0</v>
      </c>
      <c r="G50" s="809">
        <v>0</v>
      </c>
      <c r="H50" s="809">
        <v>0</v>
      </c>
      <c r="I50" s="809">
        <v>0</v>
      </c>
      <c r="J50" s="809">
        <v>0</v>
      </c>
      <c r="K50" s="809">
        <v>0</v>
      </c>
      <c r="L50" s="809">
        <v>0</v>
      </c>
      <c r="M50" s="809">
        <v>0</v>
      </c>
      <c r="N50" s="809">
        <v>0</v>
      </c>
      <c r="O50" s="809">
        <v>0</v>
      </c>
      <c r="P50" s="809">
        <v>0</v>
      </c>
      <c r="Q50" s="809">
        <v>0</v>
      </c>
      <c r="R50" s="1289">
        <f t="shared" si="7"/>
        <v>0</v>
      </c>
    </row>
    <row r="51" spans="1:18" hidden="1">
      <c r="A51" s="304"/>
      <c r="B51" s="304"/>
      <c r="C51" s="1297" t="s">
        <v>215</v>
      </c>
      <c r="D51" s="1045"/>
      <c r="E51" s="809">
        <v>1.9354913328704886</v>
      </c>
      <c r="F51" s="809">
        <v>41.569383999999999</v>
      </c>
      <c r="G51" s="809">
        <v>41.285774000000004</v>
      </c>
      <c r="H51" s="809">
        <v>42.931041</v>
      </c>
      <c r="I51" s="809">
        <v>40.315049000000002</v>
      </c>
      <c r="J51" s="809">
        <v>41.005795999999997</v>
      </c>
      <c r="K51" s="809">
        <v>41.521920999999999</v>
      </c>
      <c r="L51" s="809">
        <v>40.605549000000003</v>
      </c>
      <c r="M51" s="809">
        <v>33.329529999999998</v>
      </c>
      <c r="N51" s="809">
        <v>37.398716999999998</v>
      </c>
      <c r="O51" s="809">
        <v>37.081389999999999</v>
      </c>
      <c r="P51" s="809">
        <v>37.328001</v>
      </c>
      <c r="Q51" s="809">
        <v>42.004657000000002</v>
      </c>
      <c r="R51" s="1289">
        <f t="shared" si="7"/>
        <v>476.37680899999992</v>
      </c>
    </row>
    <row r="52" spans="1:18" hidden="1">
      <c r="A52" s="304"/>
      <c r="B52" s="304"/>
      <c r="C52" s="1297" t="s">
        <v>1016</v>
      </c>
      <c r="D52" s="1045"/>
      <c r="E52" s="809"/>
      <c r="F52" s="809">
        <v>0</v>
      </c>
      <c r="G52" s="809">
        <v>0</v>
      </c>
      <c r="H52" s="809">
        <v>0</v>
      </c>
      <c r="I52" s="809">
        <v>0</v>
      </c>
      <c r="J52" s="809">
        <v>0</v>
      </c>
      <c r="K52" s="809">
        <v>0</v>
      </c>
      <c r="L52" s="809">
        <v>0</v>
      </c>
      <c r="M52" s="809">
        <v>0</v>
      </c>
      <c r="N52" s="809">
        <v>0</v>
      </c>
      <c r="O52" s="809">
        <v>0</v>
      </c>
      <c r="P52" s="809">
        <v>0</v>
      </c>
      <c r="Q52" s="809">
        <v>0</v>
      </c>
      <c r="R52" s="1289">
        <f t="shared" si="7"/>
        <v>0</v>
      </c>
    </row>
    <row r="53" spans="1:18" hidden="1">
      <c r="A53" s="304"/>
      <c r="B53" s="304"/>
      <c r="C53" s="1297" t="s">
        <v>844</v>
      </c>
      <c r="D53" s="1045"/>
      <c r="E53" s="809"/>
      <c r="F53" s="809">
        <v>0</v>
      </c>
      <c r="G53" s="809">
        <v>0</v>
      </c>
      <c r="H53" s="809">
        <v>0</v>
      </c>
      <c r="I53" s="809">
        <v>0</v>
      </c>
      <c r="J53" s="809">
        <v>0</v>
      </c>
      <c r="K53" s="809">
        <v>0</v>
      </c>
      <c r="L53" s="809">
        <v>0</v>
      </c>
      <c r="M53" s="809">
        <v>0</v>
      </c>
      <c r="N53" s="809">
        <v>0</v>
      </c>
      <c r="O53" s="809">
        <v>0</v>
      </c>
      <c r="P53" s="809">
        <v>0</v>
      </c>
      <c r="Q53" s="809">
        <v>0</v>
      </c>
      <c r="R53" s="1289">
        <f t="shared" si="7"/>
        <v>0</v>
      </c>
    </row>
    <row r="54" spans="1:18" hidden="1">
      <c r="A54" s="304"/>
      <c r="B54" s="304"/>
      <c r="C54" s="1297" t="s">
        <v>385</v>
      </c>
      <c r="D54" s="1045"/>
      <c r="E54" s="809">
        <v>0</v>
      </c>
      <c r="F54" s="809">
        <v>0</v>
      </c>
      <c r="G54" s="809">
        <v>0</v>
      </c>
      <c r="H54" s="809">
        <v>0</v>
      </c>
      <c r="I54" s="809">
        <v>0</v>
      </c>
      <c r="J54" s="809">
        <v>0</v>
      </c>
      <c r="K54" s="809">
        <v>0</v>
      </c>
      <c r="L54" s="809">
        <v>0</v>
      </c>
      <c r="M54" s="809">
        <v>0</v>
      </c>
      <c r="N54" s="809">
        <v>0</v>
      </c>
      <c r="O54" s="809">
        <v>0</v>
      </c>
      <c r="P54" s="809">
        <v>0</v>
      </c>
      <c r="Q54" s="809">
        <v>0</v>
      </c>
      <c r="R54" s="1289">
        <f t="shared" si="7"/>
        <v>0</v>
      </c>
    </row>
    <row r="55" spans="1:18" hidden="1">
      <c r="A55" s="304"/>
      <c r="B55" s="304"/>
      <c r="C55" s="1283" t="s">
        <v>216</v>
      </c>
      <c r="D55" s="433"/>
      <c r="E55" s="1044">
        <f>SUM(E48:E54)</f>
        <v>1.9354913328704886</v>
      </c>
      <c r="F55" s="1044">
        <f>SUM(F48:F54)</f>
        <v>41.569383999999999</v>
      </c>
      <c r="G55" s="1044">
        <f t="shared" ref="G55:Q55" si="8">SUM(G48:G54)</f>
        <v>41.285774000000004</v>
      </c>
      <c r="H55" s="1044">
        <f t="shared" si="8"/>
        <v>42.931041</v>
      </c>
      <c r="I55" s="1044">
        <f t="shared" si="8"/>
        <v>40.315049000000002</v>
      </c>
      <c r="J55" s="1044">
        <f t="shared" si="8"/>
        <v>41.005795999999997</v>
      </c>
      <c r="K55" s="1044">
        <f t="shared" si="8"/>
        <v>41.521920999999999</v>
      </c>
      <c r="L55" s="1044">
        <f t="shared" si="8"/>
        <v>40.605549000000003</v>
      </c>
      <c r="M55" s="1044">
        <f t="shared" si="8"/>
        <v>33.329529999999998</v>
      </c>
      <c r="N55" s="1044">
        <f t="shared" si="8"/>
        <v>37.398716999999998</v>
      </c>
      <c r="O55" s="1044">
        <f t="shared" si="8"/>
        <v>37.081389999999999</v>
      </c>
      <c r="P55" s="1044">
        <f t="shared" si="8"/>
        <v>37.328001</v>
      </c>
      <c r="Q55" s="1044">
        <f t="shared" si="8"/>
        <v>42.004657000000002</v>
      </c>
      <c r="R55" s="1298">
        <f>SUM(R48:R54)</f>
        <v>476.37680899999992</v>
      </c>
    </row>
    <row r="56" spans="1:18" hidden="1">
      <c r="A56" s="304"/>
      <c r="B56" s="304"/>
      <c r="C56" s="1283" t="s">
        <v>779</v>
      </c>
      <c r="D56" s="433"/>
      <c r="E56" s="1044"/>
      <c r="F56" s="1044"/>
      <c r="G56" s="1044"/>
      <c r="H56" s="1044"/>
      <c r="I56" s="1044"/>
      <c r="J56" s="1044"/>
      <c r="K56" s="1044"/>
      <c r="L56" s="1044"/>
      <c r="M56" s="1044"/>
      <c r="N56" s="1044"/>
      <c r="O56" s="1044"/>
      <c r="P56" s="1044"/>
      <c r="Q56" s="1044"/>
      <c r="R56" s="1298">
        <f>SUM(F56:Q56)</f>
        <v>0</v>
      </c>
    </row>
    <row r="57" spans="1:18" hidden="1">
      <c r="A57" s="304"/>
      <c r="B57" s="304"/>
      <c r="C57" s="1299" t="s">
        <v>778</v>
      </c>
      <c r="D57" s="1045"/>
      <c r="E57" s="809">
        <v>0</v>
      </c>
      <c r="F57" s="809">
        <v>0</v>
      </c>
      <c r="G57" s="809">
        <v>0</v>
      </c>
      <c r="H57" s="809">
        <v>0</v>
      </c>
      <c r="I57" s="809">
        <v>0</v>
      </c>
      <c r="J57" s="809">
        <v>0</v>
      </c>
      <c r="K57" s="809">
        <v>0</v>
      </c>
      <c r="L57" s="809">
        <v>0</v>
      </c>
      <c r="M57" s="809">
        <v>0</v>
      </c>
      <c r="N57" s="809">
        <v>0</v>
      </c>
      <c r="O57" s="809">
        <v>0</v>
      </c>
      <c r="P57" s="809">
        <v>0</v>
      </c>
      <c r="Q57" s="809">
        <v>0</v>
      </c>
      <c r="R57" s="1289">
        <f t="shared" ref="R57:R78" si="9">SUM(F57:Q57)</f>
        <v>0</v>
      </c>
    </row>
    <row r="58" spans="1:18" hidden="1">
      <c r="A58" s="304"/>
      <c r="B58" s="304"/>
      <c r="C58" s="1283" t="s">
        <v>784</v>
      </c>
      <c r="D58" s="433"/>
      <c r="E58" s="1044">
        <f>E57</f>
        <v>0</v>
      </c>
      <c r="F58" s="1044">
        <f>F57</f>
        <v>0</v>
      </c>
      <c r="G58" s="1044">
        <f t="shared" ref="G58:Q58" si="10">G57</f>
        <v>0</v>
      </c>
      <c r="H58" s="1044">
        <f t="shared" si="10"/>
        <v>0</v>
      </c>
      <c r="I58" s="1044">
        <f t="shared" si="10"/>
        <v>0</v>
      </c>
      <c r="J58" s="1044">
        <f t="shared" si="10"/>
        <v>0</v>
      </c>
      <c r="K58" s="1044">
        <f t="shared" si="10"/>
        <v>0</v>
      </c>
      <c r="L58" s="1044">
        <f t="shared" si="10"/>
        <v>0</v>
      </c>
      <c r="M58" s="1044">
        <f t="shared" si="10"/>
        <v>0</v>
      </c>
      <c r="N58" s="1044">
        <f t="shared" si="10"/>
        <v>0</v>
      </c>
      <c r="O58" s="1044">
        <f t="shared" si="10"/>
        <v>0</v>
      </c>
      <c r="P58" s="1044">
        <f t="shared" si="10"/>
        <v>0</v>
      </c>
      <c r="Q58" s="1044">
        <f t="shared" si="10"/>
        <v>0</v>
      </c>
      <c r="R58" s="1298">
        <f>SUM(F58:Q58)</f>
        <v>0</v>
      </c>
    </row>
    <row r="59" spans="1:18" hidden="1">
      <c r="A59" s="304"/>
      <c r="B59" s="304"/>
      <c r="C59" s="1300" t="s">
        <v>951</v>
      </c>
      <c r="D59" s="1045"/>
      <c r="E59" s="809"/>
      <c r="F59" s="809">
        <v>0</v>
      </c>
      <c r="G59" s="809">
        <v>0</v>
      </c>
      <c r="H59" s="809">
        <v>0</v>
      </c>
      <c r="I59" s="809">
        <v>0</v>
      </c>
      <c r="J59" s="809">
        <v>0</v>
      </c>
      <c r="K59" s="809">
        <v>0</v>
      </c>
      <c r="L59" s="809">
        <v>0</v>
      </c>
      <c r="M59" s="809">
        <v>0</v>
      </c>
      <c r="N59" s="809">
        <v>0</v>
      </c>
      <c r="O59" s="809">
        <v>0</v>
      </c>
      <c r="P59" s="809">
        <v>0</v>
      </c>
      <c r="Q59" s="809">
        <v>0</v>
      </c>
      <c r="R59" s="1301">
        <v>0</v>
      </c>
    </row>
    <row r="60" spans="1:18" hidden="1">
      <c r="A60" s="304"/>
      <c r="B60" s="304"/>
      <c r="C60" s="1300" t="s">
        <v>1017</v>
      </c>
      <c r="D60" s="1045"/>
      <c r="E60" s="809"/>
      <c r="F60" s="809">
        <v>0</v>
      </c>
      <c r="G60" s="809">
        <v>0</v>
      </c>
      <c r="H60" s="809">
        <v>0</v>
      </c>
      <c r="I60" s="809">
        <v>0</v>
      </c>
      <c r="J60" s="809">
        <v>0</v>
      </c>
      <c r="K60" s="809">
        <v>0</v>
      </c>
      <c r="L60" s="809">
        <v>0</v>
      </c>
      <c r="M60" s="809">
        <v>0</v>
      </c>
      <c r="N60" s="809">
        <v>0</v>
      </c>
      <c r="O60" s="809">
        <v>0</v>
      </c>
      <c r="P60" s="809">
        <v>0</v>
      </c>
      <c r="Q60" s="809">
        <v>0</v>
      </c>
      <c r="R60" s="1301">
        <v>0</v>
      </c>
    </row>
    <row r="61" spans="1:18" hidden="1">
      <c r="C61" s="1300" t="s">
        <v>952</v>
      </c>
      <c r="D61" s="1045"/>
      <c r="E61" s="809"/>
      <c r="F61" s="809">
        <v>0</v>
      </c>
      <c r="G61" s="809">
        <v>0</v>
      </c>
      <c r="H61" s="809">
        <v>0</v>
      </c>
      <c r="I61" s="809">
        <v>0</v>
      </c>
      <c r="J61" s="809">
        <v>0</v>
      </c>
      <c r="K61" s="809">
        <v>0</v>
      </c>
      <c r="L61" s="809">
        <v>0</v>
      </c>
      <c r="M61" s="809">
        <v>0</v>
      </c>
      <c r="N61" s="809">
        <v>0</v>
      </c>
      <c r="O61" s="809">
        <v>0</v>
      </c>
      <c r="P61" s="809">
        <v>0</v>
      </c>
      <c r="Q61" s="809">
        <v>0</v>
      </c>
      <c r="R61" s="1301">
        <v>0</v>
      </c>
    </row>
    <row r="62" spans="1:18" hidden="1">
      <c r="C62" s="1283" t="s">
        <v>217</v>
      </c>
      <c r="D62" s="433"/>
      <c r="E62" s="1044">
        <f>SUM(E55,E45,E58:E61)</f>
        <v>9.9158877656424718</v>
      </c>
      <c r="F62" s="1044">
        <f>SUM(F55,F45,F58:F61)</f>
        <v>116.86093699999999</v>
      </c>
      <c r="G62" s="1044">
        <f t="shared" ref="G62:R62" si="11">SUM(G55,G45,G58:G61)</f>
        <v>115.772595</v>
      </c>
      <c r="H62" s="1044">
        <f t="shared" si="11"/>
        <v>113.21163899999999</v>
      </c>
      <c r="I62" s="1044">
        <f t="shared" si="11"/>
        <v>108.20198500000001</v>
      </c>
      <c r="J62" s="1044">
        <f t="shared" si="11"/>
        <v>123.47424100000001</v>
      </c>
      <c r="K62" s="1044">
        <f t="shared" si="11"/>
        <v>131.72592599999999</v>
      </c>
      <c r="L62" s="1044">
        <f t="shared" si="11"/>
        <v>131.071381</v>
      </c>
      <c r="M62" s="1044">
        <f t="shared" si="11"/>
        <v>156.546075</v>
      </c>
      <c r="N62" s="1044">
        <f t="shared" si="11"/>
        <v>95.736176</v>
      </c>
      <c r="O62" s="1044">
        <f t="shared" si="11"/>
        <v>85.193151</v>
      </c>
      <c r="P62" s="1044">
        <f t="shared" si="11"/>
        <v>93.765235000000004</v>
      </c>
      <c r="Q62" s="1044">
        <f t="shared" si="11"/>
        <v>96.336206000000004</v>
      </c>
      <c r="R62" s="1298">
        <f t="shared" si="11"/>
        <v>1367.8955469999999</v>
      </c>
    </row>
    <row r="63" spans="1:18" hidden="1">
      <c r="C63" s="1302"/>
      <c r="D63" s="1045"/>
      <c r="E63" s="1046"/>
      <c r="F63" s="1046"/>
      <c r="G63" s="1046"/>
      <c r="H63" s="1046"/>
      <c r="I63" s="1046"/>
      <c r="J63" s="1046"/>
      <c r="K63" s="1046"/>
      <c r="L63" s="1046"/>
      <c r="M63" s="1046"/>
      <c r="N63" s="1046"/>
      <c r="O63" s="1046"/>
      <c r="P63" s="1046"/>
      <c r="Q63" s="1046"/>
      <c r="R63" s="1303"/>
    </row>
    <row r="64" spans="1:18" hidden="1">
      <c r="C64" s="1283" t="s">
        <v>113</v>
      </c>
      <c r="D64" s="1045"/>
      <c r="E64" s="809"/>
      <c r="F64" s="809"/>
      <c r="G64" s="809"/>
      <c r="H64" s="809"/>
      <c r="I64" s="809"/>
      <c r="J64" s="809"/>
      <c r="K64" s="809"/>
      <c r="L64" s="809"/>
      <c r="M64" s="809"/>
      <c r="N64" s="809"/>
      <c r="O64" s="809"/>
      <c r="P64" s="809"/>
      <c r="Q64" s="809"/>
      <c r="R64" s="1289"/>
    </row>
    <row r="65" spans="3:18" hidden="1">
      <c r="C65" s="1297" t="s">
        <v>114</v>
      </c>
      <c r="D65" s="1045"/>
      <c r="E65" s="809">
        <v>2.7300262850563279</v>
      </c>
      <c r="F65" s="809">
        <v>10.377834999999999</v>
      </c>
      <c r="G65" s="809">
        <v>8.767315</v>
      </c>
      <c r="H65" s="809">
        <v>10.279118</v>
      </c>
      <c r="I65" s="809">
        <v>6.2128940000000004</v>
      </c>
      <c r="J65" s="809">
        <v>5.0142179999999996</v>
      </c>
      <c r="K65" s="809">
        <v>4.2136839999999998</v>
      </c>
      <c r="L65" s="809">
        <v>4.9405530000000004</v>
      </c>
      <c r="M65" s="809">
        <v>5.7779829999999999</v>
      </c>
      <c r="N65" s="809">
        <v>6.1741229999999998</v>
      </c>
      <c r="O65" s="809">
        <v>7.62446</v>
      </c>
      <c r="P65" s="809">
        <v>5.3716410000000003</v>
      </c>
      <c r="Q65" s="809">
        <v>6.4828289999999997</v>
      </c>
      <c r="R65" s="1289">
        <f>SUM(F65:Q65)</f>
        <v>81.236653000000004</v>
      </c>
    </row>
    <row r="66" spans="3:18" hidden="1">
      <c r="C66" s="1297" t="s">
        <v>115</v>
      </c>
      <c r="D66" s="123"/>
      <c r="E66" s="809">
        <v>2.7379100673190644</v>
      </c>
      <c r="F66" s="809">
        <v>19.816721999999999</v>
      </c>
      <c r="G66" s="809">
        <v>17.160318</v>
      </c>
      <c r="H66" s="809">
        <v>15.443746000000001</v>
      </c>
      <c r="I66" s="809">
        <v>16.464801999999999</v>
      </c>
      <c r="J66" s="809">
        <v>17.125941999999998</v>
      </c>
      <c r="K66" s="809">
        <v>16.538117</v>
      </c>
      <c r="L66" s="809">
        <v>12.392379999999999</v>
      </c>
      <c r="M66" s="809">
        <v>7.8492449999999998</v>
      </c>
      <c r="N66" s="809">
        <v>6.1415170000000003</v>
      </c>
      <c r="O66" s="809">
        <v>7.3867770000000004</v>
      </c>
      <c r="P66" s="809">
        <v>11.305908000000001</v>
      </c>
      <c r="Q66" s="809">
        <v>14.126626</v>
      </c>
      <c r="R66" s="1289">
        <f t="shared" ref="R66:R71" si="12">SUM(F66:Q66)</f>
        <v>161.75209999999998</v>
      </c>
    </row>
    <row r="67" spans="3:18" hidden="1">
      <c r="C67" s="1297" t="s">
        <v>1018</v>
      </c>
      <c r="D67" s="123"/>
      <c r="E67" s="809"/>
      <c r="F67" s="809">
        <v>0</v>
      </c>
      <c r="G67" s="809">
        <v>0</v>
      </c>
      <c r="H67" s="809">
        <v>0</v>
      </c>
      <c r="I67" s="809">
        <v>0</v>
      </c>
      <c r="J67" s="809">
        <v>0</v>
      </c>
      <c r="K67" s="809">
        <v>0</v>
      </c>
      <c r="L67" s="809">
        <v>0</v>
      </c>
      <c r="M67" s="809">
        <v>0</v>
      </c>
      <c r="N67" s="809">
        <v>0</v>
      </c>
      <c r="O67" s="809">
        <v>0</v>
      </c>
      <c r="P67" s="809">
        <v>0</v>
      </c>
      <c r="Q67" s="809">
        <v>0</v>
      </c>
      <c r="R67" s="1289">
        <f t="shared" si="12"/>
        <v>0</v>
      </c>
    </row>
    <row r="68" spans="3:18" hidden="1">
      <c r="C68" s="1297" t="s">
        <v>1019</v>
      </c>
      <c r="D68" s="123"/>
      <c r="E68" s="809">
        <v>2.466900334031767</v>
      </c>
      <c r="F68" s="809">
        <v>0</v>
      </c>
      <c r="G68" s="809">
        <v>0</v>
      </c>
      <c r="H68" s="809">
        <v>0</v>
      </c>
      <c r="I68" s="809">
        <v>0</v>
      </c>
      <c r="J68" s="809">
        <v>0</v>
      </c>
      <c r="K68" s="809">
        <v>0</v>
      </c>
      <c r="L68" s="809">
        <v>0</v>
      </c>
      <c r="M68" s="809">
        <v>0.84216000000000002</v>
      </c>
      <c r="N68" s="809">
        <v>0.518594</v>
      </c>
      <c r="O68" s="809">
        <v>0.42305999999999999</v>
      </c>
      <c r="P68" s="809">
        <v>0.43682199999999999</v>
      </c>
      <c r="Q68" s="809">
        <v>0.42671700000000001</v>
      </c>
      <c r="R68" s="1289">
        <f t="shared" si="12"/>
        <v>2.6473529999999998</v>
      </c>
    </row>
    <row r="69" spans="3:18" hidden="1">
      <c r="C69" s="1297" t="s">
        <v>1020</v>
      </c>
      <c r="D69" s="123"/>
      <c r="E69" s="809"/>
      <c r="F69" s="809">
        <v>0</v>
      </c>
      <c r="G69" s="809">
        <v>0</v>
      </c>
      <c r="H69" s="809">
        <v>0</v>
      </c>
      <c r="I69" s="809">
        <v>0</v>
      </c>
      <c r="J69" s="809">
        <v>0</v>
      </c>
      <c r="K69" s="809">
        <v>0</v>
      </c>
      <c r="L69" s="809">
        <v>0</v>
      </c>
      <c r="M69" s="809">
        <v>0</v>
      </c>
      <c r="N69" s="809">
        <v>0</v>
      </c>
      <c r="O69" s="809">
        <v>0</v>
      </c>
      <c r="P69" s="809">
        <v>0</v>
      </c>
      <c r="Q69" s="809">
        <v>0</v>
      </c>
      <c r="R69" s="1289">
        <f t="shared" si="12"/>
        <v>0</v>
      </c>
    </row>
    <row r="70" spans="3:18" hidden="1">
      <c r="C70" s="1297" t="s">
        <v>1021</v>
      </c>
      <c r="D70" s="123"/>
      <c r="E70" s="809"/>
      <c r="F70" s="809">
        <v>0</v>
      </c>
      <c r="G70" s="809">
        <v>0</v>
      </c>
      <c r="H70" s="809">
        <v>0</v>
      </c>
      <c r="I70" s="809">
        <v>0</v>
      </c>
      <c r="J70" s="809">
        <v>0</v>
      </c>
      <c r="K70" s="809">
        <v>0</v>
      </c>
      <c r="L70" s="809">
        <v>0</v>
      </c>
      <c r="M70" s="809">
        <v>0</v>
      </c>
      <c r="N70" s="809">
        <v>0</v>
      </c>
      <c r="O70" s="809">
        <v>0</v>
      </c>
      <c r="P70" s="809">
        <v>0</v>
      </c>
      <c r="Q70" s="809">
        <v>0</v>
      </c>
      <c r="R70" s="1289">
        <f t="shared" si="12"/>
        <v>0</v>
      </c>
    </row>
    <row r="71" spans="3:18" hidden="1">
      <c r="C71" s="1297" t="s">
        <v>1022</v>
      </c>
      <c r="D71" s="123"/>
      <c r="E71" s="809">
        <v>2.6228948814547213</v>
      </c>
      <c r="F71" s="809">
        <v>0</v>
      </c>
      <c r="G71" s="809">
        <v>0</v>
      </c>
      <c r="H71" s="809">
        <v>0</v>
      </c>
      <c r="I71" s="809">
        <v>0</v>
      </c>
      <c r="J71" s="809">
        <v>0</v>
      </c>
      <c r="K71" s="809">
        <v>0</v>
      </c>
      <c r="L71" s="809">
        <v>0</v>
      </c>
      <c r="M71" s="809">
        <v>0.15194199999999999</v>
      </c>
      <c r="N71" s="809">
        <v>0.25055699999999997</v>
      </c>
      <c r="O71" s="809">
        <v>0.12853500000000001</v>
      </c>
      <c r="P71" s="809">
        <v>0.31464500000000001</v>
      </c>
      <c r="Q71" s="809">
        <v>0.16245899999999999</v>
      </c>
      <c r="R71" s="1289">
        <f t="shared" si="12"/>
        <v>1.008138</v>
      </c>
    </row>
    <row r="72" spans="3:18" hidden="1">
      <c r="C72" s="1283" t="s">
        <v>116</v>
      </c>
      <c r="D72" s="433"/>
      <c r="E72" s="1044">
        <f>SUM(E65:E71)</f>
        <v>10.557731567861881</v>
      </c>
      <c r="F72" s="1044">
        <f>SUM(F65:F71)</f>
        <v>30.194556999999996</v>
      </c>
      <c r="G72" s="1044">
        <f t="shared" ref="G72:R72" si="13">SUM(G65:G71)</f>
        <v>25.927633</v>
      </c>
      <c r="H72" s="1044">
        <f t="shared" si="13"/>
        <v>25.722864000000001</v>
      </c>
      <c r="I72" s="1044">
        <f t="shared" si="13"/>
        <v>22.677695999999997</v>
      </c>
      <c r="J72" s="1044">
        <f t="shared" si="13"/>
        <v>22.140159999999998</v>
      </c>
      <c r="K72" s="1044">
        <f t="shared" si="13"/>
        <v>20.751801</v>
      </c>
      <c r="L72" s="1044">
        <f t="shared" si="13"/>
        <v>17.332933000000001</v>
      </c>
      <c r="M72" s="1044">
        <f t="shared" si="13"/>
        <v>14.621329999999999</v>
      </c>
      <c r="N72" s="1044">
        <f t="shared" si="13"/>
        <v>13.084791000000001</v>
      </c>
      <c r="O72" s="1044">
        <f t="shared" si="13"/>
        <v>15.562832</v>
      </c>
      <c r="P72" s="1044">
        <f t="shared" si="13"/>
        <v>17.429015999999997</v>
      </c>
      <c r="Q72" s="1044">
        <f t="shared" si="13"/>
        <v>21.198630999999999</v>
      </c>
      <c r="R72" s="1298">
        <f t="shared" si="13"/>
        <v>246.64424399999999</v>
      </c>
    </row>
    <row r="73" spans="3:18" hidden="1">
      <c r="C73" s="434"/>
      <c r="D73" s="1045"/>
      <c r="E73" s="809"/>
      <c r="F73" s="809"/>
      <c r="G73" s="809"/>
      <c r="H73" s="809"/>
      <c r="I73" s="809"/>
      <c r="J73" s="809"/>
      <c r="K73" s="809"/>
      <c r="L73" s="809"/>
      <c r="M73" s="809"/>
      <c r="N73" s="809"/>
      <c r="O73" s="809"/>
      <c r="P73" s="809"/>
      <c r="Q73" s="809"/>
      <c r="R73" s="1289"/>
    </row>
    <row r="74" spans="3:18" hidden="1">
      <c r="C74" s="1283" t="s">
        <v>218</v>
      </c>
      <c r="D74" s="433"/>
      <c r="E74" s="1044"/>
      <c r="F74" s="1044"/>
      <c r="G74" s="1044"/>
      <c r="H74" s="1044"/>
      <c r="I74" s="1044"/>
      <c r="J74" s="1044"/>
      <c r="K74" s="1044"/>
      <c r="L74" s="1044"/>
      <c r="M74" s="1044"/>
      <c r="N74" s="1044"/>
      <c r="O74" s="1044"/>
      <c r="P74" s="1044"/>
      <c r="Q74" s="1044"/>
      <c r="R74" s="1298"/>
    </row>
    <row r="75" spans="3:18" hidden="1">
      <c r="C75" s="1299" t="s">
        <v>117</v>
      </c>
      <c r="D75" s="123"/>
      <c r="E75" s="809">
        <v>2.6267995840164193</v>
      </c>
      <c r="F75" s="809">
        <v>1.677592685</v>
      </c>
      <c r="G75" s="809">
        <v>1.2602806951999999</v>
      </c>
      <c r="H75" s="809">
        <v>1.4777271029999999</v>
      </c>
      <c r="I75" s="809">
        <v>2.1053834830000002</v>
      </c>
      <c r="J75" s="809">
        <v>1.5274941073999999</v>
      </c>
      <c r="K75" s="809">
        <v>1.8785691344</v>
      </c>
      <c r="L75" s="809">
        <v>1.8734389335999999</v>
      </c>
      <c r="M75" s="809">
        <v>2.0348580722</v>
      </c>
      <c r="N75" s="809">
        <v>2.1214419821999999</v>
      </c>
      <c r="O75" s="809">
        <v>2.1117170000000001</v>
      </c>
      <c r="P75" s="809">
        <v>1.437125</v>
      </c>
      <c r="Q75" s="809">
        <v>1.987174</v>
      </c>
      <c r="R75" s="1289">
        <f t="shared" si="9"/>
        <v>21.492802196000003</v>
      </c>
    </row>
    <row r="76" spans="3:18" hidden="1">
      <c r="C76" s="1297" t="s">
        <v>1023</v>
      </c>
      <c r="D76" s="123"/>
      <c r="E76" s="809">
        <v>3.5350890699844206</v>
      </c>
      <c r="F76" s="809">
        <v>27.544496136599999</v>
      </c>
      <c r="G76" s="809">
        <v>28.596618318599997</v>
      </c>
      <c r="H76" s="809">
        <v>26.609525733600002</v>
      </c>
      <c r="I76" s="809">
        <v>28.541817096399999</v>
      </c>
      <c r="J76" s="809">
        <v>28.003386151000001</v>
      </c>
      <c r="K76" s="809">
        <v>22.067781494199998</v>
      </c>
      <c r="L76" s="809">
        <v>27.8546295244</v>
      </c>
      <c r="M76" s="809">
        <v>25.7890514592</v>
      </c>
      <c r="N76" s="809">
        <v>20.780722990800001</v>
      </c>
      <c r="O76" s="809">
        <v>28.693598999999999</v>
      </c>
      <c r="P76" s="809">
        <v>25.409452000000002</v>
      </c>
      <c r="Q76" s="809">
        <v>28.387996000000001</v>
      </c>
      <c r="R76" s="1289">
        <f t="shared" si="9"/>
        <v>318.27907590479998</v>
      </c>
    </row>
    <row r="77" spans="3:18" hidden="1">
      <c r="C77" s="1297" t="s">
        <v>1024</v>
      </c>
      <c r="D77" s="123"/>
      <c r="E77" s="809">
        <v>0</v>
      </c>
      <c r="F77" s="809">
        <v>0</v>
      </c>
      <c r="G77" s="809">
        <v>0</v>
      </c>
      <c r="H77" s="809">
        <v>0</v>
      </c>
      <c r="I77" s="809">
        <v>0</v>
      </c>
      <c r="J77" s="809">
        <v>0</v>
      </c>
      <c r="K77" s="809">
        <v>0</v>
      </c>
      <c r="L77" s="809">
        <v>0</v>
      </c>
      <c r="M77" s="809">
        <v>0</v>
      </c>
      <c r="N77" s="809">
        <v>0</v>
      </c>
      <c r="O77" s="809">
        <v>0</v>
      </c>
      <c r="P77" s="809">
        <v>0</v>
      </c>
      <c r="Q77" s="809">
        <v>0</v>
      </c>
      <c r="R77" s="1289">
        <f t="shared" si="9"/>
        <v>0</v>
      </c>
    </row>
    <row r="78" spans="3:18" hidden="1">
      <c r="C78" s="1297" t="s">
        <v>1025</v>
      </c>
      <c r="D78" s="123"/>
      <c r="E78" s="809">
        <v>4.3938800723229647</v>
      </c>
      <c r="F78" s="809">
        <v>0</v>
      </c>
      <c r="G78" s="809">
        <v>0</v>
      </c>
      <c r="H78" s="809">
        <v>0</v>
      </c>
      <c r="I78" s="809">
        <v>0</v>
      </c>
      <c r="J78" s="809">
        <v>0</v>
      </c>
      <c r="K78" s="809">
        <v>0</v>
      </c>
      <c r="L78" s="809">
        <v>0.22541046140000001</v>
      </c>
      <c r="M78" s="809">
        <v>0.39839718140000002</v>
      </c>
      <c r="N78" s="809">
        <v>0.43403585039999998</v>
      </c>
      <c r="O78" s="809">
        <v>0.41483999999999999</v>
      </c>
      <c r="P78" s="809">
        <v>0.38599499999999998</v>
      </c>
      <c r="Q78" s="809">
        <v>0.44734400000000002</v>
      </c>
      <c r="R78" s="1289">
        <f t="shared" si="9"/>
        <v>2.3060224932</v>
      </c>
    </row>
    <row r="79" spans="3:18" hidden="1">
      <c r="C79" s="1283" t="s">
        <v>369</v>
      </c>
      <c r="D79" s="433"/>
      <c r="E79" s="1044">
        <f>SUM(E75:E78)</f>
        <v>10.555768726323805</v>
      </c>
      <c r="F79" s="1044">
        <f>SUM(F75:F78)</f>
        <v>29.2220888216</v>
      </c>
      <c r="G79" s="1044">
        <f t="shared" ref="G79:Q79" si="14">SUM(G75:G78)</f>
        <v>29.856899013799996</v>
      </c>
      <c r="H79" s="1044">
        <f t="shared" si="14"/>
        <v>28.087252836600001</v>
      </c>
      <c r="I79" s="1044">
        <f t="shared" si="14"/>
        <v>30.6472005794</v>
      </c>
      <c r="J79" s="1044">
        <f t="shared" si="14"/>
        <v>29.5308802584</v>
      </c>
      <c r="K79" s="1044">
        <f t="shared" si="14"/>
        <v>23.946350628599998</v>
      </c>
      <c r="L79" s="1044">
        <f t="shared" si="14"/>
        <v>29.953478919399998</v>
      </c>
      <c r="M79" s="1044">
        <f t="shared" si="14"/>
        <v>28.222306712799998</v>
      </c>
      <c r="N79" s="1044">
        <f t="shared" si="14"/>
        <v>23.336200823400002</v>
      </c>
      <c r="O79" s="1044">
        <f t="shared" si="14"/>
        <v>31.220155999999999</v>
      </c>
      <c r="P79" s="1044">
        <f t="shared" si="14"/>
        <v>27.232572000000005</v>
      </c>
      <c r="Q79" s="1044">
        <f t="shared" si="14"/>
        <v>30.822514000000002</v>
      </c>
      <c r="R79" s="1298">
        <f>SUM(R75:R78)</f>
        <v>342.07790059399997</v>
      </c>
    </row>
    <row r="80" spans="3:18" hidden="1">
      <c r="C80" s="434"/>
      <c r="D80" s="123"/>
      <c r="E80" s="809"/>
      <c r="F80" s="809"/>
      <c r="G80" s="809"/>
      <c r="H80" s="809"/>
      <c r="I80" s="809"/>
      <c r="J80" s="809"/>
      <c r="K80" s="809"/>
      <c r="L80" s="809"/>
      <c r="M80" s="809"/>
      <c r="N80" s="809"/>
      <c r="O80" s="809"/>
      <c r="P80" s="809"/>
      <c r="Q80" s="809"/>
      <c r="R80" s="1289"/>
    </row>
    <row r="81" spans="3:18" hidden="1">
      <c r="C81" s="434" t="s">
        <v>416</v>
      </c>
      <c r="D81" s="123"/>
      <c r="E81" s="809"/>
      <c r="F81" s="809"/>
      <c r="G81" s="809"/>
      <c r="H81" s="809"/>
      <c r="I81" s="809"/>
      <c r="J81" s="809"/>
      <c r="K81" s="809"/>
      <c r="L81" s="809"/>
      <c r="M81" s="809"/>
      <c r="N81" s="809"/>
      <c r="O81" s="809"/>
      <c r="P81" s="809"/>
      <c r="Q81" s="809"/>
      <c r="R81" s="1289"/>
    </row>
    <row r="82" spans="3:18" hidden="1">
      <c r="C82" s="1297" t="s">
        <v>417</v>
      </c>
      <c r="D82" s="1045"/>
      <c r="E82" s="809">
        <v>4.4893532138363215</v>
      </c>
      <c r="F82" s="809">
        <v>107.36101600000001</v>
      </c>
      <c r="G82" s="809">
        <v>100.94193799999999</v>
      </c>
      <c r="H82" s="809">
        <v>108.39269299999999</v>
      </c>
      <c r="I82" s="809">
        <v>103.744557</v>
      </c>
      <c r="J82" s="809">
        <v>99.713109000000003</v>
      </c>
      <c r="K82" s="809">
        <v>99.905139000000005</v>
      </c>
      <c r="L82" s="809">
        <v>74.366688999999994</v>
      </c>
      <c r="M82" s="809">
        <v>75.474425999999994</v>
      </c>
      <c r="N82" s="809">
        <v>90.164698000000001</v>
      </c>
      <c r="O82" s="809">
        <v>106.198273</v>
      </c>
      <c r="P82" s="809">
        <v>101.88561900000001</v>
      </c>
      <c r="Q82" s="809">
        <v>101.82391800000001</v>
      </c>
      <c r="R82" s="1289">
        <f>SUM(F82:Q82)</f>
        <v>1169.9720749999999</v>
      </c>
    </row>
    <row r="83" spans="3:18" hidden="1">
      <c r="C83" s="1297" t="s">
        <v>419</v>
      </c>
      <c r="D83" s="1045"/>
      <c r="E83" s="809">
        <v>4.3624605587689427</v>
      </c>
      <c r="F83" s="809">
        <v>48.229258999999999</v>
      </c>
      <c r="G83" s="809">
        <v>36.856023999999998</v>
      </c>
      <c r="H83" s="809">
        <v>25.140823999999999</v>
      </c>
      <c r="I83" s="809">
        <v>35.433461999999999</v>
      </c>
      <c r="J83" s="809">
        <v>44.495570999999998</v>
      </c>
      <c r="K83" s="809">
        <v>38.067475999999999</v>
      </c>
      <c r="L83" s="809">
        <v>43.704186</v>
      </c>
      <c r="M83" s="809">
        <v>50.510919999999999</v>
      </c>
      <c r="N83" s="809">
        <v>46.921104</v>
      </c>
      <c r="O83" s="809">
        <v>42.968919999999997</v>
      </c>
      <c r="P83" s="809">
        <v>39.164828999999997</v>
      </c>
      <c r="Q83" s="809">
        <v>41.113436</v>
      </c>
      <c r="R83" s="1289">
        <f t="shared" ref="R83:R84" si="15">SUM(F83:Q83)</f>
        <v>492.60601100000002</v>
      </c>
    </row>
    <row r="84" spans="3:18" hidden="1">
      <c r="C84" s="1297" t="s">
        <v>1026</v>
      </c>
      <c r="D84" s="1045"/>
      <c r="E84" s="809"/>
      <c r="F84" s="809">
        <v>0</v>
      </c>
      <c r="G84" s="809">
        <v>0</v>
      </c>
      <c r="H84" s="809">
        <v>0</v>
      </c>
      <c r="I84" s="809">
        <v>0</v>
      </c>
      <c r="J84" s="809">
        <v>0</v>
      </c>
      <c r="K84" s="809">
        <v>0</v>
      </c>
      <c r="L84" s="809">
        <v>0</v>
      </c>
      <c r="M84" s="809">
        <v>0</v>
      </c>
      <c r="N84" s="809">
        <v>0</v>
      </c>
      <c r="O84" s="809">
        <v>0</v>
      </c>
      <c r="P84" s="809">
        <v>0</v>
      </c>
      <c r="Q84" s="809">
        <v>0</v>
      </c>
      <c r="R84" s="1289">
        <f t="shared" si="15"/>
        <v>0</v>
      </c>
    </row>
    <row r="85" spans="3:18" hidden="1">
      <c r="C85" s="1283" t="s">
        <v>418</v>
      </c>
      <c r="D85" s="433"/>
      <c r="E85" s="1044">
        <f>SUM(E82:E84)</f>
        <v>8.851813772605265</v>
      </c>
      <c r="F85" s="1044">
        <f>SUM(F82:F84)</f>
        <v>155.59027500000002</v>
      </c>
      <c r="G85" s="1044">
        <f t="shared" ref="G85:Q85" si="16">SUM(G82:G84)</f>
        <v>137.79796199999998</v>
      </c>
      <c r="H85" s="1044">
        <f t="shared" si="16"/>
        <v>133.53351699999999</v>
      </c>
      <c r="I85" s="1044">
        <f t="shared" si="16"/>
        <v>139.17801900000001</v>
      </c>
      <c r="J85" s="1044">
        <f t="shared" si="16"/>
        <v>144.20868000000002</v>
      </c>
      <c r="K85" s="1044">
        <f t="shared" si="16"/>
        <v>137.97261500000002</v>
      </c>
      <c r="L85" s="1044">
        <f t="shared" si="16"/>
        <v>118.070875</v>
      </c>
      <c r="M85" s="1044">
        <f t="shared" si="16"/>
        <v>125.98534599999999</v>
      </c>
      <c r="N85" s="1044">
        <f t="shared" si="16"/>
        <v>137.085802</v>
      </c>
      <c r="O85" s="1044">
        <f t="shared" si="16"/>
        <v>149.167193</v>
      </c>
      <c r="P85" s="1044">
        <f t="shared" si="16"/>
        <v>141.05044800000002</v>
      </c>
      <c r="Q85" s="1044">
        <f t="shared" si="16"/>
        <v>142.937354</v>
      </c>
      <c r="R85" s="1298">
        <f>SUM(R82:R84)</f>
        <v>1662.578086</v>
      </c>
    </row>
    <row r="86" spans="3:18" hidden="1">
      <c r="C86" s="434"/>
      <c r="D86" s="123"/>
      <c r="E86" s="809"/>
      <c r="F86" s="809"/>
      <c r="G86" s="809"/>
      <c r="H86" s="809"/>
      <c r="I86" s="809"/>
      <c r="J86" s="809"/>
      <c r="K86" s="809"/>
      <c r="L86" s="809"/>
      <c r="M86" s="809"/>
      <c r="N86" s="809"/>
      <c r="O86" s="809"/>
      <c r="P86" s="809"/>
      <c r="Q86" s="809"/>
      <c r="R86" s="1289"/>
    </row>
    <row r="87" spans="3:18" hidden="1">
      <c r="C87" s="1283" t="s">
        <v>401</v>
      </c>
      <c r="D87" s="433"/>
      <c r="E87" s="1044"/>
      <c r="F87" s="1044"/>
      <c r="G87" s="1044"/>
      <c r="H87" s="1044"/>
      <c r="I87" s="1044"/>
      <c r="J87" s="1044"/>
      <c r="K87" s="1044"/>
      <c r="L87" s="1044"/>
      <c r="M87" s="1044"/>
      <c r="N87" s="1044"/>
      <c r="O87" s="1044"/>
      <c r="P87" s="1044"/>
      <c r="Q87" s="1044"/>
      <c r="R87" s="1298"/>
    </row>
    <row r="88" spans="3:18" hidden="1">
      <c r="C88" s="1297" t="s">
        <v>127</v>
      </c>
      <c r="D88" s="123"/>
      <c r="E88" s="809">
        <v>3.4770463354649439</v>
      </c>
      <c r="F88" s="809">
        <v>22.283756</v>
      </c>
      <c r="G88" s="809">
        <v>19.49184</v>
      </c>
      <c r="H88" s="809">
        <v>19.179676000000001</v>
      </c>
      <c r="I88" s="809">
        <v>12.096799000000001</v>
      </c>
      <c r="J88" s="809">
        <v>13.865410000000001</v>
      </c>
      <c r="K88" s="809">
        <v>18.129733999999999</v>
      </c>
      <c r="L88" s="809">
        <v>15.852796</v>
      </c>
      <c r="M88" s="809">
        <v>19.090070999999998</v>
      </c>
      <c r="N88" s="809">
        <v>16.401361000000001</v>
      </c>
      <c r="O88" s="809">
        <v>11.687353999999999</v>
      </c>
      <c r="P88" s="809">
        <v>15.952208000000001</v>
      </c>
      <c r="Q88" s="809">
        <v>16.732362999999999</v>
      </c>
      <c r="R88" s="1289">
        <f>SUM(F88:Q88)</f>
        <v>200.76336800000001</v>
      </c>
    </row>
    <row r="89" spans="3:18" hidden="1">
      <c r="C89" s="1297" t="s">
        <v>1027</v>
      </c>
      <c r="D89" s="123"/>
      <c r="E89" s="809"/>
      <c r="F89" s="809">
        <v>0</v>
      </c>
      <c r="G89" s="809">
        <v>0</v>
      </c>
      <c r="H89" s="809">
        <v>0</v>
      </c>
      <c r="I89" s="809">
        <v>0</v>
      </c>
      <c r="J89" s="809">
        <v>0</v>
      </c>
      <c r="K89" s="809">
        <v>0</v>
      </c>
      <c r="L89" s="809">
        <v>0</v>
      </c>
      <c r="M89" s="809">
        <v>0</v>
      </c>
      <c r="N89" s="809">
        <v>0</v>
      </c>
      <c r="O89" s="809">
        <v>0</v>
      </c>
      <c r="P89" s="809">
        <v>0</v>
      </c>
      <c r="Q89" s="809">
        <v>0</v>
      </c>
      <c r="R89" s="1289">
        <f t="shared" ref="R89:R97" si="17">SUM(F89:Q89)</f>
        <v>0</v>
      </c>
    </row>
    <row r="90" spans="3:18" hidden="1">
      <c r="C90" s="1297" t="s">
        <v>621</v>
      </c>
      <c r="D90" s="1045"/>
      <c r="E90" s="809">
        <v>5.7043347759466787</v>
      </c>
      <c r="F90" s="809">
        <v>40.700319999999998</v>
      </c>
      <c r="G90" s="809">
        <v>48.325057000000001</v>
      </c>
      <c r="H90" s="809">
        <v>54.62782</v>
      </c>
      <c r="I90" s="809">
        <v>52.122584000000003</v>
      </c>
      <c r="J90" s="809">
        <v>45.855809000000001</v>
      </c>
      <c r="K90" s="809">
        <v>54.808596000000001</v>
      </c>
      <c r="L90" s="809">
        <v>5.3676019999999998</v>
      </c>
      <c r="M90" s="809">
        <v>28.562194999999999</v>
      </c>
      <c r="N90" s="809">
        <v>29.415624999999999</v>
      </c>
      <c r="O90" s="809">
        <v>26.149232000000001</v>
      </c>
      <c r="P90" s="809">
        <v>30.385200999999999</v>
      </c>
      <c r="Q90" s="809">
        <v>28.278877999999999</v>
      </c>
      <c r="R90" s="1289">
        <f t="shared" si="17"/>
        <v>444.59891899999991</v>
      </c>
    </row>
    <row r="91" spans="3:18" hidden="1">
      <c r="C91" s="1297" t="s">
        <v>594</v>
      </c>
      <c r="D91" s="123"/>
      <c r="E91" s="809">
        <v>4.1563861834750444</v>
      </c>
      <c r="F91" s="809">
        <v>14.168094</v>
      </c>
      <c r="G91" s="809">
        <v>29.413018000000001</v>
      </c>
      <c r="H91" s="809">
        <v>27.524217</v>
      </c>
      <c r="I91" s="809">
        <v>22.429644</v>
      </c>
      <c r="J91" s="809">
        <v>22.186329000000001</v>
      </c>
      <c r="K91" s="809">
        <v>14.268594</v>
      </c>
      <c r="L91" s="809">
        <v>20.36721</v>
      </c>
      <c r="M91" s="809">
        <v>12.919796</v>
      </c>
      <c r="N91" s="809">
        <v>24.266459000000001</v>
      </c>
      <c r="O91" s="809">
        <v>25.090966000000002</v>
      </c>
      <c r="P91" s="809">
        <v>20.537635000000002</v>
      </c>
      <c r="Q91" s="809">
        <v>21.558834000000001</v>
      </c>
      <c r="R91" s="1289">
        <f t="shared" si="17"/>
        <v>254.730796</v>
      </c>
    </row>
    <row r="92" spans="3:18" hidden="1">
      <c r="C92" s="1304" t="s">
        <v>1028</v>
      </c>
      <c r="D92" s="123"/>
      <c r="E92" s="809"/>
      <c r="F92" s="809">
        <v>0</v>
      </c>
      <c r="G92" s="809">
        <v>0</v>
      </c>
      <c r="H92" s="809">
        <v>0</v>
      </c>
      <c r="I92" s="809">
        <v>0</v>
      </c>
      <c r="J92" s="809">
        <v>0</v>
      </c>
      <c r="K92" s="809">
        <v>0</v>
      </c>
      <c r="L92" s="809">
        <v>0</v>
      </c>
      <c r="M92" s="809">
        <v>0</v>
      </c>
      <c r="N92" s="809">
        <v>0</v>
      </c>
      <c r="O92" s="809">
        <v>0</v>
      </c>
      <c r="P92" s="809">
        <v>0</v>
      </c>
      <c r="Q92" s="809">
        <v>0</v>
      </c>
      <c r="R92" s="1289">
        <f t="shared" si="17"/>
        <v>0</v>
      </c>
    </row>
    <row r="93" spans="3:18" hidden="1">
      <c r="C93" s="1304" t="s">
        <v>780</v>
      </c>
      <c r="D93" s="1045"/>
      <c r="E93" s="809">
        <v>2.2026384273965496</v>
      </c>
      <c r="F93" s="809">
        <v>10.733733000000001</v>
      </c>
      <c r="G93" s="809">
        <v>12.731023</v>
      </c>
      <c r="H93" s="809">
        <v>10.684835</v>
      </c>
      <c r="I93" s="809">
        <v>12.599261</v>
      </c>
      <c r="J93" s="809">
        <v>11.510914</v>
      </c>
      <c r="K93" s="809">
        <v>10.606657</v>
      </c>
      <c r="L93" s="809">
        <v>11.074414000000001</v>
      </c>
      <c r="M93" s="809">
        <v>10.753406999999999</v>
      </c>
      <c r="N93" s="809">
        <v>4.5751689999999998</v>
      </c>
      <c r="O93" s="809">
        <v>11.293812000000001</v>
      </c>
      <c r="P93" s="809">
        <v>10.983779</v>
      </c>
      <c r="Q93" s="809">
        <v>13.125684</v>
      </c>
      <c r="R93" s="1289">
        <f t="shared" si="17"/>
        <v>130.67268799999999</v>
      </c>
    </row>
    <row r="94" spans="3:18" hidden="1">
      <c r="C94" s="1304" t="s">
        <v>813</v>
      </c>
      <c r="D94" s="1045"/>
      <c r="E94" s="809">
        <v>4.2718382189735822</v>
      </c>
      <c r="F94" s="809">
        <v>8.3017330000000005</v>
      </c>
      <c r="G94" s="809">
        <v>7.456855</v>
      </c>
      <c r="H94" s="809">
        <v>8.0200800000000001</v>
      </c>
      <c r="I94" s="809">
        <v>5.4447809999999999</v>
      </c>
      <c r="J94" s="809">
        <v>4.7889900000000001</v>
      </c>
      <c r="K94" s="809">
        <v>6.4221640000000004</v>
      </c>
      <c r="L94" s="809">
        <v>4.5259109999999998</v>
      </c>
      <c r="M94" s="809">
        <v>5.6889070000000004</v>
      </c>
      <c r="N94" s="809">
        <v>6.7609459999999997</v>
      </c>
      <c r="O94" s="809">
        <v>9.5257430000000003</v>
      </c>
      <c r="P94" s="809">
        <v>4.6297059999999997</v>
      </c>
      <c r="Q94" s="809">
        <v>10.255497</v>
      </c>
      <c r="R94" s="1289">
        <f t="shared" si="17"/>
        <v>81.821313000000004</v>
      </c>
    </row>
    <row r="95" spans="3:18" ht="25.5" hidden="1">
      <c r="C95" s="1304" t="s">
        <v>654</v>
      </c>
      <c r="D95" s="1045"/>
      <c r="E95" s="809"/>
      <c r="F95" s="809">
        <v>0</v>
      </c>
      <c r="G95" s="809">
        <v>0</v>
      </c>
      <c r="H95" s="809">
        <v>0</v>
      </c>
      <c r="I95" s="809">
        <v>0</v>
      </c>
      <c r="J95" s="809">
        <v>0</v>
      </c>
      <c r="K95" s="809">
        <v>0</v>
      </c>
      <c r="L95" s="809">
        <v>0</v>
      </c>
      <c r="M95" s="809">
        <v>0</v>
      </c>
      <c r="N95" s="809">
        <v>0</v>
      </c>
      <c r="O95" s="809">
        <v>0</v>
      </c>
      <c r="P95" s="809">
        <v>0</v>
      </c>
      <c r="Q95" s="809">
        <v>0</v>
      </c>
      <c r="R95" s="1289">
        <f t="shared" si="17"/>
        <v>0</v>
      </c>
    </row>
    <row r="96" spans="3:18" ht="25.5" hidden="1">
      <c r="C96" s="1304" t="s">
        <v>652</v>
      </c>
      <c r="D96" s="1045"/>
      <c r="E96" s="809"/>
      <c r="F96" s="809">
        <v>0</v>
      </c>
      <c r="G96" s="809">
        <v>0</v>
      </c>
      <c r="H96" s="809">
        <v>0</v>
      </c>
      <c r="I96" s="809">
        <v>0</v>
      </c>
      <c r="J96" s="809">
        <v>0</v>
      </c>
      <c r="K96" s="809">
        <v>0</v>
      </c>
      <c r="L96" s="809">
        <v>0</v>
      </c>
      <c r="M96" s="809">
        <v>0</v>
      </c>
      <c r="N96" s="809">
        <v>0</v>
      </c>
      <c r="O96" s="809">
        <v>0</v>
      </c>
      <c r="P96" s="809">
        <v>0</v>
      </c>
      <c r="Q96" s="809">
        <v>0</v>
      </c>
      <c r="R96" s="1289">
        <f t="shared" si="17"/>
        <v>0</v>
      </c>
    </row>
    <row r="97" spans="3:18" ht="25.5" hidden="1">
      <c r="C97" s="1297" t="s">
        <v>781</v>
      </c>
      <c r="D97" s="1045"/>
      <c r="E97" s="809">
        <v>0</v>
      </c>
      <c r="F97" s="809">
        <v>12.788917989</v>
      </c>
      <c r="G97" s="809">
        <v>1.3466241044</v>
      </c>
      <c r="H97" s="809">
        <v>6.4384259772936003</v>
      </c>
      <c r="I97" s="809">
        <v>2.4039319425554</v>
      </c>
      <c r="J97" s="809">
        <v>4.5359556241960002</v>
      </c>
      <c r="K97" s="809">
        <v>-0.48759105896280003</v>
      </c>
      <c r="L97" s="809">
        <v>4.5988262350000007</v>
      </c>
      <c r="M97" s="809">
        <v>6.0329439999999996</v>
      </c>
      <c r="N97" s="809">
        <v>-8.9934528028000003</v>
      </c>
      <c r="O97" s="809">
        <v>-5.0129428964000002</v>
      </c>
      <c r="P97" s="809">
        <v>-2.3056786342000004</v>
      </c>
      <c r="Q97" s="809">
        <v>-6.8711901731939999</v>
      </c>
      <c r="R97" s="1289">
        <f t="shared" si="17"/>
        <v>14.474770306888198</v>
      </c>
    </row>
    <row r="98" spans="3:18" hidden="1">
      <c r="C98" s="1283" t="s">
        <v>219</v>
      </c>
      <c r="D98" s="433"/>
      <c r="E98" s="1044">
        <f>SUM(E79,E72,E62,E85,E88:E97)</f>
        <v>59.693445773690215</v>
      </c>
      <c r="F98" s="1044">
        <f>SUM(F79,F72,F62,F85,F88:F97)</f>
        <v>440.84441181059998</v>
      </c>
      <c r="G98" s="1044">
        <f t="shared" ref="G98:P98" si="18">SUM(G79,G72,G62,G85,G88:G97)</f>
        <v>428.11950611820009</v>
      </c>
      <c r="H98" s="1044">
        <f t="shared" si="18"/>
        <v>427.03032681389362</v>
      </c>
      <c r="I98" s="1044">
        <f t="shared" si="18"/>
        <v>407.80190152195541</v>
      </c>
      <c r="J98" s="1044">
        <f t="shared" si="18"/>
        <v>422.09736888259607</v>
      </c>
      <c r="K98" s="1044">
        <f t="shared" si="18"/>
        <v>418.14484656963725</v>
      </c>
      <c r="L98" s="1044">
        <f t="shared" si="18"/>
        <v>358.2154271544</v>
      </c>
      <c r="M98" s="1044">
        <f t="shared" si="18"/>
        <v>408.42237771279991</v>
      </c>
      <c r="N98" s="1044">
        <f t="shared" si="18"/>
        <v>341.66907702060001</v>
      </c>
      <c r="O98" s="1044">
        <f t="shared" si="18"/>
        <v>359.87749610359998</v>
      </c>
      <c r="P98" s="1044">
        <f t="shared" si="18"/>
        <v>359.66012136580008</v>
      </c>
      <c r="Q98" s="1044">
        <f>SUM(Q79,Q72,Q62,Q85,Q88:Q97)</f>
        <v>374.37477082680601</v>
      </c>
      <c r="R98" s="1298">
        <f t="shared" ref="R98" si="19">SUM(R79,R72,R62,R85,R88:R97)</f>
        <v>4746.2576319008876</v>
      </c>
    </row>
    <row r="99" spans="3:18" hidden="1">
      <c r="C99" s="434"/>
      <c r="D99" s="123"/>
      <c r="E99" s="809"/>
      <c r="F99" s="809"/>
      <c r="G99" s="809"/>
      <c r="H99" s="809"/>
      <c r="I99" s="809"/>
      <c r="J99" s="809"/>
      <c r="K99" s="809"/>
      <c r="L99" s="809"/>
      <c r="M99" s="809"/>
      <c r="N99" s="809"/>
      <c r="O99" s="809"/>
      <c r="P99" s="809"/>
      <c r="Q99" s="809"/>
      <c r="R99" s="1289"/>
    </row>
    <row r="100" spans="3:18" hidden="1">
      <c r="C100" s="1283" t="s">
        <v>121</v>
      </c>
      <c r="D100" s="433"/>
      <c r="E100" s="1044"/>
      <c r="F100" s="1044"/>
      <c r="G100" s="1044"/>
      <c r="H100" s="1044"/>
      <c r="I100" s="1044"/>
      <c r="J100" s="1044"/>
      <c r="K100" s="1044"/>
      <c r="L100" s="1044"/>
      <c r="M100" s="1044"/>
      <c r="N100" s="1044"/>
      <c r="O100" s="1044"/>
      <c r="P100" s="1044"/>
      <c r="Q100" s="1044"/>
      <c r="R100" s="1298"/>
    </row>
    <row r="101" spans="3:18" hidden="1">
      <c r="C101" s="1304" t="s">
        <v>122</v>
      </c>
      <c r="D101" s="123"/>
      <c r="E101" s="809"/>
      <c r="F101" s="809">
        <v>0</v>
      </c>
      <c r="G101" s="809">
        <v>0</v>
      </c>
      <c r="H101" s="809">
        <v>0</v>
      </c>
      <c r="I101" s="809">
        <v>0</v>
      </c>
      <c r="J101" s="809">
        <v>0</v>
      </c>
      <c r="K101" s="809">
        <v>0</v>
      </c>
      <c r="L101" s="809">
        <v>0</v>
      </c>
      <c r="M101" s="809">
        <v>0</v>
      </c>
      <c r="N101" s="809">
        <v>0</v>
      </c>
      <c r="O101" s="809">
        <v>0</v>
      </c>
      <c r="P101" s="809">
        <v>0</v>
      </c>
      <c r="Q101" s="809">
        <v>0</v>
      </c>
      <c r="R101" s="1289">
        <f t="shared" ref="R101:R102" si="20">SUM(F101:Q101)</f>
        <v>0</v>
      </c>
    </row>
    <row r="102" spans="3:18" hidden="1">
      <c r="C102" s="1304" t="s">
        <v>123</v>
      </c>
      <c r="D102" s="123"/>
      <c r="E102" s="809"/>
      <c r="F102" s="809">
        <v>0</v>
      </c>
      <c r="G102" s="809">
        <v>0</v>
      </c>
      <c r="H102" s="809">
        <v>0</v>
      </c>
      <c r="I102" s="809">
        <v>0</v>
      </c>
      <c r="J102" s="809">
        <v>0</v>
      </c>
      <c r="K102" s="809">
        <v>0</v>
      </c>
      <c r="L102" s="809">
        <v>0</v>
      </c>
      <c r="M102" s="809">
        <v>0</v>
      </c>
      <c r="N102" s="809">
        <v>0</v>
      </c>
      <c r="O102" s="809">
        <v>0</v>
      </c>
      <c r="P102" s="809">
        <v>0</v>
      </c>
      <c r="Q102" s="809">
        <v>0</v>
      </c>
      <c r="R102" s="1289">
        <f t="shared" si="20"/>
        <v>0</v>
      </c>
    </row>
    <row r="103" spans="3:18" hidden="1">
      <c r="C103" s="1283" t="s">
        <v>220</v>
      </c>
      <c r="D103" s="433"/>
      <c r="E103" s="1044">
        <f>SUM(E101:E102)</f>
        <v>0</v>
      </c>
      <c r="F103" s="1044">
        <f>SUM(F101:F102)</f>
        <v>0</v>
      </c>
      <c r="G103" s="1044">
        <f t="shared" ref="G103:R103" si="21">SUM(G101:G102)</f>
        <v>0</v>
      </c>
      <c r="H103" s="1044">
        <f t="shared" si="21"/>
        <v>0</v>
      </c>
      <c r="I103" s="1044">
        <f t="shared" si="21"/>
        <v>0</v>
      </c>
      <c r="J103" s="1044">
        <f t="shared" si="21"/>
        <v>0</v>
      </c>
      <c r="K103" s="1044">
        <f t="shared" si="21"/>
        <v>0</v>
      </c>
      <c r="L103" s="1044">
        <f t="shared" si="21"/>
        <v>0</v>
      </c>
      <c r="M103" s="1044">
        <f t="shared" si="21"/>
        <v>0</v>
      </c>
      <c r="N103" s="1044">
        <f t="shared" si="21"/>
        <v>0</v>
      </c>
      <c r="O103" s="1044">
        <f t="shared" si="21"/>
        <v>0</v>
      </c>
      <c r="P103" s="1044">
        <f t="shared" si="21"/>
        <v>0</v>
      </c>
      <c r="Q103" s="1044">
        <f t="shared" si="21"/>
        <v>0</v>
      </c>
      <c r="R103" s="1298">
        <f t="shared" si="21"/>
        <v>0</v>
      </c>
    </row>
    <row r="104" spans="3:18" hidden="1">
      <c r="C104" s="434"/>
      <c r="D104" s="123"/>
      <c r="E104" s="809"/>
      <c r="F104" s="809"/>
      <c r="G104" s="809"/>
      <c r="H104" s="809"/>
      <c r="I104" s="809"/>
      <c r="J104" s="809"/>
      <c r="K104" s="809"/>
      <c r="L104" s="809"/>
      <c r="M104" s="809"/>
      <c r="N104" s="809"/>
      <c r="O104" s="809"/>
      <c r="P104" s="809"/>
      <c r="Q104" s="809"/>
      <c r="R104" s="1289"/>
    </row>
    <row r="105" spans="3:18" hidden="1">
      <c r="C105" s="1283" t="s">
        <v>124</v>
      </c>
      <c r="D105" s="433"/>
      <c r="E105" s="1044"/>
      <c r="F105" s="1044"/>
      <c r="G105" s="1044"/>
      <c r="H105" s="1044"/>
      <c r="I105" s="1044"/>
      <c r="J105" s="1044"/>
      <c r="K105" s="1044"/>
      <c r="L105" s="1044"/>
      <c r="M105" s="1044"/>
      <c r="N105" s="1044"/>
      <c r="O105" s="1044"/>
      <c r="P105" s="1044"/>
      <c r="Q105" s="1044"/>
      <c r="R105" s="1298"/>
    </row>
    <row r="106" spans="3:18" hidden="1">
      <c r="C106" s="1305" t="s">
        <v>648</v>
      </c>
      <c r="D106" s="123"/>
      <c r="E106" s="809">
        <v>5.8201486688624531</v>
      </c>
      <c r="F106" s="809">
        <v>15.9074397058</v>
      </c>
      <c r="G106" s="809">
        <v>15.4986528174</v>
      </c>
      <c r="H106" s="809">
        <v>14.863920498199999</v>
      </c>
      <c r="I106" s="809">
        <v>10.154894551000002</v>
      </c>
      <c r="J106" s="809">
        <v>11.437935169800001</v>
      </c>
      <c r="K106" s="809">
        <v>13.482113010199999</v>
      </c>
      <c r="L106" s="809">
        <v>2.2470685167999997</v>
      </c>
      <c r="M106" s="809">
        <v>-0.1405477258</v>
      </c>
      <c r="N106" s="809">
        <v>-0.1854333608</v>
      </c>
      <c r="O106" s="809">
        <v>-0.199797</v>
      </c>
      <c r="P106" s="809">
        <v>-0.23890700000000001</v>
      </c>
      <c r="Q106" s="809">
        <v>-0.24371061639999997</v>
      </c>
      <c r="R106" s="1289">
        <f>SUM(F106:Q106)</f>
        <v>82.583628566199991</v>
      </c>
    </row>
    <row r="107" spans="3:18" hidden="1">
      <c r="C107" s="1304" t="s">
        <v>125</v>
      </c>
      <c r="D107" s="123"/>
      <c r="E107" s="809"/>
      <c r="F107" s="809">
        <v>0</v>
      </c>
      <c r="G107" s="809">
        <v>0</v>
      </c>
      <c r="H107" s="809">
        <v>0</v>
      </c>
      <c r="I107" s="809">
        <v>0</v>
      </c>
      <c r="J107" s="809">
        <v>0</v>
      </c>
      <c r="K107" s="809">
        <v>0</v>
      </c>
      <c r="L107" s="809">
        <v>0</v>
      </c>
      <c r="M107" s="809">
        <v>0</v>
      </c>
      <c r="N107" s="809">
        <v>0</v>
      </c>
      <c r="O107" s="809">
        <v>0</v>
      </c>
      <c r="P107" s="809">
        <v>0</v>
      </c>
      <c r="Q107" s="809">
        <v>0</v>
      </c>
      <c r="R107" s="1289">
        <f t="shared" ref="R107:R108" si="22">SUM(F107:Q107)</f>
        <v>0</v>
      </c>
    </row>
    <row r="108" spans="3:18" hidden="1">
      <c r="C108" s="1304" t="s">
        <v>126</v>
      </c>
      <c r="D108" s="123"/>
      <c r="E108" s="809"/>
      <c r="F108" s="809">
        <v>0</v>
      </c>
      <c r="G108" s="809">
        <v>0</v>
      </c>
      <c r="H108" s="809">
        <v>0</v>
      </c>
      <c r="I108" s="809">
        <v>0</v>
      </c>
      <c r="J108" s="809">
        <v>0</v>
      </c>
      <c r="K108" s="809">
        <v>0</v>
      </c>
      <c r="L108" s="809">
        <v>0</v>
      </c>
      <c r="M108" s="809">
        <v>0</v>
      </c>
      <c r="N108" s="809">
        <v>0</v>
      </c>
      <c r="O108" s="809">
        <v>0</v>
      </c>
      <c r="P108" s="809">
        <v>0</v>
      </c>
      <c r="Q108" s="809">
        <v>0</v>
      </c>
      <c r="R108" s="1289">
        <f t="shared" si="22"/>
        <v>0</v>
      </c>
    </row>
    <row r="109" spans="3:18" hidden="1">
      <c r="C109" s="1283" t="s">
        <v>221</v>
      </c>
      <c r="D109" s="433"/>
      <c r="E109" s="1044">
        <f>E106+E107+E108</f>
        <v>5.8201486688624531</v>
      </c>
      <c r="F109" s="1044">
        <f>F106+F107+F108</f>
        <v>15.9074397058</v>
      </c>
      <c r="G109" s="1044">
        <f t="shared" ref="G109:R109" si="23">G106+G107+G108</f>
        <v>15.4986528174</v>
      </c>
      <c r="H109" s="1044">
        <f t="shared" si="23"/>
        <v>14.863920498199999</v>
      </c>
      <c r="I109" s="1044">
        <f t="shared" si="23"/>
        <v>10.154894551000002</v>
      </c>
      <c r="J109" s="1044">
        <f t="shared" si="23"/>
        <v>11.437935169800001</v>
      </c>
      <c r="K109" s="1044">
        <f t="shared" si="23"/>
        <v>13.482113010199999</v>
      </c>
      <c r="L109" s="1044">
        <f t="shared" si="23"/>
        <v>2.2470685167999997</v>
      </c>
      <c r="M109" s="1044">
        <f t="shared" si="23"/>
        <v>-0.1405477258</v>
      </c>
      <c r="N109" s="1044">
        <f t="shared" si="23"/>
        <v>-0.1854333608</v>
      </c>
      <c r="O109" s="1044">
        <f t="shared" si="23"/>
        <v>-0.199797</v>
      </c>
      <c r="P109" s="1044">
        <f t="shared" si="23"/>
        <v>-0.23890700000000001</v>
      </c>
      <c r="Q109" s="1044">
        <f t="shared" si="23"/>
        <v>-0.24371061639999997</v>
      </c>
      <c r="R109" s="1298">
        <f t="shared" si="23"/>
        <v>82.583628566199991</v>
      </c>
    </row>
    <row r="110" spans="3:18" hidden="1">
      <c r="C110" s="434"/>
      <c r="D110" s="1045"/>
      <c r="E110" s="809"/>
      <c r="F110" s="809"/>
      <c r="G110" s="809"/>
      <c r="H110" s="809"/>
      <c r="I110" s="809"/>
      <c r="J110" s="809"/>
      <c r="K110" s="809"/>
      <c r="L110" s="809"/>
      <c r="M110" s="809"/>
      <c r="N110" s="809"/>
      <c r="O110" s="809"/>
      <c r="P110" s="809"/>
      <c r="Q110" s="809"/>
      <c r="R110" s="1289"/>
    </row>
    <row r="111" spans="3:18" hidden="1">
      <c r="C111" s="1283" t="s">
        <v>253</v>
      </c>
      <c r="D111" s="433"/>
      <c r="E111" s="1044"/>
      <c r="F111" s="1044"/>
      <c r="G111" s="1044"/>
      <c r="H111" s="1044"/>
      <c r="I111" s="1044"/>
      <c r="J111" s="1044"/>
      <c r="K111" s="1044"/>
      <c r="L111" s="1044"/>
      <c r="M111" s="1044"/>
      <c r="N111" s="1044"/>
      <c r="O111" s="1044"/>
      <c r="P111" s="1044"/>
      <c r="Q111" s="1044"/>
      <c r="R111" s="1298"/>
    </row>
    <row r="112" spans="3:18" hidden="1">
      <c r="C112" s="1306" t="s">
        <v>649</v>
      </c>
      <c r="D112" s="1045"/>
      <c r="E112" s="809">
        <v>6.3230966226163305</v>
      </c>
      <c r="F112" s="809">
        <v>0.16072667000000002</v>
      </c>
      <c r="G112" s="809">
        <v>0.22509999999999999</v>
      </c>
      <c r="H112" s="809">
        <v>0.21298700000000001</v>
      </c>
      <c r="I112" s="809">
        <v>0.65537332999999998</v>
      </c>
      <c r="J112" s="809">
        <v>0.57882666999999999</v>
      </c>
      <c r="K112" s="809">
        <v>0.26059333000000001</v>
      </c>
      <c r="L112" s="809">
        <v>0.16863500000000001</v>
      </c>
      <c r="M112" s="809">
        <v>0.133968</v>
      </c>
      <c r="N112" s="809">
        <v>0.58984499999999995</v>
      </c>
      <c r="O112" s="809">
        <v>0.84191458387399998</v>
      </c>
      <c r="P112" s="809">
        <v>5.3861675399999996E-2</v>
      </c>
      <c r="Q112" s="809">
        <v>0.36201407187400003</v>
      </c>
      <c r="R112" s="1289">
        <f>SUM(F112:Q112)</f>
        <v>4.243845331148</v>
      </c>
    </row>
    <row r="113" spans="3:18" hidden="1">
      <c r="C113" s="1306" t="s">
        <v>128</v>
      </c>
      <c r="D113" s="123"/>
      <c r="E113" s="809">
        <v>2.9377430718831671E-5</v>
      </c>
      <c r="F113" s="809">
        <v>1.738275</v>
      </c>
      <c r="G113" s="809">
        <v>0</v>
      </c>
      <c r="H113" s="809">
        <v>0</v>
      </c>
      <c r="I113" s="809">
        <v>0</v>
      </c>
      <c r="J113" s="809">
        <v>0</v>
      </c>
      <c r="K113" s="809">
        <v>0</v>
      </c>
      <c r="L113" s="809">
        <v>1.4023300000000001</v>
      </c>
      <c r="M113" s="809">
        <v>1.4975879999999999</v>
      </c>
      <c r="N113" s="809">
        <v>1.9768154</v>
      </c>
      <c r="O113" s="809">
        <v>1.5824699099999999</v>
      </c>
      <c r="P113" s="809">
        <v>0.80288873999999999</v>
      </c>
      <c r="Q113" s="809">
        <v>0.89280036250000006</v>
      </c>
      <c r="R113" s="1289">
        <f t="shared" ref="R113:R121" si="24">SUM(F113:Q113)</f>
        <v>9.8931674124999986</v>
      </c>
    </row>
    <row r="114" spans="3:18" hidden="1">
      <c r="C114" s="1306" t="s">
        <v>650</v>
      </c>
      <c r="D114" s="123"/>
      <c r="E114" s="809">
        <v>6.1857447489696531</v>
      </c>
      <c r="F114" s="809">
        <v>8.6066000000000003</v>
      </c>
      <c r="G114" s="809">
        <v>7.7077999999999998</v>
      </c>
      <c r="H114" s="809">
        <v>7.2844000000000007</v>
      </c>
      <c r="I114" s="809">
        <v>7.5528000000000004</v>
      </c>
      <c r="J114" s="809">
        <v>8.8940999999999999</v>
      </c>
      <c r="K114" s="809">
        <v>9.9293999999999993</v>
      </c>
      <c r="L114" s="809">
        <v>7.3350210000000002</v>
      </c>
      <c r="M114" s="809">
        <v>5.3016300000000003</v>
      </c>
      <c r="N114" s="809">
        <v>5.8839380000000006</v>
      </c>
      <c r="O114" s="809">
        <v>6.6047894399999993</v>
      </c>
      <c r="P114" s="809">
        <v>5.9735110599999999</v>
      </c>
      <c r="Q114" s="809">
        <v>6.7499954199999959</v>
      </c>
      <c r="R114" s="1289">
        <f t="shared" si="24"/>
        <v>87.823984920000001</v>
      </c>
    </row>
    <row r="115" spans="3:18" hidden="1">
      <c r="C115" s="1306" t="s">
        <v>129</v>
      </c>
      <c r="D115" s="123"/>
      <c r="E115" s="809">
        <v>4.6222732462503959</v>
      </c>
      <c r="F115" s="809">
        <v>0</v>
      </c>
      <c r="G115" s="809">
        <v>0</v>
      </c>
      <c r="H115" s="809">
        <v>0</v>
      </c>
      <c r="I115" s="809">
        <v>0</v>
      </c>
      <c r="J115" s="809">
        <v>0</v>
      </c>
      <c r="K115" s="809">
        <v>0</v>
      </c>
      <c r="L115" s="809">
        <v>78.667593215882619</v>
      </c>
      <c r="M115" s="809">
        <v>69.452266358708059</v>
      </c>
      <c r="N115" s="809">
        <v>104.75920235060148</v>
      </c>
      <c r="O115" s="809">
        <v>118.74029240859697</v>
      </c>
      <c r="P115" s="809">
        <v>87.289224939941448</v>
      </c>
      <c r="Q115" s="809">
        <v>112.14535410672153</v>
      </c>
      <c r="R115" s="1289">
        <f t="shared" si="24"/>
        <v>571.05393338045212</v>
      </c>
    </row>
    <row r="116" spans="3:18" hidden="1">
      <c r="C116" s="1306" t="s">
        <v>668</v>
      </c>
      <c r="D116" s="123"/>
      <c r="E116" s="809">
        <v>1.7207160927353444</v>
      </c>
      <c r="F116" s="809">
        <v>7.2340000000000002E-2</v>
      </c>
      <c r="G116" s="809">
        <v>0.42185</v>
      </c>
      <c r="H116" s="809">
        <v>0.23485</v>
      </c>
      <c r="I116" s="809">
        <v>1.7952599999999999</v>
      </c>
      <c r="J116" s="809">
        <v>3.1356793280000002</v>
      </c>
      <c r="K116" s="809">
        <v>3.1646850000000004</v>
      </c>
      <c r="L116" s="809">
        <v>5.80766984</v>
      </c>
      <c r="M116" s="809">
        <v>3.7963200199999996</v>
      </c>
      <c r="N116" s="809">
        <v>2.6490289520000001</v>
      </c>
      <c r="O116" s="809">
        <v>1.7589445919999998</v>
      </c>
      <c r="P116" s="809">
        <v>0.86831654799999991</v>
      </c>
      <c r="Q116" s="809">
        <v>0.599425812</v>
      </c>
      <c r="R116" s="1289">
        <f t="shared" si="24"/>
        <v>24.304370091999996</v>
      </c>
    </row>
    <row r="117" spans="3:18" hidden="1">
      <c r="C117" s="1306" t="s">
        <v>622</v>
      </c>
      <c r="D117" s="123"/>
      <c r="E117" s="809">
        <v>4.8271303168685007</v>
      </c>
      <c r="F117" s="809">
        <v>1.3537269999999999</v>
      </c>
      <c r="G117" s="809">
        <v>1.449665</v>
      </c>
      <c r="H117" s="809">
        <v>1.2800560000000001</v>
      </c>
      <c r="I117" s="809">
        <v>1.1139749999999999</v>
      </c>
      <c r="J117" s="809">
        <v>1.090802</v>
      </c>
      <c r="K117" s="809">
        <v>1.0389170000000001</v>
      </c>
      <c r="L117" s="809">
        <v>71.561485999999988</v>
      </c>
      <c r="M117" s="809">
        <v>65.414333375799998</v>
      </c>
      <c r="N117" s="809">
        <v>72.533994776</v>
      </c>
      <c r="O117" s="809">
        <v>90.986101114799965</v>
      </c>
      <c r="P117" s="809">
        <v>87.024445167200042</v>
      </c>
      <c r="Q117" s="809">
        <v>88.514780452199957</v>
      </c>
      <c r="R117" s="1289">
        <f t="shared" si="24"/>
        <v>483.36228288599995</v>
      </c>
    </row>
    <row r="118" spans="3:18" hidden="1">
      <c r="C118" s="1306" t="s">
        <v>651</v>
      </c>
      <c r="D118" s="123"/>
      <c r="E118" s="809">
        <v>10.761359025769073</v>
      </c>
      <c r="F118" s="809">
        <v>0</v>
      </c>
      <c r="G118" s="809">
        <v>0</v>
      </c>
      <c r="H118" s="809">
        <v>0</v>
      </c>
      <c r="I118" s="809">
        <v>0</v>
      </c>
      <c r="J118" s="809">
        <v>0</v>
      </c>
      <c r="K118" s="809">
        <v>0</v>
      </c>
      <c r="L118" s="809">
        <v>1.9636752683999998</v>
      </c>
      <c r="M118" s="809">
        <v>1.0127600969999999</v>
      </c>
      <c r="N118" s="809">
        <v>0.18029664040000001</v>
      </c>
      <c r="O118" s="809">
        <v>0.78966916440000001</v>
      </c>
      <c r="P118" s="809">
        <v>1.6931948122</v>
      </c>
      <c r="Q118" s="809">
        <v>2.9303892416000004</v>
      </c>
      <c r="R118" s="1289">
        <f t="shared" si="24"/>
        <v>8.5699852239999998</v>
      </c>
    </row>
    <row r="119" spans="3:18" hidden="1">
      <c r="C119" s="1306" t="s">
        <v>653</v>
      </c>
      <c r="D119" s="123"/>
      <c r="E119" s="809">
        <v>4.4695393434713129</v>
      </c>
      <c r="F119" s="809">
        <v>0</v>
      </c>
      <c r="G119" s="809">
        <v>0</v>
      </c>
      <c r="H119" s="809">
        <v>0</v>
      </c>
      <c r="I119" s="809">
        <v>0</v>
      </c>
      <c r="J119" s="809">
        <v>0</v>
      </c>
      <c r="K119" s="809">
        <v>0</v>
      </c>
      <c r="L119" s="809">
        <v>72.552137844400008</v>
      </c>
      <c r="M119" s="809">
        <v>80.907076959999998</v>
      </c>
      <c r="N119" s="809">
        <v>76.475017022200007</v>
      </c>
      <c r="O119" s="809">
        <v>85.421935455599993</v>
      </c>
      <c r="P119" s="809">
        <v>101.3594971622</v>
      </c>
      <c r="Q119" s="809">
        <v>98.351099820000002</v>
      </c>
      <c r="R119" s="1289">
        <f t="shared" si="24"/>
        <v>515.06676426440004</v>
      </c>
    </row>
    <row r="120" spans="3:18" hidden="1">
      <c r="C120" s="1306" t="s">
        <v>654</v>
      </c>
      <c r="D120" s="1045"/>
      <c r="E120" s="809"/>
      <c r="F120" s="809">
        <v>0</v>
      </c>
      <c r="G120" s="809">
        <v>0</v>
      </c>
      <c r="H120" s="809">
        <v>0</v>
      </c>
      <c r="I120" s="809">
        <v>0</v>
      </c>
      <c r="J120" s="809">
        <v>0</v>
      </c>
      <c r="K120" s="809">
        <v>0</v>
      </c>
      <c r="L120" s="809">
        <v>0</v>
      </c>
      <c r="M120" s="809">
        <v>0</v>
      </c>
      <c r="N120" s="809">
        <v>0</v>
      </c>
      <c r="O120" s="809">
        <v>0</v>
      </c>
      <c r="P120" s="809">
        <v>0</v>
      </c>
      <c r="Q120" s="809">
        <v>0</v>
      </c>
      <c r="R120" s="1289">
        <f t="shared" si="24"/>
        <v>0</v>
      </c>
    </row>
    <row r="121" spans="3:18" hidden="1">
      <c r="C121" s="1307" t="s">
        <v>1029</v>
      </c>
      <c r="D121" s="1045"/>
      <c r="E121" s="809">
        <v>3.4124987752174625</v>
      </c>
      <c r="F121" s="809">
        <v>0</v>
      </c>
      <c r="G121" s="809">
        <v>0</v>
      </c>
      <c r="H121" s="809">
        <v>0</v>
      </c>
      <c r="I121" s="809">
        <v>0</v>
      </c>
      <c r="J121" s="809">
        <v>0</v>
      </c>
      <c r="K121" s="809">
        <v>0</v>
      </c>
      <c r="L121" s="809">
        <v>59.314368999999999</v>
      </c>
      <c r="M121" s="809">
        <v>50.726779707799999</v>
      </c>
      <c r="N121" s="809">
        <v>57.925605761600004</v>
      </c>
      <c r="O121" s="809">
        <v>72.967171596200004</v>
      </c>
      <c r="P121" s="809">
        <v>67.565105287199998</v>
      </c>
      <c r="Q121" s="809">
        <v>71.436625229400008</v>
      </c>
      <c r="R121" s="1289">
        <f t="shared" si="24"/>
        <v>379.93565658220001</v>
      </c>
    </row>
    <row r="122" spans="3:18" hidden="1">
      <c r="C122" s="1308" t="s">
        <v>254</v>
      </c>
      <c r="D122" s="433"/>
      <c r="E122" s="1044">
        <f t="shared" ref="E122:R122" si="25">SUM(E112:E121)</f>
        <v>42.322387549328795</v>
      </c>
      <c r="F122" s="1044">
        <f t="shared" si="25"/>
        <v>11.931668670000001</v>
      </c>
      <c r="G122" s="1044">
        <f t="shared" si="25"/>
        <v>9.8044149999999988</v>
      </c>
      <c r="H122" s="1044">
        <f t="shared" si="25"/>
        <v>9.0122929999999997</v>
      </c>
      <c r="I122" s="1044">
        <f t="shared" si="25"/>
        <v>11.11740833</v>
      </c>
      <c r="J122" s="1044">
        <f t="shared" si="25"/>
        <v>13.699407998</v>
      </c>
      <c r="K122" s="1044">
        <f t="shared" si="25"/>
        <v>14.39359533</v>
      </c>
      <c r="L122" s="1044">
        <f t="shared" si="25"/>
        <v>298.77291716868262</v>
      </c>
      <c r="M122" s="1044">
        <f t="shared" si="25"/>
        <v>278.24272251930807</v>
      </c>
      <c r="N122" s="1044">
        <f t="shared" si="25"/>
        <v>322.97374390280152</v>
      </c>
      <c r="O122" s="1044">
        <f t="shared" si="25"/>
        <v>379.69328826547093</v>
      </c>
      <c r="P122" s="1044">
        <f t="shared" si="25"/>
        <v>352.63004539214148</v>
      </c>
      <c r="Q122" s="1044">
        <f t="shared" si="25"/>
        <v>381.98248451629553</v>
      </c>
      <c r="R122" s="1298">
        <f t="shared" si="25"/>
        <v>2084.2539900927</v>
      </c>
    </row>
    <row r="123" spans="3:18" hidden="1">
      <c r="C123" s="434"/>
      <c r="D123" s="123"/>
      <c r="E123" s="809"/>
      <c r="F123" s="809"/>
      <c r="G123" s="809"/>
      <c r="H123" s="809"/>
      <c r="I123" s="809"/>
      <c r="J123" s="809"/>
      <c r="K123" s="809"/>
      <c r="L123" s="809"/>
      <c r="M123" s="809"/>
      <c r="N123" s="809"/>
      <c r="O123" s="809"/>
      <c r="P123" s="809"/>
      <c r="Q123" s="809"/>
      <c r="R123" s="1289"/>
    </row>
    <row r="124" spans="3:18" hidden="1">
      <c r="C124" s="1302" t="s">
        <v>662</v>
      </c>
      <c r="D124" s="123"/>
      <c r="E124" s="809"/>
      <c r="F124" s="809"/>
      <c r="G124" s="809"/>
      <c r="H124" s="809"/>
      <c r="I124" s="809"/>
      <c r="J124" s="809"/>
      <c r="K124" s="809"/>
      <c r="L124" s="809"/>
      <c r="M124" s="809"/>
      <c r="N124" s="809"/>
      <c r="O124" s="809"/>
      <c r="P124" s="809"/>
      <c r="Q124" s="809"/>
      <c r="R124" s="1289"/>
    </row>
    <row r="125" spans="3:18" hidden="1">
      <c r="C125" s="1304" t="s">
        <v>610</v>
      </c>
      <c r="D125" s="123"/>
      <c r="E125" s="809"/>
      <c r="F125" s="809">
        <v>0</v>
      </c>
      <c r="G125" s="809">
        <v>0</v>
      </c>
      <c r="H125" s="809">
        <v>0</v>
      </c>
      <c r="I125" s="809">
        <v>0</v>
      </c>
      <c r="J125" s="809">
        <v>0</v>
      </c>
      <c r="K125" s="809">
        <v>0</v>
      </c>
      <c r="L125" s="809">
        <v>0</v>
      </c>
      <c r="M125" s="809">
        <v>0</v>
      </c>
      <c r="N125" s="809">
        <v>0</v>
      </c>
      <c r="O125" s="809">
        <v>0</v>
      </c>
      <c r="P125" s="809">
        <v>0</v>
      </c>
      <c r="Q125" s="809">
        <v>0</v>
      </c>
      <c r="R125" s="1289">
        <f>SUM(F125:Q125)</f>
        <v>0</v>
      </c>
    </row>
    <row r="126" spans="3:18" ht="25.5" hidden="1">
      <c r="C126" s="1304" t="s">
        <v>1030</v>
      </c>
      <c r="D126" s="123"/>
      <c r="E126" s="809">
        <v>3.0809428449231926</v>
      </c>
      <c r="F126" s="809">
        <v>106.0644748</v>
      </c>
      <c r="G126" s="809">
        <v>136.63958780000002</v>
      </c>
      <c r="H126" s="809">
        <v>121.84589099999999</v>
      </c>
      <c r="I126" s="809">
        <v>137.27090240000001</v>
      </c>
      <c r="J126" s="809">
        <v>152.96901259999999</v>
      </c>
      <c r="K126" s="809">
        <v>134.0324722</v>
      </c>
      <c r="L126" s="809">
        <v>117.48934940000001</v>
      </c>
      <c r="M126" s="809">
        <v>170.8395984</v>
      </c>
      <c r="N126" s="809">
        <v>129.6234116</v>
      </c>
      <c r="O126" s="809">
        <v>124.19041199999999</v>
      </c>
      <c r="P126" s="809">
        <v>131.662598</v>
      </c>
      <c r="Q126" s="809">
        <v>179.333551</v>
      </c>
      <c r="R126" s="1289">
        <f t="shared" ref="R126:R133" si="26">SUM(F126:Q126)</f>
        <v>1641.9612611999999</v>
      </c>
    </row>
    <row r="127" spans="3:18" hidden="1">
      <c r="C127" s="1304" t="s">
        <v>611</v>
      </c>
      <c r="D127" s="1045"/>
      <c r="E127" s="809">
        <v>2.3146589548926482</v>
      </c>
      <c r="F127" s="809">
        <v>55.053016999999997</v>
      </c>
      <c r="G127" s="809">
        <v>56.024241000000004</v>
      </c>
      <c r="H127" s="809">
        <v>36.942683000000002</v>
      </c>
      <c r="I127" s="809">
        <v>55.874904000000001</v>
      </c>
      <c r="J127" s="809">
        <v>56.265912999999998</v>
      </c>
      <c r="K127" s="809">
        <v>50.545335000000001</v>
      </c>
      <c r="L127" s="809">
        <v>55.198</v>
      </c>
      <c r="M127" s="809">
        <v>55.432487000000002</v>
      </c>
      <c r="N127" s="809">
        <v>57.716290999999998</v>
      </c>
      <c r="O127" s="809">
        <v>55.119475999999999</v>
      </c>
      <c r="P127" s="809">
        <v>56.086665000000004</v>
      </c>
      <c r="Q127" s="809">
        <v>59.928089999999997</v>
      </c>
      <c r="R127" s="1289">
        <f t="shared" si="26"/>
        <v>650.1871020000001</v>
      </c>
    </row>
    <row r="128" spans="3:18" hidden="1">
      <c r="C128" s="1304" t="s">
        <v>1031</v>
      </c>
      <c r="D128" s="123"/>
      <c r="E128" s="809"/>
      <c r="F128" s="809">
        <v>0</v>
      </c>
      <c r="G128" s="809">
        <v>0</v>
      </c>
      <c r="H128" s="809">
        <v>0</v>
      </c>
      <c r="I128" s="809">
        <v>0</v>
      </c>
      <c r="J128" s="809">
        <v>0</v>
      </c>
      <c r="K128" s="809">
        <v>0</v>
      </c>
      <c r="L128" s="809">
        <v>0</v>
      </c>
      <c r="M128" s="809">
        <v>0</v>
      </c>
      <c r="N128" s="809">
        <v>0</v>
      </c>
      <c r="O128" s="809">
        <v>0</v>
      </c>
      <c r="P128" s="809">
        <v>0</v>
      </c>
      <c r="Q128" s="809">
        <v>0</v>
      </c>
      <c r="R128" s="1289">
        <f t="shared" si="26"/>
        <v>0</v>
      </c>
    </row>
    <row r="129" spans="3:18" hidden="1">
      <c r="C129" s="1304" t="s">
        <v>1032</v>
      </c>
      <c r="D129" s="123"/>
      <c r="E129" s="809"/>
      <c r="F129" s="809">
        <v>0</v>
      </c>
      <c r="G129" s="809">
        <v>0</v>
      </c>
      <c r="H129" s="809">
        <v>0</v>
      </c>
      <c r="I129" s="809">
        <v>0</v>
      </c>
      <c r="J129" s="809">
        <v>0</v>
      </c>
      <c r="K129" s="809">
        <v>0</v>
      </c>
      <c r="L129" s="809">
        <v>0</v>
      </c>
      <c r="M129" s="809">
        <v>0</v>
      </c>
      <c r="N129" s="809">
        <v>0</v>
      </c>
      <c r="O129" s="809">
        <v>0</v>
      </c>
      <c r="P129" s="809">
        <v>0</v>
      </c>
      <c r="Q129" s="809">
        <v>0</v>
      </c>
      <c r="R129" s="1289">
        <f t="shared" si="26"/>
        <v>0</v>
      </c>
    </row>
    <row r="130" spans="3:18" hidden="1">
      <c r="C130" s="1304" t="s">
        <v>1033</v>
      </c>
      <c r="D130" s="123"/>
      <c r="E130" s="809">
        <v>2.2587240714112125</v>
      </c>
      <c r="F130" s="809">
        <v>0</v>
      </c>
      <c r="G130" s="809">
        <v>0</v>
      </c>
      <c r="H130" s="809">
        <v>0</v>
      </c>
      <c r="I130" s="809">
        <v>0</v>
      </c>
      <c r="J130" s="809">
        <v>0</v>
      </c>
      <c r="K130" s="809">
        <v>0</v>
      </c>
      <c r="L130" s="809">
        <v>0</v>
      </c>
      <c r="M130" s="809">
        <v>0</v>
      </c>
      <c r="N130" s="809">
        <v>0</v>
      </c>
      <c r="O130" s="809">
        <v>0</v>
      </c>
      <c r="P130" s="809">
        <v>81.740346000000002</v>
      </c>
      <c r="Q130" s="809">
        <v>90.222397000000001</v>
      </c>
      <c r="R130" s="1289">
        <f t="shared" si="26"/>
        <v>171.96274299999999</v>
      </c>
    </row>
    <row r="131" spans="3:18" hidden="1">
      <c r="C131" s="1304" t="s">
        <v>1034</v>
      </c>
      <c r="D131" s="123"/>
      <c r="E131" s="809">
        <v>7.1099999860560334</v>
      </c>
      <c r="F131" s="809">
        <v>0</v>
      </c>
      <c r="G131" s="809">
        <v>0</v>
      </c>
      <c r="H131" s="809">
        <v>0</v>
      </c>
      <c r="I131" s="809">
        <v>0</v>
      </c>
      <c r="J131" s="809">
        <v>0</v>
      </c>
      <c r="K131" s="809">
        <v>0</v>
      </c>
      <c r="L131" s="809">
        <v>0</v>
      </c>
      <c r="M131" s="809">
        <v>0</v>
      </c>
      <c r="N131" s="809">
        <v>0</v>
      </c>
      <c r="O131" s="809">
        <v>0</v>
      </c>
      <c r="P131" s="809">
        <v>15.647040000000001</v>
      </c>
      <c r="Q131" s="809">
        <v>13.039199999999999</v>
      </c>
      <c r="R131" s="1289">
        <f t="shared" si="26"/>
        <v>28.686239999999998</v>
      </c>
    </row>
    <row r="132" spans="3:18" hidden="1">
      <c r="C132" s="1304" t="s">
        <v>1035</v>
      </c>
      <c r="D132" s="123"/>
      <c r="E132" s="809">
        <v>5.35</v>
      </c>
      <c r="F132" s="809">
        <v>0</v>
      </c>
      <c r="G132" s="809">
        <v>0</v>
      </c>
      <c r="H132" s="809">
        <v>0</v>
      </c>
      <c r="I132" s="809">
        <v>0</v>
      </c>
      <c r="J132" s="809">
        <v>0</v>
      </c>
      <c r="K132" s="809">
        <v>0</v>
      </c>
      <c r="L132" s="809">
        <v>0</v>
      </c>
      <c r="M132" s="809">
        <v>0</v>
      </c>
      <c r="N132" s="809">
        <v>0</v>
      </c>
      <c r="O132" s="809">
        <v>0</v>
      </c>
      <c r="P132" s="809">
        <v>0</v>
      </c>
      <c r="Q132" s="809">
        <v>23.905200000000001</v>
      </c>
      <c r="R132" s="1289">
        <f t="shared" si="26"/>
        <v>23.905200000000001</v>
      </c>
    </row>
    <row r="133" spans="3:18" ht="25.5" hidden="1">
      <c r="C133" s="1304" t="s">
        <v>1036</v>
      </c>
      <c r="D133" s="123"/>
      <c r="E133" s="809"/>
      <c r="F133" s="809">
        <v>0</v>
      </c>
      <c r="G133" s="809">
        <v>0</v>
      </c>
      <c r="H133" s="809">
        <v>0</v>
      </c>
      <c r="I133" s="809">
        <v>0</v>
      </c>
      <c r="J133" s="809">
        <v>0</v>
      </c>
      <c r="K133" s="809">
        <v>0</v>
      </c>
      <c r="L133" s="809">
        <v>0</v>
      </c>
      <c r="M133" s="809">
        <v>0</v>
      </c>
      <c r="N133" s="809">
        <v>0</v>
      </c>
      <c r="O133" s="809">
        <v>0</v>
      </c>
      <c r="P133" s="809">
        <v>0</v>
      </c>
      <c r="Q133" s="809">
        <v>0</v>
      </c>
      <c r="R133" s="1289">
        <f t="shared" si="26"/>
        <v>0</v>
      </c>
    </row>
    <row r="134" spans="3:18" hidden="1">
      <c r="C134" s="1305"/>
      <c r="D134" s="123"/>
      <c r="E134" s="809"/>
      <c r="F134" s="809"/>
      <c r="G134" s="809"/>
      <c r="H134" s="809"/>
      <c r="I134" s="809"/>
      <c r="J134" s="809"/>
      <c r="K134" s="809"/>
      <c r="L134" s="809"/>
      <c r="M134" s="809"/>
      <c r="N134" s="809"/>
      <c r="O134" s="809"/>
      <c r="P134" s="809"/>
      <c r="Q134" s="809"/>
      <c r="R134" s="1289"/>
    </row>
    <row r="135" spans="3:18" hidden="1">
      <c r="C135" s="434"/>
      <c r="D135" s="123"/>
      <c r="E135" s="809"/>
      <c r="F135" s="809"/>
      <c r="G135" s="809"/>
      <c r="H135" s="809"/>
      <c r="I135" s="809"/>
      <c r="J135" s="809"/>
      <c r="K135" s="809"/>
      <c r="L135" s="809"/>
      <c r="M135" s="809"/>
      <c r="N135" s="809"/>
      <c r="O135" s="809"/>
      <c r="P135" s="809"/>
      <c r="Q135" s="809"/>
      <c r="R135" s="1289"/>
    </row>
    <row r="136" spans="3:18" hidden="1">
      <c r="C136" s="1283" t="s">
        <v>451</v>
      </c>
      <c r="D136" s="433"/>
      <c r="E136" s="1044">
        <f>SUM(E125:E135)</f>
        <v>20.114325857283085</v>
      </c>
      <c r="F136" s="1044">
        <f>SUM(F125:F135)</f>
        <v>161.11749179999998</v>
      </c>
      <c r="G136" s="1044">
        <f t="shared" ref="G136:R136" si="27">SUM(G125:G135)</f>
        <v>192.66382880000003</v>
      </c>
      <c r="H136" s="1044">
        <f t="shared" si="27"/>
        <v>158.78857399999998</v>
      </c>
      <c r="I136" s="1044">
        <f t="shared" si="27"/>
        <v>193.14580640000003</v>
      </c>
      <c r="J136" s="1044">
        <f t="shared" si="27"/>
        <v>209.2349256</v>
      </c>
      <c r="K136" s="1044">
        <f t="shared" si="27"/>
        <v>184.5778072</v>
      </c>
      <c r="L136" s="1044">
        <f t="shared" si="27"/>
        <v>172.68734940000002</v>
      </c>
      <c r="M136" s="1044">
        <f t="shared" si="27"/>
        <v>226.27208540000001</v>
      </c>
      <c r="N136" s="1044">
        <f t="shared" si="27"/>
        <v>187.33970260000001</v>
      </c>
      <c r="O136" s="1044">
        <f t="shared" si="27"/>
        <v>179.309888</v>
      </c>
      <c r="P136" s="1044">
        <f t="shared" si="27"/>
        <v>285.13664900000003</v>
      </c>
      <c r="Q136" s="1044">
        <f t="shared" si="27"/>
        <v>366.42843799999997</v>
      </c>
      <c r="R136" s="1298">
        <f t="shared" si="27"/>
        <v>2516.7025462000001</v>
      </c>
    </row>
    <row r="137" spans="3:18" hidden="1">
      <c r="C137" s="434"/>
      <c r="D137" s="123"/>
      <c r="E137" s="809"/>
      <c r="F137" s="809"/>
      <c r="G137" s="809"/>
      <c r="H137" s="809"/>
      <c r="I137" s="809"/>
      <c r="J137" s="809"/>
      <c r="K137" s="809"/>
      <c r="L137" s="809"/>
      <c r="M137" s="809"/>
      <c r="N137" s="809"/>
      <c r="O137" s="809"/>
      <c r="P137" s="809"/>
      <c r="Q137" s="809"/>
      <c r="R137" s="1289"/>
    </row>
    <row r="138" spans="3:18" hidden="1">
      <c r="C138" s="1302" t="s">
        <v>251</v>
      </c>
      <c r="D138" s="123"/>
      <c r="E138" s="809"/>
      <c r="F138" s="809"/>
      <c r="G138" s="809"/>
      <c r="H138" s="809"/>
      <c r="I138" s="809"/>
      <c r="J138" s="809"/>
      <c r="K138" s="809"/>
      <c r="L138" s="809"/>
      <c r="M138" s="809"/>
      <c r="N138" s="809"/>
      <c r="O138" s="809"/>
      <c r="P138" s="809"/>
      <c r="Q138" s="809"/>
      <c r="R138" s="1289"/>
    </row>
    <row r="139" spans="3:18" ht="25.5" hidden="1">
      <c r="C139" s="1304" t="s">
        <v>663</v>
      </c>
      <c r="D139" s="123"/>
      <c r="E139" s="809">
        <v>7.3644076684136976</v>
      </c>
      <c r="F139" s="809">
        <v>281.198554</v>
      </c>
      <c r="G139" s="809">
        <v>165.791214</v>
      </c>
      <c r="H139" s="809">
        <v>316.67996900000003</v>
      </c>
      <c r="I139" s="809">
        <v>129.68237400000001</v>
      </c>
      <c r="J139" s="809">
        <v>141.626577</v>
      </c>
      <c r="K139" s="809">
        <v>116.50877300000001</v>
      </c>
      <c r="L139" s="809">
        <v>190.70535599999999</v>
      </c>
      <c r="M139" s="809">
        <v>225.88081299999999</v>
      </c>
      <c r="N139" s="809">
        <v>259.04667899999998</v>
      </c>
      <c r="O139" s="809">
        <v>249.773538</v>
      </c>
      <c r="P139" s="809">
        <v>199.172191</v>
      </c>
      <c r="Q139" s="809">
        <v>178.99342300000001</v>
      </c>
      <c r="R139" s="1289">
        <f t="shared" ref="R139:R165" si="28">SUM(F139:Q139)</f>
        <v>2455.0594610000003</v>
      </c>
    </row>
    <row r="140" spans="3:18" ht="25.5" hidden="1">
      <c r="C140" s="1304" t="s">
        <v>664</v>
      </c>
      <c r="D140" s="123"/>
      <c r="E140" s="809"/>
      <c r="F140" s="809">
        <v>0</v>
      </c>
      <c r="G140" s="809">
        <v>0</v>
      </c>
      <c r="H140" s="809">
        <v>0</v>
      </c>
      <c r="I140" s="809">
        <v>0</v>
      </c>
      <c r="J140" s="809">
        <v>0</v>
      </c>
      <c r="K140" s="809">
        <v>0</v>
      </c>
      <c r="L140" s="809">
        <v>0</v>
      </c>
      <c r="M140" s="809">
        <v>0</v>
      </c>
      <c r="N140" s="809">
        <v>0</v>
      </c>
      <c r="O140" s="809">
        <v>0</v>
      </c>
      <c r="P140" s="809">
        <v>0</v>
      </c>
      <c r="Q140" s="809">
        <v>0</v>
      </c>
      <c r="R140" s="1289">
        <f t="shared" si="28"/>
        <v>0</v>
      </c>
    </row>
    <row r="141" spans="3:18" hidden="1">
      <c r="C141" s="1300" t="s">
        <v>665</v>
      </c>
      <c r="D141" s="123"/>
      <c r="E141" s="809">
        <v>8.4410620197657007</v>
      </c>
      <c r="F141" s="809">
        <v>81.246026000000001</v>
      </c>
      <c r="G141" s="809">
        <v>41.958334999999998</v>
      </c>
      <c r="H141" s="809">
        <v>22.41863</v>
      </c>
      <c r="I141" s="809">
        <v>1.949551</v>
      </c>
      <c r="J141" s="809">
        <v>0.340613</v>
      </c>
      <c r="K141" s="809">
        <v>0.94977900000000004</v>
      </c>
      <c r="L141" s="809">
        <v>0.10866000000000001</v>
      </c>
      <c r="M141" s="809">
        <v>50.852879999999999</v>
      </c>
      <c r="N141" s="809">
        <v>39.117600000000003</v>
      </c>
      <c r="O141" s="809">
        <v>42.594720000000002</v>
      </c>
      <c r="P141" s="809">
        <v>0</v>
      </c>
      <c r="Q141" s="809">
        <v>0</v>
      </c>
      <c r="R141" s="1289">
        <f t="shared" si="28"/>
        <v>281.53679400000004</v>
      </c>
    </row>
    <row r="142" spans="3:18" ht="25.5" hidden="1">
      <c r="C142" s="1300" t="s">
        <v>934</v>
      </c>
      <c r="D142" s="123"/>
      <c r="E142" s="809"/>
      <c r="F142" s="809">
        <v>0</v>
      </c>
      <c r="G142" s="809">
        <v>0</v>
      </c>
      <c r="H142" s="809">
        <v>0</v>
      </c>
      <c r="I142" s="809">
        <v>0</v>
      </c>
      <c r="J142" s="809">
        <v>0</v>
      </c>
      <c r="K142" s="809">
        <v>0</v>
      </c>
      <c r="L142" s="809">
        <v>0</v>
      </c>
      <c r="M142" s="809">
        <v>0</v>
      </c>
      <c r="N142" s="809">
        <v>0</v>
      </c>
      <c r="O142" s="809">
        <v>0</v>
      </c>
      <c r="P142" s="809">
        <v>0</v>
      </c>
      <c r="Q142" s="809">
        <v>0</v>
      </c>
      <c r="R142" s="1289">
        <f t="shared" si="28"/>
        <v>0</v>
      </c>
    </row>
    <row r="143" spans="3:18" ht="25.5" hidden="1">
      <c r="C143" s="1300" t="s">
        <v>1037</v>
      </c>
      <c r="D143" s="123"/>
      <c r="E143" s="809">
        <v>6.7194026930552857</v>
      </c>
      <c r="F143" s="809">
        <v>0</v>
      </c>
      <c r="G143" s="809">
        <v>0</v>
      </c>
      <c r="H143" s="809">
        <v>0</v>
      </c>
      <c r="I143" s="809">
        <v>0</v>
      </c>
      <c r="J143" s="809">
        <v>0</v>
      </c>
      <c r="K143" s="809">
        <v>0</v>
      </c>
      <c r="L143" s="809">
        <v>0</v>
      </c>
      <c r="M143" s="809">
        <v>18.25488</v>
      </c>
      <c r="N143" s="809">
        <v>16.559784000000001</v>
      </c>
      <c r="O143" s="809">
        <v>18.25488</v>
      </c>
      <c r="P143" s="809">
        <v>0</v>
      </c>
      <c r="Q143" s="809">
        <v>53.895359999999997</v>
      </c>
      <c r="R143" s="1289">
        <f t="shared" si="28"/>
        <v>106.96490399999999</v>
      </c>
    </row>
    <row r="144" spans="3:18" ht="25.5" hidden="1">
      <c r="C144" s="1300" t="s">
        <v>1038</v>
      </c>
      <c r="D144" s="123"/>
      <c r="E144" s="809"/>
      <c r="F144" s="809">
        <v>0</v>
      </c>
      <c r="G144" s="809">
        <v>0</v>
      </c>
      <c r="H144" s="809">
        <v>0</v>
      </c>
      <c r="I144" s="809">
        <v>0</v>
      </c>
      <c r="J144" s="809">
        <v>0</v>
      </c>
      <c r="K144" s="809">
        <v>0</v>
      </c>
      <c r="L144" s="809">
        <v>0</v>
      </c>
      <c r="M144" s="809">
        <v>0</v>
      </c>
      <c r="N144" s="809">
        <v>0</v>
      </c>
      <c r="O144" s="809">
        <v>0</v>
      </c>
      <c r="P144" s="809">
        <v>0</v>
      </c>
      <c r="Q144" s="809">
        <v>0</v>
      </c>
      <c r="R144" s="1289">
        <f t="shared" si="28"/>
        <v>0</v>
      </c>
    </row>
    <row r="145" spans="3:18" hidden="1">
      <c r="C145" s="1300" t="s">
        <v>935</v>
      </c>
      <c r="D145" s="123"/>
      <c r="E145" s="809"/>
      <c r="F145" s="809">
        <v>0</v>
      </c>
      <c r="G145" s="809">
        <v>0</v>
      </c>
      <c r="H145" s="809">
        <v>0</v>
      </c>
      <c r="I145" s="809">
        <v>0</v>
      </c>
      <c r="J145" s="809">
        <v>0</v>
      </c>
      <c r="K145" s="809">
        <v>0</v>
      </c>
      <c r="L145" s="809">
        <v>0</v>
      </c>
      <c r="M145" s="809">
        <v>0</v>
      </c>
      <c r="N145" s="809">
        <v>0</v>
      </c>
      <c r="O145" s="809">
        <v>0</v>
      </c>
      <c r="P145" s="809">
        <v>0</v>
      </c>
      <c r="Q145" s="809">
        <v>0</v>
      </c>
      <c r="R145" s="1289">
        <f t="shared" si="28"/>
        <v>0</v>
      </c>
    </row>
    <row r="146" spans="3:18" hidden="1">
      <c r="C146" s="1300" t="s">
        <v>936</v>
      </c>
      <c r="D146" s="123"/>
      <c r="E146" s="809"/>
      <c r="F146" s="809">
        <v>0</v>
      </c>
      <c r="G146" s="809">
        <v>0</v>
      </c>
      <c r="H146" s="809">
        <v>0</v>
      </c>
      <c r="I146" s="809">
        <v>0</v>
      </c>
      <c r="J146" s="809">
        <v>0</v>
      </c>
      <c r="K146" s="809">
        <v>0</v>
      </c>
      <c r="L146" s="809">
        <v>0</v>
      </c>
      <c r="M146" s="809">
        <v>0</v>
      </c>
      <c r="N146" s="809">
        <v>0</v>
      </c>
      <c r="O146" s="809">
        <v>0</v>
      </c>
      <c r="P146" s="809">
        <v>0</v>
      </c>
      <c r="Q146" s="809">
        <v>0</v>
      </c>
      <c r="R146" s="1289">
        <f t="shared" si="28"/>
        <v>0</v>
      </c>
    </row>
    <row r="147" spans="3:18" hidden="1">
      <c r="C147" s="1309" t="s">
        <v>1039</v>
      </c>
      <c r="D147" s="123"/>
      <c r="E147" s="809"/>
      <c r="F147" s="809">
        <v>0</v>
      </c>
      <c r="G147" s="809">
        <v>0</v>
      </c>
      <c r="H147" s="809">
        <v>0</v>
      </c>
      <c r="I147" s="809">
        <v>0</v>
      </c>
      <c r="J147" s="809">
        <v>0</v>
      </c>
      <c r="K147" s="809">
        <v>0</v>
      </c>
      <c r="L147" s="809">
        <v>0</v>
      </c>
      <c r="M147" s="809">
        <v>0</v>
      </c>
      <c r="N147" s="809">
        <v>0</v>
      </c>
      <c r="O147" s="809">
        <v>0</v>
      </c>
      <c r="P147" s="809">
        <v>0</v>
      </c>
      <c r="Q147" s="809">
        <v>0</v>
      </c>
      <c r="R147" s="1289">
        <f t="shared" si="28"/>
        <v>0</v>
      </c>
    </row>
    <row r="148" spans="3:18" hidden="1">
      <c r="C148" s="1300" t="s">
        <v>937</v>
      </c>
      <c r="D148" s="123"/>
      <c r="E148" s="809"/>
      <c r="F148" s="809">
        <v>0</v>
      </c>
      <c r="G148" s="809">
        <v>0</v>
      </c>
      <c r="H148" s="809">
        <v>0</v>
      </c>
      <c r="I148" s="809">
        <v>0</v>
      </c>
      <c r="J148" s="809">
        <v>0</v>
      </c>
      <c r="K148" s="809">
        <v>0</v>
      </c>
      <c r="L148" s="809">
        <v>0</v>
      </c>
      <c r="M148" s="809">
        <v>0</v>
      </c>
      <c r="N148" s="809">
        <v>0</v>
      </c>
      <c r="O148" s="809">
        <v>0</v>
      </c>
      <c r="P148" s="809">
        <v>0</v>
      </c>
      <c r="Q148" s="809">
        <v>0</v>
      </c>
      <c r="R148" s="1289">
        <f t="shared" si="28"/>
        <v>0</v>
      </c>
    </row>
    <row r="149" spans="3:18" hidden="1">
      <c r="C149" s="1300" t="s">
        <v>938</v>
      </c>
      <c r="D149" s="123"/>
      <c r="E149" s="809"/>
      <c r="F149" s="809">
        <v>0</v>
      </c>
      <c r="G149" s="809">
        <v>0</v>
      </c>
      <c r="H149" s="809">
        <v>0</v>
      </c>
      <c r="I149" s="809">
        <v>0</v>
      </c>
      <c r="J149" s="809">
        <v>0</v>
      </c>
      <c r="K149" s="809">
        <v>0</v>
      </c>
      <c r="L149" s="809">
        <v>0</v>
      </c>
      <c r="M149" s="809">
        <v>0</v>
      </c>
      <c r="N149" s="809">
        <v>0</v>
      </c>
      <c r="O149" s="809">
        <v>0</v>
      </c>
      <c r="P149" s="809">
        <v>0</v>
      </c>
      <c r="Q149" s="809">
        <v>0</v>
      </c>
      <c r="R149" s="1289">
        <f t="shared" si="28"/>
        <v>0</v>
      </c>
    </row>
    <row r="150" spans="3:18" hidden="1">
      <c r="C150" s="1300" t="s">
        <v>1040</v>
      </c>
      <c r="D150" s="123"/>
      <c r="E150" s="809">
        <v>8.2121339284727828</v>
      </c>
      <c r="F150" s="809">
        <v>2.7685689999999998</v>
      </c>
      <c r="G150" s="809">
        <v>0</v>
      </c>
      <c r="H150" s="809">
        <v>0</v>
      </c>
      <c r="I150" s="809">
        <v>0</v>
      </c>
      <c r="J150" s="809">
        <v>0</v>
      </c>
      <c r="K150" s="809">
        <v>52.020466108999997</v>
      </c>
      <c r="L150" s="809">
        <v>19.022801951999998</v>
      </c>
      <c r="M150" s="809">
        <v>0</v>
      </c>
      <c r="N150" s="809">
        <v>0</v>
      </c>
      <c r="O150" s="809">
        <v>0</v>
      </c>
      <c r="P150" s="809">
        <v>0</v>
      </c>
      <c r="Q150" s="809">
        <v>21.596149283799999</v>
      </c>
      <c r="R150" s="1289">
        <f t="shared" si="28"/>
        <v>95.407986344799994</v>
      </c>
    </row>
    <row r="151" spans="3:18" hidden="1">
      <c r="C151" s="1300" t="s">
        <v>1041</v>
      </c>
      <c r="D151" s="123"/>
      <c r="E151" s="809"/>
      <c r="F151" s="809">
        <v>0</v>
      </c>
      <c r="G151" s="809">
        <v>0</v>
      </c>
      <c r="H151" s="809">
        <v>0</v>
      </c>
      <c r="I151" s="809">
        <v>0</v>
      </c>
      <c r="J151" s="809">
        <v>0</v>
      </c>
      <c r="K151" s="809">
        <v>0</v>
      </c>
      <c r="L151" s="809">
        <v>0</v>
      </c>
      <c r="M151" s="809">
        <v>0</v>
      </c>
      <c r="N151" s="809">
        <v>0</v>
      </c>
      <c r="O151" s="809">
        <v>0</v>
      </c>
      <c r="P151" s="809">
        <v>0</v>
      </c>
      <c r="Q151" s="809">
        <v>0</v>
      </c>
      <c r="R151" s="1289">
        <f t="shared" si="28"/>
        <v>0</v>
      </c>
    </row>
    <row r="152" spans="3:18" hidden="1">
      <c r="C152" s="1300" t="s">
        <v>1042</v>
      </c>
      <c r="D152" s="1045"/>
      <c r="E152" s="809"/>
      <c r="F152" s="809">
        <v>0</v>
      </c>
      <c r="G152" s="809">
        <v>0</v>
      </c>
      <c r="H152" s="809">
        <v>0</v>
      </c>
      <c r="I152" s="809">
        <v>0</v>
      </c>
      <c r="J152" s="809">
        <v>0</v>
      </c>
      <c r="K152" s="809">
        <v>0</v>
      </c>
      <c r="L152" s="809">
        <v>0</v>
      </c>
      <c r="M152" s="809">
        <v>0</v>
      </c>
      <c r="N152" s="809">
        <v>0</v>
      </c>
      <c r="O152" s="809">
        <v>0</v>
      </c>
      <c r="P152" s="809">
        <v>0</v>
      </c>
      <c r="Q152" s="809">
        <v>0</v>
      </c>
      <c r="R152" s="1289">
        <f t="shared" si="28"/>
        <v>0</v>
      </c>
    </row>
    <row r="153" spans="3:18" hidden="1">
      <c r="C153" s="1300" t="s">
        <v>940</v>
      </c>
      <c r="D153" s="1045"/>
      <c r="E153" s="809"/>
      <c r="F153" s="809">
        <v>0</v>
      </c>
      <c r="G153" s="809">
        <v>0</v>
      </c>
      <c r="H153" s="809">
        <v>0</v>
      </c>
      <c r="I153" s="809">
        <v>0</v>
      </c>
      <c r="J153" s="809">
        <v>0</v>
      </c>
      <c r="K153" s="809">
        <v>0</v>
      </c>
      <c r="L153" s="809">
        <v>0</v>
      </c>
      <c r="M153" s="809">
        <v>0</v>
      </c>
      <c r="N153" s="809">
        <v>0</v>
      </c>
      <c r="O153" s="809">
        <v>0</v>
      </c>
      <c r="P153" s="809">
        <v>0</v>
      </c>
      <c r="Q153" s="809">
        <v>0</v>
      </c>
      <c r="R153" s="1289">
        <f t="shared" si="28"/>
        <v>0</v>
      </c>
    </row>
    <row r="154" spans="3:18" hidden="1">
      <c r="C154" s="1309" t="s">
        <v>1043</v>
      </c>
      <c r="D154" s="123"/>
      <c r="E154" s="809"/>
      <c r="F154" s="809">
        <v>0</v>
      </c>
      <c r="G154" s="809">
        <v>0</v>
      </c>
      <c r="H154" s="809">
        <v>0</v>
      </c>
      <c r="I154" s="809">
        <v>0</v>
      </c>
      <c r="J154" s="809">
        <v>0</v>
      </c>
      <c r="K154" s="809">
        <v>0</v>
      </c>
      <c r="L154" s="809">
        <v>0</v>
      </c>
      <c r="M154" s="809">
        <v>0</v>
      </c>
      <c r="N154" s="809">
        <v>0</v>
      </c>
      <c r="O154" s="809">
        <v>0</v>
      </c>
      <c r="P154" s="809">
        <v>0</v>
      </c>
      <c r="Q154" s="809">
        <v>0</v>
      </c>
      <c r="R154" s="1289">
        <f t="shared" si="28"/>
        <v>0</v>
      </c>
    </row>
    <row r="155" spans="3:18" hidden="1">
      <c r="C155" s="1300" t="s">
        <v>939</v>
      </c>
      <c r="D155" s="123"/>
      <c r="E155" s="809">
        <v>10.241129357468807</v>
      </c>
      <c r="F155" s="809">
        <v>13.038765359999999</v>
      </c>
      <c r="G155" s="809">
        <v>57.076490159999999</v>
      </c>
      <c r="H155" s="809">
        <v>0</v>
      </c>
      <c r="I155" s="809">
        <v>0</v>
      </c>
      <c r="J155" s="809">
        <v>0</v>
      </c>
      <c r="K155" s="809">
        <v>13.582436614999999</v>
      </c>
      <c r="L155" s="809">
        <v>10.435229744799999</v>
      </c>
      <c r="M155" s="809">
        <v>0</v>
      </c>
      <c r="N155" s="809">
        <v>0</v>
      </c>
      <c r="O155" s="809">
        <v>3.3161619999999998</v>
      </c>
      <c r="P155" s="809">
        <v>2.7907151421999998</v>
      </c>
      <c r="Q155" s="809">
        <v>6.4901629193999995</v>
      </c>
      <c r="R155" s="1289">
        <f t="shared" si="28"/>
        <v>106.72996194140001</v>
      </c>
    </row>
    <row r="156" spans="3:18" hidden="1">
      <c r="C156" s="1300" t="s">
        <v>941</v>
      </c>
      <c r="D156" s="123"/>
      <c r="E156" s="809"/>
      <c r="F156" s="809">
        <v>0</v>
      </c>
      <c r="G156" s="809">
        <v>0</v>
      </c>
      <c r="H156" s="809">
        <v>0</v>
      </c>
      <c r="I156" s="809">
        <v>0</v>
      </c>
      <c r="J156" s="809">
        <v>0</v>
      </c>
      <c r="K156" s="809">
        <v>0</v>
      </c>
      <c r="L156" s="809">
        <v>0</v>
      </c>
      <c r="M156" s="809">
        <v>0</v>
      </c>
      <c r="N156" s="809">
        <v>0</v>
      </c>
      <c r="O156" s="809">
        <v>0</v>
      </c>
      <c r="P156" s="809">
        <v>0</v>
      </c>
      <c r="Q156" s="809">
        <v>0</v>
      </c>
      <c r="R156" s="1289">
        <f t="shared" si="28"/>
        <v>0</v>
      </c>
    </row>
    <row r="157" spans="3:18" hidden="1">
      <c r="C157" s="1309" t="s">
        <v>1044</v>
      </c>
      <c r="D157" s="123"/>
      <c r="E157" s="809"/>
      <c r="F157" s="809">
        <v>0</v>
      </c>
      <c r="G157" s="809">
        <v>0</v>
      </c>
      <c r="H157" s="809">
        <v>0</v>
      </c>
      <c r="I157" s="809">
        <v>0</v>
      </c>
      <c r="J157" s="809">
        <v>0</v>
      </c>
      <c r="K157" s="809">
        <v>0</v>
      </c>
      <c r="L157" s="809">
        <v>0</v>
      </c>
      <c r="M157" s="809">
        <v>0</v>
      </c>
      <c r="N157" s="809">
        <v>0</v>
      </c>
      <c r="O157" s="809">
        <v>0</v>
      </c>
      <c r="P157" s="809">
        <v>0</v>
      </c>
      <c r="Q157" s="809">
        <v>0</v>
      </c>
      <c r="R157" s="1289">
        <f t="shared" si="28"/>
        <v>0</v>
      </c>
    </row>
    <row r="158" spans="3:18" hidden="1">
      <c r="C158" s="1300" t="s">
        <v>942</v>
      </c>
      <c r="D158" s="123"/>
      <c r="E158" s="809"/>
      <c r="F158" s="809">
        <v>0</v>
      </c>
      <c r="G158" s="809">
        <v>0</v>
      </c>
      <c r="H158" s="809">
        <v>0</v>
      </c>
      <c r="I158" s="809">
        <v>0</v>
      </c>
      <c r="J158" s="809">
        <v>0</v>
      </c>
      <c r="K158" s="809">
        <v>0</v>
      </c>
      <c r="L158" s="809">
        <v>0</v>
      </c>
      <c r="M158" s="809">
        <v>0</v>
      </c>
      <c r="N158" s="809">
        <v>0</v>
      </c>
      <c r="O158" s="809">
        <v>0</v>
      </c>
      <c r="P158" s="809">
        <v>0</v>
      </c>
      <c r="Q158" s="809">
        <v>0</v>
      </c>
      <c r="R158" s="1289">
        <f t="shared" si="28"/>
        <v>0</v>
      </c>
    </row>
    <row r="159" spans="3:18" hidden="1">
      <c r="C159" s="1309" t="s">
        <v>1045</v>
      </c>
      <c r="D159" s="123"/>
      <c r="E159" s="809"/>
      <c r="F159" s="809">
        <v>0</v>
      </c>
      <c r="G159" s="809">
        <v>0</v>
      </c>
      <c r="H159" s="809">
        <v>0</v>
      </c>
      <c r="I159" s="809">
        <v>0</v>
      </c>
      <c r="J159" s="809">
        <v>0</v>
      </c>
      <c r="K159" s="809">
        <v>0</v>
      </c>
      <c r="L159" s="809">
        <v>0</v>
      </c>
      <c r="M159" s="809">
        <v>0</v>
      </c>
      <c r="N159" s="809">
        <v>0</v>
      </c>
      <c r="O159" s="809">
        <v>0</v>
      </c>
      <c r="P159" s="809">
        <v>0</v>
      </c>
      <c r="Q159" s="809">
        <v>0</v>
      </c>
      <c r="R159" s="1289">
        <f t="shared" si="28"/>
        <v>0</v>
      </c>
    </row>
    <row r="160" spans="3:18" hidden="1">
      <c r="C160" s="1309" t="s">
        <v>1046</v>
      </c>
      <c r="D160" s="123"/>
      <c r="E160" s="809">
        <v>8.8000000000000007</v>
      </c>
      <c r="F160" s="809">
        <v>0</v>
      </c>
      <c r="G160" s="809">
        <v>0</v>
      </c>
      <c r="H160" s="809">
        <v>0</v>
      </c>
      <c r="I160" s="809">
        <v>0</v>
      </c>
      <c r="J160" s="809">
        <v>0</v>
      </c>
      <c r="K160" s="809">
        <v>0</v>
      </c>
      <c r="L160" s="809">
        <v>0</v>
      </c>
      <c r="M160" s="809">
        <v>0</v>
      </c>
      <c r="N160" s="809">
        <v>0</v>
      </c>
      <c r="O160" s="809">
        <v>0</v>
      </c>
      <c r="P160" s="809">
        <v>0</v>
      </c>
      <c r="Q160" s="809">
        <v>4.0706643839999996</v>
      </c>
      <c r="R160" s="1289">
        <f t="shared" si="28"/>
        <v>4.0706643839999996</v>
      </c>
    </row>
    <row r="161" spans="1:18" hidden="1">
      <c r="C161" s="1310" t="s">
        <v>1047</v>
      </c>
      <c r="D161" s="123"/>
      <c r="E161" s="809"/>
      <c r="F161" s="809">
        <v>0</v>
      </c>
      <c r="G161" s="809">
        <v>0</v>
      </c>
      <c r="H161" s="809">
        <v>0</v>
      </c>
      <c r="I161" s="809">
        <v>0</v>
      </c>
      <c r="J161" s="809">
        <v>0</v>
      </c>
      <c r="K161" s="809">
        <v>0</v>
      </c>
      <c r="L161" s="809">
        <v>0</v>
      </c>
      <c r="M161" s="809">
        <v>0</v>
      </c>
      <c r="N161" s="809">
        <v>0</v>
      </c>
      <c r="O161" s="809">
        <v>0</v>
      </c>
      <c r="P161" s="809">
        <v>0</v>
      </c>
      <c r="Q161" s="809">
        <v>0</v>
      </c>
      <c r="R161" s="1289">
        <f t="shared" si="28"/>
        <v>0</v>
      </c>
    </row>
    <row r="162" spans="1:18" hidden="1">
      <c r="C162" s="1310" t="s">
        <v>1048</v>
      </c>
      <c r="D162" s="123"/>
      <c r="E162" s="809"/>
      <c r="F162" s="809">
        <v>0</v>
      </c>
      <c r="G162" s="809">
        <v>0</v>
      </c>
      <c r="H162" s="809">
        <v>0</v>
      </c>
      <c r="I162" s="809">
        <v>0</v>
      </c>
      <c r="J162" s="809">
        <v>0</v>
      </c>
      <c r="K162" s="809">
        <v>0</v>
      </c>
      <c r="L162" s="809">
        <v>0</v>
      </c>
      <c r="M162" s="809">
        <v>0</v>
      </c>
      <c r="N162" s="809">
        <v>0</v>
      </c>
      <c r="O162" s="809">
        <v>0</v>
      </c>
      <c r="P162" s="809">
        <v>0</v>
      </c>
      <c r="Q162" s="809">
        <v>0</v>
      </c>
      <c r="R162" s="1289">
        <f t="shared" si="28"/>
        <v>0</v>
      </c>
    </row>
    <row r="163" spans="1:18" hidden="1">
      <c r="C163" s="1309" t="s">
        <v>1049</v>
      </c>
      <c r="D163" s="123"/>
      <c r="E163" s="809"/>
      <c r="F163" s="809"/>
      <c r="G163" s="809"/>
      <c r="H163" s="809"/>
      <c r="I163" s="809"/>
      <c r="J163" s="809"/>
      <c r="K163" s="809"/>
      <c r="L163" s="809"/>
      <c r="M163" s="809"/>
      <c r="N163" s="809"/>
      <c r="O163" s="809"/>
      <c r="P163" s="809"/>
      <c r="Q163" s="809">
        <v>176.74056079999997</v>
      </c>
      <c r="R163" s="1289">
        <f t="shared" si="28"/>
        <v>176.74056079999997</v>
      </c>
    </row>
    <row r="164" spans="1:18" ht="25.5" hidden="1">
      <c r="C164" s="1309" t="s">
        <v>666</v>
      </c>
      <c r="D164" s="123"/>
      <c r="E164" s="809"/>
      <c r="F164" s="809"/>
      <c r="G164" s="809"/>
      <c r="H164" s="809"/>
      <c r="I164" s="809"/>
      <c r="J164" s="809"/>
      <c r="K164" s="809"/>
      <c r="L164" s="809"/>
      <c r="M164" s="809"/>
      <c r="N164" s="809"/>
      <c r="O164" s="809"/>
      <c r="P164" s="809"/>
      <c r="Q164" s="809">
        <v>5214.2938154259427</v>
      </c>
      <c r="R164" s="1289">
        <f t="shared" si="28"/>
        <v>5214.2938154259427</v>
      </c>
    </row>
    <row r="165" spans="1:18" hidden="1">
      <c r="C165" s="1309" t="s">
        <v>1050</v>
      </c>
      <c r="D165" s="123"/>
      <c r="E165" s="809"/>
      <c r="F165" s="809"/>
      <c r="G165" s="809"/>
      <c r="H165" s="809"/>
      <c r="I165" s="809"/>
      <c r="J165" s="809"/>
      <c r="K165" s="809"/>
      <c r="L165" s="809"/>
      <c r="M165" s="809"/>
      <c r="N165" s="809"/>
      <c r="O165" s="809"/>
      <c r="P165" s="809"/>
      <c r="Q165" s="809">
        <v>-643.42082800000003</v>
      </c>
      <c r="R165" s="1289">
        <f t="shared" si="28"/>
        <v>-643.42082800000003</v>
      </c>
    </row>
    <row r="166" spans="1:18" hidden="1">
      <c r="C166" s="1283" t="s">
        <v>252</v>
      </c>
      <c r="D166" s="433"/>
      <c r="E166" s="1044">
        <f>SUM(E139:E165)</f>
        <v>49.778135667176272</v>
      </c>
      <c r="F166" s="1044">
        <f>SUM(F139:F165)</f>
        <v>378.25191436</v>
      </c>
      <c r="G166" s="1044">
        <f t="shared" ref="G166:Q166" si="29">SUM(G139:G165)</f>
        <v>264.82603915999999</v>
      </c>
      <c r="H166" s="1044">
        <f t="shared" si="29"/>
        <v>339.09859900000004</v>
      </c>
      <c r="I166" s="1044">
        <f t="shared" si="29"/>
        <v>131.63192500000002</v>
      </c>
      <c r="J166" s="1044">
        <f t="shared" si="29"/>
        <v>141.96718999999999</v>
      </c>
      <c r="K166" s="1044">
        <f t="shared" si="29"/>
        <v>183.06145472400001</v>
      </c>
      <c r="L166" s="1044">
        <f t="shared" si="29"/>
        <v>220.2720476968</v>
      </c>
      <c r="M166" s="1044">
        <f t="shared" si="29"/>
        <v>294.98857300000003</v>
      </c>
      <c r="N166" s="1044">
        <f t="shared" si="29"/>
        <v>314.72406299999994</v>
      </c>
      <c r="O166" s="1044">
        <f t="shared" si="29"/>
        <v>313.93930000000006</v>
      </c>
      <c r="P166" s="1044">
        <f t="shared" si="29"/>
        <v>201.96290614219998</v>
      </c>
      <c r="Q166" s="1044">
        <f t="shared" si="29"/>
        <v>5012.6593078131427</v>
      </c>
      <c r="R166" s="1298">
        <f>SUM(F166:Q166)</f>
        <v>7797.3833198961429</v>
      </c>
    </row>
    <row r="167" spans="1:18" hidden="1">
      <c r="C167" s="434" t="s">
        <v>1051</v>
      </c>
      <c r="D167" s="123"/>
      <c r="E167" s="809">
        <v>7.569999977061344</v>
      </c>
      <c r="F167" s="809">
        <v>0</v>
      </c>
      <c r="G167" s="809">
        <v>0</v>
      </c>
      <c r="H167" s="809">
        <v>0</v>
      </c>
      <c r="I167" s="809">
        <v>0</v>
      </c>
      <c r="J167" s="809">
        <v>0</v>
      </c>
      <c r="K167" s="809">
        <v>0</v>
      </c>
      <c r="L167" s="809">
        <v>0</v>
      </c>
      <c r="M167" s="809">
        <v>0</v>
      </c>
      <c r="N167" s="809">
        <v>0</v>
      </c>
      <c r="O167" s="809">
        <v>0</v>
      </c>
      <c r="P167" s="809">
        <v>0</v>
      </c>
      <c r="Q167" s="809">
        <v>10.3346946152</v>
      </c>
      <c r="R167" s="1298">
        <f>SUM(F167:Q167)</f>
        <v>10.3346946152</v>
      </c>
    </row>
    <row r="168" spans="1:18" ht="13.5" hidden="1" thickBot="1">
      <c r="C168" s="1311" t="s">
        <v>382</v>
      </c>
      <c r="D168" s="1312"/>
      <c r="E168" s="1313">
        <v>4.1130000000000004</v>
      </c>
      <c r="F168" s="1313">
        <f t="shared" ref="F168:R168" si="30">SUM(F136,F122,F166,F109,F103,F98,F37,F167)</f>
        <v>1913.6126042293999</v>
      </c>
      <c r="G168" s="1313">
        <f t="shared" si="30"/>
        <v>1744.6188725504001</v>
      </c>
      <c r="H168" s="1313">
        <f t="shared" si="30"/>
        <v>1668.0146904874937</v>
      </c>
      <c r="I168" s="1313">
        <f t="shared" si="30"/>
        <v>1541.3504164063556</v>
      </c>
      <c r="J168" s="1313">
        <f t="shared" si="30"/>
        <v>1689.1531579951961</v>
      </c>
      <c r="K168" s="1313">
        <f t="shared" si="30"/>
        <v>1754.2133619132373</v>
      </c>
      <c r="L168" s="1313">
        <f t="shared" si="30"/>
        <v>1970.1260253630828</v>
      </c>
      <c r="M168" s="1313">
        <f t="shared" si="30"/>
        <v>1993.5870481913078</v>
      </c>
      <c r="N168" s="1313">
        <f t="shared" si="30"/>
        <v>2010.7781326092013</v>
      </c>
      <c r="O168" s="1313">
        <f t="shared" si="30"/>
        <v>2113.683809831271</v>
      </c>
      <c r="P168" s="1313">
        <f t="shared" si="30"/>
        <v>2144.1363137549415</v>
      </c>
      <c r="Q168" s="1313">
        <f t="shared" si="30"/>
        <v>7179.6094182348443</v>
      </c>
      <c r="R168" s="1314">
        <f t="shared" si="30"/>
        <v>27722.883851566734</v>
      </c>
    </row>
    <row r="169" spans="1:18">
      <c r="A169" s="304"/>
      <c r="B169" s="304"/>
      <c r="C169" s="440"/>
      <c r="D169" s="441"/>
      <c r="E169" s="441"/>
      <c r="F169" s="441"/>
      <c r="G169" s="441"/>
      <c r="H169" s="441"/>
      <c r="I169" s="441"/>
      <c r="J169" s="441"/>
      <c r="K169" s="442"/>
      <c r="L169" s="442"/>
      <c r="M169" s="442"/>
      <c r="N169" s="442"/>
      <c r="O169" s="442"/>
      <c r="P169" s="442"/>
      <c r="Q169" s="442"/>
      <c r="R169" s="441"/>
    </row>
    <row r="170" spans="1:18" ht="12.75" customHeight="1">
      <c r="A170" s="304"/>
      <c r="B170" s="304"/>
      <c r="C170" s="1455" t="s">
        <v>395</v>
      </c>
      <c r="D170" s="1455" t="s">
        <v>386</v>
      </c>
      <c r="E170" s="441"/>
      <c r="F170" s="441"/>
      <c r="G170" s="441"/>
      <c r="H170" s="441"/>
      <c r="I170" s="441"/>
      <c r="J170" s="441"/>
      <c r="K170" s="442"/>
      <c r="L170" s="442"/>
      <c r="M170" s="442"/>
      <c r="N170" s="442"/>
      <c r="O170" s="442"/>
      <c r="P170" s="442"/>
      <c r="Q170" s="442"/>
      <c r="R170" s="441"/>
    </row>
    <row r="171" spans="1:18" ht="16.5" thickBot="1">
      <c r="A171" s="304"/>
      <c r="B171" s="304"/>
      <c r="C171" s="1456" t="s">
        <v>1153</v>
      </c>
      <c r="D171" s="1456"/>
      <c r="E171" s="441"/>
      <c r="F171" s="441"/>
      <c r="G171" s="441"/>
      <c r="H171" s="441"/>
      <c r="I171" s="441"/>
      <c r="J171" s="441"/>
      <c r="K171" s="442"/>
      <c r="L171" s="442"/>
      <c r="M171" s="442"/>
      <c r="N171" s="442"/>
      <c r="O171" s="442"/>
      <c r="P171" s="442"/>
      <c r="Q171" s="442"/>
      <c r="R171" s="441"/>
    </row>
    <row r="172" spans="1:18">
      <c r="A172" s="304"/>
      <c r="B172" s="304"/>
      <c r="C172" s="1884" t="s">
        <v>92</v>
      </c>
      <c r="D172" s="1886" t="s">
        <v>93</v>
      </c>
      <c r="E172" s="1834" t="s">
        <v>145</v>
      </c>
      <c r="F172" s="1888" t="s">
        <v>346</v>
      </c>
      <c r="G172" s="1888"/>
      <c r="H172" s="1888"/>
      <c r="I172" s="1888"/>
      <c r="J172" s="1888"/>
      <c r="K172" s="1888"/>
      <c r="L172" s="1888"/>
      <c r="M172" s="1888"/>
      <c r="N172" s="1888"/>
      <c r="O172" s="1888"/>
      <c r="P172" s="1888"/>
      <c r="Q172" s="1888"/>
      <c r="R172" s="1889"/>
    </row>
    <row r="173" spans="1:18">
      <c r="A173" s="304"/>
      <c r="B173" s="304"/>
      <c r="C173" s="1885"/>
      <c r="D173" s="1887"/>
      <c r="E173" s="1840"/>
      <c r="F173" s="1047" t="s">
        <v>146</v>
      </c>
      <c r="G173" s="1047" t="s">
        <v>147</v>
      </c>
      <c r="H173" s="1047" t="s">
        <v>148</v>
      </c>
      <c r="I173" s="1047" t="s">
        <v>149</v>
      </c>
      <c r="J173" s="1047" t="s">
        <v>150</v>
      </c>
      <c r="K173" s="1047" t="s">
        <v>151</v>
      </c>
      <c r="L173" s="1047" t="s">
        <v>152</v>
      </c>
      <c r="M173" s="1047" t="s">
        <v>153</v>
      </c>
      <c r="N173" s="1047" t="s">
        <v>154</v>
      </c>
      <c r="O173" s="1047" t="s">
        <v>155</v>
      </c>
      <c r="P173" s="1047" t="s">
        <v>156</v>
      </c>
      <c r="Q173" s="1047" t="s">
        <v>157</v>
      </c>
      <c r="R173" s="1286" t="s">
        <v>98</v>
      </c>
    </row>
    <row r="174" spans="1:18">
      <c r="A174" s="304"/>
      <c r="B174" s="304"/>
      <c r="C174" s="1287"/>
      <c r="D174" s="123"/>
      <c r="E174" s="1048"/>
      <c r="F174" s="1043"/>
      <c r="G174" s="1043"/>
      <c r="H174" s="1043"/>
      <c r="I174" s="1043"/>
      <c r="J174" s="1043"/>
      <c r="K174" s="1043"/>
      <c r="L174" s="1043"/>
      <c r="M174" s="1043"/>
      <c r="N174" s="1043"/>
      <c r="O174" s="1043"/>
      <c r="P174" s="1043"/>
      <c r="Q174" s="1043"/>
      <c r="R174" s="1288"/>
    </row>
    <row r="175" spans="1:18">
      <c r="A175" s="304"/>
      <c r="B175" s="304"/>
      <c r="C175" s="1283" t="s">
        <v>99</v>
      </c>
      <c r="D175" s="123"/>
      <c r="E175" s="391"/>
      <c r="F175" s="1043"/>
      <c r="G175" s="1043"/>
      <c r="H175" s="1043"/>
      <c r="I175" s="1043"/>
      <c r="J175" s="1043"/>
      <c r="K175" s="1043"/>
      <c r="L175" s="1043"/>
      <c r="M175" s="1043"/>
      <c r="N175" s="1043"/>
      <c r="O175" s="1043"/>
      <c r="P175" s="1043"/>
      <c r="Q175" s="1043"/>
      <c r="R175" s="1288"/>
    </row>
    <row r="176" spans="1:18" ht="13.5" thickBot="1">
      <c r="A176" s="304"/>
      <c r="B176" s="304"/>
      <c r="C176" s="1283" t="s">
        <v>100</v>
      </c>
      <c r="D176" s="123"/>
      <c r="E176" s="123"/>
      <c r="F176" s="1043"/>
      <c r="G176" s="1043"/>
      <c r="H176" s="1043"/>
      <c r="I176" s="1043"/>
      <c r="J176" s="1043"/>
      <c r="K176" s="1043"/>
      <c r="L176" s="1043"/>
      <c r="M176" s="1043"/>
      <c r="N176" s="1043"/>
      <c r="O176" s="1043"/>
      <c r="P176" s="1043"/>
      <c r="Q176" s="1043"/>
      <c r="R176" s="1288"/>
    </row>
    <row r="177" spans="1:18" ht="12.95" customHeight="1">
      <c r="A177" s="304"/>
      <c r="B177" s="1890" t="s">
        <v>850</v>
      </c>
      <c r="C177" s="1450" t="s">
        <v>789</v>
      </c>
      <c r="D177" s="1290"/>
      <c r="E177" s="1290">
        <v>0</v>
      </c>
      <c r="F177" s="1290">
        <v>1.7685863799999999</v>
      </c>
      <c r="G177" s="1290">
        <v>-2.6712249999999996E-2</v>
      </c>
      <c r="H177" s="1290">
        <v>-0.12463114999999998</v>
      </c>
      <c r="I177" s="1290">
        <v>-7.1553720000000001E-2</v>
      </c>
      <c r="J177" s="1290">
        <v>9.4385339999999984E-2</v>
      </c>
      <c r="K177" s="1290">
        <v>-8.597204E-2</v>
      </c>
      <c r="L177" s="1290">
        <v>53.100620758198481</v>
      </c>
      <c r="M177" s="1290">
        <v>50.685470289635596</v>
      </c>
      <c r="N177" s="1290">
        <v>43.351577517740303</v>
      </c>
      <c r="O177" s="1290">
        <v>24.970309941617611</v>
      </c>
      <c r="P177" s="1290">
        <v>18.445129483763488</v>
      </c>
      <c r="Q177" s="1290">
        <v>16.734450847740362</v>
      </c>
      <c r="R177" s="1289">
        <f>SUM(F177:Q177)</f>
        <v>208.84166139869583</v>
      </c>
    </row>
    <row r="178" spans="1:18" ht="12.95" customHeight="1">
      <c r="A178" s="304"/>
      <c r="B178" s="1891"/>
      <c r="C178" s="1450" t="s">
        <v>782</v>
      </c>
      <c r="D178" s="1290"/>
      <c r="E178" s="1290">
        <v>0</v>
      </c>
      <c r="F178" s="1290">
        <v>2.1121693E-2</v>
      </c>
      <c r="G178" s="1290">
        <v>-1.32231976E-2</v>
      </c>
      <c r="H178" s="1290">
        <v>-1.4476418199999999E-2</v>
      </c>
      <c r="I178" s="1290">
        <v>-1.17108796E-2</v>
      </c>
      <c r="J178" s="1290">
        <v>-1.1093728799999999E-2</v>
      </c>
      <c r="K178" s="1290">
        <v>-1.12879088E-2</v>
      </c>
      <c r="L178" s="1290">
        <v>8.992847063888453</v>
      </c>
      <c r="M178" s="1290">
        <v>8.4475783816059327</v>
      </c>
      <c r="N178" s="1290">
        <v>6.1346571959066463</v>
      </c>
      <c r="O178" s="1290">
        <v>1.8634559657923591</v>
      </c>
      <c r="P178" s="1290">
        <v>1.1067077690258091</v>
      </c>
      <c r="Q178" s="1290">
        <v>1.1156300565160242</v>
      </c>
      <c r="R178" s="1289">
        <f t="shared" ref="R178:R224" si="31">SUM(F178:Q178)</f>
        <v>27.620205992735226</v>
      </c>
    </row>
    <row r="179" spans="1:18" ht="12.95" customHeight="1">
      <c r="A179" s="304"/>
      <c r="B179" s="1891"/>
      <c r="C179" s="1450" t="s">
        <v>790</v>
      </c>
      <c r="D179" s="1290"/>
      <c r="E179" s="1290">
        <v>0</v>
      </c>
      <c r="F179" s="1290">
        <v>7.8380079999999991E-2</v>
      </c>
      <c r="G179" s="1290">
        <v>-2.4629599999999998E-2</v>
      </c>
      <c r="H179" s="1290">
        <v>-4.1170289999999991E-2</v>
      </c>
      <c r="I179" s="1290">
        <v>-3.5776860000000001E-2</v>
      </c>
      <c r="J179" s="1290">
        <v>5.0644019999999998E-2</v>
      </c>
      <c r="K179" s="1290">
        <v>-3.3994239999999995E-2</v>
      </c>
      <c r="L179" s="1290">
        <v>9.4210778764545697</v>
      </c>
      <c r="M179" s="1290">
        <v>8.4475783816059327</v>
      </c>
      <c r="N179" s="1290">
        <v>2.862840024756435</v>
      </c>
      <c r="O179" s="1290">
        <v>1.8634559657923591</v>
      </c>
      <c r="P179" s="1290">
        <v>1.8445129483763487</v>
      </c>
      <c r="Q179" s="1290">
        <v>1.8593834275267067</v>
      </c>
      <c r="R179" s="1289">
        <f t="shared" si="31"/>
        <v>26.29230173451235</v>
      </c>
    </row>
    <row r="180" spans="1:18" ht="12.95" customHeight="1">
      <c r="A180" s="304"/>
      <c r="B180" s="1891"/>
      <c r="C180" s="1450" t="s">
        <v>791</v>
      </c>
      <c r="D180" s="1290"/>
      <c r="E180" s="1290">
        <v>0</v>
      </c>
      <c r="F180" s="1290">
        <v>8.7523909549999992</v>
      </c>
      <c r="G180" s="1290">
        <v>12.8984027184</v>
      </c>
      <c r="H180" s="1290">
        <v>13.5817125795</v>
      </c>
      <c r="I180" s="1290">
        <v>14.052167239599999</v>
      </c>
      <c r="J180" s="1290">
        <v>15.319843297499997</v>
      </c>
      <c r="K180" s="1290">
        <v>9.7619024341999978</v>
      </c>
      <c r="L180" s="1290">
        <v>19.270386565475256</v>
      </c>
      <c r="M180" s="1290">
        <v>18.162293520452756</v>
      </c>
      <c r="N180" s="1290">
        <v>16.768063002144832</v>
      </c>
      <c r="O180" s="1290">
        <v>14.5349565331804</v>
      </c>
      <c r="P180" s="1290">
        <v>14.75610358701079</v>
      </c>
      <c r="Q180" s="1290">
        <v>14.875067420213654</v>
      </c>
      <c r="R180" s="1289">
        <f t="shared" si="31"/>
        <v>172.73328985267767</v>
      </c>
    </row>
    <row r="181" spans="1:18" ht="12.95" customHeight="1">
      <c r="A181" s="304"/>
      <c r="B181" s="1891"/>
      <c r="C181" s="1450" t="s">
        <v>792</v>
      </c>
      <c r="D181" s="1290"/>
      <c r="E181" s="1290">
        <v>0</v>
      </c>
      <c r="F181" s="1290">
        <v>29.695826500599999</v>
      </c>
      <c r="G181" s="1290">
        <v>31.997397062399997</v>
      </c>
      <c r="H181" s="1290">
        <v>30.371533385599996</v>
      </c>
      <c r="I181" s="1290">
        <v>34.718814635399994</v>
      </c>
      <c r="J181" s="1290">
        <v>35.067266564399993</v>
      </c>
      <c r="K181" s="1290">
        <v>34.64572708939999</v>
      </c>
      <c r="L181" s="1290">
        <v>41.966619631479446</v>
      </c>
      <c r="M181" s="1290">
        <v>41.39313406986907</v>
      </c>
      <c r="N181" s="1290">
        <v>36.807943175439874</v>
      </c>
      <c r="O181" s="1290">
        <v>29.815295452677745</v>
      </c>
      <c r="P181" s="1290">
        <v>32.463427891423734</v>
      </c>
      <c r="Q181" s="1290">
        <v>33.468901695480724</v>
      </c>
      <c r="R181" s="1289">
        <f t="shared" si="31"/>
        <v>412.41188715417059</v>
      </c>
    </row>
    <row r="182" spans="1:18" ht="12.95" customHeight="1">
      <c r="A182" s="304"/>
      <c r="B182" s="1891"/>
      <c r="C182" s="1450" t="s">
        <v>793</v>
      </c>
      <c r="D182" s="1290"/>
      <c r="E182" s="1290">
        <v>0</v>
      </c>
      <c r="F182" s="1290">
        <v>0.96712362139999997</v>
      </c>
      <c r="G182" s="1290">
        <v>-5.6930958199999993E-2</v>
      </c>
      <c r="H182" s="1290">
        <v>-6.4344081999999997E-2</v>
      </c>
      <c r="I182" s="1290">
        <v>0.61728237340000003</v>
      </c>
      <c r="J182" s="1290">
        <v>3.3466567490999997</v>
      </c>
      <c r="K182" s="1290">
        <v>3.8064799835999996</v>
      </c>
      <c r="L182" s="1290">
        <v>5.1987220645526584</v>
      </c>
      <c r="M182" s="1290">
        <v>5.1276800776348015</v>
      </c>
      <c r="N182" s="1290">
        <v>4.9649825572204458</v>
      </c>
      <c r="O182" s="1290">
        <v>4.5244710849438485</v>
      </c>
      <c r="P182" s="1290">
        <v>4.4784774386577748</v>
      </c>
      <c r="Q182" s="1290">
        <v>4.5145829620348445</v>
      </c>
      <c r="R182" s="1289">
        <f t="shared" si="31"/>
        <v>37.42518387234437</v>
      </c>
    </row>
    <row r="183" spans="1:18" ht="12.95" customHeight="1">
      <c r="A183" s="304"/>
      <c r="B183" s="1891"/>
      <c r="C183" s="1450" t="s">
        <v>783</v>
      </c>
      <c r="D183" s="1290"/>
      <c r="E183" s="1290">
        <v>0</v>
      </c>
      <c r="F183" s="1290">
        <v>-4.0515691999999997E-3</v>
      </c>
      <c r="G183" s="1290">
        <v>-7.3856201999999991E-3</v>
      </c>
      <c r="H183" s="1290">
        <v>-7.8891717999999989E-3</v>
      </c>
      <c r="I183" s="1290">
        <v>-8.070990200000001E-3</v>
      </c>
      <c r="J183" s="1290">
        <v>-1.0079031899999999E-2</v>
      </c>
      <c r="K183" s="1290">
        <v>-8.4867985999999979E-3</v>
      </c>
      <c r="L183" s="1290">
        <v>0.37256080693252158</v>
      </c>
      <c r="M183" s="1290">
        <v>0.27581343415943371</v>
      </c>
      <c r="N183" s="1290">
        <v>0.26706207659513603</v>
      </c>
      <c r="O183" s="1290">
        <v>0.16212066902393524</v>
      </c>
      <c r="P183" s="1290">
        <v>0</v>
      </c>
      <c r="Q183" s="1290">
        <v>0</v>
      </c>
      <c r="R183" s="1289">
        <f t="shared" si="31"/>
        <v>1.0315938048110267</v>
      </c>
    </row>
    <row r="184" spans="1:18" ht="12.95" customHeight="1">
      <c r="A184" s="304"/>
      <c r="B184" s="1891"/>
      <c r="C184" s="1450" t="s">
        <v>794</v>
      </c>
      <c r="D184" s="1290"/>
      <c r="E184" s="1290">
        <v>0</v>
      </c>
      <c r="F184" s="1290">
        <v>9.777588999999999E-2</v>
      </c>
      <c r="G184" s="1290">
        <v>-8.6927999999999994E-4</v>
      </c>
      <c r="H184" s="1290">
        <v>0.1009752375</v>
      </c>
      <c r="I184" s="1290">
        <v>0.14147311499999998</v>
      </c>
      <c r="J184" s="1290">
        <v>0.14416652250000001</v>
      </c>
      <c r="K184" s="1290">
        <v>0.15479519999999999</v>
      </c>
      <c r="L184" s="1290">
        <v>2.9976156879628176E-2</v>
      </c>
      <c r="M184" s="1290">
        <v>2.1118945954014832E-2</v>
      </c>
      <c r="N184" s="1290">
        <v>0.11451360099025741</v>
      </c>
      <c r="O184" s="1290">
        <v>0.14534956533180401</v>
      </c>
      <c r="P184" s="1290">
        <v>0.10329272510907553</v>
      </c>
      <c r="Q184" s="1290">
        <v>0.1375943736369763</v>
      </c>
      <c r="R184" s="1289">
        <f t="shared" si="31"/>
        <v>1.1901620529017563</v>
      </c>
    </row>
    <row r="185" spans="1:18" ht="12.95" customHeight="1">
      <c r="A185" s="304"/>
      <c r="B185" s="1891"/>
      <c r="C185" s="1450" t="s">
        <v>795</v>
      </c>
      <c r="D185" s="1290"/>
      <c r="E185" s="1290">
        <v>0</v>
      </c>
      <c r="F185" s="1290">
        <v>9.12157236</v>
      </c>
      <c r="G185" s="1290">
        <v>11.789392679999999</v>
      </c>
      <c r="H185" s="1290">
        <v>16.946555579999998</v>
      </c>
      <c r="I185" s="1290">
        <v>17.427490919999997</v>
      </c>
      <c r="J185" s="1290">
        <v>15.953302259999997</v>
      </c>
      <c r="K185" s="1290">
        <v>14.438066999999998</v>
      </c>
      <c r="L185" s="1290">
        <v>8.5646162513223363</v>
      </c>
      <c r="M185" s="1290">
        <v>8.4475783816059327</v>
      </c>
      <c r="N185" s="1290">
        <v>7.7705657814817517</v>
      </c>
      <c r="O185" s="1290">
        <v>6.7084414768524931</v>
      </c>
      <c r="P185" s="1290">
        <v>6.6402466141548553</v>
      </c>
      <c r="Q185" s="1290">
        <v>6.6937803390961443</v>
      </c>
      <c r="R185" s="1289">
        <f t="shared" si="31"/>
        <v>130.50160964451354</v>
      </c>
    </row>
    <row r="186" spans="1:18" ht="12.95" customHeight="1">
      <c r="A186" s="304"/>
      <c r="B186" s="1891"/>
      <c r="C186" s="1450" t="s">
        <v>796</v>
      </c>
      <c r="D186" s="1290"/>
      <c r="E186" s="1290">
        <v>0</v>
      </c>
      <c r="F186" s="1290">
        <v>1.1242687999999998</v>
      </c>
      <c r="G186" s="1290">
        <v>-7.6134439999999984E-2</v>
      </c>
      <c r="H186" s="1290">
        <v>-9.6464109999999992E-2</v>
      </c>
      <c r="I186" s="1290">
        <v>0.16723601999999999</v>
      </c>
      <c r="J186" s="1290">
        <v>5.1326297399999996</v>
      </c>
      <c r="K186" s="1290">
        <v>7.4677681399999996</v>
      </c>
      <c r="L186" s="1290">
        <v>8.5646162513223363</v>
      </c>
      <c r="M186" s="1290">
        <v>8.4475783816059327</v>
      </c>
      <c r="N186" s="1290">
        <v>8.1795429278755289</v>
      </c>
      <c r="O186" s="1290">
        <v>3.7269119315847181</v>
      </c>
      <c r="P186" s="1290">
        <v>2.9512207174021579</v>
      </c>
      <c r="Q186" s="1290">
        <v>2.9750134840427309</v>
      </c>
      <c r="R186" s="1289">
        <f t="shared" si="31"/>
        <v>48.564187843833402</v>
      </c>
    </row>
    <row r="187" spans="1:18" ht="12.95" customHeight="1">
      <c r="A187" s="304"/>
      <c r="B187" s="1891"/>
      <c r="C187" s="1450" t="s">
        <v>820</v>
      </c>
      <c r="D187" s="1290"/>
      <c r="E187" s="1290">
        <v>4.53</v>
      </c>
      <c r="F187" s="1290">
        <v>8.0257145280000017</v>
      </c>
      <c r="G187" s="1290">
        <v>6.5149783279999962</v>
      </c>
      <c r="H187" s="1290">
        <v>7.4960775509999991</v>
      </c>
      <c r="I187" s="1290">
        <v>8.6447856614000003</v>
      </c>
      <c r="J187" s="1290">
        <v>9.1034696759999996</v>
      </c>
      <c r="K187" s="1290">
        <v>8.0182672961999994</v>
      </c>
      <c r="L187" s="1290">
        <v>15.389729313567647</v>
      </c>
      <c r="M187" s="1290">
        <v>10.850356890999633</v>
      </c>
      <c r="N187" s="1290">
        <v>9.654772572175446</v>
      </c>
      <c r="O187" s="1290">
        <v>9.1242928753204762</v>
      </c>
      <c r="P187" s="1290">
        <v>7.6558870898934277</v>
      </c>
      <c r="Q187" s="1290">
        <v>8.1647255529285285</v>
      </c>
      <c r="R187" s="1289">
        <f t="shared" si="31"/>
        <v>108.64305733548517</v>
      </c>
    </row>
    <row r="188" spans="1:18" ht="12.95" customHeight="1">
      <c r="A188" s="304"/>
      <c r="B188" s="1891"/>
      <c r="C188" s="1450" t="s">
        <v>822</v>
      </c>
      <c r="D188" s="1290"/>
      <c r="E188" s="1290">
        <v>4.24</v>
      </c>
      <c r="F188" s="1290">
        <v>161.77663416530001</v>
      </c>
      <c r="G188" s="1290">
        <v>160.33802593000001</v>
      </c>
      <c r="H188" s="1290">
        <v>160.77410003249739</v>
      </c>
      <c r="I188" s="1290">
        <v>133.37345378699999</v>
      </c>
      <c r="J188" s="1290">
        <v>151.86007482975</v>
      </c>
      <c r="K188" s="1290">
        <v>145.9035117330813</v>
      </c>
      <c r="L188" s="1290">
        <v>154.73775986034084</v>
      </c>
      <c r="M188" s="1290">
        <v>135.44033295127772</v>
      </c>
      <c r="N188" s="1290">
        <v>147.30810419636245</v>
      </c>
      <c r="O188" s="1290">
        <v>168.70221101297324</v>
      </c>
      <c r="P188" s="1290">
        <v>157.45026366472649</v>
      </c>
      <c r="Q188" s="1290">
        <v>164.2247338122408</v>
      </c>
      <c r="R188" s="1289">
        <f t="shared" si="31"/>
        <v>1841.8892059755503</v>
      </c>
    </row>
    <row r="189" spans="1:18" ht="12.95" customHeight="1">
      <c r="A189" s="304"/>
      <c r="B189" s="1891"/>
      <c r="C189" s="1450" t="s">
        <v>1114</v>
      </c>
      <c r="D189" s="1290"/>
      <c r="E189" s="1290">
        <v>4.7004000000000001</v>
      </c>
      <c r="F189" s="1290">
        <v>124.63665327129989</v>
      </c>
      <c r="G189" s="1290">
        <v>182.83049178699019</v>
      </c>
      <c r="H189" s="1290">
        <v>459.45705816871856</v>
      </c>
      <c r="I189" s="1290">
        <v>650.34381881294019</v>
      </c>
      <c r="J189" s="1290">
        <v>356.34145103395622</v>
      </c>
      <c r="K189" s="1290">
        <v>356.14476397397874</v>
      </c>
      <c r="L189" s="1290">
        <v>76.91833397160984</v>
      </c>
      <c r="M189" s="1290">
        <v>103.03557494606289</v>
      </c>
      <c r="N189" s="1290">
        <v>100.64369881752565</v>
      </c>
      <c r="O189" s="1290">
        <v>88.136501219937514</v>
      </c>
      <c r="P189" s="1290">
        <v>94.921368821818859</v>
      </c>
      <c r="Q189" s="1290">
        <v>97.46246938199242</v>
      </c>
      <c r="R189" s="1289">
        <f t="shared" si="31"/>
        <v>2690.8721842068303</v>
      </c>
    </row>
    <row r="190" spans="1:18" ht="12.95" customHeight="1">
      <c r="A190" s="304"/>
      <c r="B190" s="1891"/>
      <c r="C190" s="1450" t="s">
        <v>1115</v>
      </c>
      <c r="D190" s="1290"/>
      <c r="E190" s="1290">
        <v>10.76</v>
      </c>
      <c r="F190" s="1290">
        <v>1.1883608143999997</v>
      </c>
      <c r="G190" s="1290">
        <v>2.5622527835999995</v>
      </c>
      <c r="H190" s="1290">
        <v>1.1637356612000034</v>
      </c>
      <c r="I190" s="1290">
        <v>0.94809748740000088</v>
      </c>
      <c r="J190" s="1290">
        <v>0.2901975005999996</v>
      </c>
      <c r="K190" s="1290">
        <v>1.4354397917999906</v>
      </c>
      <c r="L190" s="1290">
        <v>2.3216627714050788</v>
      </c>
      <c r="M190" s="1290">
        <v>1.1810284789025851</v>
      </c>
      <c r="N190" s="1290">
        <v>0.20358146188618681</v>
      </c>
      <c r="O190" s="1290">
        <v>0.81254208470648659</v>
      </c>
      <c r="P190" s="1290">
        <v>1.7245277499870568</v>
      </c>
      <c r="Q190" s="1290">
        <v>3.0086787366281587</v>
      </c>
      <c r="R190" s="1289">
        <f t="shared" si="31"/>
        <v>16.840105322515544</v>
      </c>
    </row>
    <row r="191" spans="1:18" ht="12.95" customHeight="1">
      <c r="A191" s="304"/>
      <c r="B191" s="1891"/>
      <c r="C191" s="1450" t="s">
        <v>1116</v>
      </c>
      <c r="D191" s="1290"/>
      <c r="E191" s="1290">
        <v>4.47</v>
      </c>
      <c r="F191" s="1290">
        <v>63.123491962199992</v>
      </c>
      <c r="G191" s="1290">
        <v>101.43856469779999</v>
      </c>
      <c r="H191" s="1290">
        <v>116.80975433979998</v>
      </c>
      <c r="I191" s="1290">
        <v>79.624195139999998</v>
      </c>
      <c r="J191" s="1290">
        <v>46.888842936599993</v>
      </c>
      <c r="K191" s="1290">
        <v>98.698823299999987</v>
      </c>
      <c r="L191" s="1290">
        <v>85.778743629255445</v>
      </c>
      <c r="M191" s="1290">
        <v>94.349651331615604</v>
      </c>
      <c r="N191" s="1290">
        <v>86.351557791703016</v>
      </c>
      <c r="O191" s="1290">
        <v>87.896198362378598</v>
      </c>
      <c r="P191" s="1290">
        <v>103.23517667398878</v>
      </c>
      <c r="Q191" s="1290">
        <v>100.97868861641793</v>
      </c>
      <c r="R191" s="1289">
        <f t="shared" si="31"/>
        <v>1065.1736887817594</v>
      </c>
    </row>
    <row r="192" spans="1:18" ht="12.95" customHeight="1">
      <c r="A192" s="304"/>
      <c r="B192" s="1891"/>
      <c r="C192" s="1450" t="s">
        <v>810</v>
      </c>
      <c r="D192" s="1290"/>
      <c r="E192" s="1290">
        <v>2.550406099420838</v>
      </c>
      <c r="F192" s="1290">
        <v>1.9604672629999997</v>
      </c>
      <c r="G192" s="1290">
        <v>2.0079679819999998</v>
      </c>
      <c r="H192" s="1290">
        <v>1.9930661419999998</v>
      </c>
      <c r="I192" s="1290">
        <v>0</v>
      </c>
      <c r="J192" s="1290">
        <v>0</v>
      </c>
      <c r="K192" s="1290">
        <v>1.6551886511999998</v>
      </c>
      <c r="L192" s="1290">
        <v>2.3727221272197854</v>
      </c>
      <c r="M192" s="1290">
        <v>2.2154823126682133</v>
      </c>
      <c r="N192" s="1290">
        <v>2.2207214295990845</v>
      </c>
      <c r="O192" s="1290">
        <v>2.0236908750715092</v>
      </c>
      <c r="P192" s="1290">
        <v>1.8668523872760634</v>
      </c>
      <c r="Q192" s="1290">
        <v>2.0192681472593841</v>
      </c>
      <c r="R192" s="1289">
        <f t="shared" si="31"/>
        <v>20.335427317294037</v>
      </c>
    </row>
    <row r="193" spans="1:18" ht="12.95" customHeight="1">
      <c r="A193" s="304"/>
      <c r="B193" s="1891"/>
      <c r="C193" s="1450" t="s">
        <v>811</v>
      </c>
      <c r="D193" s="1290"/>
      <c r="E193" s="1290">
        <v>3.4986020734727434</v>
      </c>
      <c r="F193" s="1290">
        <v>28.096454889799997</v>
      </c>
      <c r="G193" s="1290">
        <v>25.313545882</v>
      </c>
      <c r="H193" s="1290">
        <v>26.107840528799997</v>
      </c>
      <c r="I193" s="1290">
        <v>29.149052072</v>
      </c>
      <c r="J193" s="1290">
        <v>27.979129161899994</v>
      </c>
      <c r="K193" s="1290">
        <v>29.183189628599997</v>
      </c>
      <c r="L193" s="1290">
        <v>22.216748704242473</v>
      </c>
      <c r="M193" s="1290">
        <v>25.87784455854251</v>
      </c>
      <c r="N193" s="1290">
        <v>27.989652225698666</v>
      </c>
      <c r="O193" s="1290">
        <v>25.506307567715606</v>
      </c>
      <c r="P193" s="1290">
        <v>23.529537915075508</v>
      </c>
      <c r="Q193" s="1290">
        <v>25.450564145015058</v>
      </c>
      <c r="R193" s="1289">
        <f t="shared" si="31"/>
        <v>316.39986727938981</v>
      </c>
    </row>
    <row r="194" spans="1:18" ht="12.95" customHeight="1">
      <c r="A194" s="304"/>
      <c r="B194" s="1891"/>
      <c r="C194" s="1450" t="s">
        <v>813</v>
      </c>
      <c r="D194" s="1290"/>
      <c r="E194" s="1290">
        <v>5.3689999999999998</v>
      </c>
      <c r="F194" s="1290">
        <v>5.7290695239999989</v>
      </c>
      <c r="G194" s="1290">
        <v>7.1732033013999992</v>
      </c>
      <c r="H194" s="1290">
        <v>7.8454478317399987</v>
      </c>
      <c r="I194" s="1290">
        <v>6.9440274302000002</v>
      </c>
      <c r="J194" s="1290">
        <v>6.861623267519998</v>
      </c>
      <c r="K194" s="1290">
        <v>7.8396890657399982</v>
      </c>
      <c r="L194" s="1290">
        <v>10.093014932239381</v>
      </c>
      <c r="M194" s="1290">
        <v>9.8836832426136212</v>
      </c>
      <c r="N194" s="1290">
        <v>8.8869665274532927</v>
      </c>
      <c r="O194" s="1290">
        <v>9.1658992647983997</v>
      </c>
      <c r="P194" s="1290">
        <v>8.6468874346701767</v>
      </c>
      <c r="Q194" s="1290">
        <v>9.3538478528399356</v>
      </c>
      <c r="R194" s="1289">
        <f t="shared" si="31"/>
        <v>98.423359675214783</v>
      </c>
    </row>
    <row r="195" spans="1:18" ht="12.95" customHeight="1" thickBot="1">
      <c r="A195" s="304"/>
      <c r="B195" s="1892"/>
      <c r="C195" s="1450" t="s">
        <v>965</v>
      </c>
      <c r="D195" s="1290"/>
      <c r="E195" s="1290">
        <v>4.2985535090602598</v>
      </c>
      <c r="F195" s="1290">
        <v>0.32829445800000001</v>
      </c>
      <c r="G195" s="1290">
        <v>0.44637745319999994</v>
      </c>
      <c r="H195" s="1290">
        <v>0.48755065719999996</v>
      </c>
      <c r="I195" s="1290">
        <v>0.49727735540000001</v>
      </c>
      <c r="J195" s="1290">
        <v>0.29072610209999994</v>
      </c>
      <c r="K195" s="1290">
        <v>0.34107680599999995</v>
      </c>
      <c r="L195" s="1290">
        <v>0.5264684409344722</v>
      </c>
      <c r="M195" s="1290">
        <v>0.50252332534728483</v>
      </c>
      <c r="N195" s="1290">
        <v>0.50279791720152667</v>
      </c>
      <c r="O195" s="1290">
        <v>0.35472607036628812</v>
      </c>
      <c r="P195" s="1290">
        <v>0</v>
      </c>
      <c r="Q195" s="1290">
        <v>0</v>
      </c>
      <c r="R195" s="1289">
        <f t="shared" si="31"/>
        <v>4.2778185857495714</v>
      </c>
    </row>
    <row r="196" spans="1:18" ht="12.95" customHeight="1">
      <c r="A196" s="304"/>
      <c r="B196" s="304"/>
      <c r="C196" s="1451" t="s">
        <v>806</v>
      </c>
      <c r="D196" s="1290"/>
      <c r="E196" s="1290">
        <v>1.7569999999999999</v>
      </c>
      <c r="F196" s="1290">
        <v>42.758645562599995</v>
      </c>
      <c r="G196" s="1290">
        <v>42.595086546399997</v>
      </c>
      <c r="H196" s="1290">
        <v>35.186111929399999</v>
      </c>
      <c r="I196" s="1290">
        <v>28.022894776799998</v>
      </c>
      <c r="J196" s="1290">
        <v>28.378663250699997</v>
      </c>
      <c r="K196" s="1290">
        <v>32.747009925</v>
      </c>
      <c r="L196" s="1290">
        <v>38.467898931545825</v>
      </c>
      <c r="M196" s="1290">
        <v>36.718281642659264</v>
      </c>
      <c r="N196" s="1290">
        <v>36.738345469614686</v>
      </c>
      <c r="O196" s="1290">
        <v>33.478784642298031</v>
      </c>
      <c r="P196" s="1290">
        <v>29.931507791244652</v>
      </c>
      <c r="Q196" s="1290">
        <v>33.405617562395868</v>
      </c>
      <c r="R196" s="1289">
        <f t="shared" si="31"/>
        <v>418.42884803065829</v>
      </c>
    </row>
    <row r="197" spans="1:18" ht="12.95" customHeight="1">
      <c r="A197" s="304"/>
      <c r="B197" s="304"/>
      <c r="C197" s="1451" t="s">
        <v>1120</v>
      </c>
      <c r="D197" s="1290"/>
      <c r="E197" s="1290">
        <v>2.37</v>
      </c>
      <c r="F197" s="1290">
        <v>110.41652982859999</v>
      </c>
      <c r="G197" s="1290">
        <v>128.83680374999997</v>
      </c>
      <c r="H197" s="1290">
        <v>102.26555999999998</v>
      </c>
      <c r="I197" s="1290">
        <v>103.17048</v>
      </c>
      <c r="J197" s="1290">
        <v>140.37911999999997</v>
      </c>
      <c r="K197" s="1290">
        <v>143.41319999999999</v>
      </c>
      <c r="L197" s="1290">
        <v>159.30186227459544</v>
      </c>
      <c r="M197" s="1290">
        <v>152.0564108689068</v>
      </c>
      <c r="N197" s="1290">
        <v>152.13949845848484</v>
      </c>
      <c r="O197" s="1290">
        <v>138.64112385495153</v>
      </c>
      <c r="P197" s="1290">
        <v>128.37810120699388</v>
      </c>
      <c r="Q197" s="1290">
        <v>138.338127007987</v>
      </c>
      <c r="R197" s="1289">
        <f t="shared" si="31"/>
        <v>1597.3368172505195</v>
      </c>
    </row>
    <row r="198" spans="1:18" ht="12.95" customHeight="1">
      <c r="A198" s="304"/>
      <c r="B198" s="304"/>
      <c r="C198" s="1451" t="s">
        <v>1119</v>
      </c>
      <c r="D198" s="1290"/>
      <c r="E198" s="1290">
        <v>2.4700000000000002</v>
      </c>
      <c r="F198" s="1290">
        <v>57.307448800999992</v>
      </c>
      <c r="G198" s="1290">
        <v>58.379151514999997</v>
      </c>
      <c r="H198" s="1290">
        <v>61.683394994499999</v>
      </c>
      <c r="I198" s="1290">
        <v>61.3832037966</v>
      </c>
      <c r="J198" s="1290">
        <v>57.688293650399991</v>
      </c>
      <c r="K198" s="1290">
        <v>56.045346641199991</v>
      </c>
      <c r="L198" s="1290">
        <v>62.263694922967026</v>
      </c>
      <c r="M198" s="1290">
        <v>54.631515103549617</v>
      </c>
      <c r="N198" s="1290">
        <v>46.728908499330309</v>
      </c>
      <c r="O198" s="1290">
        <v>63.927422209518149</v>
      </c>
      <c r="P198" s="1290">
        <v>59.195142466544866</v>
      </c>
      <c r="Q198" s="1290">
        <v>63.7877103633828</v>
      </c>
      <c r="R198" s="1289">
        <f t="shared" si="31"/>
        <v>703.0212329639927</v>
      </c>
    </row>
    <row r="199" spans="1:18" ht="12.95" customHeight="1">
      <c r="A199" s="304"/>
      <c r="B199" s="304"/>
      <c r="C199" s="1451" t="s">
        <v>780</v>
      </c>
      <c r="D199" s="1290"/>
      <c r="E199" s="1290">
        <v>2.581</v>
      </c>
      <c r="F199" s="1290">
        <v>12.647037005</v>
      </c>
      <c r="G199" s="1290">
        <v>10.871623155</v>
      </c>
      <c r="H199" s="1290">
        <v>12.9861853349</v>
      </c>
      <c r="I199" s="1290">
        <v>12.603744034</v>
      </c>
      <c r="J199" s="1290">
        <v>8.2446175769999979</v>
      </c>
      <c r="K199" s="1290">
        <v>6.8344945269999986</v>
      </c>
      <c r="L199" s="1290">
        <v>15.822432505833097</v>
      </c>
      <c r="M199" s="1290">
        <v>15.116433211646129</v>
      </c>
      <c r="N199" s="1290">
        <v>10.950654413531694</v>
      </c>
      <c r="O199" s="1290">
        <v>6.9342765267310096</v>
      </c>
      <c r="P199" s="1290">
        <v>12.833140834298662</v>
      </c>
      <c r="Q199" s="1290">
        <v>13.838243663792358</v>
      </c>
      <c r="R199" s="1289">
        <f t="shared" si="31"/>
        <v>139.68288278873294</v>
      </c>
    </row>
    <row r="200" spans="1:18" ht="12.95" customHeight="1">
      <c r="A200" s="304"/>
      <c r="B200" s="304"/>
      <c r="C200" s="1451" t="s">
        <v>966</v>
      </c>
      <c r="D200" s="1290"/>
      <c r="E200" s="1290">
        <v>2.8519999999999999</v>
      </c>
      <c r="F200" s="1290">
        <v>0.50791776859999993</v>
      </c>
      <c r="G200" s="1290">
        <v>0.50696192279999996</v>
      </c>
      <c r="H200" s="1290">
        <v>0.38461172889999995</v>
      </c>
      <c r="I200" s="1290">
        <v>0.54098336600000008</v>
      </c>
      <c r="J200" s="1290">
        <v>0.64548709889999989</v>
      </c>
      <c r="K200" s="1290">
        <v>0.39622145779999995</v>
      </c>
      <c r="L200" s="1290">
        <v>0.47634323386382366</v>
      </c>
      <c r="M200" s="1290">
        <v>0.48068607757969284</v>
      </c>
      <c r="N200" s="1290">
        <v>0.55808510993416027</v>
      </c>
      <c r="O200" s="1290">
        <v>0.59995337813040628</v>
      </c>
      <c r="P200" s="1290">
        <v>0.55456141647012414</v>
      </c>
      <c r="Q200" s="1290">
        <v>0.59864219442931754</v>
      </c>
      <c r="R200" s="1289">
        <f t="shared" si="31"/>
        <v>6.2504547534075243</v>
      </c>
    </row>
    <row r="201" spans="1:18" ht="12.95" customHeight="1">
      <c r="A201" s="304"/>
      <c r="B201" s="304"/>
      <c r="C201" s="1451" t="s">
        <v>967</v>
      </c>
      <c r="D201" s="1290"/>
      <c r="E201" s="1290">
        <v>3.0419999999999998</v>
      </c>
      <c r="F201" s="1290">
        <v>0.39235423659999996</v>
      </c>
      <c r="G201" s="1290">
        <v>0.27073725599999998</v>
      </c>
      <c r="H201" s="1290">
        <v>0.32693731389999997</v>
      </c>
      <c r="I201" s="1290">
        <v>0.43778634059999999</v>
      </c>
      <c r="J201" s="1290">
        <v>0.19746008939999996</v>
      </c>
      <c r="K201" s="1290">
        <v>0.40058873119999999</v>
      </c>
      <c r="L201" s="1290">
        <v>0.58435842250718206</v>
      </c>
      <c r="M201" s="1290">
        <v>0.55385843130962276</v>
      </c>
      <c r="N201" s="1290">
        <v>0.27904255496708014</v>
      </c>
      <c r="O201" s="1290">
        <v>0.25428487549897999</v>
      </c>
      <c r="P201" s="1290">
        <v>0.23596868904682214</v>
      </c>
      <c r="Q201" s="1290">
        <v>0.26958721338538794</v>
      </c>
      <c r="R201" s="1289">
        <f t="shared" si="31"/>
        <v>4.2029641544150751</v>
      </c>
    </row>
    <row r="202" spans="1:18" ht="12.95" customHeight="1">
      <c r="A202" s="304"/>
      <c r="B202" s="304"/>
      <c r="C202" s="1451" t="s">
        <v>964</v>
      </c>
      <c r="D202" s="1290"/>
      <c r="E202" s="1290">
        <v>3.2970000000000002</v>
      </c>
      <c r="F202" s="1290">
        <v>132.217853822</v>
      </c>
      <c r="G202" s="1290">
        <v>129.89379389999999</v>
      </c>
      <c r="H202" s="1290">
        <v>157.92287084999998</v>
      </c>
      <c r="I202" s="1290">
        <v>101.62133799999999</v>
      </c>
      <c r="J202" s="1290">
        <v>-0.74822361599999987</v>
      </c>
      <c r="K202" s="1290">
        <v>10.259734799999999</v>
      </c>
      <c r="L202" s="1290">
        <v>63.262966171204994</v>
      </c>
      <c r="M202" s="1290">
        <v>130.31944008049365</v>
      </c>
      <c r="N202" s="1290">
        <v>126.1845000214673</v>
      </c>
      <c r="O202" s="1290">
        <v>114.98894812529677</v>
      </c>
      <c r="P202" s="1290">
        <v>106.47679714108072</v>
      </c>
      <c r="Q202" s="1290">
        <v>107.33521398942929</v>
      </c>
      <c r="R202" s="1289">
        <f t="shared" si="31"/>
        <v>1179.7352332849728</v>
      </c>
    </row>
    <row r="203" spans="1:18" ht="12.95" customHeight="1">
      <c r="A203" s="304"/>
      <c r="B203" s="304"/>
      <c r="C203" s="1451" t="s">
        <v>680</v>
      </c>
      <c r="D203" s="1290"/>
      <c r="E203" s="1290">
        <v>3.2040000000000002</v>
      </c>
      <c r="F203" s="1290">
        <v>9.5641380203999997</v>
      </c>
      <c r="G203" s="1290">
        <v>3.7704527407999997</v>
      </c>
      <c r="H203" s="1290">
        <v>6.2477891568999988</v>
      </c>
      <c r="I203" s="1290">
        <v>6.2333345676</v>
      </c>
      <c r="J203" s="1290">
        <v>9.1032262649999982</v>
      </c>
      <c r="K203" s="1290">
        <v>6.2167213009999989</v>
      </c>
      <c r="L203" s="1290">
        <v>22.40226817475401</v>
      </c>
      <c r="M203" s="1290">
        <v>19.420431092780515</v>
      </c>
      <c r="N203" s="1290">
        <v>15.753770283766695</v>
      </c>
      <c r="O203" s="1290">
        <v>18.011686900067073</v>
      </c>
      <c r="P203" s="1290">
        <v>18.393977201052021</v>
      </c>
      <c r="Q203" s="1290">
        <v>19.758156133721233</v>
      </c>
      <c r="R203" s="1289">
        <f t="shared" si="31"/>
        <v>154.87595183784154</v>
      </c>
    </row>
    <row r="204" spans="1:18" ht="12.95" customHeight="1">
      <c r="A204" s="304"/>
      <c r="B204" s="304"/>
      <c r="C204" s="1451" t="s">
        <v>681</v>
      </c>
      <c r="D204" s="1290"/>
      <c r="E204" s="1290">
        <v>3.2004000000000001</v>
      </c>
      <c r="F204" s="1290">
        <v>5.5526469747999991</v>
      </c>
      <c r="G204" s="1290">
        <v>5.4611860417999996</v>
      </c>
      <c r="H204" s="1290">
        <v>8.496253532499999</v>
      </c>
      <c r="I204" s="1290">
        <v>4.6889588536</v>
      </c>
      <c r="J204" s="1290">
        <v>4.5156675038999996</v>
      </c>
      <c r="K204" s="1290">
        <v>4.3149514841999999</v>
      </c>
      <c r="L204" s="1290">
        <v>8.6671587263016292</v>
      </c>
      <c r="M204" s="1290">
        <v>11.691631197222467</v>
      </c>
      <c r="N204" s="1290">
        <v>11.685847052160955</v>
      </c>
      <c r="O204" s="1290">
        <v>10.732231410935613</v>
      </c>
      <c r="P204" s="1290">
        <v>10.046683535846933</v>
      </c>
      <c r="Q204" s="1290">
        <v>10.791790147266084</v>
      </c>
      <c r="R204" s="1289">
        <f t="shared" si="31"/>
        <v>96.645006460533679</v>
      </c>
    </row>
    <row r="205" spans="1:18" ht="12.95" customHeight="1">
      <c r="A205" s="304"/>
      <c r="B205" s="304"/>
      <c r="C205" s="1451" t="s">
        <v>968</v>
      </c>
      <c r="D205" s="1290"/>
      <c r="E205" s="1290">
        <v>3.3</v>
      </c>
      <c r="F205" s="1290">
        <v>146.27483219999999</v>
      </c>
      <c r="G205" s="1290">
        <v>181.92762699999997</v>
      </c>
      <c r="H205" s="1290">
        <v>185.47715769999999</v>
      </c>
      <c r="I205" s="1290">
        <v>166.3833976</v>
      </c>
      <c r="J205" s="1290">
        <v>164.10152009999999</v>
      </c>
      <c r="K205" s="1290">
        <v>190.06042999999997</v>
      </c>
      <c r="L205" s="1290">
        <v>187.37722248187015</v>
      </c>
      <c r="M205" s="1290">
        <v>184.816660477791</v>
      </c>
      <c r="N205" s="1290">
        <v>173.40631007096121</v>
      </c>
      <c r="O205" s="1290">
        <v>163.07523552314817</v>
      </c>
      <c r="P205" s="1290">
        <v>151.00345776371447</v>
      </c>
      <c r="Q205" s="1290">
        <v>152.22084893046335</v>
      </c>
      <c r="R205" s="1289">
        <f t="shared" si="31"/>
        <v>2046.124699847948</v>
      </c>
    </row>
    <row r="206" spans="1:18" ht="12.95" customHeight="1">
      <c r="A206" s="304"/>
      <c r="B206" s="304"/>
      <c r="C206" s="1451" t="s">
        <v>1117</v>
      </c>
      <c r="D206" s="1290"/>
      <c r="E206" s="1290">
        <v>3.2340000000000004</v>
      </c>
      <c r="F206" s="1290">
        <v>0</v>
      </c>
      <c r="G206" s="1290">
        <v>0</v>
      </c>
      <c r="H206" s="1290">
        <v>0</v>
      </c>
      <c r="I206" s="1290">
        <v>0</v>
      </c>
      <c r="J206" s="1290">
        <v>0</v>
      </c>
      <c r="K206" s="1290">
        <v>0</v>
      </c>
      <c r="L206" s="1290">
        <v>0</v>
      </c>
      <c r="M206" s="1290">
        <v>0</v>
      </c>
      <c r="N206" s="1290">
        <v>0</v>
      </c>
      <c r="O206" s="1290">
        <v>167.25665181861351</v>
      </c>
      <c r="P206" s="1290">
        <v>154.8753412961174</v>
      </c>
      <c r="Q206" s="1290">
        <v>156.12394762098805</v>
      </c>
      <c r="R206" s="1289">
        <f t="shared" si="31"/>
        <v>478.25594073571892</v>
      </c>
    </row>
    <row r="207" spans="1:18" ht="12.95" customHeight="1">
      <c r="A207" s="304"/>
      <c r="B207" s="304"/>
      <c r="C207" s="1451" t="s">
        <v>812</v>
      </c>
      <c r="D207" s="1290"/>
      <c r="E207" s="1290">
        <v>3.4580000000000002</v>
      </c>
      <c r="F207" s="1290">
        <v>24.211023569999998</v>
      </c>
      <c r="G207" s="1290">
        <v>17.8161808246</v>
      </c>
      <c r="H207" s="1290">
        <v>23.265034804999996</v>
      </c>
      <c r="I207" s="1290">
        <v>16.651969039999997</v>
      </c>
      <c r="J207" s="1290">
        <v>14.042065608899998</v>
      </c>
      <c r="K207" s="1290">
        <v>23.462305808199996</v>
      </c>
      <c r="L207" s="1290">
        <v>34.370095956570587</v>
      </c>
      <c r="M207" s="1290">
        <v>24.552121646362767</v>
      </c>
      <c r="N207" s="1290">
        <v>34.863898975265258</v>
      </c>
      <c r="O207" s="1290">
        <v>31.770645919509398</v>
      </c>
      <c r="P207" s="1290">
        <v>28.531704389583606</v>
      </c>
      <c r="Q207" s="1290">
        <v>30.751532262941826</v>
      </c>
      <c r="R207" s="1289">
        <f t="shared" si="31"/>
        <v>304.28857880693346</v>
      </c>
    </row>
    <row r="208" spans="1:18" ht="12.95" customHeight="1">
      <c r="A208" s="304"/>
      <c r="B208" s="304"/>
      <c r="C208" s="1451" t="s">
        <v>1118</v>
      </c>
      <c r="D208" s="1290"/>
      <c r="E208" s="1290">
        <v>3.7650000000000001</v>
      </c>
      <c r="F208" s="1290">
        <v>0</v>
      </c>
      <c r="G208" s="1290">
        <v>0</v>
      </c>
      <c r="H208" s="1290">
        <v>0</v>
      </c>
      <c r="I208" s="1290">
        <v>0</v>
      </c>
      <c r="J208" s="1290">
        <v>0</v>
      </c>
      <c r="K208" s="1290">
        <v>0</v>
      </c>
      <c r="L208" s="1290">
        <v>1.2017306357513895</v>
      </c>
      <c r="M208" s="1290">
        <v>1.6059020439071754</v>
      </c>
      <c r="N208" s="1290">
        <v>1.8363194864879551</v>
      </c>
      <c r="O208" s="1290">
        <v>1.6733944829777969</v>
      </c>
      <c r="P208" s="1290">
        <v>1.496088359844286</v>
      </c>
      <c r="Q208" s="1290">
        <v>1.6697373195188467</v>
      </c>
      <c r="R208" s="1289">
        <f t="shared" si="31"/>
        <v>9.4831723284874503</v>
      </c>
    </row>
    <row r="209" spans="1:18" ht="12.95" customHeight="1">
      <c r="A209" s="304"/>
      <c r="B209" s="304"/>
      <c r="C209" s="1451" t="s">
        <v>807</v>
      </c>
      <c r="D209" s="1290"/>
      <c r="E209" s="1290">
        <v>3.4289999999999998</v>
      </c>
      <c r="F209" s="1290">
        <v>13.2723398094</v>
      </c>
      <c r="G209" s="1290">
        <v>16.0155502484</v>
      </c>
      <c r="H209" s="1290">
        <v>17.849603285499999</v>
      </c>
      <c r="I209" s="1290">
        <v>16.9904866782</v>
      </c>
      <c r="J209" s="1290">
        <v>17.382286861799997</v>
      </c>
      <c r="K209" s="1290">
        <v>15.610115170999999</v>
      </c>
      <c r="L209" s="1290">
        <v>21.069789838792545</v>
      </c>
      <c r="M209" s="1290">
        <v>20.111482533245187</v>
      </c>
      <c r="N209" s="1290">
        <v>20.122471971947437</v>
      </c>
      <c r="O209" s="1290">
        <v>18.337132415957218</v>
      </c>
      <c r="P209" s="1290">
        <v>16.979711182986982</v>
      </c>
      <c r="Q209" s="1290">
        <v>18.297057053395825</v>
      </c>
      <c r="R209" s="1289">
        <f t="shared" si="31"/>
        <v>212.03802705062523</v>
      </c>
    </row>
    <row r="210" spans="1:18" ht="12.95" customHeight="1">
      <c r="A210" s="304"/>
      <c r="B210" s="304"/>
      <c r="C210" s="1451" t="s">
        <v>803</v>
      </c>
      <c r="D210" s="1290"/>
      <c r="E210" s="1290">
        <v>3.4750000000000001</v>
      </c>
      <c r="F210" s="1290">
        <v>51.1888215866</v>
      </c>
      <c r="G210" s="1290">
        <v>53.013378370399998</v>
      </c>
      <c r="H210" s="1290">
        <v>52.007860315399995</v>
      </c>
      <c r="I210" s="1290">
        <v>58.717668058000001</v>
      </c>
      <c r="J210" s="1290">
        <v>57.819249494999987</v>
      </c>
      <c r="K210" s="1290">
        <v>52.925460387799994</v>
      </c>
      <c r="L210" s="1290">
        <v>62.927617719266401</v>
      </c>
      <c r="M210" s="1290">
        <v>76.509774582369303</v>
      </c>
      <c r="N210" s="1290">
        <v>73.30352629063205</v>
      </c>
      <c r="O210" s="1290">
        <v>72.244681949153389</v>
      </c>
      <c r="P210" s="1290">
        <v>63.662972400412066</v>
      </c>
      <c r="Q210" s="1290">
        <v>68.826984662171725</v>
      </c>
      <c r="R210" s="1289">
        <f t="shared" si="31"/>
        <v>743.1479958172049</v>
      </c>
    </row>
    <row r="211" spans="1:18" ht="12.95" customHeight="1">
      <c r="A211" s="304"/>
      <c r="B211" s="304"/>
      <c r="C211" s="1451" t="s">
        <v>809</v>
      </c>
      <c r="D211" s="1290"/>
      <c r="E211" s="1290">
        <v>4.1980000000000004</v>
      </c>
      <c r="F211" s="1290">
        <v>18.524977972999999</v>
      </c>
      <c r="G211" s="1290">
        <v>13.599892843999999</v>
      </c>
      <c r="H211" s="1290">
        <v>18.7144554445</v>
      </c>
      <c r="I211" s="1290">
        <v>21.007706657</v>
      </c>
      <c r="J211" s="1290">
        <v>16.3719244941</v>
      </c>
      <c r="K211" s="1290">
        <v>11.8432547912</v>
      </c>
      <c r="L211" s="1290">
        <v>16.703065135389174</v>
      </c>
      <c r="M211" s="1290">
        <v>15.943367508277291</v>
      </c>
      <c r="N211" s="1290">
        <v>15.952079380196729</v>
      </c>
      <c r="O211" s="1290">
        <v>18.522636070174702</v>
      </c>
      <c r="P211" s="1290">
        <v>20.19098605440438</v>
      </c>
      <c r="Q211" s="1290">
        <v>21.757473953497907</v>
      </c>
      <c r="R211" s="1289">
        <f t="shared" si="31"/>
        <v>209.13182030574021</v>
      </c>
    </row>
    <row r="212" spans="1:18" ht="12.95" customHeight="1">
      <c r="A212" s="304"/>
      <c r="B212" s="304"/>
      <c r="C212" s="1451" t="s">
        <v>787</v>
      </c>
      <c r="D212" s="1290"/>
      <c r="E212" s="1290">
        <v>3.3075000000000001</v>
      </c>
      <c r="F212" s="1290">
        <v>100.76983519999999</v>
      </c>
      <c r="G212" s="1290">
        <v>94.024946799999995</v>
      </c>
      <c r="H212" s="1290">
        <v>122.21314564999999</v>
      </c>
      <c r="I212" s="1290">
        <v>106.2216162</v>
      </c>
      <c r="J212" s="1290">
        <v>91.266227849999993</v>
      </c>
      <c r="K212" s="1290">
        <v>95.678988999999987</v>
      </c>
      <c r="L212" s="1290">
        <v>117.88337808320061</v>
      </c>
      <c r="M212" s="1290">
        <v>116.27246884442404</v>
      </c>
      <c r="N212" s="1290">
        <v>58.074754787916248</v>
      </c>
      <c r="O212" s="1290">
        <v>24.597618748459141</v>
      </c>
      <c r="P212" s="1290">
        <v>94.999794893175448</v>
      </c>
      <c r="Q212" s="1290">
        <v>95.765684051335498</v>
      </c>
      <c r="R212" s="1289">
        <f t="shared" si="31"/>
        <v>1117.7684601085109</v>
      </c>
    </row>
    <row r="213" spans="1:18" ht="12.95" customHeight="1">
      <c r="A213" s="304"/>
      <c r="B213" s="304"/>
      <c r="C213" s="1451" t="s">
        <v>801</v>
      </c>
      <c r="D213" s="1290"/>
      <c r="E213" s="1290">
        <v>3.2970000000000002</v>
      </c>
      <c r="F213" s="1290">
        <v>213.68640959999999</v>
      </c>
      <c r="G213" s="1290">
        <v>252.51932039999997</v>
      </c>
      <c r="H213" s="1290">
        <v>212.30706349999997</v>
      </c>
      <c r="I213" s="1290">
        <v>200.16023999999999</v>
      </c>
      <c r="J213" s="1290">
        <v>225.02438699999996</v>
      </c>
      <c r="K213" s="1290">
        <v>162.83051259999999</v>
      </c>
      <c r="L213" s="1290">
        <v>255.9133029743868</v>
      </c>
      <c r="M213" s="1290">
        <v>258.56483071673546</v>
      </c>
      <c r="N213" s="1290">
        <v>250.36075866328267</v>
      </c>
      <c r="O213" s="1290">
        <v>228.14783341570825</v>
      </c>
      <c r="P213" s="1290">
        <v>211.25900334622912</v>
      </c>
      <c r="Q213" s="1290">
        <v>212.96217523632126</v>
      </c>
      <c r="R213" s="1289">
        <f t="shared" si="31"/>
        <v>2683.7358374526639</v>
      </c>
    </row>
    <row r="214" spans="1:18" ht="12.95" customHeight="1">
      <c r="A214" s="304"/>
      <c r="B214" s="304"/>
      <c r="C214" s="1451" t="s">
        <v>678</v>
      </c>
      <c r="D214" s="1290"/>
      <c r="E214" s="1290">
        <v>3.8430000000000004</v>
      </c>
      <c r="F214" s="1290">
        <v>94.704071799999994</v>
      </c>
      <c r="G214" s="1290">
        <v>108.31554779999999</v>
      </c>
      <c r="H214" s="1290">
        <v>118.79409109999999</v>
      </c>
      <c r="I214" s="1290">
        <v>117.4538862</v>
      </c>
      <c r="J214" s="1290">
        <v>101.25497969999999</v>
      </c>
      <c r="K214" s="1290">
        <v>86.982002800000004</v>
      </c>
      <c r="L214" s="1290">
        <v>117.11076405116884</v>
      </c>
      <c r="M214" s="1290">
        <v>48.573575694234108</v>
      </c>
      <c r="N214" s="1290">
        <v>111.84535229175512</v>
      </c>
      <c r="O214" s="1290">
        <v>101.92202220196761</v>
      </c>
      <c r="P214" s="1290">
        <v>94.377161102321537</v>
      </c>
      <c r="Q214" s="1290">
        <v>95.138030581539596</v>
      </c>
      <c r="R214" s="1289">
        <f t="shared" si="31"/>
        <v>1196.4714853229868</v>
      </c>
    </row>
    <row r="215" spans="1:18" ht="12.95" customHeight="1">
      <c r="A215" s="304"/>
      <c r="B215" s="304"/>
      <c r="C215" s="1451" t="s">
        <v>786</v>
      </c>
      <c r="D215" s="1290"/>
      <c r="E215" s="1290">
        <v>3.5070000000000001</v>
      </c>
      <c r="F215" s="1290">
        <v>248.00257773999999</v>
      </c>
      <c r="G215" s="1290">
        <v>256.99792339999999</v>
      </c>
      <c r="H215" s="1290">
        <v>268.71436179999995</v>
      </c>
      <c r="I215" s="1290">
        <v>225.71502113999998</v>
      </c>
      <c r="J215" s="1290">
        <v>199.87203809999997</v>
      </c>
      <c r="K215" s="1290">
        <v>200.54818419999998</v>
      </c>
      <c r="L215" s="1290">
        <v>292.24882445448179</v>
      </c>
      <c r="M215" s="1290">
        <v>244.97977306657205</v>
      </c>
      <c r="N215" s="1290">
        <v>273.19673379104262</v>
      </c>
      <c r="O215" s="1290">
        <v>254.34546017933991</v>
      </c>
      <c r="P215" s="1290">
        <v>228.35070300899196</v>
      </c>
      <c r="Q215" s="1290">
        <v>237.41607207191632</v>
      </c>
      <c r="R215" s="1289">
        <f t="shared" si="31"/>
        <v>2930.3876729523445</v>
      </c>
    </row>
    <row r="216" spans="1:18" ht="12.95" customHeight="1">
      <c r="A216" s="304"/>
      <c r="B216" s="304"/>
      <c r="C216" s="1451" t="s">
        <v>805</v>
      </c>
      <c r="D216" s="1290"/>
      <c r="E216" s="1290">
        <v>3.2629999999999999</v>
      </c>
      <c r="F216" s="1290">
        <v>44.041395334800001</v>
      </c>
      <c r="G216" s="1290">
        <v>25.6425977002</v>
      </c>
      <c r="H216" s="1290">
        <v>41.762317969999998</v>
      </c>
      <c r="I216" s="1290">
        <v>22.5420878298</v>
      </c>
      <c r="J216" s="1290">
        <v>34.036455129599993</v>
      </c>
      <c r="K216" s="1290">
        <v>30.196233535999998</v>
      </c>
      <c r="L216" s="1290">
        <v>61.781829818931733</v>
      </c>
      <c r="M216" s="1290">
        <v>58.971836016499054</v>
      </c>
      <c r="N216" s="1290">
        <v>59.004059766090428</v>
      </c>
      <c r="O216" s="1290">
        <v>53.769003058779866</v>
      </c>
      <c r="P216" s="1290">
        <v>49.78870860640874</v>
      </c>
      <c r="Q216" s="1290">
        <v>53.651492193762053</v>
      </c>
      <c r="R216" s="1289">
        <f t="shared" si="31"/>
        <v>535.18801696087189</v>
      </c>
    </row>
    <row r="217" spans="1:18" ht="12.95" customHeight="1">
      <c r="A217" s="304"/>
      <c r="B217" s="304"/>
      <c r="C217" s="1451" t="s">
        <v>804</v>
      </c>
      <c r="D217" s="1290"/>
      <c r="E217" s="1290">
        <v>3.2879999999999998</v>
      </c>
      <c r="F217" s="1290">
        <v>92.009795667599988</v>
      </c>
      <c r="G217" s="1290">
        <v>92.275144111999992</v>
      </c>
      <c r="H217" s="1290">
        <v>106.47915313499999</v>
      </c>
      <c r="I217" s="1290">
        <v>107.711145948</v>
      </c>
      <c r="J217" s="1290">
        <v>106.09417602629998</v>
      </c>
      <c r="K217" s="1290">
        <v>84.404647164599979</v>
      </c>
      <c r="L217" s="1290">
        <v>131.53790933024169</v>
      </c>
      <c r="M217" s="1290">
        <v>81.61090124898584</v>
      </c>
      <c r="N217" s="1290">
        <v>62.81191967261779</v>
      </c>
      <c r="O217" s="1290">
        <v>108.93877174161263</v>
      </c>
      <c r="P217" s="1290">
        <v>106.00370137196525</v>
      </c>
      <c r="Q217" s="1290">
        <v>114.22784233322776</v>
      </c>
      <c r="R217" s="1289">
        <f t="shared" si="31"/>
        <v>1194.1051077521508</v>
      </c>
    </row>
    <row r="218" spans="1:18" ht="12.95" customHeight="1">
      <c r="A218" s="304"/>
      <c r="B218" s="304"/>
      <c r="C218" s="1451" t="s">
        <v>677</v>
      </c>
      <c r="D218" s="1290"/>
      <c r="E218" s="1290">
        <v>4.0529999999999999</v>
      </c>
      <c r="F218" s="1290">
        <v>67.895476599999995</v>
      </c>
      <c r="G218" s="1290">
        <v>75.355854879999995</v>
      </c>
      <c r="H218" s="1290">
        <v>89.060779629999999</v>
      </c>
      <c r="I218" s="1290">
        <v>81.846916759999999</v>
      </c>
      <c r="J218" s="1290">
        <v>74.687504639999986</v>
      </c>
      <c r="K218" s="1290">
        <v>66.66160438</v>
      </c>
      <c r="L218" s="1290">
        <v>66.97368893748542</v>
      </c>
      <c r="M218" s="1290">
        <v>66.058474799422655</v>
      </c>
      <c r="N218" s="1290">
        <v>49.07725756725317</v>
      </c>
      <c r="O218" s="1290">
        <v>45.095634372175091</v>
      </c>
      <c r="P218" s="1290">
        <v>53.972721309444367</v>
      </c>
      <c r="Q218" s="1290">
        <v>54.407849849814156</v>
      </c>
      <c r="R218" s="1289">
        <f t="shared" si="31"/>
        <v>791.09376372559495</v>
      </c>
    </row>
    <row r="219" spans="1:18" ht="12.95" customHeight="1">
      <c r="A219" s="304"/>
      <c r="B219" s="304"/>
      <c r="C219" s="1451" t="s">
        <v>105</v>
      </c>
      <c r="D219" s="1290"/>
      <c r="E219" s="1290">
        <v>4.0529999999999999</v>
      </c>
      <c r="F219" s="1290">
        <v>88.206602219999994</v>
      </c>
      <c r="G219" s="1290">
        <v>87.566377499999987</v>
      </c>
      <c r="H219" s="1290">
        <v>92.346880949999985</v>
      </c>
      <c r="I219" s="1290">
        <v>49.614699680000001</v>
      </c>
      <c r="J219" s="1290">
        <v>88.294106880000001</v>
      </c>
      <c r="K219" s="1290">
        <v>85.424679619999992</v>
      </c>
      <c r="L219" s="1290">
        <v>73.062206113620462</v>
      </c>
      <c r="M219" s="1290">
        <v>65.468732457445981</v>
      </c>
      <c r="N219" s="1290">
        <v>69.777259572999498</v>
      </c>
      <c r="O219" s="1290">
        <v>63.586365044834977</v>
      </c>
      <c r="P219" s="1290">
        <v>58.879332337575669</v>
      </c>
      <c r="Q219" s="1290">
        <v>59.35401801797908</v>
      </c>
      <c r="R219" s="1289">
        <f t="shared" si="31"/>
        <v>881.58126039445574</v>
      </c>
    </row>
    <row r="220" spans="1:18" ht="12.95" customHeight="1">
      <c r="A220" s="304"/>
      <c r="B220" s="304"/>
      <c r="C220" s="1451" t="s">
        <v>399</v>
      </c>
      <c r="D220" s="1290"/>
      <c r="E220" s="1290">
        <v>4.0529999999999999</v>
      </c>
      <c r="F220" s="1290">
        <v>38.336696799999999</v>
      </c>
      <c r="G220" s="1290">
        <v>38.907125579999999</v>
      </c>
      <c r="H220" s="1290">
        <v>39.119697479999999</v>
      </c>
      <c r="I220" s="1290">
        <v>38.952918060000002</v>
      </c>
      <c r="J220" s="1290">
        <v>2.0426905799999999</v>
      </c>
      <c r="K220" s="1290">
        <v>37.135216719999995</v>
      </c>
      <c r="L220" s="1290">
        <v>36.531103056810231</v>
      </c>
      <c r="M220" s="1290">
        <v>36.031895345139631</v>
      </c>
      <c r="N220" s="1290">
        <v>34.888629786499749</v>
      </c>
      <c r="O220" s="1290">
        <v>31.793182522417489</v>
      </c>
      <c r="P220" s="1290">
        <v>29.439666168787834</v>
      </c>
      <c r="Q220" s="1290">
        <v>29.67700900898954</v>
      </c>
      <c r="R220" s="1289">
        <f t="shared" si="31"/>
        <v>392.85583110864445</v>
      </c>
    </row>
    <row r="221" spans="1:18" ht="12.95" customHeight="1">
      <c r="A221" s="304"/>
      <c r="B221" s="304"/>
      <c r="C221" s="1451" t="s">
        <v>1121</v>
      </c>
      <c r="D221" s="1290"/>
      <c r="E221" s="1290">
        <v>4.7699999999999996</v>
      </c>
      <c r="F221" s="1290">
        <v>0</v>
      </c>
      <c r="G221" s="1290">
        <v>0</v>
      </c>
      <c r="H221" s="1290">
        <v>0</v>
      </c>
      <c r="I221" s="1290">
        <v>0</v>
      </c>
      <c r="J221" s="1290">
        <v>0</v>
      </c>
      <c r="K221" s="1290">
        <v>0</v>
      </c>
      <c r="L221" s="1290">
        <v>39.825465568648859</v>
      </c>
      <c r="M221" s="1290">
        <v>38.014102717226699</v>
      </c>
      <c r="N221" s="1290">
        <v>38.034874614621209</v>
      </c>
      <c r="O221" s="1290">
        <v>34.660280963737883</v>
      </c>
      <c r="P221" s="1290">
        <v>32.094525301748469</v>
      </c>
      <c r="Q221" s="1290">
        <v>34.584531751996749</v>
      </c>
      <c r="R221" s="1289">
        <f t="shared" si="31"/>
        <v>217.21378091797988</v>
      </c>
    </row>
    <row r="222" spans="1:18" ht="12.95" customHeight="1">
      <c r="A222" s="304"/>
      <c r="B222" s="304"/>
      <c r="C222" s="1451" t="s">
        <v>808</v>
      </c>
      <c r="D222" s="1290"/>
      <c r="E222" s="1290">
        <v>4.875</v>
      </c>
      <c r="F222" s="1290">
        <v>31.415501392599996</v>
      </c>
      <c r="G222" s="1290">
        <v>29.761163034199999</v>
      </c>
      <c r="H222" s="1290">
        <v>39.986520931699999</v>
      </c>
      <c r="I222" s="1290">
        <v>35.1545260766</v>
      </c>
      <c r="J222" s="1290">
        <v>34.844554581899992</v>
      </c>
      <c r="K222" s="1290">
        <v>20.631973461399998</v>
      </c>
      <c r="L222" s="1290">
        <v>63.884909501283609</v>
      </c>
      <c r="M222" s="1290">
        <v>54.203788727455077</v>
      </c>
      <c r="N222" s="1290">
        <v>40.675055318718137</v>
      </c>
      <c r="O222" s="1290">
        <v>50.218743102658991</v>
      </c>
      <c r="P222" s="1290">
        <v>51.483537357637957</v>
      </c>
      <c r="Q222" s="1290">
        <v>55.477811736113743</v>
      </c>
      <c r="R222" s="1289">
        <f t="shared" si="31"/>
        <v>507.7380852222675</v>
      </c>
    </row>
    <row r="223" spans="1:18" ht="12.95" customHeight="1">
      <c r="A223" s="304"/>
      <c r="B223" s="304"/>
      <c r="C223" s="1451" t="s">
        <v>648</v>
      </c>
      <c r="D223" s="1290"/>
      <c r="E223" s="1290">
        <v>14.62</v>
      </c>
      <c r="F223" s="1290">
        <v>-0.17268464519999996</v>
      </c>
      <c r="G223" s="1290">
        <v>-0.15967224799999999</v>
      </c>
      <c r="H223" s="1290">
        <v>-0.1719817847</v>
      </c>
      <c r="I223" s="1290">
        <v>-0.14488122740000001</v>
      </c>
      <c r="J223" s="1290">
        <v>-0.12289530749999998</v>
      </c>
      <c r="K223" s="1290">
        <v>-0.14693365259999996</v>
      </c>
      <c r="L223" s="1290">
        <v>0</v>
      </c>
      <c r="M223" s="1290">
        <v>0</v>
      </c>
      <c r="N223" s="1290">
        <v>0</v>
      </c>
      <c r="O223" s="1290">
        <v>0</v>
      </c>
      <c r="P223" s="1290">
        <v>0</v>
      </c>
      <c r="Q223" s="1290">
        <v>0</v>
      </c>
      <c r="R223" s="1289">
        <f t="shared" si="31"/>
        <v>-0.91904886539999997</v>
      </c>
    </row>
    <row r="224" spans="1:18" ht="12.95" customHeight="1">
      <c r="A224" s="304"/>
      <c r="B224" s="304"/>
      <c r="C224" s="1454" t="s">
        <v>1127</v>
      </c>
      <c r="D224" s="1290"/>
      <c r="E224" s="1290">
        <v>7.86</v>
      </c>
      <c r="F224" s="1290">
        <v>371.36180770919992</v>
      </c>
      <c r="G224" s="1290">
        <v>210.05171011800002</v>
      </c>
      <c r="H224" s="1290">
        <v>188.3033460705</v>
      </c>
      <c r="I224" s="1290">
        <v>92.820923789999995</v>
      </c>
      <c r="J224" s="1290">
        <v>458.04781530899999</v>
      </c>
      <c r="K224" s="1290">
        <v>403.88254276019995</v>
      </c>
      <c r="L224" s="1290">
        <v>125.05505717261485</v>
      </c>
      <c r="M224" s="1290">
        <v>215.0663061587984</v>
      </c>
      <c r="N224" s="1290">
        <v>136.08111767028913</v>
      </c>
      <c r="O224" s="1290">
        <v>52.172442400473301</v>
      </c>
      <c r="P224" s="1290">
        <v>89.793349399065846</v>
      </c>
      <c r="Q224" s="1290">
        <v>253.66771598407195</v>
      </c>
      <c r="R224" s="1289">
        <f t="shared" si="31"/>
        <v>2596.3041345422134</v>
      </c>
    </row>
    <row r="225" spans="1:18" ht="15.75">
      <c r="A225" s="304"/>
      <c r="B225" s="304"/>
      <c r="C225" s="1432" t="s">
        <v>1151</v>
      </c>
      <c r="D225" s="1421"/>
      <c r="E225" s="1290">
        <v>0</v>
      </c>
      <c r="F225" s="1290">
        <v>161.90834091496572</v>
      </c>
      <c r="G225" s="1290">
        <v>238.1644</v>
      </c>
      <c r="H225" s="1290">
        <v>0</v>
      </c>
      <c r="I225" s="1290">
        <v>0</v>
      </c>
      <c r="J225" s="1290">
        <v>0</v>
      </c>
      <c r="K225" s="1290">
        <v>0</v>
      </c>
      <c r="L225" s="1290">
        <v>0</v>
      </c>
      <c r="M225" s="1290">
        <v>0</v>
      </c>
      <c r="N225" s="1290">
        <v>0</v>
      </c>
      <c r="O225" s="1290">
        <v>0</v>
      </c>
      <c r="P225" s="1290">
        <v>0</v>
      </c>
      <c r="Q225" s="1290">
        <v>0</v>
      </c>
      <c r="R225" s="1289">
        <f t="shared" ref="R225" si="32">SUM(F225:Q225)</f>
        <v>400.07274091496572</v>
      </c>
    </row>
    <row r="226" spans="1:18" ht="12.95" customHeight="1" thickBot="1">
      <c r="A226" s="304"/>
      <c r="B226" s="304"/>
      <c r="C226" s="1291" t="s">
        <v>98</v>
      </c>
      <c r="D226" s="1292"/>
      <c r="E226" s="1293"/>
      <c r="F226" s="1293">
        <f>SUM(F177:F225)</f>
        <v>2623.4905290793654</v>
      </c>
      <c r="G226" s="1293">
        <f t="shared" ref="G226:R226" si="33">SUM(G177:G225)</f>
        <v>2717.4855804513891</v>
      </c>
      <c r="H226" s="1293">
        <f t="shared" si="33"/>
        <v>2844.5156352974554</v>
      </c>
      <c r="I226" s="1293">
        <f t="shared" si="33"/>
        <v>2653.0251118253404</v>
      </c>
      <c r="J226" s="1293">
        <f t="shared" si="33"/>
        <v>2608.1666351096255</v>
      </c>
      <c r="K226" s="1293">
        <f t="shared" si="33"/>
        <v>2548.1144367215993</v>
      </c>
      <c r="L226" s="1293">
        <f t="shared" si="33"/>
        <v>2602.544171371409</v>
      </c>
      <c r="M226" s="1293">
        <f t="shared" si="33"/>
        <v>2561.1369841931996</v>
      </c>
      <c r="N226" s="1293">
        <f t="shared" si="33"/>
        <v>2415.3146323415899</v>
      </c>
      <c r="O226" s="1293">
        <f t="shared" si="33"/>
        <v>2389.7335857751918</v>
      </c>
      <c r="P226" s="1293">
        <f t="shared" si="33"/>
        <v>2385.0479668453545</v>
      </c>
      <c r="Q226" s="1293">
        <f t="shared" si="33"/>
        <v>2627.1382837474443</v>
      </c>
      <c r="R226" s="1293">
        <f t="shared" si="33"/>
        <v>30975.713552758967</v>
      </c>
    </row>
    <row r="227" spans="1:18">
      <c r="A227" s="304"/>
    </row>
    <row r="228" spans="1:18">
      <c r="A228" s="304"/>
    </row>
    <row r="229" spans="1:18" ht="16.5" thickBot="1">
      <c r="A229" s="304"/>
      <c r="B229" s="304"/>
      <c r="C229" s="1457" t="s">
        <v>974</v>
      </c>
      <c r="D229" s="388"/>
      <c r="E229" s="388"/>
      <c r="F229" s="388"/>
      <c r="G229" s="388"/>
      <c r="H229" s="388"/>
      <c r="I229" s="388"/>
      <c r="J229" s="388"/>
      <c r="K229" s="388"/>
      <c r="L229" s="388"/>
      <c r="M229" s="388"/>
      <c r="N229" s="388"/>
      <c r="O229" s="388"/>
      <c r="P229" s="388"/>
      <c r="Q229" s="388"/>
      <c r="R229" s="388"/>
    </row>
    <row r="230" spans="1:18">
      <c r="A230" s="304"/>
      <c r="B230" s="304"/>
      <c r="C230" s="1896" t="s">
        <v>92</v>
      </c>
      <c r="D230" s="1901" t="s">
        <v>93</v>
      </c>
      <c r="E230" s="1903" t="s">
        <v>145</v>
      </c>
      <c r="F230" s="1898" t="s">
        <v>346</v>
      </c>
      <c r="G230" s="1899"/>
      <c r="H230" s="1899"/>
      <c r="I230" s="1899"/>
      <c r="J230" s="1899"/>
      <c r="K230" s="1899"/>
      <c r="L230" s="1899"/>
      <c r="M230" s="1899"/>
      <c r="N230" s="1899"/>
      <c r="O230" s="1899"/>
      <c r="P230" s="1899"/>
      <c r="Q230" s="1899"/>
      <c r="R230" s="1900"/>
    </row>
    <row r="231" spans="1:18" ht="13.5" thickBot="1">
      <c r="B231" s="304"/>
      <c r="C231" s="1897"/>
      <c r="D231" s="1902"/>
      <c r="E231" s="1904"/>
      <c r="F231" s="439" t="s">
        <v>146</v>
      </c>
      <c r="G231" s="439" t="s">
        <v>147</v>
      </c>
      <c r="H231" s="439" t="s">
        <v>148</v>
      </c>
      <c r="I231" s="439" t="s">
        <v>149</v>
      </c>
      <c r="J231" s="439" t="s">
        <v>150</v>
      </c>
      <c r="K231" s="439" t="s">
        <v>151</v>
      </c>
      <c r="L231" s="439" t="s">
        <v>152</v>
      </c>
      <c r="M231" s="439" t="s">
        <v>153</v>
      </c>
      <c r="N231" s="439" t="s">
        <v>154</v>
      </c>
      <c r="O231" s="439" t="s">
        <v>155</v>
      </c>
      <c r="P231" s="439" t="s">
        <v>156</v>
      </c>
      <c r="Q231" s="439" t="s">
        <v>157</v>
      </c>
      <c r="R231" s="432" t="s">
        <v>98</v>
      </c>
    </row>
    <row r="232" spans="1:18" ht="12.95" customHeight="1">
      <c r="B232" s="1893" t="s">
        <v>850</v>
      </c>
      <c r="C232" s="1450" t="s">
        <v>789</v>
      </c>
      <c r="D232" s="1290"/>
      <c r="E232" s="1290">
        <v>0</v>
      </c>
      <c r="F232" s="1290">
        <v>7.744221587614736</v>
      </c>
      <c r="G232" s="1290">
        <v>1.2118607869189217</v>
      </c>
      <c r="H232" s="1290">
        <v>0.82280496704967443</v>
      </c>
      <c r="I232" s="1290">
        <v>9.0996195992336339</v>
      </c>
      <c r="J232" s="1290">
        <v>93.36071308898191</v>
      </c>
      <c r="K232" s="1290">
        <v>91.014015432390309</v>
      </c>
      <c r="L232" s="1290">
        <v>95.083477144887652</v>
      </c>
      <c r="M232" s="1290">
        <v>33.780522739000709</v>
      </c>
      <c r="N232" s="1290">
        <v>12.713765696399495</v>
      </c>
      <c r="O232" s="1290">
        <v>16.178662523233584</v>
      </c>
      <c r="P232" s="1290">
        <v>20.660333652766258</v>
      </c>
      <c r="Q232" s="1290">
        <v>14.345018700331845</v>
      </c>
      <c r="R232" s="1284">
        <f t="shared" ref="R232:R282" si="34">SUM(F232:Q232)</f>
        <v>396.01501591880873</v>
      </c>
    </row>
    <row r="233" spans="1:18" ht="12.95" customHeight="1">
      <c r="B233" s="1894"/>
      <c r="C233" s="1450" t="s">
        <v>782</v>
      </c>
      <c r="D233" s="1290"/>
      <c r="E233" s="1290">
        <v>0</v>
      </c>
      <c r="F233" s="1290">
        <v>0.38721107938073679</v>
      </c>
      <c r="G233" s="1290">
        <v>0</v>
      </c>
      <c r="H233" s="1290">
        <v>0</v>
      </c>
      <c r="I233" s="1290">
        <v>0.82723814538487583</v>
      </c>
      <c r="J233" s="1290">
        <v>3.7344285235592767</v>
      </c>
      <c r="K233" s="1290">
        <v>9.5804226770937166</v>
      </c>
      <c r="L233" s="1290">
        <v>9.6766370545682125</v>
      </c>
      <c r="M233" s="1290">
        <v>9.4750246706953209</v>
      </c>
      <c r="N233" s="1290">
        <v>7.3821865333932557</v>
      </c>
      <c r="O233" s="1290">
        <v>5.2674715191923296</v>
      </c>
      <c r="P233" s="1290">
        <v>3.005139440402365</v>
      </c>
      <c r="Q233" s="1290">
        <v>1.8875024605699797</v>
      </c>
      <c r="R233" s="1284">
        <f t="shared" si="34"/>
        <v>51.223262104240071</v>
      </c>
    </row>
    <row r="234" spans="1:18" ht="12.95" customHeight="1">
      <c r="B234" s="1894"/>
      <c r="C234" s="1450" t="s">
        <v>790</v>
      </c>
      <c r="D234" s="1290"/>
      <c r="E234" s="1290">
        <v>0</v>
      </c>
      <c r="F234" s="1290">
        <v>0.38721107938073679</v>
      </c>
      <c r="G234" s="1290">
        <v>0.40395359563964062</v>
      </c>
      <c r="H234" s="1290">
        <v>0.41140248352483721</v>
      </c>
      <c r="I234" s="1290">
        <v>1.2408572180773136</v>
      </c>
      <c r="J234" s="1290">
        <v>3.3609856712033492</v>
      </c>
      <c r="K234" s="1290">
        <v>5.9877641731835727</v>
      </c>
      <c r="L234" s="1290">
        <v>7.1522969533765055</v>
      </c>
      <c r="M234" s="1290">
        <v>5.7674063212928042</v>
      </c>
      <c r="N234" s="1290">
        <v>2.8708503185418213</v>
      </c>
      <c r="O234" s="1290">
        <v>1.1287438969697849</v>
      </c>
      <c r="P234" s="1290">
        <v>1.1269272901508869</v>
      </c>
      <c r="Q234" s="1290">
        <v>1.5100019684559838</v>
      </c>
      <c r="R234" s="1284">
        <f t="shared" si="34"/>
        <v>31.34840096979724</v>
      </c>
    </row>
    <row r="235" spans="1:18" ht="12.95" customHeight="1">
      <c r="B235" s="1894"/>
      <c r="C235" s="1450" t="s">
        <v>791</v>
      </c>
      <c r="D235" s="1290"/>
      <c r="E235" s="1290">
        <v>0</v>
      </c>
      <c r="F235" s="1290">
        <v>18.198920730894628</v>
      </c>
      <c r="G235" s="1290">
        <v>12.9265150604685</v>
      </c>
      <c r="H235" s="1290">
        <v>10.285062088120931</v>
      </c>
      <c r="I235" s="1290">
        <v>12.408572180773138</v>
      </c>
      <c r="J235" s="1290">
        <v>13.070499832457468</v>
      </c>
      <c r="K235" s="1290">
        <v>13.971449737428337</v>
      </c>
      <c r="L235" s="1290">
        <v>16.4082106577461</v>
      </c>
      <c r="M235" s="1290">
        <v>15.654388586366183</v>
      </c>
      <c r="N235" s="1290">
        <v>14.354251592709108</v>
      </c>
      <c r="O235" s="1290">
        <v>17.307406420203368</v>
      </c>
      <c r="P235" s="1290">
        <v>19.157763932565079</v>
      </c>
      <c r="Q235" s="1290">
        <v>24.16003149529574</v>
      </c>
      <c r="R235" s="1284">
        <f t="shared" si="34"/>
        <v>187.90307231502857</v>
      </c>
    </row>
    <row r="236" spans="1:18" ht="12.95" customHeight="1">
      <c r="B236" s="1894"/>
      <c r="C236" s="1450" t="s">
        <v>792</v>
      </c>
      <c r="D236" s="1290"/>
      <c r="E236" s="1290">
        <v>0</v>
      </c>
      <c r="F236" s="1290">
        <v>36.010630382408522</v>
      </c>
      <c r="G236" s="1290">
        <v>27.468844503495561</v>
      </c>
      <c r="H236" s="1290">
        <v>23.449941560915722</v>
      </c>
      <c r="I236" s="1290">
        <v>37.225716542319411</v>
      </c>
      <c r="J236" s="1290">
        <v>35.103628121457199</v>
      </c>
      <c r="K236" s="1290">
        <v>36.724953595525911</v>
      </c>
      <c r="L236" s="1290">
        <v>41.230888319464562</v>
      </c>
      <c r="M236" s="1290">
        <v>35.428353116512945</v>
      </c>
      <c r="N236" s="1290">
        <v>37.470789491229347</v>
      </c>
      <c r="O236" s="1290">
        <v>36.119804703033118</v>
      </c>
      <c r="P236" s="1290">
        <v>38.315527865130157</v>
      </c>
      <c r="Q236" s="1290">
        <v>42.657555608881545</v>
      </c>
      <c r="R236" s="1284">
        <f t="shared" si="34"/>
        <v>427.206633810374</v>
      </c>
    </row>
    <row r="237" spans="1:18" ht="12.95" customHeight="1">
      <c r="B237" s="1894"/>
      <c r="C237" s="1450" t="s">
        <v>793</v>
      </c>
      <c r="D237" s="1290"/>
      <c r="E237" s="1290">
        <v>0</v>
      </c>
      <c r="F237" s="1290">
        <v>2.7104775556651575</v>
      </c>
      <c r="G237" s="1290">
        <v>2.4237215738378435</v>
      </c>
      <c r="H237" s="1290">
        <v>2.0570124176241862</v>
      </c>
      <c r="I237" s="1290">
        <v>3.3089525815395033</v>
      </c>
      <c r="J237" s="1290">
        <v>2.6140999664914935</v>
      </c>
      <c r="K237" s="1290">
        <v>3.5926585039101435</v>
      </c>
      <c r="L237" s="1290">
        <v>4.6279568521847976</v>
      </c>
      <c r="M237" s="1290">
        <v>3.7076183494025172</v>
      </c>
      <c r="N237" s="1290">
        <v>3.6910932666966279</v>
      </c>
      <c r="O237" s="1290">
        <v>3.0099837252527597</v>
      </c>
      <c r="P237" s="1290">
        <v>3.3807818704526609</v>
      </c>
      <c r="Q237" s="1290">
        <v>3.3975044290259637</v>
      </c>
      <c r="R237" s="1284">
        <f t="shared" si="34"/>
        <v>38.521861092083654</v>
      </c>
    </row>
    <row r="238" spans="1:18" ht="12.95" customHeight="1">
      <c r="B238" s="1894"/>
      <c r="C238" s="1450" t="s">
        <v>783</v>
      </c>
      <c r="D238" s="1290"/>
      <c r="E238" s="1290">
        <v>0</v>
      </c>
      <c r="F238" s="1290">
        <v>0</v>
      </c>
      <c r="G238" s="1290">
        <v>0</v>
      </c>
      <c r="H238" s="1290">
        <v>0</v>
      </c>
      <c r="I238" s="1290">
        <v>0</v>
      </c>
      <c r="J238" s="1290">
        <v>0.23159058488852854</v>
      </c>
      <c r="K238" s="1290">
        <v>0.40321603942218176</v>
      </c>
      <c r="L238" s="1290">
        <v>0.7089398812521811</v>
      </c>
      <c r="M238" s="1290">
        <v>0.48242294089642418</v>
      </c>
      <c r="N238" s="1290">
        <v>0.44118817573876634</v>
      </c>
      <c r="O238" s="1290">
        <v>0.17604642313072075</v>
      </c>
      <c r="P238" s="1290">
        <v>0.10054695711012915</v>
      </c>
      <c r="Q238" s="1290">
        <v>9.1355119091587014E-2</v>
      </c>
      <c r="R238" s="1284">
        <f t="shared" si="34"/>
        <v>2.6353061215305185</v>
      </c>
    </row>
    <row r="239" spans="1:18" ht="12.95" customHeight="1">
      <c r="B239" s="1894"/>
      <c r="C239" s="1450" t="s">
        <v>794</v>
      </c>
      <c r="D239" s="1290"/>
      <c r="E239" s="1290">
        <v>0</v>
      </c>
      <c r="F239" s="1290">
        <v>5.0337440319495781E-2</v>
      </c>
      <c r="G239" s="1290">
        <v>0</v>
      </c>
      <c r="H239" s="1290">
        <v>2.7563966396164093E-2</v>
      </c>
      <c r="I239" s="1290">
        <v>0.1571752476231264</v>
      </c>
      <c r="J239" s="1290">
        <v>0.1120328557067783</v>
      </c>
      <c r="K239" s="1290">
        <v>0.13173081181003859</v>
      </c>
      <c r="L239" s="1290">
        <v>2.945063451390326E-2</v>
      </c>
      <c r="M239" s="1290">
        <v>2.0597879718902874E-2</v>
      </c>
      <c r="N239" s="1290">
        <v>0.11483401274167288</v>
      </c>
      <c r="O239" s="1290">
        <v>0.14673670660607205</v>
      </c>
      <c r="P239" s="1290">
        <v>0.10517988041408279</v>
      </c>
      <c r="Q239" s="1290">
        <v>0.1396751820821785</v>
      </c>
      <c r="R239" s="1284">
        <f t="shared" si="34"/>
        <v>1.0353146179324155</v>
      </c>
    </row>
    <row r="240" spans="1:18" ht="12.95" customHeight="1">
      <c r="B240" s="1894"/>
      <c r="C240" s="1450" t="s">
        <v>795</v>
      </c>
      <c r="D240" s="1290"/>
      <c r="E240" s="1290">
        <v>0</v>
      </c>
      <c r="F240" s="1290">
        <v>10.067488063899157</v>
      </c>
      <c r="G240" s="1290">
        <v>11.310700677909937</v>
      </c>
      <c r="H240" s="1290">
        <v>10.490763329883348</v>
      </c>
      <c r="I240" s="1290">
        <v>11.78814357173448</v>
      </c>
      <c r="J240" s="1290">
        <v>11.576728423033758</v>
      </c>
      <c r="K240" s="1290">
        <v>9.5804226770937166</v>
      </c>
      <c r="L240" s="1290">
        <v>10.518083754965449</v>
      </c>
      <c r="M240" s="1290">
        <v>9.8869822650733781</v>
      </c>
      <c r="N240" s="1290">
        <v>10.458097588973779</v>
      </c>
      <c r="O240" s="1290">
        <v>10.158695072728063</v>
      </c>
      <c r="P240" s="1290">
        <v>9.5788819662825393</v>
      </c>
      <c r="Q240" s="1290">
        <v>9.4375123028498979</v>
      </c>
      <c r="R240" s="1284">
        <f t="shared" si="34"/>
        <v>124.85249969442749</v>
      </c>
    </row>
    <row r="241" spans="2:18" ht="12.95" customHeight="1">
      <c r="B241" s="1894"/>
      <c r="C241" s="1450" t="s">
        <v>796</v>
      </c>
      <c r="D241" s="1290"/>
      <c r="E241" s="1290">
        <v>0</v>
      </c>
      <c r="F241" s="1290">
        <v>1.1616332381422103</v>
      </c>
      <c r="G241" s="1290">
        <v>0</v>
      </c>
      <c r="H241" s="1290">
        <v>0</v>
      </c>
      <c r="I241" s="1290">
        <v>1.6544762907697517</v>
      </c>
      <c r="J241" s="1290">
        <v>7.4688570471185534</v>
      </c>
      <c r="K241" s="1290">
        <v>7.9836855642447633</v>
      </c>
      <c r="L241" s="1290">
        <v>8.4144670039723586</v>
      </c>
      <c r="M241" s="1290">
        <v>7.4152366988050344</v>
      </c>
      <c r="N241" s="1290">
        <v>4.9214576889288368</v>
      </c>
      <c r="O241" s="1290">
        <v>4.5149755878791398</v>
      </c>
      <c r="P241" s="1290">
        <v>3.7564243005029563</v>
      </c>
      <c r="Q241" s="1290">
        <v>3.3975044290259637</v>
      </c>
      <c r="R241" s="1284">
        <f t="shared" si="34"/>
        <v>50.688717849389576</v>
      </c>
    </row>
    <row r="242" spans="2:18" ht="12.95" customHeight="1">
      <c r="B242" s="1894"/>
      <c r="C242" s="1450" t="s">
        <v>820</v>
      </c>
      <c r="D242" s="1290"/>
      <c r="E242" s="1290">
        <v>5.2794332072997801</v>
      </c>
      <c r="F242" s="1290">
        <v>8.1322612987053464</v>
      </c>
      <c r="G242" s="1290">
        <v>7.2660102736331691</v>
      </c>
      <c r="H242" s="1290">
        <v>7.7078353441044216</v>
      </c>
      <c r="I242" s="1290">
        <v>9.0222509108292961</v>
      </c>
      <c r="J242" s="1290">
        <v>1.6580862644603189</v>
      </c>
      <c r="K242" s="1290">
        <v>1.7524189813517255</v>
      </c>
      <c r="L242" s="1290">
        <v>11.762327101676194</v>
      </c>
      <c r="M242" s="1290">
        <v>9.0383578598064673</v>
      </c>
      <c r="N242" s="1290">
        <v>10.005651578771587</v>
      </c>
      <c r="O242" s="1290">
        <v>9.4537945090704341</v>
      </c>
      <c r="P242" s="1290">
        <v>7.9105036774571547</v>
      </c>
      <c r="Q242" s="1290">
        <v>8.3468397685366025</v>
      </c>
      <c r="R242" s="1284">
        <f t="shared" si="34"/>
        <v>92.056337568402711</v>
      </c>
    </row>
    <row r="243" spans="2:18" ht="12.95" customHeight="1">
      <c r="B243" s="1894"/>
      <c r="C243" s="1450" t="s">
        <v>822</v>
      </c>
      <c r="D243" s="1290"/>
      <c r="E243" s="1290">
        <v>4.29</v>
      </c>
      <c r="F243" s="1290">
        <v>173.73788305625882</v>
      </c>
      <c r="G243" s="1290">
        <v>178.82143040360418</v>
      </c>
      <c r="H243" s="1290">
        <v>165.3306128330477</v>
      </c>
      <c r="I243" s="1290">
        <v>128.09096487243201</v>
      </c>
      <c r="J243" s="1290">
        <v>136.06667793627523</v>
      </c>
      <c r="K243" s="1290">
        <v>147.719030736642</v>
      </c>
      <c r="L243" s="1290">
        <v>152.02499871636491</v>
      </c>
      <c r="M243" s="1290">
        <v>132.09862335426936</v>
      </c>
      <c r="N243" s="1290">
        <v>147.72027573978701</v>
      </c>
      <c r="O243" s="1290">
        <v>170.31221789137126</v>
      </c>
      <c r="P243" s="1290">
        <v>160.32687574012593</v>
      </c>
      <c r="Q243" s="1290">
        <v>166.70826714281995</v>
      </c>
      <c r="R243" s="1284">
        <f t="shared" si="34"/>
        <v>1858.9578584229985</v>
      </c>
    </row>
    <row r="244" spans="2:18" ht="12.95" customHeight="1">
      <c r="B244" s="1894"/>
      <c r="C244" s="1450" t="s">
        <v>1114</v>
      </c>
      <c r="D244" s="1290"/>
      <c r="E244" s="1290">
        <v>4.7206981059480375</v>
      </c>
      <c r="F244" s="1290">
        <v>133.24321657532485</v>
      </c>
      <c r="G244" s="1290">
        <v>203.84393792080263</v>
      </c>
      <c r="H244" s="1290">
        <v>472.34707346301286</v>
      </c>
      <c r="I244" s="1290">
        <v>678.79369353760319</v>
      </c>
      <c r="J244" s="1290">
        <v>366.12798434695219</v>
      </c>
      <c r="K244" s="1290">
        <v>333.73470543996746</v>
      </c>
      <c r="L244" s="1290">
        <v>75.569852076525734</v>
      </c>
      <c r="M244" s="1290">
        <v>100.49338561347764</v>
      </c>
      <c r="N244" s="1290">
        <v>100.92530225614075</v>
      </c>
      <c r="O244" s="1290">
        <v>88.977630523163555</v>
      </c>
      <c r="P244" s="1290">
        <v>96.655579672984658</v>
      </c>
      <c r="Q244" s="1290">
        <v>98.936372158826686</v>
      </c>
      <c r="R244" s="1284">
        <f t="shared" si="34"/>
        <v>2749.6487335847814</v>
      </c>
    </row>
    <row r="245" spans="2:18" ht="12.95" customHeight="1">
      <c r="B245" s="1894"/>
      <c r="C245" s="1450" t="s">
        <v>1115</v>
      </c>
      <c r="D245" s="1290"/>
      <c r="E245" s="1290">
        <v>10.78</v>
      </c>
      <c r="F245" s="1290">
        <v>1.2704209653163872</v>
      </c>
      <c r="G245" s="1290">
        <v>2.8576234811510157</v>
      </c>
      <c r="H245" s="1290">
        <v>1.1966102004101473</v>
      </c>
      <c r="I245" s="1290">
        <v>0.98978092771433301</v>
      </c>
      <c r="J245" s="1290">
        <v>0.89364015650213158</v>
      </c>
      <c r="K245" s="1290">
        <v>1.0833158746350482</v>
      </c>
      <c r="L245" s="1290">
        <v>2.2809608990155117</v>
      </c>
      <c r="M245" s="1290">
        <v>1.1518890481562898</v>
      </c>
      <c r="N245" s="1290">
        <v>0.20415108760919787</v>
      </c>
      <c r="O245" s="1290">
        <v>0.82029656722043964</v>
      </c>
      <c r="P245" s="1290">
        <v>1.7560348255200493</v>
      </c>
      <c r="Q245" s="1290">
        <v>3.0541783014620636</v>
      </c>
      <c r="R245" s="1284">
        <f t="shared" si="34"/>
        <v>17.558902334712613</v>
      </c>
    </row>
    <row r="246" spans="2:18" ht="12.95" customHeight="1">
      <c r="B246" s="1894"/>
      <c r="C246" s="1450" t="s">
        <v>1116</v>
      </c>
      <c r="D246" s="1290"/>
      <c r="E246" s="1290">
        <v>4.49</v>
      </c>
      <c r="F246" s="1290">
        <v>67.482372879527119</v>
      </c>
      <c r="G246" s="1290">
        <v>113.13217268415413</v>
      </c>
      <c r="H246" s="1290">
        <v>120.10953020574819</v>
      </c>
      <c r="I246" s="1290">
        <v>83.124900953277432</v>
      </c>
      <c r="J246" s="1290">
        <v>52.828906013662262</v>
      </c>
      <c r="K246" s="1290">
        <v>90.779295076801503</v>
      </c>
      <c r="L246" s="1290">
        <v>84.274926830391777</v>
      </c>
      <c r="M246" s="1290">
        <v>92.02176916786847</v>
      </c>
      <c r="N246" s="1290">
        <v>86.593171483266573</v>
      </c>
      <c r="O246" s="1290">
        <v>88.735034339090163</v>
      </c>
      <c r="P246" s="1290">
        <v>105.12128057063735</v>
      </c>
      <c r="Q246" s="1290">
        <v>102.50576637769943</v>
      </c>
      <c r="R246" s="1284">
        <f t="shared" si="34"/>
        <v>1086.7091265821246</v>
      </c>
    </row>
    <row r="247" spans="2:18" ht="12.95" customHeight="1">
      <c r="B247" s="1894"/>
      <c r="C247" s="1450" t="s">
        <v>1130</v>
      </c>
      <c r="D247" s="1290"/>
      <c r="E247" s="1290">
        <v>2.4900000000000002</v>
      </c>
      <c r="F247" s="1290">
        <v>0</v>
      </c>
      <c r="G247" s="1290">
        <v>0</v>
      </c>
      <c r="H247" s="1290">
        <v>0</v>
      </c>
      <c r="I247" s="1290">
        <v>0</v>
      </c>
      <c r="J247" s="1290">
        <v>0</v>
      </c>
      <c r="K247" s="1290">
        <v>0</v>
      </c>
      <c r="L247" s="1290">
        <v>234.76362941082883</v>
      </c>
      <c r="M247" s="1290">
        <v>222.45710096415104</v>
      </c>
      <c r="N247" s="1290">
        <v>228.8477825351909</v>
      </c>
      <c r="O247" s="1290">
        <v>209.94636483637998</v>
      </c>
      <c r="P247" s="1290">
        <v>196.0853484862543</v>
      </c>
      <c r="Q247" s="1290">
        <v>210.64527459960973</v>
      </c>
      <c r="R247" s="1284">
        <f t="shared" si="34"/>
        <v>1302.7455008324148</v>
      </c>
    </row>
    <row r="248" spans="2:18" ht="12.95" customHeight="1">
      <c r="B248" s="1894"/>
      <c r="C248" s="1450" t="s">
        <v>810</v>
      </c>
      <c r="D248" s="1290"/>
      <c r="E248" s="1290">
        <v>2.550406099420838</v>
      </c>
      <c r="F248" s="1290">
        <v>3.0465273912289144</v>
      </c>
      <c r="G248" s="1290">
        <v>3.297626467825411</v>
      </c>
      <c r="H248" s="1290">
        <v>3.2368622738855728</v>
      </c>
      <c r="I248" s="1290">
        <v>3.3765294242479027</v>
      </c>
      <c r="J248" s="1290">
        <v>3.0485556941240839</v>
      </c>
      <c r="K248" s="1290">
        <v>1.9758589343642938</v>
      </c>
      <c r="L248" s="1290">
        <v>3.4345243370102465</v>
      </c>
      <c r="M248" s="1290">
        <v>3.2412298152849788</v>
      </c>
      <c r="N248" s="1290">
        <v>3.3479771997070982</v>
      </c>
      <c r="O248" s="1290">
        <v>3.0714548983034216</v>
      </c>
      <c r="P248" s="1290">
        <v>2.7612480751059407</v>
      </c>
      <c r="Q248" s="1290">
        <v>3.0816797470042649</v>
      </c>
      <c r="R248" s="1284">
        <f t="shared" si="34"/>
        <v>36.920074258092129</v>
      </c>
    </row>
    <row r="249" spans="2:18" ht="12.95" customHeight="1">
      <c r="B249" s="1894"/>
      <c r="C249" s="1450" t="s">
        <v>811</v>
      </c>
      <c r="D249" s="1290"/>
      <c r="E249" s="1290">
        <v>3.4986020734727434</v>
      </c>
      <c r="F249" s="1290">
        <v>24.900822503384859</v>
      </c>
      <c r="G249" s="1290">
        <v>26.917837523726977</v>
      </c>
      <c r="H249" s="1290">
        <v>26.456526595486988</v>
      </c>
      <c r="I249" s="1290">
        <v>27.561905911048886</v>
      </c>
      <c r="J249" s="1290">
        <v>24.884724712492638</v>
      </c>
      <c r="K249" s="1290">
        <v>19.645681913903772</v>
      </c>
      <c r="L249" s="1290">
        <v>19.315606564915065</v>
      </c>
      <c r="M249" s="1290">
        <v>13.246112369686175</v>
      </c>
      <c r="N249" s="1290">
        <v>18.591798655724482</v>
      </c>
      <c r="O249" s="1290">
        <v>19.180822089002589</v>
      </c>
      <c r="P249" s="1290">
        <v>17.293909799099747</v>
      </c>
      <c r="Q249" s="1290">
        <v>19.244674891765925</v>
      </c>
      <c r="R249" s="1284">
        <f t="shared" si="34"/>
        <v>257.2404235302381</v>
      </c>
    </row>
    <row r="250" spans="2:18" ht="12.95" customHeight="1" thickBot="1">
      <c r="B250" s="1895"/>
      <c r="C250" s="1450" t="s">
        <v>813</v>
      </c>
      <c r="D250" s="1290"/>
      <c r="E250" s="1290">
        <v>5.3689999999999998</v>
      </c>
      <c r="F250" s="1290">
        <v>9.8056874858527596</v>
      </c>
      <c r="G250" s="1290">
        <v>10.345450072989719</v>
      </c>
      <c r="H250" s="1290">
        <v>8.7517926165603814</v>
      </c>
      <c r="I250" s="1290">
        <v>9.3216819820630441</v>
      </c>
      <c r="J250" s="1290">
        <v>9.5678024782157038</v>
      </c>
      <c r="K250" s="1290">
        <v>10.118585616340996</v>
      </c>
      <c r="L250" s="1290">
        <v>11.020046766718956</v>
      </c>
      <c r="M250" s="1290">
        <v>9.9113883425883511</v>
      </c>
      <c r="N250" s="1290">
        <v>8.9707160185083517</v>
      </c>
      <c r="O250" s="1290">
        <v>9.1474770513300356</v>
      </c>
      <c r="P250" s="1290">
        <v>8.7661353557547059</v>
      </c>
      <c r="Q250" s="1290">
        <v>9.8954105677838591</v>
      </c>
      <c r="R250" s="1284">
        <f t="shared" si="34"/>
        <v>115.62217435470684</v>
      </c>
    </row>
    <row r="251" spans="2:18" ht="12.95" customHeight="1">
      <c r="C251" s="1450" t="s">
        <v>965</v>
      </c>
      <c r="D251" s="1290"/>
      <c r="E251" s="1290">
        <v>4.2985535090602598</v>
      </c>
      <c r="F251" s="1290">
        <v>0.29944366013700896</v>
      </c>
      <c r="G251" s="1290">
        <v>0.49662194654300068</v>
      </c>
      <c r="H251" s="1290">
        <v>0.48946416295395279</v>
      </c>
      <c r="I251" s="1290">
        <v>0.50850471743559844</v>
      </c>
      <c r="J251" s="1290">
        <v>0.45911193330487521</v>
      </c>
      <c r="K251" s="1290">
        <v>0.47492761085321716</v>
      </c>
      <c r="L251" s="1290">
        <v>0.51723874075407916</v>
      </c>
      <c r="M251" s="1290">
        <v>0.49012460347144837</v>
      </c>
      <c r="N251" s="1290">
        <v>0.50420475761057371</v>
      </c>
      <c r="O251" s="1290">
        <v>0.46256054929118717</v>
      </c>
      <c r="P251" s="1290">
        <v>0.41712422091206475</v>
      </c>
      <c r="Q251" s="1290">
        <v>0.46410040964664734</v>
      </c>
      <c r="R251" s="1284">
        <f t="shared" si="34"/>
        <v>5.5834273129136545</v>
      </c>
    </row>
    <row r="252" spans="2:18" ht="12.95" customHeight="1">
      <c r="C252" s="1451" t="s">
        <v>806</v>
      </c>
      <c r="D252" s="1290"/>
      <c r="E252" s="1290">
        <v>1.7569999999999999</v>
      </c>
      <c r="F252" s="1290">
        <v>44.88142384510472</v>
      </c>
      <c r="G252" s="1290">
        <v>48.382774379649263</v>
      </c>
      <c r="H252" s="1290">
        <v>47.685436231671801</v>
      </c>
      <c r="I252" s="1290">
        <v>49.540438528613407</v>
      </c>
      <c r="J252" s="1290">
        <v>44.728408075237979</v>
      </c>
      <c r="K252" s="1290">
        <v>46.269230754963147</v>
      </c>
      <c r="L252" s="1290">
        <v>50.39133986832708</v>
      </c>
      <c r="M252" s="1290">
        <v>35.812334119663504</v>
      </c>
      <c r="N252" s="1290">
        <v>41.594835738040672</v>
      </c>
      <c r="O252" s="1290">
        <v>33.798288893195853</v>
      </c>
      <c r="P252" s="1290">
        <v>40.63780750963641</v>
      </c>
      <c r="Q252" s="1290">
        <v>45.21440416748132</v>
      </c>
      <c r="R252" s="1284">
        <f t="shared" si="34"/>
        <v>528.93672211158503</v>
      </c>
    </row>
    <row r="253" spans="2:18" ht="12.95" customHeight="1">
      <c r="C253" s="1451" t="s">
        <v>1120</v>
      </c>
      <c r="D253" s="1290"/>
      <c r="E253" s="1290">
        <v>2.4699999999999998</v>
      </c>
      <c r="F253" s="1290">
        <v>139.39598857706525</v>
      </c>
      <c r="G253" s="1290">
        <v>150.27073757794631</v>
      </c>
      <c r="H253" s="1290">
        <v>74.052447034470703</v>
      </c>
      <c r="I253" s="1290">
        <v>153.86629504158691</v>
      </c>
      <c r="J253" s="1290">
        <v>138.92074107640508</v>
      </c>
      <c r="K253" s="1290">
        <v>143.70634015640573</v>
      </c>
      <c r="L253" s="1290">
        <v>156.50908627388588</v>
      </c>
      <c r="M253" s="1290">
        <v>148.30473397610069</v>
      </c>
      <c r="N253" s="1290">
        <v>152.56518835679395</v>
      </c>
      <c r="O253" s="1290">
        <v>139.96424322425332</v>
      </c>
      <c r="P253" s="1290">
        <v>126.21585649689933</v>
      </c>
      <c r="Q253" s="1290">
        <v>140.4301830664065</v>
      </c>
      <c r="R253" s="1284">
        <f t="shared" si="34"/>
        <v>1664.2018408582196</v>
      </c>
    </row>
    <row r="254" spans="2:18" ht="12.95" customHeight="1">
      <c r="C254" s="1451" t="s">
        <v>1119</v>
      </c>
      <c r="D254" s="1290"/>
      <c r="E254" s="1290">
        <v>2.56</v>
      </c>
      <c r="F254" s="1290">
        <v>64.2754903328848</v>
      </c>
      <c r="G254" s="1290">
        <v>69.28983709719104</v>
      </c>
      <c r="H254" s="1290">
        <v>68.291166655188889</v>
      </c>
      <c r="I254" s="1290">
        <v>70.947748643675723</v>
      </c>
      <c r="J254" s="1290">
        <v>64.056353710330384</v>
      </c>
      <c r="K254" s="1290">
        <v>66.262993446118699</v>
      </c>
      <c r="L254" s="1290">
        <v>72.166339680888782</v>
      </c>
      <c r="M254" s="1290">
        <v>68.383312836380043</v>
      </c>
      <c r="N254" s="1290">
        <v>70.347808351317681</v>
      </c>
      <c r="O254" s="1290">
        <v>64.537512550703212</v>
      </c>
      <c r="P254" s="1290">
        <v>58.198131430720288</v>
      </c>
      <c r="Q254" s="1290">
        <v>64.75235741192003</v>
      </c>
      <c r="R254" s="1284">
        <f t="shared" si="34"/>
        <v>801.50905214731949</v>
      </c>
    </row>
    <row r="255" spans="2:18" ht="12.95" customHeight="1">
      <c r="C255" s="1451" t="s">
        <v>1129</v>
      </c>
      <c r="D255" s="1290"/>
      <c r="E255" s="1290">
        <v>2.4700000000000002</v>
      </c>
      <c r="F255" s="1290">
        <v>156.82048714919841</v>
      </c>
      <c r="G255" s="1290">
        <v>169.05457977518961</v>
      </c>
      <c r="H255" s="1290">
        <v>166.61800582755907</v>
      </c>
      <c r="I255" s="1290">
        <v>173.09958192178527</v>
      </c>
      <c r="J255" s="1290">
        <v>156.28583371095573</v>
      </c>
      <c r="K255" s="1290">
        <v>161.66963267595645</v>
      </c>
      <c r="L255" s="1290">
        <v>176.0727220581216</v>
      </c>
      <c r="M255" s="1290">
        <v>166.84282572311326</v>
      </c>
      <c r="N255" s="1290">
        <v>171.63583690139319</v>
      </c>
      <c r="O255" s="1290">
        <v>157.45977362728499</v>
      </c>
      <c r="P255" s="1290">
        <v>141.99283855901174</v>
      </c>
      <c r="Q255" s="1290">
        <v>157.98395594970731</v>
      </c>
      <c r="R255" s="1284">
        <f t="shared" si="34"/>
        <v>1955.5360738792763</v>
      </c>
    </row>
    <row r="256" spans="2:18" ht="12.95" customHeight="1">
      <c r="C256" s="1451" t="s">
        <v>780</v>
      </c>
      <c r="D256" s="1290"/>
      <c r="E256" s="1290">
        <v>2.581</v>
      </c>
      <c r="F256" s="1290">
        <v>13.83740939233445</v>
      </c>
      <c r="G256" s="1290">
        <v>7.4520685872363934</v>
      </c>
      <c r="H256" s="1290">
        <v>11.275805437521718</v>
      </c>
      <c r="I256" s="1290">
        <v>14.672122410749317</v>
      </c>
      <c r="J256" s="1290">
        <v>12.184062591986338</v>
      </c>
      <c r="K256" s="1290">
        <v>12.539984767467562</v>
      </c>
      <c r="L256" s="1290">
        <v>13.970581602427394</v>
      </c>
      <c r="M256" s="1290">
        <v>13.245235037603988</v>
      </c>
      <c r="N256" s="1290">
        <v>9.2087234264034006</v>
      </c>
      <c r="O256" s="1290">
        <v>13.683606352956444</v>
      </c>
      <c r="P256" s="1290">
        <v>12.315224888398744</v>
      </c>
      <c r="Q256" s="1290">
        <v>13.729158968662494</v>
      </c>
      <c r="R256" s="1284">
        <f t="shared" si="34"/>
        <v>148.11398346374821</v>
      </c>
    </row>
    <row r="257" spans="3:18" ht="12.95" customHeight="1">
      <c r="C257" s="1451" t="s">
        <v>966</v>
      </c>
      <c r="D257" s="1290"/>
      <c r="E257" s="1290">
        <v>2.8519999999999999</v>
      </c>
      <c r="F257" s="1290">
        <v>0.58617534161775742</v>
      </c>
      <c r="G257" s="1290">
        <v>0.63305324362921922</v>
      </c>
      <c r="H257" s="1290">
        <v>0.31139861972472571</v>
      </c>
      <c r="I257" s="1290">
        <v>0.51150510357100409</v>
      </c>
      <c r="J257" s="1290">
        <v>0.5852385312221946</v>
      </c>
      <c r="K257" s="1290">
        <v>0.60430084031613429</v>
      </c>
      <c r="L257" s="1290">
        <v>0.3812474672621719</v>
      </c>
      <c r="M257" s="1290">
        <v>0.61046214606246241</v>
      </c>
      <c r="N257" s="1290">
        <v>0.62523023644557785</v>
      </c>
      <c r="O257" s="1290">
        <v>0.59765678496637764</v>
      </c>
      <c r="P257" s="1290">
        <v>0.5366249550929707</v>
      </c>
      <c r="Q257" s="1290">
        <v>0.59964637960593725</v>
      </c>
      <c r="R257" s="1284">
        <f t="shared" si="34"/>
        <v>6.5825396495165336</v>
      </c>
    </row>
    <row r="258" spans="3:18" ht="12.95" customHeight="1">
      <c r="C258" s="1451" t="s">
        <v>967</v>
      </c>
      <c r="D258" s="1290"/>
      <c r="E258" s="1290">
        <v>3.0419999999999998</v>
      </c>
      <c r="F258" s="1290">
        <v>0.53251140189218804</v>
      </c>
      <c r="G258" s="1290">
        <v>0.29714744088718453</v>
      </c>
      <c r="H258" s="1290">
        <v>0.56578059076745935</v>
      </c>
      <c r="I258" s="1290">
        <v>0.59087658515960828</v>
      </c>
      <c r="J258" s="1290">
        <v>0.27072258587149139</v>
      </c>
      <c r="K258" s="1290">
        <v>0.54897752394916421</v>
      </c>
      <c r="L258" s="1290">
        <v>0.30948323813046896</v>
      </c>
      <c r="M258" s="1290">
        <v>0.56654400605796862</v>
      </c>
      <c r="N258" s="1290">
        <v>0.30168451968353061</v>
      </c>
      <c r="O258" s="1290">
        <v>0.53748999453352075</v>
      </c>
      <c r="P258" s="1290">
        <v>0.48456432512126463</v>
      </c>
      <c r="Q258" s="1290">
        <v>0.53927929441070865</v>
      </c>
      <c r="R258" s="1284">
        <f t="shared" si="34"/>
        <v>5.5450615064645579</v>
      </c>
    </row>
    <row r="259" spans="3:18" ht="12.95" customHeight="1">
      <c r="C259" s="1451" t="s">
        <v>964</v>
      </c>
      <c r="D259" s="1290"/>
      <c r="E259" s="1290">
        <v>3.2970000000000002</v>
      </c>
      <c r="F259" s="1290">
        <v>115.61503292581791</v>
      </c>
      <c r="G259" s="1290">
        <v>124.63454974714865</v>
      </c>
      <c r="H259" s="1290">
        <v>122.83819914077999</v>
      </c>
      <c r="I259" s="1290">
        <v>127.61670510749217</v>
      </c>
      <c r="J259" s="1290">
        <v>103.1663481931033</v>
      </c>
      <c r="K259" s="1290">
        <v>119.19003852572293</v>
      </c>
      <c r="L259" s="1290">
        <v>129.80863615556095</v>
      </c>
      <c r="M259" s="1290">
        <v>123.00394635977791</v>
      </c>
      <c r="N259" s="1290">
        <v>126.53756722312488</v>
      </c>
      <c r="O259" s="1290">
        <v>116.0863433301957</v>
      </c>
      <c r="P259" s="1290">
        <v>104.68343137852831</v>
      </c>
      <c r="Q259" s="1290">
        <v>116.47279383527753</v>
      </c>
      <c r="R259" s="1284">
        <f t="shared" si="34"/>
        <v>1429.6535919225303</v>
      </c>
    </row>
    <row r="260" spans="3:18" ht="12.95" customHeight="1">
      <c r="C260" s="1451" t="s">
        <v>680</v>
      </c>
      <c r="D260" s="1290"/>
      <c r="E260" s="1290">
        <v>3.2040000000000002</v>
      </c>
      <c r="F260" s="1290">
        <v>19.321738798456892</v>
      </c>
      <c r="G260" s="1290">
        <v>23.276994519069511</v>
      </c>
      <c r="H260" s="1290">
        <v>17.695596018740726</v>
      </c>
      <c r="I260" s="1290">
        <v>23.833947740456004</v>
      </c>
      <c r="J260" s="1290">
        <v>16.757001129395999</v>
      </c>
      <c r="K260" s="1290">
        <v>22.260166856778071</v>
      </c>
      <c r="L260" s="1290">
        <v>23.469594223034381</v>
      </c>
      <c r="M260" s="1290">
        <v>20.11651061716568</v>
      </c>
      <c r="N260" s="1290">
        <v>17.62833121217658</v>
      </c>
      <c r="O260" s="1290">
        <v>16.260385961904625</v>
      </c>
      <c r="P260" s="1290">
        <v>17.182427173233489</v>
      </c>
      <c r="Q260" s="1290">
        <v>19.465088947868171</v>
      </c>
      <c r="R260" s="1284">
        <f t="shared" si="34"/>
        <v>237.26778319828014</v>
      </c>
    </row>
    <row r="261" spans="3:18" ht="12.95" customHeight="1">
      <c r="C261" s="1451" t="s">
        <v>681</v>
      </c>
      <c r="D261" s="1290"/>
      <c r="E261" s="1290">
        <v>3.2004000000000001</v>
      </c>
      <c r="F261" s="1290">
        <v>10.553421532961851</v>
      </c>
      <c r="G261" s="1290">
        <v>12.713759239919019</v>
      </c>
      <c r="H261" s="1290">
        <v>12.530516558285502</v>
      </c>
      <c r="I261" s="1290">
        <v>9.1770003980545951</v>
      </c>
      <c r="J261" s="1290">
        <v>11.753484969489833</v>
      </c>
      <c r="K261" s="1290">
        <v>8.2406756266313934</v>
      </c>
      <c r="L261" s="1290">
        <v>7.5184912067001797</v>
      </c>
      <c r="M261" s="1290">
        <v>10.061171367984764</v>
      </c>
      <c r="N261" s="1290">
        <v>12.495929120903192</v>
      </c>
      <c r="O261" s="1290">
        <v>11.841771187338463</v>
      </c>
      <c r="P261" s="1290">
        <v>9.5555772540699593</v>
      </c>
      <c r="Q261" s="1290">
        <v>10.615988307322072</v>
      </c>
      <c r="R261" s="1284">
        <f t="shared" si="34"/>
        <v>127.05778676966082</v>
      </c>
    </row>
    <row r="262" spans="3:18" ht="12.95" customHeight="1">
      <c r="C262" s="1451" t="s">
        <v>968</v>
      </c>
      <c r="D262" s="1290"/>
      <c r="E262" s="1290">
        <v>3.3</v>
      </c>
      <c r="F262" s="1290">
        <v>163.96313760388725</v>
      </c>
      <c r="G262" s="1290">
        <v>176.75445236868356</v>
      </c>
      <c r="H262" s="1290">
        <v>174.20690059965165</v>
      </c>
      <c r="I262" s="1290">
        <v>180.98369087971619</v>
      </c>
      <c r="J262" s="1290">
        <v>163.40413248371073</v>
      </c>
      <c r="K262" s="1290">
        <v>169.0331455455707</v>
      </c>
      <c r="L262" s="1290">
        <v>184.09224763879553</v>
      </c>
      <c r="M262" s="1290">
        <v>174.44196029204869</v>
      </c>
      <c r="N262" s="1290">
        <v>179.45327715279532</v>
      </c>
      <c r="O262" s="1290">
        <v>164.63154145009574</v>
      </c>
      <c r="P262" s="1290">
        <v>148.46013904591288</v>
      </c>
      <c r="Q262" s="1290">
        <v>165.17959853002998</v>
      </c>
      <c r="R262" s="1284">
        <f t="shared" si="34"/>
        <v>2044.6042235908983</v>
      </c>
    </row>
    <row r="263" spans="3:18" ht="12.95" customHeight="1">
      <c r="C263" s="1451" t="s">
        <v>969</v>
      </c>
      <c r="D263" s="1290"/>
      <c r="E263" s="1290">
        <v>3.2340000000000004</v>
      </c>
      <c r="F263" s="1290">
        <v>168.16732061937151</v>
      </c>
      <c r="G263" s="1290">
        <v>181.28661781403443</v>
      </c>
      <c r="H263" s="1290">
        <v>178.67374420477088</v>
      </c>
      <c r="I263" s="1290">
        <v>185.62429833817043</v>
      </c>
      <c r="J263" s="1290">
        <v>167.59398203457511</v>
      </c>
      <c r="K263" s="1290">
        <v>173.36732876468787</v>
      </c>
      <c r="L263" s="1290">
        <v>188.81256168081592</v>
      </c>
      <c r="M263" s="1290">
        <v>178.91483106876785</v>
      </c>
      <c r="N263" s="1290">
        <v>112.80768456255122</v>
      </c>
      <c r="O263" s="1290">
        <v>168.85286302573923</v>
      </c>
      <c r="P263" s="1290">
        <v>152.26680927785938</v>
      </c>
      <c r="Q263" s="1290">
        <v>169.4149728513128</v>
      </c>
      <c r="R263" s="1284">
        <f t="shared" si="34"/>
        <v>2025.7830142426567</v>
      </c>
    </row>
    <row r="264" spans="3:18" ht="12.95" customHeight="1">
      <c r="C264" s="1451" t="s">
        <v>812</v>
      </c>
      <c r="D264" s="1290"/>
      <c r="E264" s="1290">
        <v>3.4580000000000002</v>
      </c>
      <c r="F264" s="1290">
        <v>29.571020699769253</v>
      </c>
      <c r="G264" s="1290">
        <v>20.582797308264048</v>
      </c>
      <c r="H264" s="1290">
        <v>19.361400571168389</v>
      </c>
      <c r="I264" s="1290">
        <v>28.972230796008482</v>
      </c>
      <c r="J264" s="1290">
        <v>29.4732307630413</v>
      </c>
      <c r="K264" s="1290">
        <v>30.485404944804351</v>
      </c>
      <c r="L264" s="1290">
        <v>33.204749560945444</v>
      </c>
      <c r="M264" s="1290">
        <v>31.460893552589603</v>
      </c>
      <c r="N264" s="1290">
        <v>32.368017676882161</v>
      </c>
      <c r="O264" s="1290">
        <v>29.694618724025077</v>
      </c>
      <c r="P264" s="1290">
        <v>26.768938720181772</v>
      </c>
      <c r="Q264" s="1290">
        <v>29.793471871388594</v>
      </c>
      <c r="R264" s="1284">
        <f t="shared" si="34"/>
        <v>341.73677518906845</v>
      </c>
    </row>
    <row r="265" spans="3:18" ht="12.95" customHeight="1">
      <c r="C265" s="1451" t="s">
        <v>1118</v>
      </c>
      <c r="D265" s="1290"/>
      <c r="E265" s="1290">
        <v>3.7650000000000001</v>
      </c>
      <c r="F265" s="1290">
        <v>1.7876622839773408</v>
      </c>
      <c r="G265" s="1290">
        <v>1.9271238196717322</v>
      </c>
      <c r="H265" s="1290">
        <v>1.8993482947547817</v>
      </c>
      <c r="I265" s="1290">
        <v>0</v>
      </c>
      <c r="J265" s="1290">
        <v>1.7815675459496756</v>
      </c>
      <c r="K265" s="1290">
        <v>1.8429397207796863</v>
      </c>
      <c r="L265" s="1290">
        <v>2.0071265571383488</v>
      </c>
      <c r="M265" s="1290">
        <v>1.9019111107189204</v>
      </c>
      <c r="N265" s="1290">
        <v>1.9565486486188057</v>
      </c>
      <c r="O265" s="1290">
        <v>1.7949497777627978</v>
      </c>
      <c r="P265" s="1290">
        <v>1.6186357197406924</v>
      </c>
      <c r="Q265" s="1290">
        <v>1.8009251511643005</v>
      </c>
      <c r="R265" s="1284">
        <f t="shared" si="34"/>
        <v>20.318738630277082</v>
      </c>
    </row>
    <row r="266" spans="3:18" ht="12.95" customHeight="1">
      <c r="C266" s="1451" t="s">
        <v>807</v>
      </c>
      <c r="D266" s="1290"/>
      <c r="E266" s="1290">
        <v>3.4289999999999998</v>
      </c>
      <c r="F266" s="1290">
        <v>18.436973314390901</v>
      </c>
      <c r="G266" s="1290">
        <v>19.875303492874469</v>
      </c>
      <c r="H266" s="1290">
        <v>19.588841885289582</v>
      </c>
      <c r="I266" s="1290">
        <v>6.5647947692591835</v>
      </c>
      <c r="J266" s="1290">
        <v>13.039694879568684</v>
      </c>
      <c r="K266" s="1290">
        <v>19.007074634056988</v>
      </c>
      <c r="L266" s="1290">
        <v>20.700408071614309</v>
      </c>
      <c r="M266" s="1290">
        <v>19.615273370679201</v>
      </c>
      <c r="N266" s="1290">
        <v>20.178775122242126</v>
      </c>
      <c r="O266" s="1290">
        <v>18.512132548691199</v>
      </c>
      <c r="P266" s="1290">
        <v>16.693725564418365</v>
      </c>
      <c r="Q266" s="1290">
        <v>18.573759289342636</v>
      </c>
      <c r="R266" s="1284">
        <f t="shared" si="34"/>
        <v>210.78675694242764</v>
      </c>
    </row>
    <row r="267" spans="3:18" ht="12.95" customHeight="1">
      <c r="C267" s="1451" t="s">
        <v>803</v>
      </c>
      <c r="D267" s="1290"/>
      <c r="E267" s="1290">
        <v>3.4750000000000001</v>
      </c>
      <c r="F267" s="1290">
        <v>72.232430516508046</v>
      </c>
      <c r="G267" s="1290">
        <v>72.445877215227739</v>
      </c>
      <c r="H267" s="1290">
        <v>76.985643714287548</v>
      </c>
      <c r="I267" s="1290">
        <v>79.980447939789855</v>
      </c>
      <c r="J267" s="1290">
        <v>72.211676354560851</v>
      </c>
      <c r="K267" s="1290">
        <v>74.69925401395173</v>
      </c>
      <c r="L267" s="1290">
        <v>81.354183666080615</v>
      </c>
      <c r="M267" s="1290">
        <v>77.089521469233986</v>
      </c>
      <c r="N267" s="1290">
        <v>70.241147111797289</v>
      </c>
      <c r="O267" s="1290">
        <v>62.021035012197899</v>
      </c>
      <c r="P267" s="1290">
        <v>62.696686423810164</v>
      </c>
      <c r="Q267" s="1290">
        <v>73.176945119891897</v>
      </c>
      <c r="R267" s="1284">
        <f t="shared" si="34"/>
        <v>875.13484855733782</v>
      </c>
    </row>
    <row r="268" spans="3:18" ht="12.95" customHeight="1">
      <c r="C268" s="1451" t="s">
        <v>809</v>
      </c>
      <c r="D268" s="1290"/>
      <c r="E268" s="1290">
        <v>4.1980000000000004</v>
      </c>
      <c r="F268" s="1290">
        <v>21.923851770181066</v>
      </c>
      <c r="G268" s="1290">
        <v>23.634205041942774</v>
      </c>
      <c r="H268" s="1290">
        <v>18.117218468413824</v>
      </c>
      <c r="I268" s="1290">
        <v>0</v>
      </c>
      <c r="J268" s="1290">
        <v>21.849106034202716</v>
      </c>
      <c r="K268" s="1290">
        <v>0</v>
      </c>
      <c r="L268" s="1290">
        <v>0</v>
      </c>
      <c r="M268" s="1290">
        <v>0</v>
      </c>
      <c r="N268" s="1290">
        <v>0</v>
      </c>
      <c r="O268" s="1290">
        <v>0</v>
      </c>
      <c r="P268" s="1290">
        <v>0</v>
      </c>
      <c r="Q268" s="1290">
        <v>0</v>
      </c>
      <c r="R268" s="1284">
        <f t="shared" si="34"/>
        <v>85.524381314740381</v>
      </c>
    </row>
    <row r="269" spans="3:18" ht="12.95" customHeight="1">
      <c r="C269" s="1451" t="s">
        <v>787</v>
      </c>
      <c r="D269" s="1290"/>
      <c r="E269" s="1290">
        <v>3.3075000000000001</v>
      </c>
      <c r="F269" s="1290">
        <v>103.15303154702828</v>
      </c>
      <c r="G269" s="1290">
        <v>111.20034580768026</v>
      </c>
      <c r="H269" s="1290">
        <v>109.59762161101662</v>
      </c>
      <c r="I269" s="1290">
        <v>113.8610583307743</v>
      </c>
      <c r="J269" s="1290">
        <v>102.80134839653975</v>
      </c>
      <c r="K269" s="1290">
        <v>106.34269171574024</v>
      </c>
      <c r="L269" s="1290">
        <v>115.81672384267554</v>
      </c>
      <c r="M269" s="1290">
        <v>109.74550314231449</v>
      </c>
      <c r="N269" s="1290">
        <v>74.642108282087364</v>
      </c>
      <c r="O269" s="1290">
        <v>103.57353998594745</v>
      </c>
      <c r="P269" s="1290">
        <v>93.399733807705502</v>
      </c>
      <c r="Q269" s="1290">
        <v>103.9183354691408</v>
      </c>
      <c r="R269" s="1284">
        <f t="shared" si="34"/>
        <v>1248.0520419386507</v>
      </c>
    </row>
    <row r="270" spans="3:18" ht="12.95" customHeight="1">
      <c r="C270" s="1451" t="s">
        <v>801</v>
      </c>
      <c r="D270" s="1290"/>
      <c r="E270" s="1290">
        <v>3.2970000000000002</v>
      </c>
      <c r="F270" s="1290">
        <v>229.39003880241859</v>
      </c>
      <c r="G270" s="1290">
        <v>247.28552575826848</v>
      </c>
      <c r="H270" s="1290">
        <v>243.72141367984997</v>
      </c>
      <c r="I270" s="1290">
        <v>253.20237512043545</v>
      </c>
      <c r="J270" s="1290">
        <v>228.60797151533225</v>
      </c>
      <c r="K270" s="1290">
        <v>236.48315336138131</v>
      </c>
      <c r="L270" s="1290">
        <v>257.55135237230661</v>
      </c>
      <c r="M270" s="1290">
        <v>223.08627256283751</v>
      </c>
      <c r="N270" s="1290">
        <v>251.06127395994014</v>
      </c>
      <c r="O270" s="1290">
        <v>230.32515864983131</v>
      </c>
      <c r="P270" s="1290">
        <v>207.70081345129753</v>
      </c>
      <c r="Q270" s="1290">
        <v>231.09190925407856</v>
      </c>
      <c r="R270" s="1284">
        <f t="shared" si="34"/>
        <v>2839.5072584879777</v>
      </c>
    </row>
    <row r="271" spans="3:18" ht="12.95" customHeight="1">
      <c r="C271" s="1451" t="s">
        <v>678</v>
      </c>
      <c r="D271" s="1290"/>
      <c r="E271" s="1290">
        <v>3.8430000000000004</v>
      </c>
      <c r="F271" s="1290">
        <v>102.47696100242952</v>
      </c>
      <c r="G271" s="1290">
        <v>110.47153273042723</v>
      </c>
      <c r="H271" s="1290">
        <v>108.87931287478227</v>
      </c>
      <c r="I271" s="1290">
        <v>0</v>
      </c>
      <c r="J271" s="1290">
        <v>102.1275828023192</v>
      </c>
      <c r="K271" s="1290">
        <v>105.64571596598168</v>
      </c>
      <c r="L271" s="1290">
        <v>0</v>
      </c>
      <c r="M271" s="1290">
        <v>109.02622518253041</v>
      </c>
      <c r="N271" s="1290">
        <v>56.978201892170546</v>
      </c>
      <c r="O271" s="1290">
        <v>59.234209264634046</v>
      </c>
      <c r="P271" s="1290">
        <v>92.787586903695541</v>
      </c>
      <c r="Q271" s="1290">
        <v>103.23724908126873</v>
      </c>
      <c r="R271" s="1284">
        <f t="shared" si="34"/>
        <v>950.86457770023912</v>
      </c>
    </row>
    <row r="272" spans="3:18" ht="12.95" customHeight="1">
      <c r="C272" s="1451" t="s">
        <v>786</v>
      </c>
      <c r="D272" s="1290"/>
      <c r="E272" s="1290">
        <v>3.5070000000000001</v>
      </c>
      <c r="F272" s="1290">
        <v>255.73030480394081</v>
      </c>
      <c r="G272" s="1290">
        <v>275.68068433099722</v>
      </c>
      <c r="H272" s="1290">
        <v>271.70731446311714</v>
      </c>
      <c r="I272" s="1290">
        <v>142.15779137889058</v>
      </c>
      <c r="J272" s="1290">
        <v>254.85843474912977</v>
      </c>
      <c r="K272" s="1290">
        <v>263.63790339733572</v>
      </c>
      <c r="L272" s="1290">
        <v>287.12530931462015</v>
      </c>
      <c r="M272" s="1290">
        <v>272.07393276319527</v>
      </c>
      <c r="N272" s="1290">
        <v>279.88999195183993</v>
      </c>
      <c r="O272" s="1290">
        <v>256.77280204948624</v>
      </c>
      <c r="P272" s="1290">
        <v>231.55056169495168</v>
      </c>
      <c r="Q272" s="1290">
        <v>257.62759664630676</v>
      </c>
      <c r="R272" s="1284">
        <f t="shared" si="34"/>
        <v>3048.8126275438117</v>
      </c>
    </row>
    <row r="273" spans="2:19" ht="12.95" customHeight="1">
      <c r="C273" s="1451" t="s">
        <v>805</v>
      </c>
      <c r="D273" s="1290"/>
      <c r="E273" s="1290">
        <v>3.2629999999999999</v>
      </c>
      <c r="F273" s="1290">
        <v>54.061761242093219</v>
      </c>
      <c r="G273" s="1290">
        <v>58.279300714029304</v>
      </c>
      <c r="H273" s="1290">
        <v>42.122171300338138</v>
      </c>
      <c r="I273" s="1290">
        <v>31.761840528581867</v>
      </c>
      <c r="J273" s="1290">
        <v>53.877446634665432</v>
      </c>
      <c r="K273" s="1290">
        <v>55.733439174367128</v>
      </c>
      <c r="L273" s="1290">
        <v>60.698711209176778</v>
      </c>
      <c r="M273" s="1290">
        <v>57.516828146425155</v>
      </c>
      <c r="N273" s="1290">
        <v>59.169154514371762</v>
      </c>
      <c r="O273" s="1290">
        <v>54.282146687718928</v>
      </c>
      <c r="P273" s="1290">
        <v>48.950128110245579</v>
      </c>
      <c r="Q273" s="1290">
        <v>54.462851518301171</v>
      </c>
      <c r="R273" s="1284">
        <f t="shared" si="34"/>
        <v>630.91577978031455</v>
      </c>
    </row>
    <row r="274" spans="2:19" ht="12.95" customHeight="1">
      <c r="C274" s="1451" t="s">
        <v>804</v>
      </c>
      <c r="D274" s="1290"/>
      <c r="E274" s="1290">
        <v>3.2879999999999998</v>
      </c>
      <c r="F274" s="1290">
        <v>115.10133431361344</v>
      </c>
      <c r="G274" s="1290">
        <v>124.08077578179487</v>
      </c>
      <c r="H274" s="1290">
        <v>122.29240668777949</v>
      </c>
      <c r="I274" s="1290">
        <v>127.0496808836623</v>
      </c>
      <c r="J274" s="1290">
        <v>114.70891540677415</v>
      </c>
      <c r="K274" s="1290">
        <v>118.66045551363705</v>
      </c>
      <c r="L274" s="1290">
        <v>129.23187278355158</v>
      </c>
      <c r="M274" s="1290">
        <v>79.597321350135886</v>
      </c>
      <c r="N274" s="1290">
        <v>107.68859522050766</v>
      </c>
      <c r="O274" s="1290">
        <v>115.57055060017177</v>
      </c>
      <c r="P274" s="1290">
        <v>104.21830385956234</v>
      </c>
      <c r="Q274" s="1290">
        <v>115.95528403539581</v>
      </c>
      <c r="R274" s="1284">
        <f t="shared" si="34"/>
        <v>1374.1554964365864</v>
      </c>
    </row>
    <row r="275" spans="2:19" ht="12.95" customHeight="1">
      <c r="C275" s="1451" t="s">
        <v>677</v>
      </c>
      <c r="D275" s="1290"/>
      <c r="E275" s="1290">
        <v>4.0529999999999999</v>
      </c>
      <c r="F275" s="1290">
        <v>58.604861517569773</v>
      </c>
      <c r="G275" s="1290">
        <v>63.176823492520192</v>
      </c>
      <c r="H275" s="1290">
        <v>62.266259564464342</v>
      </c>
      <c r="I275" s="1290">
        <v>0</v>
      </c>
      <c r="J275" s="1290">
        <v>58.40505796334223</v>
      </c>
      <c r="K275" s="1290">
        <v>60.417019528556104</v>
      </c>
      <c r="L275" s="1290">
        <v>7.6030603807066655</v>
      </c>
      <c r="M275" s="1290">
        <v>62.350276258232249</v>
      </c>
      <c r="N275" s="1290">
        <v>0</v>
      </c>
      <c r="O275" s="1290">
        <v>0</v>
      </c>
      <c r="P275" s="1290">
        <v>53.063670388426416</v>
      </c>
      <c r="Q275" s="1290">
        <v>59.039657564778622</v>
      </c>
      <c r="R275" s="1284">
        <f t="shared" si="34"/>
        <v>484.92668665859668</v>
      </c>
    </row>
    <row r="276" spans="2:19" ht="12.95" customHeight="1">
      <c r="C276" s="1451" t="s">
        <v>105</v>
      </c>
      <c r="D276" s="1290"/>
      <c r="E276" s="1290">
        <v>4.0529999999999999</v>
      </c>
      <c r="F276" s="1290">
        <v>63.932576200985203</v>
      </c>
      <c r="G276" s="1290">
        <v>68.920171082749306</v>
      </c>
      <c r="H276" s="1290">
        <v>67.926828615779286</v>
      </c>
      <c r="I276" s="1290">
        <v>0</v>
      </c>
      <c r="J276" s="1290">
        <v>63.714608687282443</v>
      </c>
      <c r="K276" s="1290">
        <v>32.30577824260854</v>
      </c>
      <c r="L276" s="1290">
        <v>0</v>
      </c>
      <c r="M276" s="1290">
        <v>11.922952843971871</v>
      </c>
      <c r="N276" s="1290">
        <v>0</v>
      </c>
      <c r="O276" s="1290">
        <v>0</v>
      </c>
      <c r="P276" s="1290">
        <v>57.887640423737921</v>
      </c>
      <c r="Q276" s="1290">
        <v>64.406899161576689</v>
      </c>
      <c r="R276" s="1284">
        <f t="shared" si="34"/>
        <v>431.01745525869131</v>
      </c>
    </row>
    <row r="277" spans="2:19" ht="12.95" customHeight="1">
      <c r="B277" s="452"/>
      <c r="C277" s="1451" t="s">
        <v>399</v>
      </c>
      <c r="D277" s="1290"/>
      <c r="E277" s="1290">
        <v>4.0529999999999999</v>
      </c>
      <c r="F277" s="1290">
        <v>31.966288100492601</v>
      </c>
      <c r="G277" s="1290">
        <v>34.460085541374653</v>
      </c>
      <c r="H277" s="1290">
        <v>33.963414307889643</v>
      </c>
      <c r="I277" s="1290">
        <v>0</v>
      </c>
      <c r="J277" s="1290">
        <v>27.261328221982719</v>
      </c>
      <c r="K277" s="1290">
        <v>0</v>
      </c>
      <c r="L277" s="1290">
        <v>0</v>
      </c>
      <c r="M277" s="1290">
        <v>0</v>
      </c>
      <c r="N277" s="1290">
        <v>0</v>
      </c>
      <c r="O277" s="1290">
        <v>0</v>
      </c>
      <c r="P277" s="1290">
        <v>2.0048741651598903</v>
      </c>
      <c r="Q277" s="1290">
        <v>21.515865633933572</v>
      </c>
      <c r="R277" s="1284">
        <f t="shared" si="34"/>
        <v>151.17185597083309</v>
      </c>
    </row>
    <row r="278" spans="2:19" ht="12.95" customHeight="1">
      <c r="B278" s="452"/>
      <c r="C278" s="1451" t="s">
        <v>1121</v>
      </c>
      <c r="D278" s="1290"/>
      <c r="E278" s="1290">
        <v>4.4000000000000004</v>
      </c>
      <c r="F278" s="1290">
        <v>34.848997144266313</v>
      </c>
      <c r="G278" s="1290">
        <v>37.567684394486577</v>
      </c>
      <c r="H278" s="1290">
        <v>18.513111758617676</v>
      </c>
      <c r="I278" s="1290">
        <v>0</v>
      </c>
      <c r="J278" s="1290">
        <v>34.73018526910127</v>
      </c>
      <c r="K278" s="1290">
        <v>0</v>
      </c>
      <c r="L278" s="1290">
        <v>0</v>
      </c>
      <c r="M278" s="1290">
        <v>0</v>
      </c>
      <c r="N278" s="1290">
        <v>0</v>
      </c>
      <c r="O278" s="1290">
        <v>0</v>
      </c>
      <c r="P278" s="1290">
        <v>0</v>
      </c>
      <c r="Q278" s="1290">
        <v>0</v>
      </c>
      <c r="R278" s="1284">
        <f t="shared" si="34"/>
        <v>125.65997856647184</v>
      </c>
    </row>
    <row r="279" spans="2:19" ht="12.95" customHeight="1">
      <c r="B279" s="452"/>
      <c r="C279" s="1451" t="s">
        <v>808</v>
      </c>
      <c r="D279" s="1290"/>
      <c r="E279" s="1290">
        <v>4.875</v>
      </c>
      <c r="F279" s="1290">
        <v>55.902046516802976</v>
      </c>
      <c r="G279" s="1290">
        <v>53.839611168869396</v>
      </c>
      <c r="H279" s="1290">
        <v>39.596388973708436</v>
      </c>
      <c r="I279" s="1290">
        <v>0</v>
      </c>
      <c r="J279" s="1290">
        <v>2.9342909829733799</v>
      </c>
      <c r="K279" s="1290">
        <v>0</v>
      </c>
      <c r="L279" s="1290">
        <v>0</v>
      </c>
      <c r="M279" s="1290">
        <v>0</v>
      </c>
      <c r="N279" s="1290">
        <v>0</v>
      </c>
      <c r="O279" s="1290">
        <v>0</v>
      </c>
      <c r="P279" s="1290">
        <v>0</v>
      </c>
      <c r="Q279" s="1290">
        <v>0</v>
      </c>
      <c r="R279" s="1284">
        <f t="shared" si="34"/>
        <v>152.27233764235419</v>
      </c>
    </row>
    <row r="280" spans="2:19" ht="12.95" customHeight="1">
      <c r="B280" s="452"/>
      <c r="C280" s="1451" t="s">
        <v>648</v>
      </c>
      <c r="D280" s="1290"/>
      <c r="E280" s="1290">
        <v>14.62</v>
      </c>
      <c r="F280" s="1290">
        <v>0</v>
      </c>
      <c r="G280" s="1290">
        <v>0</v>
      </c>
      <c r="H280" s="1290">
        <v>0</v>
      </c>
      <c r="I280" s="1290">
        <v>0</v>
      </c>
      <c r="J280" s="1290">
        <v>0</v>
      </c>
      <c r="K280" s="1290">
        <v>0</v>
      </c>
      <c r="L280" s="1290">
        <v>0</v>
      </c>
      <c r="M280" s="1290">
        <v>0</v>
      </c>
      <c r="N280" s="1290">
        <v>0</v>
      </c>
      <c r="O280" s="1290">
        <v>0</v>
      </c>
      <c r="P280" s="1290">
        <v>0</v>
      </c>
      <c r="Q280" s="1290">
        <v>0</v>
      </c>
      <c r="R280" s="1284">
        <f t="shared" si="34"/>
        <v>0</v>
      </c>
    </row>
    <row r="281" spans="2:19" ht="12.95" customHeight="1">
      <c r="C281" s="1452" t="s">
        <v>1127</v>
      </c>
      <c r="D281" s="1290"/>
      <c r="E281" s="1290">
        <v>4.875</v>
      </c>
      <c r="F281" s="1290">
        <v>123.36370106130153</v>
      </c>
      <c r="G281" s="1290">
        <v>0</v>
      </c>
      <c r="H281" s="1290">
        <v>42.164465541147365</v>
      </c>
      <c r="I281" s="1290">
        <v>0</v>
      </c>
      <c r="J281" s="1290">
        <v>0</v>
      </c>
      <c r="K281" s="1290">
        <v>0</v>
      </c>
      <c r="L281" s="1290">
        <v>0</v>
      </c>
      <c r="M281" s="1290">
        <v>0</v>
      </c>
      <c r="N281" s="1290">
        <v>0</v>
      </c>
      <c r="O281" s="1290">
        <v>0</v>
      </c>
      <c r="P281" s="1290">
        <v>0</v>
      </c>
      <c r="Q281" s="1290">
        <v>0</v>
      </c>
      <c r="R281" s="1284">
        <f t="shared" si="34"/>
        <v>165.52816660244889</v>
      </c>
    </row>
    <row r="282" spans="2:19" ht="12.95" customHeight="1" thickBot="1">
      <c r="C282" s="1453" t="s">
        <v>98</v>
      </c>
      <c r="D282" s="1294"/>
      <c r="E282" s="1295"/>
      <c r="F282" s="1296">
        <f>SUM(F232:F281)</f>
        <v>2769.0707453318028</v>
      </c>
      <c r="G282" s="1296">
        <f t="shared" ref="G282:Q282" si="35">SUM(G232:G281)</f>
        <v>2890.1987264444633</v>
      </c>
      <c r="H282" s="1296">
        <f t="shared" si="35"/>
        <v>3026.6190177402623</v>
      </c>
      <c r="I282" s="1296">
        <f t="shared" si="35"/>
        <v>2792.51539506054</v>
      </c>
      <c r="J282" s="1296">
        <f t="shared" si="35"/>
        <v>2828.257808949937</v>
      </c>
      <c r="K282" s="1296">
        <f t="shared" si="35"/>
        <v>2815.2077850947312</v>
      </c>
      <c r="L282" s="1296">
        <f t="shared" si="35"/>
        <v>2787.6103485538997</v>
      </c>
      <c r="M282" s="1296">
        <f t="shared" si="35"/>
        <v>2701.459314010116</v>
      </c>
      <c r="N282" s="1296">
        <f t="shared" si="35"/>
        <v>2549.5054568597557</v>
      </c>
      <c r="O282" s="1296">
        <f t="shared" si="35"/>
        <v>2514.148799516086</v>
      </c>
      <c r="P282" s="1296">
        <f t="shared" si="35"/>
        <v>2508.1522791070474</v>
      </c>
      <c r="Q282" s="1296">
        <f t="shared" si="35"/>
        <v>2762.9044031673393</v>
      </c>
      <c r="R282" s="1285">
        <f t="shared" si="34"/>
        <v>32945.650079835978</v>
      </c>
      <c r="S282" s="423">
        <f t="shared" ref="S282" si="36">SUM(S232:S281)</f>
        <v>0</v>
      </c>
    </row>
    <row r="283" spans="2:19" ht="12.95" customHeight="1"/>
  </sheetData>
  <mergeCells count="15">
    <mergeCell ref="B177:B195"/>
    <mergeCell ref="B232:B250"/>
    <mergeCell ref="C230:C231"/>
    <mergeCell ref="F230:R230"/>
    <mergeCell ref="D230:D231"/>
    <mergeCell ref="E230:E231"/>
    <mergeCell ref="S5:S6"/>
    <mergeCell ref="C172:C173"/>
    <mergeCell ref="D172:D173"/>
    <mergeCell ref="E172:E173"/>
    <mergeCell ref="F172:R172"/>
    <mergeCell ref="C5:C6"/>
    <mergeCell ref="D5:D6"/>
    <mergeCell ref="E5:E6"/>
    <mergeCell ref="F5:R5"/>
  </mergeCells>
  <phoneticPr fontId="11" type="noConversion"/>
  <dataValidations count="2">
    <dataValidation type="decimal" allowBlank="1" showInputMessage="1" showErrorMessage="1" sqref="G229:R229 G231:Q231 F229:F231 E229:E230 E227:R228 E169:R171 E1:R1 E282:Q64870 R282:S282 R283:R64870 R232:R281">
      <formula1>0</formula1>
      <formula2>9.99999999999999E+27</formula2>
    </dataValidation>
    <dataValidation type="decimal" allowBlank="1" showInputMessage="1" showErrorMessage="1" sqref="R231 R7:R166 F2:R4 F7:Q165 F6:R6 E167:R168 E166:Q166 E2:E165 D232:Q281 D177:D226 E172:E226 F173:R225">
      <formula1>-999999999999999000000</formula1>
      <formula2>9.99999999999999E+30</formula2>
    </dataValidation>
  </dataValidations>
  <hyperlinks>
    <hyperlink ref="A1" location="Index!A1" display="Index sheet"/>
  </hyperlinks>
  <printOptions horizontalCentered="1"/>
  <pageMargins left="0.511811023622047" right="0.511811023622047" top="0.511811023622047" bottom="0.511811023622047" header="0.23622047244094499" footer="0.23622047244094499"/>
  <pageSetup paperSize="9" scale="72" fitToHeight="6" orientation="landscape" blackAndWhite="1" r:id="rId1"/>
  <headerFooter alignWithMargins="0"/>
  <rowBreaks count="2" manualBreakCount="2">
    <brk id="50" min="2" max="17" man="1"/>
    <brk id="84" min="2" max="17" man="1"/>
  </rowBreaks>
</worksheet>
</file>

<file path=xl/worksheets/sheet29.xml><?xml version="1.0" encoding="utf-8"?>
<worksheet xmlns="http://schemas.openxmlformats.org/spreadsheetml/2006/main" xmlns:r="http://schemas.openxmlformats.org/officeDocument/2006/relationships">
  <sheetPr codeName="Sheet26">
    <pageSetUpPr fitToPage="1"/>
  </sheetPr>
  <dimension ref="A1:Y138"/>
  <sheetViews>
    <sheetView view="pageBreakPreview" topLeftCell="A26" zoomScale="85" zoomScaleSheetLayoutView="85" workbookViewId="0">
      <selection activeCell="C18" sqref="C18:G18"/>
    </sheetView>
  </sheetViews>
  <sheetFormatPr defaultRowHeight="10.5"/>
  <cols>
    <col min="1" max="1" width="8" style="92" customWidth="1"/>
    <col min="2" max="2" width="6" style="92" hidden="1" customWidth="1"/>
    <col min="3" max="3" width="34.7109375" style="301" customWidth="1"/>
    <col min="4" max="4" width="8.28515625" style="92" customWidth="1"/>
    <col min="5" max="5" width="9.140625" style="92" hidden="1" customWidth="1"/>
    <col min="6" max="6" width="10.7109375" style="92" hidden="1" customWidth="1"/>
    <col min="7" max="7" width="9.140625" style="92" hidden="1" customWidth="1"/>
    <col min="8" max="8" width="9.5703125" style="92" hidden="1" customWidth="1"/>
    <col min="9" max="9" width="9.85546875" style="92" hidden="1" customWidth="1"/>
    <col min="10" max="10" width="8.42578125" style="92" hidden="1" customWidth="1"/>
    <col min="11" max="11" width="9.140625" style="92" hidden="1" customWidth="1"/>
    <col min="12" max="12" width="9.140625" style="92" customWidth="1"/>
    <col min="13" max="13" width="10.7109375" style="92" customWidth="1"/>
    <col min="14" max="14" width="9.140625" style="92" customWidth="1"/>
    <col min="15" max="15" width="8.28515625" style="92" customWidth="1"/>
    <col min="16" max="16" width="9.85546875" style="92" customWidth="1"/>
    <col min="17" max="17" width="8.42578125" style="92" customWidth="1"/>
    <col min="18" max="18" width="9.140625" style="92" customWidth="1"/>
    <col min="19" max="19" width="9.140625" style="92"/>
    <col min="20" max="20" width="9.140625" style="92" bestFit="1" customWidth="1"/>
    <col min="21" max="21" width="9.140625" style="92"/>
    <col min="22" max="22" width="8" style="92" customWidth="1"/>
    <col min="23" max="23" width="10.28515625" style="92" customWidth="1"/>
    <col min="24" max="24" width="9" style="92" customWidth="1"/>
    <col min="25" max="25" width="9.85546875" style="92" customWidth="1"/>
    <col min="26" max="16384" width="9.140625" style="92"/>
  </cols>
  <sheetData>
    <row r="1" spans="1:25">
      <c r="A1" s="136" t="s">
        <v>396</v>
      </c>
    </row>
    <row r="2" spans="1:25">
      <c r="D2" s="414"/>
    </row>
    <row r="3" spans="1:25" ht="15" customHeight="1">
      <c r="C3" s="1463" t="s">
        <v>173</v>
      </c>
      <c r="D3" s="1464" t="s">
        <v>174</v>
      </c>
      <c r="E3" s="1464"/>
      <c r="F3" s="1464"/>
      <c r="G3" s="1464"/>
      <c r="H3" s="1464"/>
      <c r="I3" s="1464"/>
      <c r="J3" s="1464"/>
      <c r="K3" s="1464"/>
      <c r="L3" s="1464"/>
      <c r="M3" s="1464"/>
      <c r="N3" s="91"/>
      <c r="O3" s="91"/>
      <c r="P3" s="91"/>
      <c r="Q3" s="91"/>
      <c r="R3" s="91"/>
      <c r="S3" s="91"/>
      <c r="T3" s="91"/>
      <c r="U3" s="91"/>
      <c r="V3" s="91"/>
      <c r="W3" s="91"/>
      <c r="X3" s="93"/>
      <c r="Y3" s="93"/>
    </row>
    <row r="4" spans="1:25" ht="7.5" customHeight="1">
      <c r="C4" s="303"/>
      <c r="D4" s="91"/>
      <c r="E4" s="91"/>
      <c r="F4" s="91"/>
      <c r="G4" s="91"/>
      <c r="H4" s="91"/>
      <c r="I4" s="91"/>
      <c r="J4" s="91"/>
      <c r="K4" s="91"/>
      <c r="L4" s="91"/>
      <c r="M4" s="91"/>
      <c r="N4" s="91"/>
      <c r="O4" s="91"/>
      <c r="P4" s="91"/>
      <c r="Q4" s="91"/>
      <c r="R4" s="91"/>
      <c r="S4" s="91"/>
      <c r="T4" s="91"/>
      <c r="U4" s="91"/>
      <c r="V4" s="91"/>
      <c r="W4" s="91"/>
      <c r="X4" s="93"/>
      <c r="Y4" s="93"/>
    </row>
    <row r="5" spans="1:25" ht="11.25" hidden="1" thickBot="1">
      <c r="C5" s="303"/>
      <c r="D5" s="91"/>
      <c r="E5" s="91"/>
      <c r="F5" s="91"/>
      <c r="G5" s="91"/>
      <c r="H5" s="91"/>
      <c r="I5" s="91"/>
      <c r="J5" s="91"/>
      <c r="K5" s="91"/>
      <c r="L5" s="91"/>
      <c r="M5" s="91"/>
      <c r="N5" s="91"/>
      <c r="O5" s="91"/>
      <c r="P5" s="91"/>
      <c r="Q5" s="91"/>
      <c r="R5" s="91"/>
      <c r="S5" s="91"/>
      <c r="T5" s="91"/>
      <c r="U5" s="91"/>
      <c r="V5" s="91"/>
      <c r="W5" s="91"/>
      <c r="X5" s="93"/>
      <c r="Y5" s="93"/>
    </row>
    <row r="6" spans="1:25" ht="12.75" customHeight="1">
      <c r="C6" s="1905" t="s">
        <v>175</v>
      </c>
      <c r="D6" s="1905" t="s">
        <v>140</v>
      </c>
      <c r="E6" s="1906" t="s">
        <v>645</v>
      </c>
      <c r="F6" s="1906"/>
      <c r="G6" s="1906"/>
      <c r="H6" s="1906"/>
      <c r="I6" s="1906"/>
      <c r="J6" s="1906"/>
      <c r="K6" s="1906"/>
      <c r="L6" s="1906" t="str">
        <f>Notes!$C$5</f>
        <v>Base Year</v>
      </c>
      <c r="M6" s="1906"/>
      <c r="N6" s="1906"/>
      <c r="O6" s="1906"/>
      <c r="P6" s="1906"/>
      <c r="Q6" s="1906"/>
      <c r="R6" s="1906"/>
      <c r="S6" s="1905" t="str">
        <f>Notes!$C$6</f>
        <v>FY 2024-25</v>
      </c>
      <c r="T6" s="1905"/>
      <c r="U6" s="1905"/>
      <c r="V6" s="1905"/>
      <c r="W6" s="1905"/>
      <c r="X6" s="1905"/>
      <c r="Y6" s="1905"/>
    </row>
    <row r="7" spans="1:25" ht="33" customHeight="1">
      <c r="C7" s="1905"/>
      <c r="D7" s="1905"/>
      <c r="E7" s="1905" t="s">
        <v>334</v>
      </c>
      <c r="F7" s="1905"/>
      <c r="G7" s="1905"/>
      <c r="H7" s="1905" t="s">
        <v>331</v>
      </c>
      <c r="I7" s="1905"/>
      <c r="J7" s="1905" t="s">
        <v>329</v>
      </c>
      <c r="K7" s="1905" t="s">
        <v>333</v>
      </c>
      <c r="L7" s="1905" t="s">
        <v>334</v>
      </c>
      <c r="M7" s="1905"/>
      <c r="N7" s="1905"/>
      <c r="O7" s="1905" t="s">
        <v>331</v>
      </c>
      <c r="P7" s="1905"/>
      <c r="Q7" s="1905" t="s">
        <v>329</v>
      </c>
      <c r="R7" s="1905" t="s">
        <v>333</v>
      </c>
      <c r="S7" s="1905" t="s">
        <v>334</v>
      </c>
      <c r="T7" s="1905"/>
      <c r="U7" s="1905"/>
      <c r="V7" s="1905" t="s">
        <v>331</v>
      </c>
      <c r="W7" s="1905"/>
      <c r="X7" s="1905" t="s">
        <v>329</v>
      </c>
      <c r="Y7" s="1905" t="s">
        <v>333</v>
      </c>
    </row>
    <row r="8" spans="1:25" ht="21">
      <c r="C8" s="1905"/>
      <c r="D8" s="1905"/>
      <c r="E8" s="1427" t="s">
        <v>261</v>
      </c>
      <c r="F8" s="1427" t="s">
        <v>262</v>
      </c>
      <c r="G8" s="1427" t="s">
        <v>263</v>
      </c>
      <c r="H8" s="1427" t="s">
        <v>248</v>
      </c>
      <c r="I8" s="1427" t="s">
        <v>332</v>
      </c>
      <c r="J8" s="1905"/>
      <c r="K8" s="1905"/>
      <c r="L8" s="1427" t="s">
        <v>261</v>
      </c>
      <c r="M8" s="1427" t="s">
        <v>262</v>
      </c>
      <c r="N8" s="1427" t="s">
        <v>263</v>
      </c>
      <c r="O8" s="1427" t="s">
        <v>248</v>
      </c>
      <c r="P8" s="1427" t="s">
        <v>332</v>
      </c>
      <c r="Q8" s="1905"/>
      <c r="R8" s="1905"/>
      <c r="S8" s="1427" t="s">
        <v>261</v>
      </c>
      <c r="T8" s="1427" t="s">
        <v>262</v>
      </c>
      <c r="U8" s="1427" t="s">
        <v>263</v>
      </c>
      <c r="V8" s="1427" t="s">
        <v>248</v>
      </c>
      <c r="W8" s="1427" t="s">
        <v>332</v>
      </c>
      <c r="X8" s="1905"/>
      <c r="Y8" s="1905"/>
    </row>
    <row r="9" spans="1:25" s="270" customFormat="1" ht="18" customHeight="1">
      <c r="B9" s="270">
        <v>10074</v>
      </c>
      <c r="C9" s="1459" t="s">
        <v>598</v>
      </c>
      <c r="D9" s="415"/>
      <c r="E9" s="98">
        <f t="shared" ref="E9:K9" si="0">SUM(E10:E16)</f>
        <v>10163.975953445</v>
      </c>
      <c r="F9" s="98">
        <f t="shared" si="0"/>
        <v>0</v>
      </c>
      <c r="G9" s="98">
        <f t="shared" si="0"/>
        <v>10163.975953445</v>
      </c>
      <c r="H9" s="98">
        <f t="shared" si="0"/>
        <v>0</v>
      </c>
      <c r="I9" s="98">
        <f t="shared" si="0"/>
        <v>0</v>
      </c>
      <c r="J9" s="98">
        <f t="shared" si="0"/>
        <v>0</v>
      </c>
      <c r="K9" s="98">
        <f t="shared" si="0"/>
        <v>10163.975953445</v>
      </c>
      <c r="L9" s="98">
        <f t="shared" ref="L9:Y9" si="1">SUM(L10:L16)</f>
        <v>6479.4741893457367</v>
      </c>
      <c r="M9" s="98">
        <f t="shared" si="1"/>
        <v>0</v>
      </c>
      <c r="N9" s="98">
        <f t="shared" si="1"/>
        <v>6479.4741893457367</v>
      </c>
      <c r="O9" s="98">
        <f t="shared" si="1"/>
        <v>0</v>
      </c>
      <c r="P9" s="98">
        <f t="shared" si="1"/>
        <v>0</v>
      </c>
      <c r="Q9" s="98">
        <f t="shared" si="1"/>
        <v>0</v>
      </c>
      <c r="R9" s="98">
        <f t="shared" si="1"/>
        <v>6479.4741893457367</v>
      </c>
      <c r="S9" s="98">
        <f t="shared" si="1"/>
        <v>6892.575080720585</v>
      </c>
      <c r="T9" s="98">
        <f t="shared" si="1"/>
        <v>0</v>
      </c>
      <c r="U9" s="98">
        <f t="shared" si="1"/>
        <v>6892.575080720585</v>
      </c>
      <c r="V9" s="98">
        <f t="shared" si="1"/>
        <v>0</v>
      </c>
      <c r="W9" s="98">
        <f t="shared" si="1"/>
        <v>0</v>
      </c>
      <c r="X9" s="98">
        <f t="shared" si="1"/>
        <v>0</v>
      </c>
      <c r="Y9" s="98">
        <f t="shared" si="1"/>
        <v>6892.575080720585</v>
      </c>
    </row>
    <row r="10" spans="1:25" s="270" customFormat="1" ht="15" customHeight="1">
      <c r="B10" s="270">
        <v>10054</v>
      </c>
      <c r="C10" s="1460" t="s">
        <v>765</v>
      </c>
      <c r="D10" s="416" t="s">
        <v>45</v>
      </c>
      <c r="E10" s="417">
        <f>'7|Total Rev Current'!J184</f>
        <v>6462.2570603000004</v>
      </c>
      <c r="F10" s="418">
        <v>0</v>
      </c>
      <c r="G10" s="419">
        <f>E10-F10</f>
        <v>6462.2570603000004</v>
      </c>
      <c r="H10" s="99"/>
      <c r="I10" s="99"/>
      <c r="J10" s="99"/>
      <c r="K10" s="420">
        <f t="shared" ref="K10:K14" si="2">SUM(G10:J10)</f>
        <v>6462.2570603000004</v>
      </c>
      <c r="L10" s="417">
        <f>'7|Total Rev Current'!S184</f>
        <v>3460.9336865263194</v>
      </c>
      <c r="M10" s="418">
        <v>0</v>
      </c>
      <c r="N10" s="419">
        <f>L10-M10</f>
        <v>3460.9336865263194</v>
      </c>
      <c r="O10" s="99"/>
      <c r="P10" s="99"/>
      <c r="Q10" s="99"/>
      <c r="R10" s="420">
        <f t="shared" ref="R10:R74" si="3">SUM(N10:Q10)</f>
        <v>3460.9336865263194</v>
      </c>
      <c r="S10" s="417">
        <f>'7|Total Rev Current'!S362</f>
        <v>3642.6109217794765</v>
      </c>
      <c r="T10" s="418"/>
      <c r="U10" s="419">
        <f>S10-T10</f>
        <v>3642.6109217794765</v>
      </c>
      <c r="V10" s="99"/>
      <c r="W10" s="99"/>
      <c r="X10" s="99"/>
      <c r="Y10" s="420">
        <f t="shared" ref="Y10:Y75" si="4">SUM(U10:X10)</f>
        <v>3642.6109217794765</v>
      </c>
    </row>
    <row r="11" spans="1:25" s="270" customFormat="1" ht="15" customHeight="1">
      <c r="B11" s="270">
        <v>10055</v>
      </c>
      <c r="C11" s="1460" t="s">
        <v>766</v>
      </c>
      <c r="D11" s="416" t="s">
        <v>29</v>
      </c>
      <c r="E11" s="417">
        <f>'7|Total Rev Current'!J193</f>
        <v>1523.0728682999998</v>
      </c>
      <c r="F11" s="418">
        <v>0</v>
      </c>
      <c r="G11" s="419">
        <f t="shared" ref="G11:G16" si="5">E11-F11</f>
        <v>1523.0728682999998</v>
      </c>
      <c r="H11" s="99"/>
      <c r="I11" s="99"/>
      <c r="J11" s="99"/>
      <c r="K11" s="420">
        <f t="shared" si="2"/>
        <v>1523.0728682999998</v>
      </c>
      <c r="L11" s="417">
        <f>'7|Total Rev Current'!S193</f>
        <v>1394.9193590055188</v>
      </c>
      <c r="M11" s="418">
        <v>0</v>
      </c>
      <c r="N11" s="419">
        <f t="shared" ref="N11:N16" si="6">L11-M11</f>
        <v>1394.9193590055188</v>
      </c>
      <c r="O11" s="99"/>
      <c r="P11" s="99"/>
      <c r="Q11" s="99"/>
      <c r="R11" s="420">
        <f t="shared" si="3"/>
        <v>1394.9193590055188</v>
      </c>
      <c r="S11" s="417">
        <f>'7|Total Rev Current'!S371</f>
        <v>1510.7665733083261</v>
      </c>
      <c r="T11" s="418"/>
      <c r="U11" s="419">
        <f>S11-T11</f>
        <v>1510.7665733083261</v>
      </c>
      <c r="V11" s="99"/>
      <c r="W11" s="99"/>
      <c r="X11" s="99"/>
      <c r="Y11" s="420">
        <f t="shared" si="4"/>
        <v>1510.7665733083261</v>
      </c>
    </row>
    <row r="12" spans="1:25" s="270" customFormat="1" ht="15" customHeight="1">
      <c r="C12" s="1460" t="s">
        <v>767</v>
      </c>
      <c r="D12" s="416"/>
      <c r="E12" s="417">
        <f>'7|Total Rev Current'!J205</f>
        <v>508.27285378720006</v>
      </c>
      <c r="F12" s="418">
        <v>0</v>
      </c>
      <c r="G12" s="419">
        <f t="shared" si="5"/>
        <v>508.27285378720006</v>
      </c>
      <c r="H12" s="99"/>
      <c r="I12" s="99"/>
      <c r="J12" s="99"/>
      <c r="K12" s="420">
        <f t="shared" si="2"/>
        <v>508.27285378720006</v>
      </c>
      <c r="L12" s="417">
        <f>'7|Total Rev Current'!S205</f>
        <v>384.90506467124413</v>
      </c>
      <c r="M12" s="418">
        <v>0</v>
      </c>
      <c r="N12" s="419">
        <f t="shared" si="6"/>
        <v>384.90506467124413</v>
      </c>
      <c r="O12" s="99"/>
      <c r="P12" s="99"/>
      <c r="Q12" s="99"/>
      <c r="R12" s="420">
        <f t="shared" si="3"/>
        <v>384.90506467124413</v>
      </c>
      <c r="S12" s="417">
        <f>'7|Total Rev Current'!S383</f>
        <v>399.06592131944541</v>
      </c>
      <c r="T12" s="418"/>
      <c r="U12" s="419">
        <f>S12-T12</f>
        <v>399.06592131944541</v>
      </c>
      <c r="V12" s="99"/>
      <c r="W12" s="99"/>
      <c r="X12" s="99"/>
      <c r="Y12" s="420">
        <f t="shared" si="4"/>
        <v>399.06592131944541</v>
      </c>
    </row>
    <row r="13" spans="1:25" s="270" customFormat="1" ht="15" customHeight="1">
      <c r="B13" s="270">
        <v>10077</v>
      </c>
      <c r="C13" s="1460" t="s">
        <v>768</v>
      </c>
      <c r="D13" s="95"/>
      <c r="E13" s="417">
        <f>'7|Total Rev Current'!J209</f>
        <v>283.46208005779994</v>
      </c>
      <c r="F13" s="418">
        <v>0</v>
      </c>
      <c r="G13" s="419">
        <f t="shared" si="5"/>
        <v>283.46208005779994</v>
      </c>
      <c r="H13" s="99"/>
      <c r="I13" s="99"/>
      <c r="J13" s="99"/>
      <c r="K13" s="420">
        <f t="shared" si="2"/>
        <v>283.46208005779994</v>
      </c>
      <c r="L13" s="417">
        <f>'7|Total Rev Current'!S209</f>
        <v>353.79695303375962</v>
      </c>
      <c r="M13" s="418">
        <v>0</v>
      </c>
      <c r="N13" s="419">
        <f t="shared" si="6"/>
        <v>353.79695303375962</v>
      </c>
      <c r="O13" s="99"/>
      <c r="P13" s="99"/>
      <c r="Q13" s="99"/>
      <c r="R13" s="420">
        <f t="shared" si="3"/>
        <v>353.79695303375962</v>
      </c>
      <c r="S13" s="417">
        <f>'7|Total Rev Current'!S387</f>
        <v>376.29791413423914</v>
      </c>
      <c r="T13" s="418"/>
      <c r="U13" s="419">
        <f>S13-T13</f>
        <v>376.29791413423914</v>
      </c>
      <c r="V13" s="99"/>
      <c r="W13" s="99"/>
      <c r="X13" s="99"/>
      <c r="Y13" s="420">
        <f t="shared" si="4"/>
        <v>376.29791413423914</v>
      </c>
    </row>
    <row r="14" spans="1:25" s="270" customFormat="1" ht="15" customHeight="1">
      <c r="B14" s="270">
        <v>10058</v>
      </c>
      <c r="C14" s="1460" t="s">
        <v>769</v>
      </c>
      <c r="D14" s="95"/>
      <c r="E14" s="417">
        <f>'7|Total Rev Current'!J215</f>
        <v>1386.9110909999997</v>
      </c>
      <c r="F14" s="418">
        <v>0</v>
      </c>
      <c r="G14" s="419">
        <f t="shared" si="5"/>
        <v>1386.9110909999997</v>
      </c>
      <c r="H14" s="99"/>
      <c r="I14" s="99"/>
      <c r="J14" s="99"/>
      <c r="K14" s="420">
        <f t="shared" si="2"/>
        <v>1386.9110909999997</v>
      </c>
      <c r="L14" s="417">
        <f>'7|Total Rev Current'!S215</f>
        <v>884.91912610889574</v>
      </c>
      <c r="M14" s="418">
        <v>0</v>
      </c>
      <c r="N14" s="419">
        <f t="shared" si="6"/>
        <v>884.91912610889574</v>
      </c>
      <c r="O14" s="99"/>
      <c r="P14" s="99"/>
      <c r="Q14" s="99"/>
      <c r="R14" s="420">
        <f t="shared" si="3"/>
        <v>884.91912610889574</v>
      </c>
      <c r="S14" s="417">
        <f>'7|Total Rev Current'!S393</f>
        <v>963.83375017909759</v>
      </c>
      <c r="T14" s="418"/>
      <c r="U14" s="419">
        <f>S14-T14</f>
        <v>963.83375017909759</v>
      </c>
      <c r="V14" s="99"/>
      <c r="W14" s="99"/>
      <c r="X14" s="99"/>
      <c r="Y14" s="420">
        <f t="shared" si="4"/>
        <v>963.83375017909759</v>
      </c>
    </row>
    <row r="15" spans="1:25" s="270" customFormat="1" ht="15" hidden="1" customHeight="1">
      <c r="C15" s="1461"/>
      <c r="D15" s="95"/>
      <c r="E15" s="99"/>
      <c r="F15" s="418"/>
      <c r="G15" s="419">
        <f t="shared" si="5"/>
        <v>0</v>
      </c>
      <c r="H15" s="99"/>
      <c r="I15" s="99"/>
      <c r="J15" s="99"/>
      <c r="K15" s="420"/>
      <c r="L15" s="99"/>
      <c r="M15" s="418"/>
      <c r="N15" s="419">
        <f t="shared" si="6"/>
        <v>0</v>
      </c>
      <c r="O15" s="99"/>
      <c r="P15" s="99"/>
      <c r="Q15" s="99"/>
      <c r="R15" s="420"/>
      <c r="S15" s="99"/>
      <c r="T15" s="418"/>
      <c r="U15" s="419"/>
      <c r="V15" s="99"/>
      <c r="W15" s="99"/>
      <c r="X15" s="99"/>
      <c r="Y15" s="420">
        <f t="shared" si="4"/>
        <v>0</v>
      </c>
    </row>
    <row r="16" spans="1:25" s="270" customFormat="1" ht="15" hidden="1" customHeight="1">
      <c r="C16" s="228"/>
      <c r="D16" s="95"/>
      <c r="E16" s="99"/>
      <c r="F16" s="418"/>
      <c r="G16" s="419">
        <f t="shared" si="5"/>
        <v>0</v>
      </c>
      <c r="H16" s="99"/>
      <c r="I16" s="99"/>
      <c r="J16" s="99"/>
      <c r="K16" s="420"/>
      <c r="L16" s="99"/>
      <c r="M16" s="418"/>
      <c r="N16" s="419">
        <f t="shared" si="6"/>
        <v>0</v>
      </c>
      <c r="O16" s="99"/>
      <c r="P16" s="99"/>
      <c r="Q16" s="99"/>
      <c r="R16" s="420"/>
      <c r="S16" s="99"/>
      <c r="T16" s="418"/>
      <c r="U16" s="419"/>
      <c r="V16" s="99"/>
      <c r="W16" s="99"/>
      <c r="X16" s="99"/>
      <c r="Y16" s="420"/>
    </row>
    <row r="17" spans="2:25" s="270" customFormat="1" ht="18" customHeight="1">
      <c r="B17" s="270">
        <v>10071</v>
      </c>
      <c r="C17" s="1458" t="s">
        <v>601</v>
      </c>
      <c r="D17" s="98"/>
      <c r="E17" s="98">
        <f>E18+E44+E70+E96</f>
        <v>3853.9973599999994</v>
      </c>
      <c r="F17" s="98">
        <f t="shared" ref="F17:K17" si="7">F18+F44+F70+F96</f>
        <v>0</v>
      </c>
      <c r="G17" s="98">
        <f t="shared" si="7"/>
        <v>3853.9973599999994</v>
      </c>
      <c r="H17" s="98">
        <f t="shared" si="7"/>
        <v>0</v>
      </c>
      <c r="I17" s="98">
        <f t="shared" si="7"/>
        <v>0</v>
      </c>
      <c r="J17" s="98">
        <f t="shared" si="7"/>
        <v>0</v>
      </c>
      <c r="K17" s="98">
        <f t="shared" si="7"/>
        <v>3853.9973599999994</v>
      </c>
      <c r="L17" s="98">
        <f>L18+L44+L70+L96</f>
        <v>9778.4867806560287</v>
      </c>
      <c r="M17" s="98">
        <f t="shared" ref="M17:Y17" si="8">M18+M44+M70+M96</f>
        <v>0</v>
      </c>
      <c r="N17" s="98">
        <f t="shared" si="8"/>
        <v>9778.4867806560287</v>
      </c>
      <c r="O17" s="98">
        <f t="shared" si="8"/>
        <v>0</v>
      </c>
      <c r="P17" s="98">
        <f t="shared" si="8"/>
        <v>0</v>
      </c>
      <c r="Q17" s="98">
        <f t="shared" si="8"/>
        <v>0</v>
      </c>
      <c r="R17" s="98">
        <f t="shared" si="8"/>
        <v>9778.4867806560287</v>
      </c>
      <c r="S17" s="98">
        <f t="shared" si="8"/>
        <v>10439.316400876691</v>
      </c>
      <c r="T17" s="98">
        <f t="shared" si="8"/>
        <v>0</v>
      </c>
      <c r="U17" s="98">
        <f t="shared" si="8"/>
        <v>10439.316400876691</v>
      </c>
      <c r="V17" s="98">
        <f t="shared" si="8"/>
        <v>0</v>
      </c>
      <c r="W17" s="98">
        <f t="shared" si="8"/>
        <v>0</v>
      </c>
      <c r="X17" s="98">
        <f t="shared" si="8"/>
        <v>0</v>
      </c>
      <c r="Y17" s="98">
        <f t="shared" si="8"/>
        <v>9235.7304720971679</v>
      </c>
    </row>
    <row r="18" spans="2:25" s="270" customFormat="1" ht="18" customHeight="1">
      <c r="B18" s="270">
        <v>10043</v>
      </c>
      <c r="C18" s="1459" t="s">
        <v>602</v>
      </c>
      <c r="D18" s="103"/>
      <c r="E18" s="103">
        <f t="shared" ref="E18:J18" si="9">E19+E20+E27+E35+E40+E43</f>
        <v>1138.7457799999997</v>
      </c>
      <c r="F18" s="103">
        <f t="shared" si="9"/>
        <v>0</v>
      </c>
      <c r="G18" s="103">
        <f t="shared" si="9"/>
        <v>1138.7457799999997</v>
      </c>
      <c r="H18" s="103">
        <f t="shared" si="9"/>
        <v>0</v>
      </c>
      <c r="I18" s="103">
        <f t="shared" si="9"/>
        <v>0</v>
      </c>
      <c r="J18" s="103">
        <f t="shared" si="9"/>
        <v>0</v>
      </c>
      <c r="K18" s="420">
        <f t="shared" ref="K18:K19" si="10">SUM(G18:J18)</f>
        <v>1138.7457799999997</v>
      </c>
      <c r="L18" s="103">
        <f t="shared" ref="L18:Q18" si="11">L19+L20+L27+L35+L40+L43</f>
        <v>2261.7380199602417</v>
      </c>
      <c r="M18" s="103">
        <f t="shared" si="11"/>
        <v>0</v>
      </c>
      <c r="N18" s="103">
        <f t="shared" si="11"/>
        <v>2261.7380199602417</v>
      </c>
      <c r="O18" s="103">
        <f t="shared" si="11"/>
        <v>0</v>
      </c>
      <c r="P18" s="103">
        <f t="shared" si="11"/>
        <v>0</v>
      </c>
      <c r="Q18" s="103">
        <f t="shared" si="11"/>
        <v>0</v>
      </c>
      <c r="R18" s="420">
        <f t="shared" si="3"/>
        <v>2261.7380199602417</v>
      </c>
      <c r="S18" s="103">
        <f t="shared" ref="S18:Y18" si="12">S19+S20+S27+S35+S40+S43</f>
        <v>2389.6416505929228</v>
      </c>
      <c r="T18" s="103">
        <f t="shared" si="12"/>
        <v>0</v>
      </c>
      <c r="U18" s="103">
        <f t="shared" si="12"/>
        <v>2389.6416505929228</v>
      </c>
      <c r="V18" s="103">
        <f t="shared" si="12"/>
        <v>0</v>
      </c>
      <c r="W18" s="103">
        <f t="shared" si="12"/>
        <v>0</v>
      </c>
      <c r="X18" s="103">
        <f t="shared" si="12"/>
        <v>0</v>
      </c>
      <c r="Y18" s="103">
        <f t="shared" si="12"/>
        <v>1780.1732651982311</v>
      </c>
    </row>
    <row r="19" spans="2:25" s="270" customFormat="1" ht="25.5" customHeight="1">
      <c r="B19" s="270">
        <v>10107</v>
      </c>
      <c r="C19" s="1462" t="s">
        <v>770</v>
      </c>
      <c r="D19" s="95"/>
      <c r="E19" s="99">
        <f>'7|Total Rev Current'!J230</f>
        <v>11.959999999999997</v>
      </c>
      <c r="F19" s="418">
        <v>0</v>
      </c>
      <c r="G19" s="419">
        <f t="shared" ref="G19" si="13">E19-F19</f>
        <v>11.959999999999997</v>
      </c>
      <c r="H19" s="99"/>
      <c r="I19" s="99"/>
      <c r="J19" s="99"/>
      <c r="K19" s="420">
        <f t="shared" si="10"/>
        <v>11.959999999999997</v>
      </c>
      <c r="L19" s="99">
        <f>'7|Total Rev Current'!S230</f>
        <v>16.671275852681571</v>
      </c>
      <c r="M19" s="418">
        <v>0</v>
      </c>
      <c r="N19" s="419">
        <f t="shared" ref="N19:N85" si="14">L19-M19</f>
        <v>16.671275852681571</v>
      </c>
      <c r="O19" s="99"/>
      <c r="P19" s="99"/>
      <c r="Q19" s="99"/>
      <c r="R19" s="420">
        <f t="shared" si="3"/>
        <v>16.671275852681571</v>
      </c>
      <c r="S19" s="99">
        <f>'7|Total Rev Current'!S408</f>
        <v>16.892855299156182</v>
      </c>
      <c r="T19" s="418"/>
      <c r="U19" s="419">
        <f>S19-T19</f>
        <v>16.892855299156182</v>
      </c>
      <c r="V19" s="99"/>
      <c r="W19" s="99"/>
      <c r="X19" s="99"/>
      <c r="Y19" s="420">
        <f t="shared" si="4"/>
        <v>16.892855299156182</v>
      </c>
    </row>
    <row r="20" spans="2:25" s="270" customFormat="1" ht="18" customHeight="1">
      <c r="B20" s="270">
        <v>10111</v>
      </c>
      <c r="C20" s="206" t="s">
        <v>772</v>
      </c>
      <c r="D20" s="206"/>
      <c r="E20" s="206">
        <f>SUM(E21:E26)</f>
        <v>386.59000000000003</v>
      </c>
      <c r="F20" s="206">
        <f t="shared" ref="F20:K20" si="15">SUM(F21:F26)</f>
        <v>0</v>
      </c>
      <c r="G20" s="206">
        <f t="shared" si="15"/>
        <v>386.59000000000003</v>
      </c>
      <c r="H20" s="206">
        <f t="shared" si="15"/>
        <v>0</v>
      </c>
      <c r="I20" s="206">
        <f t="shared" si="15"/>
        <v>0</v>
      </c>
      <c r="J20" s="206">
        <f t="shared" si="15"/>
        <v>0</v>
      </c>
      <c r="K20" s="206">
        <f t="shared" si="15"/>
        <v>386.59000000000003</v>
      </c>
      <c r="L20" s="206">
        <f>SUM(L21:L26)</f>
        <v>685.95759159614897</v>
      </c>
      <c r="M20" s="206">
        <f t="shared" ref="M20:Y20" si="16">SUM(M21:M26)</f>
        <v>0</v>
      </c>
      <c r="N20" s="206">
        <f t="shared" si="16"/>
        <v>685.95759159614897</v>
      </c>
      <c r="O20" s="206">
        <f t="shared" si="16"/>
        <v>0</v>
      </c>
      <c r="P20" s="206">
        <f t="shared" si="16"/>
        <v>0</v>
      </c>
      <c r="Q20" s="206">
        <f t="shared" si="16"/>
        <v>0</v>
      </c>
      <c r="R20" s="206">
        <f t="shared" si="16"/>
        <v>685.95759159614897</v>
      </c>
      <c r="S20" s="206">
        <f t="shared" si="16"/>
        <v>705.14979359277186</v>
      </c>
      <c r="T20" s="206">
        <f t="shared" si="16"/>
        <v>0</v>
      </c>
      <c r="U20" s="206">
        <f t="shared" si="16"/>
        <v>705.14979359277186</v>
      </c>
      <c r="V20" s="206">
        <f t="shared" si="16"/>
        <v>0</v>
      </c>
      <c r="W20" s="206">
        <f t="shared" si="16"/>
        <v>0</v>
      </c>
      <c r="X20" s="206">
        <f t="shared" si="16"/>
        <v>0</v>
      </c>
      <c r="Y20" s="206">
        <f t="shared" si="16"/>
        <v>705.14979359277186</v>
      </c>
    </row>
    <row r="21" spans="2:25" s="270" customFormat="1" ht="15" customHeight="1">
      <c r="B21" s="270">
        <v>10118</v>
      </c>
      <c r="C21" s="203" t="s">
        <v>696</v>
      </c>
      <c r="D21" s="95"/>
      <c r="E21" s="99">
        <f>'7|Total Rev Current'!J232</f>
        <v>344.80100000000004</v>
      </c>
      <c r="F21" s="418">
        <v>0</v>
      </c>
      <c r="G21" s="419">
        <f t="shared" ref="G21:G26" si="17">E21-F21</f>
        <v>344.80100000000004</v>
      </c>
      <c r="H21" s="99"/>
      <c r="I21" s="99"/>
      <c r="J21" s="99"/>
      <c r="K21" s="420">
        <f t="shared" ref="K21:K26" si="18">SUM(G21:J21)</f>
        <v>344.80100000000004</v>
      </c>
      <c r="L21" s="99">
        <f>'7|Total Rev Current'!S232</f>
        <v>553.79927092045421</v>
      </c>
      <c r="M21" s="418">
        <v>0</v>
      </c>
      <c r="N21" s="419">
        <f t="shared" si="14"/>
        <v>553.79927092045421</v>
      </c>
      <c r="O21" s="99"/>
      <c r="P21" s="99"/>
      <c r="Q21" s="99"/>
      <c r="R21" s="420">
        <f t="shared" si="3"/>
        <v>553.79927092045421</v>
      </c>
      <c r="S21" s="99">
        <f>'7|Total Rev Current'!S410</f>
        <v>566.14856222947901</v>
      </c>
      <c r="T21" s="418"/>
      <c r="U21" s="419">
        <f t="shared" ref="U21:U26" si="19">S21-T21</f>
        <v>566.14856222947901</v>
      </c>
      <c r="V21" s="99"/>
      <c r="W21" s="99"/>
      <c r="X21" s="99"/>
      <c r="Y21" s="420">
        <f t="shared" si="4"/>
        <v>566.14856222947901</v>
      </c>
    </row>
    <row r="22" spans="2:25" s="270" customFormat="1" ht="15" customHeight="1">
      <c r="C22" s="203" t="s">
        <v>697</v>
      </c>
      <c r="D22" s="95"/>
      <c r="E22" s="99">
        <f>'7|Total Rev Current'!J233</f>
        <v>0</v>
      </c>
      <c r="F22" s="418">
        <v>0</v>
      </c>
      <c r="G22" s="419">
        <f t="shared" si="17"/>
        <v>0</v>
      </c>
      <c r="H22" s="99"/>
      <c r="I22" s="99"/>
      <c r="J22" s="99"/>
      <c r="K22" s="420">
        <f t="shared" si="18"/>
        <v>0</v>
      </c>
      <c r="L22" s="99">
        <f>'7|Total Rev Current'!S233</f>
        <v>114.89966968720242</v>
      </c>
      <c r="M22" s="418">
        <v>0</v>
      </c>
      <c r="N22" s="419">
        <f t="shared" si="14"/>
        <v>114.89966968720242</v>
      </c>
      <c r="O22" s="99"/>
      <c r="P22" s="99"/>
      <c r="Q22" s="99"/>
      <c r="R22" s="420">
        <f t="shared" si="3"/>
        <v>114.89966968720242</v>
      </c>
      <c r="S22" s="99">
        <f>'7|Total Rev Current'!S411</f>
        <v>117.48085489087239</v>
      </c>
      <c r="T22" s="418"/>
      <c r="U22" s="419">
        <f t="shared" si="19"/>
        <v>117.48085489087239</v>
      </c>
      <c r="V22" s="99"/>
      <c r="W22" s="99"/>
      <c r="X22" s="99"/>
      <c r="Y22" s="420">
        <f t="shared" si="4"/>
        <v>117.48085489087239</v>
      </c>
    </row>
    <row r="23" spans="2:25" s="270" customFormat="1" ht="15" customHeight="1">
      <c r="B23" s="270">
        <v>10147</v>
      </c>
      <c r="C23" s="203" t="s">
        <v>682</v>
      </c>
      <c r="D23" s="95"/>
      <c r="E23" s="99">
        <f>'7|Total Rev Current'!J234</f>
        <v>40.919000000000004</v>
      </c>
      <c r="F23" s="418">
        <v>0</v>
      </c>
      <c r="G23" s="419">
        <f t="shared" si="17"/>
        <v>40.919000000000004</v>
      </c>
      <c r="H23" s="99"/>
      <c r="I23" s="99"/>
      <c r="J23" s="99"/>
      <c r="K23" s="420">
        <f t="shared" si="18"/>
        <v>40.919000000000004</v>
      </c>
      <c r="L23" s="99">
        <f>'7|Total Rev Current'!S234</f>
        <v>16.478018715856408</v>
      </c>
      <c r="M23" s="418">
        <v>0</v>
      </c>
      <c r="N23" s="419">
        <f t="shared" si="14"/>
        <v>16.478018715856408</v>
      </c>
      <c r="O23" s="99"/>
      <c r="P23" s="99"/>
      <c r="Q23" s="99"/>
      <c r="R23" s="420">
        <f t="shared" si="3"/>
        <v>16.478018715856408</v>
      </c>
      <c r="S23" s="99">
        <f>'7|Total Rev Current'!S412</f>
        <v>17.699712562822754</v>
      </c>
      <c r="T23" s="418"/>
      <c r="U23" s="419">
        <f t="shared" si="19"/>
        <v>17.699712562822754</v>
      </c>
      <c r="V23" s="99"/>
      <c r="W23" s="99"/>
      <c r="X23" s="99"/>
      <c r="Y23" s="420">
        <f t="shared" si="4"/>
        <v>17.699712562822754</v>
      </c>
    </row>
    <row r="24" spans="2:25" s="270" customFormat="1" ht="15" customHeight="1">
      <c r="B24" s="270">
        <v>10120</v>
      </c>
      <c r="C24" s="203" t="s">
        <v>683</v>
      </c>
      <c r="D24" s="95"/>
      <c r="E24" s="99">
        <f>'7|Total Rev Current'!J235</f>
        <v>0.87000000000000011</v>
      </c>
      <c r="F24" s="418">
        <v>0</v>
      </c>
      <c r="G24" s="419">
        <f t="shared" si="17"/>
        <v>0.87000000000000011</v>
      </c>
      <c r="H24" s="99"/>
      <c r="I24" s="99"/>
      <c r="J24" s="99"/>
      <c r="K24" s="420">
        <f t="shared" si="18"/>
        <v>0.87000000000000011</v>
      </c>
      <c r="L24" s="99">
        <f>'7|Total Rev Current'!S235</f>
        <v>2.108702263604257E-2</v>
      </c>
      <c r="M24" s="418">
        <v>0</v>
      </c>
      <c r="N24" s="419">
        <f t="shared" si="14"/>
        <v>2.108702263604257E-2</v>
      </c>
      <c r="O24" s="99"/>
      <c r="P24" s="99"/>
      <c r="Q24" s="99"/>
      <c r="R24" s="420">
        <f t="shared" si="3"/>
        <v>2.108702263604257E-2</v>
      </c>
      <c r="S24" s="99">
        <f>'7|Total Rev Current'!S413</f>
        <v>1.6838509597569284E-2</v>
      </c>
      <c r="T24" s="418"/>
      <c r="U24" s="419">
        <f t="shared" si="19"/>
        <v>1.6838509597569284E-2</v>
      </c>
      <c r="V24" s="99"/>
      <c r="W24" s="99"/>
      <c r="X24" s="99"/>
      <c r="Y24" s="420">
        <f t="shared" si="4"/>
        <v>1.6838509597569284E-2</v>
      </c>
    </row>
    <row r="25" spans="2:25" s="270" customFormat="1" ht="15" customHeight="1">
      <c r="C25" s="203" t="s">
        <v>684</v>
      </c>
      <c r="D25" s="95"/>
      <c r="E25" s="99">
        <f>'7|Total Rev Current'!J236</f>
        <v>0</v>
      </c>
      <c r="F25" s="418">
        <v>0</v>
      </c>
      <c r="G25" s="419">
        <f t="shared" si="17"/>
        <v>0</v>
      </c>
      <c r="H25" s="99"/>
      <c r="I25" s="99"/>
      <c r="J25" s="99"/>
      <c r="K25" s="420">
        <f t="shared" si="18"/>
        <v>0</v>
      </c>
      <c r="L25" s="99">
        <f>'7|Total Rev Current'!S236</f>
        <v>0.75954525000000006</v>
      </c>
      <c r="M25" s="418">
        <v>0</v>
      </c>
      <c r="N25" s="419">
        <f t="shared" si="14"/>
        <v>0.75954525000000006</v>
      </c>
      <c r="O25" s="99"/>
      <c r="P25" s="99"/>
      <c r="Q25" s="99"/>
      <c r="R25" s="420">
        <f t="shared" si="3"/>
        <v>0.75954525000000006</v>
      </c>
      <c r="S25" s="99">
        <f>'7|Total Rev Current'!S414</f>
        <v>3.8038254000000005</v>
      </c>
      <c r="T25" s="418"/>
      <c r="U25" s="419">
        <f t="shared" si="19"/>
        <v>3.8038254000000005</v>
      </c>
      <c r="V25" s="99"/>
      <c r="W25" s="99"/>
      <c r="X25" s="99"/>
      <c r="Y25" s="420">
        <f t="shared" si="4"/>
        <v>3.8038254000000005</v>
      </c>
    </row>
    <row r="26" spans="2:25" s="270" customFormat="1" ht="15" customHeight="1">
      <c r="C26" s="203" t="s">
        <v>685</v>
      </c>
      <c r="D26" s="95"/>
      <c r="E26" s="99">
        <f>'7|Total Rev Current'!J237</f>
        <v>0</v>
      </c>
      <c r="F26" s="418">
        <v>0</v>
      </c>
      <c r="G26" s="419">
        <f t="shared" si="17"/>
        <v>0</v>
      </c>
      <c r="H26" s="99"/>
      <c r="I26" s="99"/>
      <c r="J26" s="99"/>
      <c r="K26" s="420">
        <f t="shared" si="18"/>
        <v>0</v>
      </c>
      <c r="L26" s="99">
        <f>'7|Total Rev Current'!S237</f>
        <v>0</v>
      </c>
      <c r="M26" s="418">
        <v>0</v>
      </c>
      <c r="N26" s="419">
        <f t="shared" si="14"/>
        <v>0</v>
      </c>
      <c r="O26" s="99"/>
      <c r="P26" s="99"/>
      <c r="Q26" s="99"/>
      <c r="R26" s="420">
        <f t="shared" si="3"/>
        <v>0</v>
      </c>
      <c r="S26" s="99">
        <f>'7|Total Rev Current'!S415</f>
        <v>0</v>
      </c>
      <c r="T26" s="418"/>
      <c r="U26" s="419">
        <f t="shared" si="19"/>
        <v>0</v>
      </c>
      <c r="V26" s="99"/>
      <c r="W26" s="99"/>
      <c r="X26" s="99"/>
      <c r="Y26" s="420">
        <f t="shared" si="4"/>
        <v>0</v>
      </c>
    </row>
    <row r="27" spans="2:25" s="270" customFormat="1" ht="18" customHeight="1">
      <c r="B27" s="270">
        <v>10150</v>
      </c>
      <c r="C27" s="206" t="s">
        <v>771</v>
      </c>
      <c r="D27" s="206"/>
      <c r="E27" s="206">
        <f>SUM(E29:E34)</f>
        <v>627.43975</v>
      </c>
      <c r="F27" s="206">
        <f t="shared" ref="F27:K27" si="20">SUM(F29:F34)</f>
        <v>0</v>
      </c>
      <c r="G27" s="206">
        <f t="shared" si="20"/>
        <v>627.43975</v>
      </c>
      <c r="H27" s="206">
        <f t="shared" si="20"/>
        <v>0</v>
      </c>
      <c r="I27" s="206">
        <f t="shared" si="20"/>
        <v>0</v>
      </c>
      <c r="J27" s="206">
        <f t="shared" si="20"/>
        <v>0</v>
      </c>
      <c r="K27" s="206">
        <f t="shared" si="20"/>
        <v>627.43975</v>
      </c>
      <c r="L27" s="206">
        <f>SUM(L29:L34)</f>
        <v>1386.0917912067789</v>
      </c>
      <c r="M27" s="206">
        <f t="shared" ref="M27:Y27" si="21">SUM(M29:M34)</f>
        <v>0</v>
      </c>
      <c r="N27" s="206">
        <f t="shared" si="21"/>
        <v>1386.0917912067789</v>
      </c>
      <c r="O27" s="206">
        <f t="shared" si="21"/>
        <v>0</v>
      </c>
      <c r="P27" s="206">
        <f t="shared" si="21"/>
        <v>0</v>
      </c>
      <c r="Q27" s="206">
        <f t="shared" si="21"/>
        <v>0</v>
      </c>
      <c r="R27" s="206">
        <f t="shared" si="21"/>
        <v>1386.0917912067789</v>
      </c>
      <c r="S27" s="206">
        <f t="shared" si="21"/>
        <v>1478.7050211276846</v>
      </c>
      <c r="T27" s="206">
        <f t="shared" si="21"/>
        <v>0</v>
      </c>
      <c r="U27" s="206">
        <f t="shared" si="21"/>
        <v>1478.7050211276846</v>
      </c>
      <c r="V27" s="206">
        <f t="shared" si="21"/>
        <v>0</v>
      </c>
      <c r="W27" s="206">
        <f t="shared" si="21"/>
        <v>0</v>
      </c>
      <c r="X27" s="206">
        <f t="shared" si="21"/>
        <v>0</v>
      </c>
      <c r="Y27" s="206">
        <f t="shared" si="21"/>
        <v>869.23663573299245</v>
      </c>
    </row>
    <row r="28" spans="2:25" s="270" customFormat="1" ht="18" customHeight="1">
      <c r="B28" s="270">
        <v>10153</v>
      </c>
      <c r="C28" s="203" t="s">
        <v>699</v>
      </c>
      <c r="D28" s="95"/>
      <c r="E28" s="99">
        <f>SUM(E29:E31)</f>
        <v>602.97515999999996</v>
      </c>
      <c r="F28" s="418">
        <v>0</v>
      </c>
      <c r="G28" s="419">
        <f t="shared" ref="G28:G34" si="22">E28-F28</f>
        <v>602.97515999999996</v>
      </c>
      <c r="H28" s="99"/>
      <c r="I28" s="99"/>
      <c r="J28" s="99"/>
      <c r="K28" s="420">
        <f t="shared" ref="K28:K30" si="23">SUM(G28:J28)</f>
        <v>602.97515999999996</v>
      </c>
      <c r="L28" s="99">
        <f>SUM(L29:L31)</f>
        <v>1358.6087595141903</v>
      </c>
      <c r="M28" s="418">
        <v>0</v>
      </c>
      <c r="N28" s="419">
        <f t="shared" si="14"/>
        <v>1358.6087595141903</v>
      </c>
      <c r="O28" s="99"/>
      <c r="P28" s="99"/>
      <c r="Q28" s="99"/>
      <c r="R28" s="420">
        <f t="shared" si="3"/>
        <v>1358.6087595141903</v>
      </c>
      <c r="S28" s="99">
        <f>SUM(S29:S31)</f>
        <v>1445.4639073577939</v>
      </c>
      <c r="T28" s="418">
        <f>'7|Total Rev Current'!T439</f>
        <v>0</v>
      </c>
      <c r="U28" s="419">
        <f t="shared" ref="U28:U34" si="24">S28-T28</f>
        <v>1445.4639073577939</v>
      </c>
      <c r="V28" s="99"/>
      <c r="W28" s="99"/>
      <c r="X28" s="99"/>
      <c r="Y28" s="420">
        <f t="shared" si="4"/>
        <v>1445.4639073577939</v>
      </c>
    </row>
    <row r="29" spans="2:25" s="270" customFormat="1" ht="18" customHeight="1">
      <c r="C29" s="203" t="s">
        <v>700</v>
      </c>
      <c r="D29" s="95"/>
      <c r="E29" s="99">
        <f>+'7|Total Rev Current'!J241+'7|Total Rev Current'!J245</f>
        <v>0</v>
      </c>
      <c r="F29" s="418">
        <v>0</v>
      </c>
      <c r="G29" s="419">
        <f t="shared" si="22"/>
        <v>0</v>
      </c>
      <c r="H29" s="99"/>
      <c r="I29" s="99"/>
      <c r="J29" s="99"/>
      <c r="K29" s="420">
        <f t="shared" si="23"/>
        <v>0</v>
      </c>
      <c r="L29" s="99">
        <f>+'7|Total Rev Current'!S241+'7|Total Rev Current'!S245</f>
        <v>385.94393769229725</v>
      </c>
      <c r="M29" s="418">
        <v>0</v>
      </c>
      <c r="N29" s="419">
        <f t="shared" si="14"/>
        <v>385.94393769229725</v>
      </c>
      <c r="O29" s="99"/>
      <c r="P29" s="99"/>
      <c r="Q29" s="99"/>
      <c r="R29" s="420">
        <f t="shared" si="3"/>
        <v>385.94393769229725</v>
      </c>
      <c r="S29" s="99">
        <f>'7|Total Rev Current'!S419+'7|Total Rev Current'!S423</f>
        <v>415.88438669853252</v>
      </c>
      <c r="T29" s="418"/>
      <c r="U29" s="419">
        <f t="shared" si="24"/>
        <v>415.88438669853252</v>
      </c>
      <c r="V29" s="99"/>
      <c r="W29" s="99"/>
      <c r="X29" s="99"/>
      <c r="Y29" s="420">
        <f t="shared" si="4"/>
        <v>415.88438669853252</v>
      </c>
    </row>
    <row r="30" spans="2:25" s="270" customFormat="1" ht="18" customHeight="1">
      <c r="B30" s="270">
        <v>10156</v>
      </c>
      <c r="C30" s="203" t="s">
        <v>701</v>
      </c>
      <c r="D30" s="95"/>
      <c r="E30" s="99">
        <f>+'7|Total Rev Current'!J242+'7|Total Rev Current'!J246</f>
        <v>0</v>
      </c>
      <c r="F30" s="418">
        <v>0</v>
      </c>
      <c r="G30" s="419">
        <f t="shared" si="22"/>
        <v>0</v>
      </c>
      <c r="H30" s="99"/>
      <c r="I30" s="99"/>
      <c r="J30" s="99"/>
      <c r="K30" s="420">
        <f t="shared" si="23"/>
        <v>0</v>
      </c>
      <c r="L30" s="99">
        <f>+'7|Total Rev Current'!S242+'7|Total Rev Current'!S246</f>
        <v>389.93879064957332</v>
      </c>
      <c r="M30" s="418">
        <v>0</v>
      </c>
      <c r="N30" s="419">
        <f t="shared" si="14"/>
        <v>389.93879064957332</v>
      </c>
      <c r="O30" s="99"/>
      <c r="P30" s="99"/>
      <c r="Q30" s="99"/>
      <c r="R30" s="420">
        <f t="shared" si="3"/>
        <v>389.93879064957332</v>
      </c>
      <c r="S30" s="99">
        <f>'7|Total Rev Current'!S420+'7|Total Rev Current'!S424</f>
        <v>420.11113526456927</v>
      </c>
      <c r="T30" s="418"/>
      <c r="U30" s="419">
        <f t="shared" si="24"/>
        <v>420.11113526456927</v>
      </c>
      <c r="V30" s="99"/>
      <c r="W30" s="99"/>
      <c r="X30" s="99"/>
      <c r="Y30" s="420">
        <f t="shared" si="4"/>
        <v>420.11113526456927</v>
      </c>
    </row>
    <row r="31" spans="2:25" s="270" customFormat="1" ht="15" customHeight="1">
      <c r="C31" s="203" t="s">
        <v>933</v>
      </c>
      <c r="D31" s="95"/>
      <c r="E31" s="99">
        <f>+'7|Total Rev Current'!J243+'7|Total Rev Current'!J247</f>
        <v>602.97515999999996</v>
      </c>
      <c r="F31" s="418">
        <v>0</v>
      </c>
      <c r="G31" s="419">
        <f t="shared" si="22"/>
        <v>602.97515999999996</v>
      </c>
      <c r="H31" s="99"/>
      <c r="I31" s="99"/>
      <c r="J31" s="99"/>
      <c r="K31" s="420">
        <f t="shared" ref="K31" si="25">SUM(G31:J31)</f>
        <v>602.97515999999996</v>
      </c>
      <c r="L31" s="99">
        <f>+'7|Total Rev Current'!S243+'7|Total Rev Current'!S247</f>
        <v>582.72603117231984</v>
      </c>
      <c r="M31" s="418">
        <v>0</v>
      </c>
      <c r="N31" s="419">
        <f t="shared" ref="N31" si="26">L31-M31</f>
        <v>582.72603117231984</v>
      </c>
      <c r="O31" s="99"/>
      <c r="P31" s="99"/>
      <c r="Q31" s="99"/>
      <c r="R31" s="420">
        <f t="shared" ref="R31" si="27">SUM(N31:Q31)</f>
        <v>582.72603117231984</v>
      </c>
      <c r="S31" s="99">
        <f>'7|Total Rev Current'!S421+'7|Total Rev Current'!S425</f>
        <v>609.46838539469218</v>
      </c>
      <c r="T31" s="418"/>
      <c r="U31" s="419">
        <f t="shared" ref="U31" si="28">S31-T31</f>
        <v>609.46838539469218</v>
      </c>
      <c r="V31" s="99"/>
      <c r="W31" s="99"/>
      <c r="X31" s="99"/>
      <c r="Y31" s="420"/>
    </row>
    <row r="32" spans="2:25" s="270" customFormat="1" ht="15" customHeight="1">
      <c r="C32" s="203" t="s">
        <v>592</v>
      </c>
      <c r="D32" s="95"/>
      <c r="E32" s="99">
        <f>'7|Total Rev Current'!J248</f>
        <v>0</v>
      </c>
      <c r="F32" s="418">
        <v>0</v>
      </c>
      <c r="G32" s="419">
        <f t="shared" si="22"/>
        <v>0</v>
      </c>
      <c r="H32" s="99"/>
      <c r="I32" s="99"/>
      <c r="J32" s="99"/>
      <c r="K32" s="420">
        <f t="shared" ref="K32:K34" si="29">SUM(G32:J32)</f>
        <v>0</v>
      </c>
      <c r="L32" s="99">
        <f>'7|Total Rev Current'!S248</f>
        <v>1.8712139492628694</v>
      </c>
      <c r="M32" s="418">
        <v>0</v>
      </c>
      <c r="N32" s="419">
        <f t="shared" si="14"/>
        <v>1.8712139492628694</v>
      </c>
      <c r="O32" s="99"/>
      <c r="P32" s="99"/>
      <c r="Q32" s="99"/>
      <c r="R32" s="420">
        <f t="shared" si="3"/>
        <v>1.8712139492628694</v>
      </c>
      <c r="S32" s="99">
        <f>'7|Total Rev Current'!S426</f>
        <v>2.4377386475318366</v>
      </c>
      <c r="T32" s="418"/>
      <c r="U32" s="419">
        <f t="shared" si="24"/>
        <v>2.4377386475318366</v>
      </c>
      <c r="V32" s="99"/>
      <c r="W32" s="99"/>
      <c r="X32" s="99"/>
      <c r="Y32" s="420">
        <f t="shared" si="4"/>
        <v>2.4377386475318366</v>
      </c>
    </row>
    <row r="33" spans="1:25" s="270" customFormat="1" ht="15" customHeight="1">
      <c r="B33" s="270">
        <v>10162</v>
      </c>
      <c r="C33" s="203" t="s">
        <v>702</v>
      </c>
      <c r="D33" s="95"/>
      <c r="E33" s="99">
        <f>'7|Total Rev Current'!J249</f>
        <v>24.464590000000001</v>
      </c>
      <c r="F33" s="418">
        <v>0</v>
      </c>
      <c r="G33" s="419">
        <f t="shared" si="22"/>
        <v>24.464590000000001</v>
      </c>
      <c r="H33" s="99"/>
      <c r="I33" s="99"/>
      <c r="J33" s="99"/>
      <c r="K33" s="420">
        <f t="shared" si="29"/>
        <v>24.464590000000001</v>
      </c>
      <c r="L33" s="99">
        <f>'7|Total Rev Current'!S249</f>
        <v>25.611817743325705</v>
      </c>
      <c r="M33" s="418">
        <v>0</v>
      </c>
      <c r="N33" s="419">
        <f t="shared" si="14"/>
        <v>25.611817743325705</v>
      </c>
      <c r="O33" s="99"/>
      <c r="P33" s="99"/>
      <c r="Q33" s="99"/>
      <c r="R33" s="420">
        <f t="shared" si="3"/>
        <v>25.611817743325705</v>
      </c>
      <c r="S33" s="99">
        <f>'7|Total Rev Current'!S427</f>
        <v>30.803375122358787</v>
      </c>
      <c r="T33" s="418"/>
      <c r="U33" s="419">
        <f t="shared" si="24"/>
        <v>30.803375122358787</v>
      </c>
      <c r="V33" s="99"/>
      <c r="W33" s="99"/>
      <c r="X33" s="99"/>
      <c r="Y33" s="420">
        <f t="shared" si="4"/>
        <v>30.803375122358787</v>
      </c>
    </row>
    <row r="34" spans="1:25" s="270" customFormat="1" ht="15" customHeight="1">
      <c r="B34" s="270">
        <v>10159</v>
      </c>
      <c r="C34" s="203" t="s">
        <v>703</v>
      </c>
      <c r="D34" s="95"/>
      <c r="E34" s="99">
        <f>'7|Total Rev Current'!J250</f>
        <v>0</v>
      </c>
      <c r="F34" s="418">
        <v>0</v>
      </c>
      <c r="G34" s="419">
        <f t="shared" si="22"/>
        <v>0</v>
      </c>
      <c r="H34" s="99"/>
      <c r="I34" s="99"/>
      <c r="J34" s="99"/>
      <c r="K34" s="420">
        <f t="shared" si="29"/>
        <v>0</v>
      </c>
      <c r="L34" s="99">
        <f>'7|Total Rev Current'!S250</f>
        <v>0</v>
      </c>
      <c r="M34" s="418">
        <v>0</v>
      </c>
      <c r="N34" s="419">
        <f t="shared" si="14"/>
        <v>0</v>
      </c>
      <c r="O34" s="99"/>
      <c r="P34" s="99"/>
      <c r="Q34" s="99"/>
      <c r="R34" s="420">
        <f t="shared" si="3"/>
        <v>0</v>
      </c>
      <c r="S34" s="99">
        <f>'7|Total Rev Current'!S428</f>
        <v>0</v>
      </c>
      <c r="T34" s="418"/>
      <c r="U34" s="419">
        <f t="shared" si="24"/>
        <v>0</v>
      </c>
      <c r="V34" s="99"/>
      <c r="W34" s="99"/>
      <c r="X34" s="99"/>
      <c r="Y34" s="420">
        <f t="shared" si="4"/>
        <v>0</v>
      </c>
    </row>
    <row r="35" spans="1:25" s="270" customFormat="1" ht="18" customHeight="1">
      <c r="C35" s="206" t="s">
        <v>774</v>
      </c>
      <c r="D35" s="206"/>
      <c r="E35" s="206">
        <f>SUM(E36:E39)</f>
        <v>64.533999999999992</v>
      </c>
      <c r="F35" s="206">
        <f t="shared" ref="F35:K35" si="30">SUM(F36:F39)</f>
        <v>0</v>
      </c>
      <c r="G35" s="206">
        <f t="shared" si="30"/>
        <v>64.533999999999992</v>
      </c>
      <c r="H35" s="206">
        <f t="shared" si="30"/>
        <v>0</v>
      </c>
      <c r="I35" s="206">
        <f t="shared" si="30"/>
        <v>0</v>
      </c>
      <c r="J35" s="206">
        <f t="shared" si="30"/>
        <v>0</v>
      </c>
      <c r="K35" s="206">
        <f t="shared" si="30"/>
        <v>64.533999999999992</v>
      </c>
      <c r="L35" s="206">
        <f>SUM(L36:L39)</f>
        <v>148.57631601104515</v>
      </c>
      <c r="M35" s="206">
        <f t="shared" ref="M35:Y35" si="31">SUM(M36:M39)</f>
        <v>0</v>
      </c>
      <c r="N35" s="206">
        <f t="shared" si="31"/>
        <v>148.57631601104515</v>
      </c>
      <c r="O35" s="206">
        <f t="shared" si="31"/>
        <v>0</v>
      </c>
      <c r="P35" s="206">
        <f t="shared" si="31"/>
        <v>0</v>
      </c>
      <c r="Q35" s="206">
        <f t="shared" si="31"/>
        <v>0</v>
      </c>
      <c r="R35" s="206">
        <f t="shared" si="31"/>
        <v>148.57631601104515</v>
      </c>
      <c r="S35" s="206">
        <f t="shared" si="31"/>
        <v>162.2600250177517</v>
      </c>
      <c r="T35" s="206">
        <f t="shared" si="31"/>
        <v>0</v>
      </c>
      <c r="U35" s="206">
        <f t="shared" si="31"/>
        <v>162.2600250177517</v>
      </c>
      <c r="V35" s="206">
        <f t="shared" si="31"/>
        <v>0</v>
      </c>
      <c r="W35" s="206">
        <f t="shared" si="31"/>
        <v>0</v>
      </c>
      <c r="X35" s="206">
        <f t="shared" si="31"/>
        <v>0</v>
      </c>
      <c r="Y35" s="206">
        <f t="shared" si="31"/>
        <v>162.2600250177517</v>
      </c>
    </row>
    <row r="36" spans="1:25" s="270" customFormat="1" ht="24.75" customHeight="1">
      <c r="C36" s="203" t="s">
        <v>686</v>
      </c>
      <c r="D36" s="95"/>
      <c r="E36" s="99">
        <f>'7|Total Rev Current'!J252</f>
        <v>37.683999999999997</v>
      </c>
      <c r="F36" s="418">
        <v>0</v>
      </c>
      <c r="G36" s="419">
        <f t="shared" ref="G36:G39" si="32">E36-F36</f>
        <v>37.683999999999997</v>
      </c>
      <c r="H36" s="99"/>
      <c r="I36" s="99"/>
      <c r="J36" s="99"/>
      <c r="K36" s="420">
        <f t="shared" ref="K36:K39" si="33">SUM(G36:J36)</f>
        <v>37.683999999999997</v>
      </c>
      <c r="L36" s="99">
        <f>'7|Total Rev Current'!S252</f>
        <v>104.98883196916432</v>
      </c>
      <c r="M36" s="418">
        <v>0</v>
      </c>
      <c r="N36" s="419">
        <f t="shared" si="14"/>
        <v>104.98883196916432</v>
      </c>
      <c r="O36" s="99"/>
      <c r="P36" s="99"/>
      <c r="Q36" s="99"/>
      <c r="R36" s="420">
        <f t="shared" si="3"/>
        <v>104.98883196916432</v>
      </c>
      <c r="S36" s="99">
        <f>'7|Total Rev Current'!S430</f>
        <v>117.41126397714289</v>
      </c>
      <c r="T36" s="418"/>
      <c r="U36" s="419">
        <f>S36-T36</f>
        <v>117.41126397714289</v>
      </c>
      <c r="V36" s="99"/>
      <c r="W36" s="99"/>
      <c r="X36" s="99"/>
      <c r="Y36" s="420">
        <f t="shared" si="4"/>
        <v>117.41126397714289</v>
      </c>
    </row>
    <row r="37" spans="1:25" s="270" customFormat="1" ht="19.5" customHeight="1">
      <c r="C37" s="203" t="s">
        <v>687</v>
      </c>
      <c r="D37" s="95"/>
      <c r="E37" s="99">
        <f>'7|Total Rev Current'!J253</f>
        <v>22.817999999999998</v>
      </c>
      <c r="F37" s="418">
        <v>0</v>
      </c>
      <c r="G37" s="419">
        <f t="shared" si="32"/>
        <v>22.817999999999998</v>
      </c>
      <c r="H37" s="99"/>
      <c r="I37" s="99"/>
      <c r="J37" s="99"/>
      <c r="K37" s="420">
        <f t="shared" si="33"/>
        <v>22.817999999999998</v>
      </c>
      <c r="L37" s="99">
        <f>'7|Total Rev Current'!S253</f>
        <v>41.245404415945877</v>
      </c>
      <c r="M37" s="418">
        <v>0</v>
      </c>
      <c r="N37" s="419">
        <f t="shared" si="14"/>
        <v>41.245404415945877</v>
      </c>
      <c r="O37" s="99"/>
      <c r="P37" s="99"/>
      <c r="Q37" s="99"/>
      <c r="R37" s="420">
        <f t="shared" si="3"/>
        <v>41.245404415945877</v>
      </c>
      <c r="S37" s="99">
        <f>'7|Total Rev Current'!S431</f>
        <v>42.63644298958603</v>
      </c>
      <c r="T37" s="418"/>
      <c r="U37" s="419">
        <f>S37-T37</f>
        <v>42.63644298958603</v>
      </c>
      <c r="V37" s="99"/>
      <c r="W37" s="99"/>
      <c r="X37" s="99"/>
      <c r="Y37" s="420">
        <f t="shared" si="4"/>
        <v>42.63644298958603</v>
      </c>
    </row>
    <row r="38" spans="1:25" s="270" customFormat="1" ht="19.5" customHeight="1">
      <c r="C38" s="203" t="s">
        <v>688</v>
      </c>
      <c r="D38" s="95"/>
      <c r="E38" s="99">
        <f>'7|Total Rev Current'!J254</f>
        <v>4.032</v>
      </c>
      <c r="F38" s="418">
        <v>0</v>
      </c>
      <c r="G38" s="419">
        <f t="shared" si="32"/>
        <v>4.032</v>
      </c>
      <c r="H38" s="99"/>
      <c r="I38" s="99"/>
      <c r="J38" s="99"/>
      <c r="K38" s="420">
        <f t="shared" si="33"/>
        <v>4.032</v>
      </c>
      <c r="L38" s="99">
        <f>'7|Total Rev Current'!S254</f>
        <v>2.342079625934971</v>
      </c>
      <c r="M38" s="418">
        <v>0</v>
      </c>
      <c r="N38" s="419">
        <f t="shared" si="14"/>
        <v>2.342079625934971</v>
      </c>
      <c r="O38" s="99"/>
      <c r="P38" s="99"/>
      <c r="Q38" s="99"/>
      <c r="R38" s="420">
        <f t="shared" si="3"/>
        <v>2.342079625934971</v>
      </c>
      <c r="S38" s="99">
        <f>'7|Total Rev Current'!S432</f>
        <v>2.2123180510227884</v>
      </c>
      <c r="T38" s="418"/>
      <c r="U38" s="419">
        <f>S38-T38</f>
        <v>2.2123180510227884</v>
      </c>
      <c r="V38" s="99"/>
      <c r="W38" s="99"/>
      <c r="X38" s="99"/>
      <c r="Y38" s="420">
        <f t="shared" si="4"/>
        <v>2.2123180510227884</v>
      </c>
    </row>
    <row r="39" spans="1:25" s="270" customFormat="1" ht="19.5" customHeight="1">
      <c r="C39" s="203" t="s">
        <v>704</v>
      </c>
      <c r="D39" s="95"/>
      <c r="E39" s="99">
        <f>'7|Total Rev Current'!J255</f>
        <v>0</v>
      </c>
      <c r="F39" s="418">
        <v>0</v>
      </c>
      <c r="G39" s="419">
        <f t="shared" si="32"/>
        <v>0</v>
      </c>
      <c r="H39" s="99"/>
      <c r="I39" s="99"/>
      <c r="J39" s="99"/>
      <c r="K39" s="420">
        <f t="shared" si="33"/>
        <v>0</v>
      </c>
      <c r="L39" s="99">
        <f>'7|Total Rev Current'!S255</f>
        <v>0</v>
      </c>
      <c r="M39" s="418">
        <v>0</v>
      </c>
      <c r="N39" s="419">
        <f t="shared" si="14"/>
        <v>0</v>
      </c>
      <c r="O39" s="99"/>
      <c r="P39" s="99"/>
      <c r="Q39" s="99"/>
      <c r="R39" s="420">
        <f t="shared" si="3"/>
        <v>0</v>
      </c>
      <c r="S39" s="99">
        <f>'7|Total Rev Current'!S433</f>
        <v>0</v>
      </c>
      <c r="T39" s="418"/>
      <c r="U39" s="419">
        <f>S39-T39</f>
        <v>0</v>
      </c>
      <c r="V39" s="99"/>
      <c r="W39" s="99"/>
      <c r="X39" s="99"/>
      <c r="Y39" s="420">
        <f t="shared" si="4"/>
        <v>0</v>
      </c>
    </row>
    <row r="40" spans="1:25" s="270" customFormat="1" ht="18" customHeight="1">
      <c r="C40" s="206" t="s">
        <v>775</v>
      </c>
      <c r="D40" s="206"/>
      <c r="E40" s="206">
        <f>E41+E42</f>
        <v>48.222030000000004</v>
      </c>
      <c r="F40" s="206">
        <f t="shared" ref="F40:K40" si="34">F41+F42</f>
        <v>0</v>
      </c>
      <c r="G40" s="206">
        <f t="shared" si="34"/>
        <v>48.222030000000004</v>
      </c>
      <c r="H40" s="206">
        <f t="shared" si="34"/>
        <v>0</v>
      </c>
      <c r="I40" s="206">
        <f t="shared" si="34"/>
        <v>0</v>
      </c>
      <c r="J40" s="206">
        <f t="shared" si="34"/>
        <v>0</v>
      </c>
      <c r="K40" s="206">
        <f t="shared" si="34"/>
        <v>48.222030000000004</v>
      </c>
      <c r="L40" s="206">
        <f>L41+L42</f>
        <v>24.441045293587337</v>
      </c>
      <c r="M40" s="206">
        <f t="shared" ref="M40:Y40" si="35">M41+M42</f>
        <v>0</v>
      </c>
      <c r="N40" s="206">
        <f t="shared" si="35"/>
        <v>24.441045293587337</v>
      </c>
      <c r="O40" s="206">
        <f t="shared" si="35"/>
        <v>0</v>
      </c>
      <c r="P40" s="206">
        <f t="shared" si="35"/>
        <v>0</v>
      </c>
      <c r="Q40" s="206">
        <f t="shared" si="35"/>
        <v>0</v>
      </c>
      <c r="R40" s="206">
        <f t="shared" si="35"/>
        <v>24.441045293587337</v>
      </c>
      <c r="S40" s="206">
        <f t="shared" si="35"/>
        <v>26.633955555558856</v>
      </c>
      <c r="T40" s="206">
        <f t="shared" si="35"/>
        <v>0</v>
      </c>
      <c r="U40" s="206">
        <f t="shared" si="35"/>
        <v>26.633955555558856</v>
      </c>
      <c r="V40" s="206">
        <f t="shared" si="35"/>
        <v>0</v>
      </c>
      <c r="W40" s="206">
        <f t="shared" si="35"/>
        <v>0</v>
      </c>
      <c r="X40" s="206">
        <f t="shared" si="35"/>
        <v>0</v>
      </c>
      <c r="Y40" s="206">
        <f t="shared" si="35"/>
        <v>26.633955555558856</v>
      </c>
    </row>
    <row r="41" spans="1:25" s="270" customFormat="1" ht="19.5" customHeight="1">
      <c r="C41" s="203" t="s">
        <v>692</v>
      </c>
      <c r="D41" s="95"/>
      <c r="E41" s="99">
        <f>'7|Total Rev Current'!J257</f>
        <v>11.42163</v>
      </c>
      <c r="F41" s="418">
        <v>0</v>
      </c>
      <c r="G41" s="419">
        <f t="shared" ref="G41:G42" si="36">E41-F41</f>
        <v>11.42163</v>
      </c>
      <c r="H41" s="99"/>
      <c r="I41" s="99"/>
      <c r="J41" s="99"/>
      <c r="K41" s="420">
        <f t="shared" ref="K41:K42" si="37">SUM(G41:J41)</f>
        <v>11.42163</v>
      </c>
      <c r="L41" s="99">
        <f>'7|Total Rev Current'!S257</f>
        <v>9.5432812349336853</v>
      </c>
      <c r="M41" s="418">
        <v>0</v>
      </c>
      <c r="N41" s="419">
        <f t="shared" si="14"/>
        <v>9.5432812349336853</v>
      </c>
      <c r="O41" s="99"/>
      <c r="P41" s="99"/>
      <c r="Q41" s="99"/>
      <c r="R41" s="420">
        <f t="shared" si="3"/>
        <v>9.5432812349336853</v>
      </c>
      <c r="S41" s="99">
        <f>'7|Total Rev Current'!S435</f>
        <v>11.121320219418868</v>
      </c>
      <c r="T41" s="418"/>
      <c r="U41" s="419">
        <f t="shared" ref="U41:U42" si="38">S41-T41</f>
        <v>11.121320219418868</v>
      </c>
      <c r="V41" s="99"/>
      <c r="W41" s="99"/>
      <c r="X41" s="99"/>
      <c r="Y41" s="420">
        <f t="shared" si="4"/>
        <v>11.121320219418868</v>
      </c>
    </row>
    <row r="42" spans="1:25" s="270" customFormat="1" ht="22.5" customHeight="1">
      <c r="C42" s="203" t="s">
        <v>707</v>
      </c>
      <c r="D42" s="95"/>
      <c r="E42" s="99">
        <f>'7|Total Rev Current'!J258</f>
        <v>36.800400000000003</v>
      </c>
      <c r="F42" s="418">
        <v>0</v>
      </c>
      <c r="G42" s="419">
        <f t="shared" si="36"/>
        <v>36.800400000000003</v>
      </c>
      <c r="H42" s="99"/>
      <c r="I42" s="99"/>
      <c r="J42" s="99"/>
      <c r="K42" s="420">
        <f t="shared" si="37"/>
        <v>36.800400000000003</v>
      </c>
      <c r="L42" s="99">
        <f>'7|Total Rev Current'!S258</f>
        <v>14.897764058653653</v>
      </c>
      <c r="M42" s="418">
        <v>0</v>
      </c>
      <c r="N42" s="419">
        <f t="shared" si="14"/>
        <v>14.897764058653653</v>
      </c>
      <c r="O42" s="99"/>
      <c r="P42" s="99"/>
      <c r="Q42" s="99"/>
      <c r="R42" s="420">
        <f t="shared" si="3"/>
        <v>14.897764058653653</v>
      </c>
      <c r="S42" s="99">
        <f>'7|Total Rev Current'!S436</f>
        <v>15.512635336139986</v>
      </c>
      <c r="T42" s="418"/>
      <c r="U42" s="419">
        <f t="shared" si="38"/>
        <v>15.512635336139986</v>
      </c>
      <c r="V42" s="99"/>
      <c r="W42" s="99"/>
      <c r="X42" s="99"/>
      <c r="Y42" s="420">
        <f t="shared" si="4"/>
        <v>15.512635336139986</v>
      </c>
    </row>
    <row r="43" spans="1:25" s="270" customFormat="1" ht="3.75" customHeight="1">
      <c r="A43" s="270" t="s">
        <v>988</v>
      </c>
      <c r="C43" s="206"/>
      <c r="D43" s="206"/>
      <c r="E43" s="206"/>
      <c r="F43" s="206"/>
      <c r="G43" s="419"/>
      <c r="H43" s="206"/>
      <c r="I43" s="206"/>
      <c r="J43" s="206"/>
      <c r="K43" s="206"/>
      <c r="L43" s="206"/>
      <c r="M43" s="206"/>
      <c r="N43" s="419"/>
      <c r="O43" s="206"/>
      <c r="P43" s="206"/>
      <c r="Q43" s="206"/>
      <c r="R43" s="206"/>
      <c r="S43" s="206"/>
      <c r="T43" s="206"/>
      <c r="U43" s="419"/>
      <c r="V43" s="206"/>
      <c r="W43" s="206"/>
      <c r="X43" s="206"/>
      <c r="Y43" s="420"/>
    </row>
    <row r="44" spans="1:25" s="270" customFormat="1" ht="19.5" customHeight="1">
      <c r="C44" s="1459" t="s">
        <v>603</v>
      </c>
      <c r="D44" s="103"/>
      <c r="E44" s="103">
        <f>E45+E46+E54+E62+E67</f>
        <v>810.01457999999991</v>
      </c>
      <c r="F44" s="103">
        <f t="shared" ref="F44:K44" si="39">F45+F46+F54+F62+F67</f>
        <v>0</v>
      </c>
      <c r="G44" s="103">
        <f t="shared" si="39"/>
        <v>810.01457999999991</v>
      </c>
      <c r="H44" s="103">
        <f t="shared" si="39"/>
        <v>0</v>
      </c>
      <c r="I44" s="103">
        <f t="shared" si="39"/>
        <v>0</v>
      </c>
      <c r="J44" s="103">
        <f t="shared" si="39"/>
        <v>0</v>
      </c>
      <c r="K44" s="103">
        <f t="shared" si="39"/>
        <v>810.01457999999991</v>
      </c>
      <c r="L44" s="103">
        <f>L45+L46+L54+L62+L67</f>
        <v>2076.4215976795672</v>
      </c>
      <c r="M44" s="103">
        <f t="shared" ref="M44:Y44" si="40">M45+M46+M54+M62+M67</f>
        <v>0</v>
      </c>
      <c r="N44" s="103">
        <f t="shared" si="40"/>
        <v>2076.4215976795672</v>
      </c>
      <c r="O44" s="103">
        <f t="shared" si="40"/>
        <v>0</v>
      </c>
      <c r="P44" s="103">
        <f t="shared" si="40"/>
        <v>0</v>
      </c>
      <c r="Q44" s="103">
        <f t="shared" si="40"/>
        <v>0</v>
      </c>
      <c r="R44" s="103">
        <f t="shared" si="40"/>
        <v>2076.4215976795672</v>
      </c>
      <c r="S44" s="103">
        <f t="shared" si="40"/>
        <v>2272.6092920093106</v>
      </c>
      <c r="T44" s="103">
        <f t="shared" si="40"/>
        <v>0</v>
      </c>
      <c r="U44" s="103">
        <f t="shared" si="40"/>
        <v>2272.6092920093106</v>
      </c>
      <c r="V44" s="103">
        <f t="shared" si="40"/>
        <v>0</v>
      </c>
      <c r="W44" s="103">
        <f t="shared" si="40"/>
        <v>0</v>
      </c>
      <c r="X44" s="103">
        <f t="shared" si="40"/>
        <v>0</v>
      </c>
      <c r="Y44" s="103">
        <f t="shared" si="40"/>
        <v>1678.4917486244783</v>
      </c>
    </row>
    <row r="45" spans="1:25" s="270" customFormat="1" ht="21">
      <c r="C45" s="1462" t="s">
        <v>770</v>
      </c>
      <c r="D45" s="95"/>
      <c r="E45" s="99">
        <f>'7|Total Rev Current'!J262</f>
        <v>4.1500000000000004</v>
      </c>
      <c r="F45" s="418">
        <v>0</v>
      </c>
      <c r="G45" s="419">
        <f t="shared" ref="G45" si="41">E45-F45</f>
        <v>4.1500000000000004</v>
      </c>
      <c r="H45" s="99"/>
      <c r="I45" s="99"/>
      <c r="J45" s="99"/>
      <c r="K45" s="420">
        <f t="shared" ref="K45" si="42">SUM(G45:J45)</f>
        <v>4.1500000000000004</v>
      </c>
      <c r="L45" s="99">
        <f>'7|Total Rev Current'!S262</f>
        <v>8.6988122619697865</v>
      </c>
      <c r="M45" s="418">
        <v>0</v>
      </c>
      <c r="N45" s="419">
        <f t="shared" si="14"/>
        <v>8.6988122619697865</v>
      </c>
      <c r="O45" s="99"/>
      <c r="P45" s="99"/>
      <c r="Q45" s="99"/>
      <c r="R45" s="420">
        <f t="shared" si="3"/>
        <v>8.6988122619697865</v>
      </c>
      <c r="S45" s="99">
        <f>'7|Total Rev Current'!S440</f>
        <v>9.1145715350682739</v>
      </c>
      <c r="T45" s="418"/>
      <c r="U45" s="419">
        <f>S45-T45</f>
        <v>9.1145715350682739</v>
      </c>
      <c r="V45" s="99"/>
      <c r="W45" s="99"/>
      <c r="X45" s="99"/>
      <c r="Y45" s="420">
        <f t="shared" si="4"/>
        <v>9.1145715350682739</v>
      </c>
    </row>
    <row r="46" spans="1:25" s="270" customFormat="1" ht="18" customHeight="1">
      <c r="C46" s="206" t="s">
        <v>776</v>
      </c>
      <c r="D46" s="206"/>
      <c r="E46" s="206">
        <f>SUM(E47:E53)</f>
        <v>117.94758000000002</v>
      </c>
      <c r="F46" s="206">
        <f t="shared" ref="F46:K46" si="43">SUM(F47:F53)</f>
        <v>0</v>
      </c>
      <c r="G46" s="206">
        <f t="shared" si="43"/>
        <v>117.94758000000002</v>
      </c>
      <c r="H46" s="206">
        <f t="shared" si="43"/>
        <v>0</v>
      </c>
      <c r="I46" s="206">
        <f t="shared" si="43"/>
        <v>0</v>
      </c>
      <c r="J46" s="206">
        <f t="shared" si="43"/>
        <v>0</v>
      </c>
      <c r="K46" s="206">
        <f t="shared" si="43"/>
        <v>117.94758000000002</v>
      </c>
      <c r="L46" s="206">
        <f>SUM(L47:L53)</f>
        <v>234.54856611425228</v>
      </c>
      <c r="M46" s="206">
        <f t="shared" ref="M46:Y46" si="44">SUM(M47:M53)</f>
        <v>0</v>
      </c>
      <c r="N46" s="206">
        <f t="shared" si="44"/>
        <v>234.54856611425228</v>
      </c>
      <c r="O46" s="206">
        <f t="shared" si="44"/>
        <v>0</v>
      </c>
      <c r="P46" s="206">
        <f t="shared" si="44"/>
        <v>0</v>
      </c>
      <c r="Q46" s="206">
        <f t="shared" si="44"/>
        <v>0</v>
      </c>
      <c r="R46" s="206">
        <f t="shared" si="44"/>
        <v>234.54856611425228</v>
      </c>
      <c r="S46" s="206">
        <f t="shared" si="44"/>
        <v>257.36841138167603</v>
      </c>
      <c r="T46" s="206">
        <f t="shared" si="44"/>
        <v>0</v>
      </c>
      <c r="U46" s="206">
        <f t="shared" si="44"/>
        <v>257.36841138167603</v>
      </c>
      <c r="V46" s="206">
        <f t="shared" si="44"/>
        <v>0</v>
      </c>
      <c r="W46" s="206">
        <f t="shared" si="44"/>
        <v>0</v>
      </c>
      <c r="X46" s="206">
        <f t="shared" si="44"/>
        <v>0</v>
      </c>
      <c r="Y46" s="206">
        <f t="shared" si="44"/>
        <v>257.36841138167603</v>
      </c>
    </row>
    <row r="47" spans="1:25" s="270" customFormat="1" ht="16.5" customHeight="1">
      <c r="C47" s="203" t="s">
        <v>696</v>
      </c>
      <c r="D47" s="95"/>
      <c r="E47" s="99">
        <f>'7|Total Rev Current'!J264</f>
        <v>106.89100000000002</v>
      </c>
      <c r="F47" s="418">
        <v>0</v>
      </c>
      <c r="G47" s="419">
        <f t="shared" ref="G47:G53" si="45">E47-F47</f>
        <v>106.89100000000002</v>
      </c>
      <c r="H47" s="99"/>
      <c r="I47" s="99"/>
      <c r="J47" s="99"/>
      <c r="K47" s="420">
        <f t="shared" ref="K47:K52" si="46">SUM(G47:J47)</f>
        <v>106.89100000000002</v>
      </c>
      <c r="L47" s="99">
        <f>'7|Total Rev Current'!S264</f>
        <v>192.77089964923186</v>
      </c>
      <c r="M47" s="418">
        <v>0</v>
      </c>
      <c r="N47" s="419">
        <f t="shared" si="14"/>
        <v>192.77089964923186</v>
      </c>
      <c r="O47" s="99"/>
      <c r="P47" s="99"/>
      <c r="Q47" s="99"/>
      <c r="R47" s="420">
        <f t="shared" si="3"/>
        <v>192.77089964923186</v>
      </c>
      <c r="S47" s="99">
        <f>'7|Total Rev Current'!S442</f>
        <v>209.2359342241657</v>
      </c>
      <c r="T47" s="418"/>
      <c r="U47" s="419">
        <f t="shared" ref="U47:U52" si="47">S47-T47</f>
        <v>209.2359342241657</v>
      </c>
      <c r="V47" s="99"/>
      <c r="W47" s="99"/>
      <c r="X47" s="99"/>
      <c r="Y47" s="420">
        <f t="shared" si="4"/>
        <v>209.2359342241657</v>
      </c>
    </row>
    <row r="48" spans="1:25" s="270" customFormat="1" ht="16.5" customHeight="1">
      <c r="C48" s="203" t="s">
        <v>697</v>
      </c>
      <c r="D48" s="95"/>
      <c r="E48" s="99">
        <f>'7|Total Rev Current'!J265</f>
        <v>0</v>
      </c>
      <c r="F48" s="418">
        <v>0</v>
      </c>
      <c r="G48" s="419">
        <f t="shared" si="45"/>
        <v>0</v>
      </c>
      <c r="H48" s="99"/>
      <c r="I48" s="99"/>
      <c r="J48" s="99"/>
      <c r="K48" s="420">
        <f t="shared" si="46"/>
        <v>0</v>
      </c>
      <c r="L48" s="99">
        <f>'7|Total Rev Current'!S265</f>
        <v>39.28357118095623</v>
      </c>
      <c r="M48" s="418">
        <v>0</v>
      </c>
      <c r="N48" s="419">
        <f t="shared" si="14"/>
        <v>39.28357118095623</v>
      </c>
      <c r="O48" s="99"/>
      <c r="P48" s="99"/>
      <c r="Q48" s="99"/>
      <c r="R48" s="420">
        <f t="shared" si="3"/>
        <v>39.28357118095623</v>
      </c>
      <c r="S48" s="99">
        <f>'7|Total Rev Current'!S443</f>
        <v>45.385276181370159</v>
      </c>
      <c r="T48" s="418"/>
      <c r="U48" s="419">
        <f t="shared" si="47"/>
        <v>45.385276181370159</v>
      </c>
      <c r="V48" s="99"/>
      <c r="W48" s="99"/>
      <c r="X48" s="99"/>
      <c r="Y48" s="420">
        <f t="shared" si="4"/>
        <v>45.385276181370159</v>
      </c>
    </row>
    <row r="49" spans="2:25" s="270" customFormat="1" ht="16.5" customHeight="1">
      <c r="C49" s="203" t="s">
        <v>682</v>
      </c>
      <c r="D49" s="95"/>
      <c r="E49" s="99">
        <f>'7|Total Rev Current'!J266</f>
        <v>0</v>
      </c>
      <c r="F49" s="418">
        <v>0</v>
      </c>
      <c r="G49" s="419">
        <f t="shared" si="45"/>
        <v>0</v>
      </c>
      <c r="H49" s="99"/>
      <c r="I49" s="99"/>
      <c r="J49" s="99"/>
      <c r="K49" s="420">
        <f t="shared" si="46"/>
        <v>0</v>
      </c>
      <c r="L49" s="99">
        <f>'7|Total Rev Current'!S266</f>
        <v>0</v>
      </c>
      <c r="M49" s="418">
        <v>0</v>
      </c>
      <c r="N49" s="419">
        <f t="shared" si="14"/>
        <v>0</v>
      </c>
      <c r="O49" s="99"/>
      <c r="P49" s="99"/>
      <c r="Q49" s="99"/>
      <c r="R49" s="420">
        <f t="shared" si="3"/>
        <v>0</v>
      </c>
      <c r="S49" s="99">
        <f>'7|Total Rev Current'!S444</f>
        <v>0</v>
      </c>
      <c r="T49" s="418"/>
      <c r="U49" s="419">
        <f t="shared" si="47"/>
        <v>0</v>
      </c>
      <c r="V49" s="99"/>
      <c r="W49" s="99"/>
      <c r="X49" s="99"/>
      <c r="Y49" s="420">
        <f t="shared" si="4"/>
        <v>0</v>
      </c>
    </row>
    <row r="50" spans="2:25" s="270" customFormat="1" ht="16.5" customHeight="1">
      <c r="C50" s="203" t="s">
        <v>683</v>
      </c>
      <c r="D50" s="95"/>
      <c r="E50" s="99">
        <f>'7|Total Rev Current'!J267</f>
        <v>11.05658</v>
      </c>
      <c r="F50" s="418">
        <v>0</v>
      </c>
      <c r="G50" s="419">
        <f t="shared" si="45"/>
        <v>11.05658</v>
      </c>
      <c r="H50" s="99"/>
      <c r="I50" s="99"/>
      <c r="J50" s="99"/>
      <c r="K50" s="420">
        <f t="shared" si="46"/>
        <v>11.05658</v>
      </c>
      <c r="L50" s="99">
        <f>'7|Total Rev Current'!S267</f>
        <v>2.494095284064159</v>
      </c>
      <c r="M50" s="418">
        <v>0</v>
      </c>
      <c r="N50" s="419">
        <f t="shared" si="14"/>
        <v>2.494095284064159</v>
      </c>
      <c r="O50" s="99"/>
      <c r="P50" s="99"/>
      <c r="Q50" s="99"/>
      <c r="R50" s="420">
        <f t="shared" si="3"/>
        <v>2.494095284064159</v>
      </c>
      <c r="S50" s="99">
        <f>'7|Total Rev Current'!S445</f>
        <v>2.7472009761401663</v>
      </c>
      <c r="T50" s="418"/>
      <c r="U50" s="419">
        <f t="shared" si="47"/>
        <v>2.7472009761401663</v>
      </c>
      <c r="V50" s="99"/>
      <c r="W50" s="99"/>
      <c r="X50" s="99"/>
      <c r="Y50" s="420">
        <f t="shared" si="4"/>
        <v>2.7472009761401663</v>
      </c>
    </row>
    <row r="51" spans="2:25" s="270" customFormat="1" ht="16.5" customHeight="1">
      <c r="B51" s="270">
        <v>10072</v>
      </c>
      <c r="C51" s="203" t="s">
        <v>684</v>
      </c>
      <c r="D51" s="95"/>
      <c r="E51" s="99">
        <f>'7|Total Rev Current'!J268</f>
        <v>0</v>
      </c>
      <c r="F51" s="418">
        <v>0</v>
      </c>
      <c r="G51" s="419">
        <f t="shared" si="45"/>
        <v>0</v>
      </c>
      <c r="H51" s="422"/>
      <c r="I51" s="422"/>
      <c r="J51" s="422"/>
      <c r="K51" s="420">
        <f t="shared" si="46"/>
        <v>0</v>
      </c>
      <c r="L51" s="99">
        <f>'7|Total Rev Current'!S268</f>
        <v>0</v>
      </c>
      <c r="M51" s="418">
        <v>0</v>
      </c>
      <c r="N51" s="419">
        <f t="shared" si="14"/>
        <v>0</v>
      </c>
      <c r="O51" s="422"/>
      <c r="P51" s="422"/>
      <c r="Q51" s="422"/>
      <c r="R51" s="420">
        <f t="shared" si="3"/>
        <v>0</v>
      </c>
      <c r="S51" s="99">
        <f>'7|Total Rev Current'!S446</f>
        <v>0</v>
      </c>
      <c r="T51" s="418"/>
      <c r="U51" s="419">
        <f t="shared" si="47"/>
        <v>0</v>
      </c>
      <c r="V51" s="422"/>
      <c r="W51" s="422"/>
      <c r="X51" s="422"/>
      <c r="Y51" s="420">
        <f t="shared" si="4"/>
        <v>0</v>
      </c>
    </row>
    <row r="52" spans="2:25" s="270" customFormat="1" ht="16.5" customHeight="1">
      <c r="B52" s="270">
        <v>10042</v>
      </c>
      <c r="C52" s="203" t="s">
        <v>685</v>
      </c>
      <c r="D52" s="95"/>
      <c r="E52" s="99">
        <f>'7|Total Rev Current'!J269</f>
        <v>0</v>
      </c>
      <c r="F52" s="418">
        <v>0</v>
      </c>
      <c r="G52" s="419">
        <f t="shared" si="45"/>
        <v>0</v>
      </c>
      <c r="H52" s="99"/>
      <c r="I52" s="99"/>
      <c r="J52" s="99"/>
      <c r="K52" s="420">
        <f t="shared" si="46"/>
        <v>0</v>
      </c>
      <c r="L52" s="99">
        <f>'7|Total Rev Current'!S269</f>
        <v>0</v>
      </c>
      <c r="M52" s="418">
        <v>0</v>
      </c>
      <c r="N52" s="419">
        <f t="shared" si="14"/>
        <v>0</v>
      </c>
      <c r="O52" s="99"/>
      <c r="P52" s="99"/>
      <c r="Q52" s="99"/>
      <c r="R52" s="420">
        <f t="shared" si="3"/>
        <v>0</v>
      </c>
      <c r="S52" s="99">
        <f>'7|Total Rev Current'!S447</f>
        <v>0</v>
      </c>
      <c r="T52" s="418"/>
      <c r="U52" s="419">
        <f t="shared" si="47"/>
        <v>0</v>
      </c>
      <c r="V52" s="99"/>
      <c r="W52" s="99"/>
      <c r="X52" s="99"/>
      <c r="Y52" s="420">
        <f t="shared" si="4"/>
        <v>0</v>
      </c>
    </row>
    <row r="53" spans="2:25" s="270" customFormat="1" ht="2.25" customHeight="1">
      <c r="C53" s="203"/>
      <c r="D53" s="95"/>
      <c r="E53" s="99"/>
      <c r="F53" s="418"/>
      <c r="G53" s="419">
        <f t="shared" si="45"/>
        <v>0</v>
      </c>
      <c r="H53" s="99"/>
      <c r="I53" s="99"/>
      <c r="J53" s="99"/>
      <c r="K53" s="420"/>
      <c r="L53" s="99"/>
      <c r="M53" s="418"/>
      <c r="N53" s="419">
        <f t="shared" si="14"/>
        <v>0</v>
      </c>
      <c r="O53" s="99"/>
      <c r="P53" s="99"/>
      <c r="Q53" s="99"/>
      <c r="R53" s="420"/>
      <c r="S53" s="99"/>
      <c r="T53" s="418"/>
      <c r="U53" s="419"/>
      <c r="V53" s="99"/>
      <c r="W53" s="99"/>
      <c r="X53" s="99"/>
      <c r="Y53" s="420"/>
    </row>
    <row r="54" spans="2:25" s="270" customFormat="1" ht="18" customHeight="1">
      <c r="B54" s="270">
        <v>10110</v>
      </c>
      <c r="C54" s="206" t="s">
        <v>771</v>
      </c>
      <c r="D54" s="206"/>
      <c r="E54" s="206">
        <f>SUM(E56:E61)</f>
        <v>594.94199999999989</v>
      </c>
      <c r="F54" s="206">
        <f t="shared" ref="F54:K54" si="48">SUM(F56:F61)</f>
        <v>0</v>
      </c>
      <c r="G54" s="206">
        <f t="shared" si="48"/>
        <v>594.94199999999989</v>
      </c>
      <c r="H54" s="206">
        <f t="shared" si="48"/>
        <v>0</v>
      </c>
      <c r="I54" s="206">
        <f t="shared" si="48"/>
        <v>0</v>
      </c>
      <c r="J54" s="206">
        <f t="shared" si="48"/>
        <v>0</v>
      </c>
      <c r="K54" s="206">
        <f t="shared" si="48"/>
        <v>594.94199999999989</v>
      </c>
      <c r="L54" s="206">
        <f>SUM(L56:L61)</f>
        <v>1794.1499624137064</v>
      </c>
      <c r="M54" s="206">
        <f t="shared" ref="M54:Y54" si="49">SUM(M56:M61)</f>
        <v>0</v>
      </c>
      <c r="N54" s="206">
        <f t="shared" si="49"/>
        <v>1794.1499624137064</v>
      </c>
      <c r="O54" s="206">
        <f t="shared" si="49"/>
        <v>0</v>
      </c>
      <c r="P54" s="206">
        <f t="shared" si="49"/>
        <v>0</v>
      </c>
      <c r="Q54" s="206">
        <f t="shared" si="49"/>
        <v>0</v>
      </c>
      <c r="R54" s="206">
        <f t="shared" si="49"/>
        <v>1794.1499624137064</v>
      </c>
      <c r="S54" s="206">
        <f t="shared" si="49"/>
        <v>1964.172548337081</v>
      </c>
      <c r="T54" s="206">
        <f t="shared" si="49"/>
        <v>0</v>
      </c>
      <c r="U54" s="206">
        <f t="shared" si="49"/>
        <v>1964.172548337081</v>
      </c>
      <c r="V54" s="206">
        <f t="shared" si="49"/>
        <v>0</v>
      </c>
      <c r="W54" s="206">
        <f t="shared" si="49"/>
        <v>0</v>
      </c>
      <c r="X54" s="206">
        <f t="shared" si="49"/>
        <v>0</v>
      </c>
      <c r="Y54" s="206">
        <f t="shared" si="49"/>
        <v>1370.0550049522485</v>
      </c>
    </row>
    <row r="55" spans="2:25" s="270" customFormat="1" ht="14.25" customHeight="1">
      <c r="B55" s="270">
        <v>10117</v>
      </c>
      <c r="C55" s="203" t="s">
        <v>699</v>
      </c>
      <c r="D55" s="95"/>
      <c r="E55" s="99">
        <f>SUM(E56:E58)</f>
        <v>563.02699999999993</v>
      </c>
      <c r="F55" s="418">
        <v>0</v>
      </c>
      <c r="G55" s="419">
        <f t="shared" ref="G55:G61" si="50">E55-F55</f>
        <v>563.02699999999993</v>
      </c>
      <c r="H55" s="99"/>
      <c r="I55" s="99"/>
      <c r="J55" s="99"/>
      <c r="K55" s="420">
        <f t="shared" ref="K55:K61" si="51">SUM(G55:J55)</f>
        <v>563.02699999999993</v>
      </c>
      <c r="L55" s="99">
        <f>SUM(L56:L58)</f>
        <v>1657.9815785894029</v>
      </c>
      <c r="M55" s="418">
        <v>0</v>
      </c>
      <c r="N55" s="419">
        <f t="shared" si="14"/>
        <v>1657.9815785894029</v>
      </c>
      <c r="O55" s="99"/>
      <c r="P55" s="99"/>
      <c r="Q55" s="99"/>
      <c r="R55" s="420">
        <f t="shared" si="3"/>
        <v>1657.9815785894029</v>
      </c>
      <c r="S55" s="99">
        <f>SUM(S56:S58)</f>
        <v>1817.0610913485543</v>
      </c>
      <c r="T55" s="418"/>
      <c r="U55" s="419">
        <f t="shared" ref="U55:U61" si="52">S55-T55</f>
        <v>1817.0610913485543</v>
      </c>
      <c r="V55" s="99"/>
      <c r="W55" s="99"/>
      <c r="X55" s="99"/>
      <c r="Y55" s="420">
        <f t="shared" si="4"/>
        <v>1817.0610913485543</v>
      </c>
    </row>
    <row r="56" spans="2:25" s="270" customFormat="1" ht="14.25" customHeight="1">
      <c r="C56" s="203" t="s">
        <v>700</v>
      </c>
      <c r="D56" s="95"/>
      <c r="E56" s="99">
        <f>'7|Total Rev Current'!J273+'7|Total Rev Current'!J277</f>
        <v>0</v>
      </c>
      <c r="F56" s="418">
        <v>0</v>
      </c>
      <c r="G56" s="419">
        <f t="shared" si="50"/>
        <v>0</v>
      </c>
      <c r="H56" s="99"/>
      <c r="I56" s="99"/>
      <c r="J56" s="99"/>
      <c r="K56" s="420">
        <f t="shared" si="51"/>
        <v>0</v>
      </c>
      <c r="L56" s="99">
        <f>'7|Total Rev Current'!S273+'7|Total Rev Current'!S277</f>
        <v>564.9373627714134</v>
      </c>
      <c r="M56" s="418">
        <v>0</v>
      </c>
      <c r="N56" s="419">
        <f t="shared" si="14"/>
        <v>564.9373627714134</v>
      </c>
      <c r="O56" s="99"/>
      <c r="P56" s="99"/>
      <c r="Q56" s="99"/>
      <c r="R56" s="420">
        <f t="shared" si="3"/>
        <v>564.9373627714134</v>
      </c>
      <c r="S56" s="99">
        <f>'7|Total Rev Current'!S451+'7|Total Rev Current'!S455</f>
        <v>625.15036996774302</v>
      </c>
      <c r="T56" s="418"/>
      <c r="U56" s="419">
        <f t="shared" si="52"/>
        <v>625.15036996774302</v>
      </c>
      <c r="V56" s="99"/>
      <c r="W56" s="99"/>
      <c r="X56" s="99"/>
      <c r="Y56" s="420">
        <f t="shared" si="4"/>
        <v>625.15036996774302</v>
      </c>
    </row>
    <row r="57" spans="2:25" s="270" customFormat="1" ht="14.25" customHeight="1">
      <c r="B57" s="270">
        <v>10146</v>
      </c>
      <c r="C57" s="203" t="s">
        <v>701</v>
      </c>
      <c r="D57" s="95"/>
      <c r="E57" s="99">
        <f>'7|Total Rev Current'!J274+'7|Total Rev Current'!J278</f>
        <v>0</v>
      </c>
      <c r="F57" s="418">
        <v>0</v>
      </c>
      <c r="G57" s="419">
        <f t="shared" si="50"/>
        <v>0</v>
      </c>
      <c r="H57" s="99"/>
      <c r="I57" s="99"/>
      <c r="J57" s="99"/>
      <c r="K57" s="420">
        <f t="shared" si="51"/>
        <v>0</v>
      </c>
      <c r="L57" s="99">
        <f>'7|Total Rev Current'!S274+'7|Total Rev Current'!S278</f>
        <v>539.89244002712417</v>
      </c>
      <c r="M57" s="418">
        <v>0</v>
      </c>
      <c r="N57" s="419">
        <f t="shared" si="14"/>
        <v>539.89244002712417</v>
      </c>
      <c r="O57" s="99"/>
      <c r="P57" s="99"/>
      <c r="Q57" s="99"/>
      <c r="R57" s="420">
        <f t="shared" si="3"/>
        <v>539.89244002712417</v>
      </c>
      <c r="S57" s="99">
        <f>'7|Total Rev Current'!S452+'7|Total Rev Current'!S456</f>
        <v>597.79317799597902</v>
      </c>
      <c r="T57" s="418"/>
      <c r="U57" s="419">
        <f t="shared" si="52"/>
        <v>597.79317799597902</v>
      </c>
      <c r="V57" s="99"/>
      <c r="W57" s="99"/>
      <c r="X57" s="99"/>
      <c r="Y57" s="420">
        <f t="shared" si="4"/>
        <v>597.79317799597902</v>
      </c>
    </row>
    <row r="58" spans="2:25" s="270" customFormat="1" ht="14.25" customHeight="1">
      <c r="C58" s="203" t="s">
        <v>933</v>
      </c>
      <c r="D58" s="95"/>
      <c r="E58" s="99">
        <f>'7|Total Rev Current'!J275+'7|Total Rev Current'!J279</f>
        <v>563.02699999999993</v>
      </c>
      <c r="F58" s="418">
        <v>0</v>
      </c>
      <c r="G58" s="419">
        <f t="shared" si="50"/>
        <v>563.02699999999993</v>
      </c>
      <c r="H58" s="99"/>
      <c r="I58" s="99"/>
      <c r="J58" s="99"/>
      <c r="K58" s="420">
        <f t="shared" si="51"/>
        <v>563.02699999999993</v>
      </c>
      <c r="L58" s="99">
        <f>'7|Total Rev Current'!S275+'7|Total Rev Current'!S279</f>
        <v>553.15177579086537</v>
      </c>
      <c r="M58" s="418">
        <v>0</v>
      </c>
      <c r="N58" s="419">
        <f t="shared" ref="N58" si="53">L58-M58</f>
        <v>553.15177579086537</v>
      </c>
      <c r="O58" s="99"/>
      <c r="P58" s="99"/>
      <c r="Q58" s="99"/>
      <c r="R58" s="420">
        <f t="shared" si="3"/>
        <v>553.15177579086537</v>
      </c>
      <c r="S58" s="99">
        <f>'7|Total Rev Current'!S453+'7|Total Rev Current'!S457</f>
        <v>594.11754338483229</v>
      </c>
      <c r="T58" s="418"/>
      <c r="U58" s="419">
        <f t="shared" si="52"/>
        <v>594.11754338483229</v>
      </c>
      <c r="V58" s="99"/>
      <c r="W58" s="99"/>
      <c r="X58" s="99"/>
      <c r="Y58" s="420"/>
    </row>
    <row r="59" spans="2:25" s="270" customFormat="1" ht="14.25" customHeight="1">
      <c r="B59" s="270">
        <v>10119</v>
      </c>
      <c r="C59" s="203" t="s">
        <v>592</v>
      </c>
      <c r="D59" s="95"/>
      <c r="E59" s="99">
        <f>'7|Total Rev Current'!J280</f>
        <v>0</v>
      </c>
      <c r="F59" s="418">
        <v>0</v>
      </c>
      <c r="G59" s="419">
        <f t="shared" si="50"/>
        <v>0</v>
      </c>
      <c r="H59" s="99"/>
      <c r="I59" s="99"/>
      <c r="J59" s="99"/>
      <c r="K59" s="420">
        <f t="shared" si="51"/>
        <v>0</v>
      </c>
      <c r="L59" s="99">
        <f>'7|Total Rev Current'!S280</f>
        <v>0.81147751910268706</v>
      </c>
      <c r="M59" s="418">
        <v>0</v>
      </c>
      <c r="N59" s="419">
        <f t="shared" si="14"/>
        <v>0.81147751910268706</v>
      </c>
      <c r="O59" s="99"/>
      <c r="P59" s="99"/>
      <c r="Q59" s="99"/>
      <c r="R59" s="420">
        <f t="shared" si="3"/>
        <v>0.81147751910268706</v>
      </c>
      <c r="S59" s="99">
        <f>'7|Total Rev Current'!S458</f>
        <v>0.79235894701493881</v>
      </c>
      <c r="T59" s="418"/>
      <c r="U59" s="419">
        <f t="shared" si="52"/>
        <v>0.79235894701493881</v>
      </c>
      <c r="V59" s="99"/>
      <c r="W59" s="99"/>
      <c r="X59" s="99"/>
      <c r="Y59" s="420">
        <f t="shared" si="4"/>
        <v>0.79235894701493881</v>
      </c>
    </row>
    <row r="60" spans="2:25" s="270" customFormat="1" ht="14.25" customHeight="1">
      <c r="C60" s="203" t="s">
        <v>702</v>
      </c>
      <c r="D60" s="95"/>
      <c r="E60" s="99">
        <f>'7|Total Rev Current'!J281</f>
        <v>4.55</v>
      </c>
      <c r="F60" s="418">
        <v>0</v>
      </c>
      <c r="G60" s="419">
        <f t="shared" si="50"/>
        <v>4.55</v>
      </c>
      <c r="H60" s="99"/>
      <c r="I60" s="99"/>
      <c r="J60" s="99"/>
      <c r="K60" s="420">
        <f t="shared" si="51"/>
        <v>4.55</v>
      </c>
      <c r="L60" s="99">
        <f>'7|Total Rev Current'!S281</f>
        <v>9.4664198529988983</v>
      </c>
      <c r="M60" s="418">
        <v>0</v>
      </c>
      <c r="N60" s="419">
        <f t="shared" si="14"/>
        <v>9.4664198529988983</v>
      </c>
      <c r="O60" s="99"/>
      <c r="P60" s="99"/>
      <c r="Q60" s="99"/>
      <c r="R60" s="420">
        <f t="shared" si="3"/>
        <v>9.4664198529988983</v>
      </c>
      <c r="S60" s="99">
        <f>'7|Total Rev Current'!S459</f>
        <v>9.8306205025285358</v>
      </c>
      <c r="T60" s="418"/>
      <c r="U60" s="419">
        <f t="shared" si="52"/>
        <v>9.8306205025285358</v>
      </c>
      <c r="V60" s="99"/>
      <c r="W60" s="99"/>
      <c r="X60" s="99"/>
      <c r="Y60" s="420">
        <f t="shared" si="4"/>
        <v>9.8306205025285358</v>
      </c>
    </row>
    <row r="61" spans="2:25" s="270" customFormat="1" ht="14.25" customHeight="1">
      <c r="C61" s="203" t="s">
        <v>703</v>
      </c>
      <c r="D61" s="95"/>
      <c r="E61" s="99">
        <f>'7|Total Rev Current'!J282</f>
        <v>27.364999999999998</v>
      </c>
      <c r="F61" s="418">
        <v>0</v>
      </c>
      <c r="G61" s="419">
        <f t="shared" si="50"/>
        <v>27.364999999999998</v>
      </c>
      <c r="H61" s="99"/>
      <c r="I61" s="99"/>
      <c r="J61" s="99"/>
      <c r="K61" s="420">
        <f t="shared" si="51"/>
        <v>27.364999999999998</v>
      </c>
      <c r="L61" s="99">
        <f>'7|Total Rev Current'!S282</f>
        <v>125.8904864522018</v>
      </c>
      <c r="M61" s="418">
        <v>0</v>
      </c>
      <c r="N61" s="419">
        <f t="shared" si="14"/>
        <v>125.8904864522018</v>
      </c>
      <c r="O61" s="99"/>
      <c r="P61" s="99"/>
      <c r="Q61" s="99"/>
      <c r="R61" s="420">
        <f t="shared" si="3"/>
        <v>125.8904864522018</v>
      </c>
      <c r="S61" s="99">
        <f>'7|Total Rev Current'!S460</f>
        <v>136.48847753898315</v>
      </c>
      <c r="T61" s="418"/>
      <c r="U61" s="419">
        <f t="shared" si="52"/>
        <v>136.48847753898315</v>
      </c>
      <c r="V61" s="99"/>
      <c r="W61" s="99"/>
      <c r="X61" s="99"/>
      <c r="Y61" s="420">
        <f t="shared" si="4"/>
        <v>136.48847753898315</v>
      </c>
    </row>
    <row r="62" spans="2:25" s="270" customFormat="1" ht="18" customHeight="1">
      <c r="C62" s="206" t="s">
        <v>774</v>
      </c>
      <c r="D62" s="206"/>
      <c r="E62" s="206">
        <f>SUM(E63:E66)</f>
        <v>5.125</v>
      </c>
      <c r="F62" s="206">
        <f t="shared" ref="F62:K62" si="54">SUM(F63:F66)</f>
        <v>0</v>
      </c>
      <c r="G62" s="206">
        <f t="shared" si="54"/>
        <v>5.125</v>
      </c>
      <c r="H62" s="206">
        <f t="shared" si="54"/>
        <v>0</v>
      </c>
      <c r="I62" s="206">
        <f t="shared" si="54"/>
        <v>0</v>
      </c>
      <c r="J62" s="206">
        <f t="shared" si="54"/>
        <v>0</v>
      </c>
      <c r="K62" s="206">
        <f t="shared" si="54"/>
        <v>5.125</v>
      </c>
      <c r="L62" s="206">
        <f>SUM(L63:L66)</f>
        <v>3.7821996225000003</v>
      </c>
      <c r="M62" s="206">
        <f t="shared" ref="M62:Y62" si="55">SUM(M63:M66)</f>
        <v>0</v>
      </c>
      <c r="N62" s="206">
        <f t="shared" si="55"/>
        <v>3.7821996225000003</v>
      </c>
      <c r="O62" s="206">
        <f t="shared" si="55"/>
        <v>0</v>
      </c>
      <c r="P62" s="206">
        <f t="shared" si="55"/>
        <v>0</v>
      </c>
      <c r="Q62" s="206">
        <f t="shared" si="55"/>
        <v>0</v>
      </c>
      <c r="R62" s="206">
        <f t="shared" si="55"/>
        <v>3.7821996225000003</v>
      </c>
      <c r="S62" s="206">
        <f t="shared" si="55"/>
        <v>5.2715033075000006</v>
      </c>
      <c r="T62" s="206">
        <f t="shared" si="55"/>
        <v>0</v>
      </c>
      <c r="U62" s="206">
        <f t="shared" si="55"/>
        <v>5.2715033075000006</v>
      </c>
      <c r="V62" s="206">
        <f t="shared" si="55"/>
        <v>0</v>
      </c>
      <c r="W62" s="206">
        <f t="shared" si="55"/>
        <v>0</v>
      </c>
      <c r="X62" s="206">
        <f t="shared" si="55"/>
        <v>0</v>
      </c>
      <c r="Y62" s="206">
        <f t="shared" si="55"/>
        <v>5.2715033075000006</v>
      </c>
    </row>
    <row r="63" spans="2:25" s="270" customFormat="1" ht="31.5" customHeight="1">
      <c r="B63" s="270">
        <v>10149</v>
      </c>
      <c r="C63" s="203" t="s">
        <v>708</v>
      </c>
      <c r="D63" s="95"/>
      <c r="E63" s="99">
        <f>'7|Total Rev Current'!J284</f>
        <v>5.125</v>
      </c>
      <c r="F63" s="418">
        <v>0</v>
      </c>
      <c r="G63" s="419">
        <f t="shared" ref="G63:G66" si="56">E63-F63</f>
        <v>5.125</v>
      </c>
      <c r="H63" s="99"/>
      <c r="I63" s="99"/>
      <c r="J63" s="99"/>
      <c r="K63" s="420">
        <f t="shared" ref="K63:K66" si="57">SUM(G63:J63)</f>
        <v>5.125</v>
      </c>
      <c r="L63" s="99">
        <f>'7|Total Rev Current'!S284</f>
        <v>3.7821996225000003</v>
      </c>
      <c r="M63" s="418">
        <v>0</v>
      </c>
      <c r="N63" s="419">
        <f t="shared" si="14"/>
        <v>3.7821996225000003</v>
      </c>
      <c r="O63" s="99"/>
      <c r="P63" s="99"/>
      <c r="Q63" s="99"/>
      <c r="R63" s="420">
        <f t="shared" si="3"/>
        <v>3.7821996225000003</v>
      </c>
      <c r="S63" s="99">
        <f>'7|Total Rev Current'!S462</f>
        <v>5.2715033075000006</v>
      </c>
      <c r="T63" s="418"/>
      <c r="U63" s="419">
        <f>S63-T63</f>
        <v>5.2715033075000006</v>
      </c>
      <c r="V63" s="99"/>
      <c r="W63" s="99"/>
      <c r="X63" s="99"/>
      <c r="Y63" s="420">
        <f t="shared" si="4"/>
        <v>5.2715033075000006</v>
      </c>
    </row>
    <row r="64" spans="2:25" s="270" customFormat="1" ht="14.25" customHeight="1">
      <c r="C64" s="203" t="s">
        <v>687</v>
      </c>
      <c r="D64" s="95"/>
      <c r="E64" s="99">
        <f>'7|Total Rev Current'!J285</f>
        <v>0</v>
      </c>
      <c r="F64" s="418">
        <v>0</v>
      </c>
      <c r="G64" s="419">
        <f t="shared" si="56"/>
        <v>0</v>
      </c>
      <c r="H64" s="99"/>
      <c r="I64" s="99"/>
      <c r="J64" s="99"/>
      <c r="K64" s="420">
        <f t="shared" si="57"/>
        <v>0</v>
      </c>
      <c r="L64" s="99">
        <f>'7|Total Rev Current'!S285</f>
        <v>0</v>
      </c>
      <c r="M64" s="418">
        <v>0</v>
      </c>
      <c r="N64" s="419">
        <f t="shared" si="14"/>
        <v>0</v>
      </c>
      <c r="O64" s="99"/>
      <c r="P64" s="99"/>
      <c r="Q64" s="99"/>
      <c r="R64" s="420">
        <f t="shared" si="3"/>
        <v>0</v>
      </c>
      <c r="S64" s="99">
        <f>'7|Total Rev Current'!S463</f>
        <v>0</v>
      </c>
      <c r="T64" s="418"/>
      <c r="U64" s="419">
        <f>S64-T64</f>
        <v>0</v>
      </c>
      <c r="V64" s="99"/>
      <c r="W64" s="99"/>
      <c r="X64" s="99"/>
      <c r="Y64" s="420">
        <f t="shared" si="4"/>
        <v>0</v>
      </c>
    </row>
    <row r="65" spans="2:25" s="270" customFormat="1" ht="14.25" customHeight="1">
      <c r="C65" s="203" t="s">
        <v>688</v>
      </c>
      <c r="D65" s="95"/>
      <c r="E65" s="99">
        <f>'7|Total Rev Current'!J286</f>
        <v>0</v>
      </c>
      <c r="F65" s="418">
        <v>0</v>
      </c>
      <c r="G65" s="419">
        <f t="shared" si="56"/>
        <v>0</v>
      </c>
      <c r="H65" s="99"/>
      <c r="I65" s="99"/>
      <c r="J65" s="99"/>
      <c r="K65" s="420">
        <f t="shared" si="57"/>
        <v>0</v>
      </c>
      <c r="L65" s="99">
        <f>'7|Total Rev Current'!S286</f>
        <v>0</v>
      </c>
      <c r="M65" s="418">
        <v>0</v>
      </c>
      <c r="N65" s="419">
        <f t="shared" si="14"/>
        <v>0</v>
      </c>
      <c r="O65" s="99"/>
      <c r="P65" s="99"/>
      <c r="Q65" s="99"/>
      <c r="R65" s="420">
        <f t="shared" si="3"/>
        <v>0</v>
      </c>
      <c r="S65" s="99">
        <f>'7|Total Rev Current'!S464</f>
        <v>0</v>
      </c>
      <c r="T65" s="418"/>
      <c r="U65" s="419">
        <f>S65-T65</f>
        <v>0</v>
      </c>
      <c r="V65" s="99"/>
      <c r="W65" s="99"/>
      <c r="X65" s="99"/>
      <c r="Y65" s="420">
        <f t="shared" si="4"/>
        <v>0</v>
      </c>
    </row>
    <row r="66" spans="2:25" s="270" customFormat="1" ht="14.25" customHeight="1">
      <c r="B66" s="270">
        <v>10152</v>
      </c>
      <c r="C66" s="203" t="s">
        <v>704</v>
      </c>
      <c r="D66" s="95"/>
      <c r="E66" s="99">
        <f>'7|Total Rev Current'!J287</f>
        <v>0</v>
      </c>
      <c r="F66" s="418">
        <v>0</v>
      </c>
      <c r="G66" s="419">
        <f t="shared" si="56"/>
        <v>0</v>
      </c>
      <c r="H66" s="99"/>
      <c r="I66" s="99"/>
      <c r="J66" s="99"/>
      <c r="K66" s="420">
        <f t="shared" si="57"/>
        <v>0</v>
      </c>
      <c r="L66" s="99">
        <f>'7|Total Rev Current'!S287</f>
        <v>0</v>
      </c>
      <c r="M66" s="418">
        <v>0</v>
      </c>
      <c r="N66" s="419">
        <f t="shared" si="14"/>
        <v>0</v>
      </c>
      <c r="O66" s="99"/>
      <c r="P66" s="99"/>
      <c r="Q66" s="99"/>
      <c r="R66" s="420">
        <f t="shared" si="3"/>
        <v>0</v>
      </c>
      <c r="S66" s="99">
        <f>'7|Total Rev Current'!S465</f>
        <v>0</v>
      </c>
      <c r="T66" s="418"/>
      <c r="U66" s="419">
        <f>S66-T66</f>
        <v>0</v>
      </c>
      <c r="V66" s="99"/>
      <c r="W66" s="99"/>
      <c r="X66" s="99"/>
      <c r="Y66" s="420">
        <f t="shared" si="4"/>
        <v>0</v>
      </c>
    </row>
    <row r="67" spans="2:25" s="270" customFormat="1" ht="27" customHeight="1">
      <c r="C67" s="206" t="s">
        <v>775</v>
      </c>
      <c r="D67" s="206"/>
      <c r="E67" s="206">
        <f t="shared" ref="E67:K67" si="58">SUM(E68:E69)</f>
        <v>87.85</v>
      </c>
      <c r="F67" s="206">
        <f t="shared" si="58"/>
        <v>0</v>
      </c>
      <c r="G67" s="206">
        <f t="shared" si="58"/>
        <v>87.85</v>
      </c>
      <c r="H67" s="206">
        <f t="shared" si="58"/>
        <v>0</v>
      </c>
      <c r="I67" s="206">
        <f t="shared" si="58"/>
        <v>0</v>
      </c>
      <c r="J67" s="206">
        <f t="shared" si="58"/>
        <v>0</v>
      </c>
      <c r="K67" s="206">
        <f t="shared" si="58"/>
        <v>87.85</v>
      </c>
      <c r="L67" s="206">
        <f t="shared" ref="L67:R67" si="59">SUM(L68:L69)</f>
        <v>35.242057267138541</v>
      </c>
      <c r="M67" s="206">
        <f t="shared" si="59"/>
        <v>0</v>
      </c>
      <c r="N67" s="206">
        <f t="shared" si="59"/>
        <v>35.242057267138541</v>
      </c>
      <c r="O67" s="206">
        <f t="shared" si="59"/>
        <v>0</v>
      </c>
      <c r="P67" s="206">
        <f t="shared" si="59"/>
        <v>0</v>
      </c>
      <c r="Q67" s="206">
        <f t="shared" si="59"/>
        <v>0</v>
      </c>
      <c r="R67" s="206">
        <f t="shared" si="59"/>
        <v>35.242057267138541</v>
      </c>
      <c r="S67" s="206">
        <f t="shared" ref="S67:Y67" si="60">SUM(S68:S69)</f>
        <v>36.682257447985421</v>
      </c>
      <c r="T67" s="206">
        <f t="shared" si="60"/>
        <v>0</v>
      </c>
      <c r="U67" s="206">
        <f t="shared" si="60"/>
        <v>36.682257447985421</v>
      </c>
      <c r="V67" s="206">
        <f t="shared" si="60"/>
        <v>0</v>
      </c>
      <c r="W67" s="206">
        <f t="shared" si="60"/>
        <v>0</v>
      </c>
      <c r="X67" s="206">
        <f t="shared" si="60"/>
        <v>0</v>
      </c>
      <c r="Y67" s="206">
        <f t="shared" si="60"/>
        <v>36.682257447985421</v>
      </c>
    </row>
    <row r="68" spans="2:25" s="270" customFormat="1" ht="19.5" customHeight="1">
      <c r="B68" s="270">
        <v>10155</v>
      </c>
      <c r="C68" s="203" t="s">
        <v>692</v>
      </c>
      <c r="D68" s="95"/>
      <c r="E68" s="99">
        <f>'7|Total Rev Current'!J289</f>
        <v>0</v>
      </c>
      <c r="F68" s="418">
        <v>0</v>
      </c>
      <c r="G68" s="419">
        <f t="shared" ref="G68:G69" si="61">E68-F68</f>
        <v>0</v>
      </c>
      <c r="H68" s="99"/>
      <c r="I68" s="99"/>
      <c r="J68" s="99"/>
      <c r="K68" s="420">
        <f t="shared" ref="K68:K71" si="62">SUM(G68:J68)</f>
        <v>0</v>
      </c>
      <c r="L68" s="99">
        <f>'7|Total Rev Current'!S289</f>
        <v>0</v>
      </c>
      <c r="M68" s="418">
        <v>0</v>
      </c>
      <c r="N68" s="419">
        <f t="shared" si="14"/>
        <v>0</v>
      </c>
      <c r="O68" s="99"/>
      <c r="P68" s="99"/>
      <c r="Q68" s="99"/>
      <c r="R68" s="420">
        <f t="shared" si="3"/>
        <v>0</v>
      </c>
      <c r="S68" s="99">
        <f>'7|Total Rev Current'!S467</f>
        <v>0</v>
      </c>
      <c r="T68" s="418"/>
      <c r="U68" s="419">
        <f>S68-T68</f>
        <v>0</v>
      </c>
      <c r="V68" s="99"/>
      <c r="W68" s="99"/>
      <c r="X68" s="99"/>
      <c r="Y68" s="420">
        <f t="shared" si="4"/>
        <v>0</v>
      </c>
    </row>
    <row r="69" spans="2:25" s="270" customFormat="1" ht="22.5" customHeight="1">
      <c r="B69" s="270">
        <v>10161</v>
      </c>
      <c r="C69" s="203" t="s">
        <v>707</v>
      </c>
      <c r="D69" s="95"/>
      <c r="E69" s="99">
        <f>'7|Total Rev Current'!J290</f>
        <v>87.85</v>
      </c>
      <c r="F69" s="418">
        <v>0</v>
      </c>
      <c r="G69" s="419">
        <f t="shared" si="61"/>
        <v>87.85</v>
      </c>
      <c r="H69" s="99"/>
      <c r="I69" s="99"/>
      <c r="J69" s="99"/>
      <c r="K69" s="420">
        <f t="shared" si="62"/>
        <v>87.85</v>
      </c>
      <c r="L69" s="99">
        <f>'7|Total Rev Current'!S290</f>
        <v>35.242057267138541</v>
      </c>
      <c r="M69" s="418">
        <v>0</v>
      </c>
      <c r="N69" s="419">
        <f t="shared" si="14"/>
        <v>35.242057267138541</v>
      </c>
      <c r="O69" s="99"/>
      <c r="P69" s="99"/>
      <c r="Q69" s="99"/>
      <c r="R69" s="420">
        <f t="shared" si="3"/>
        <v>35.242057267138541</v>
      </c>
      <c r="S69" s="99">
        <f>'7|Total Rev Current'!S468</f>
        <v>36.682257447985421</v>
      </c>
      <c r="T69" s="418"/>
      <c r="U69" s="419">
        <f>S69-T69</f>
        <v>36.682257447985421</v>
      </c>
      <c r="V69" s="99"/>
      <c r="W69" s="99"/>
      <c r="X69" s="99"/>
      <c r="Y69" s="420">
        <f t="shared" si="4"/>
        <v>36.682257447985421</v>
      </c>
    </row>
    <row r="70" spans="2:25" s="270" customFormat="1" ht="18" customHeight="1">
      <c r="B70" s="270">
        <v>10158</v>
      </c>
      <c r="C70" s="1459" t="s">
        <v>777</v>
      </c>
      <c r="D70" s="103"/>
      <c r="E70" s="103">
        <f t="shared" ref="E70:J70" si="63">E71+E72+E80+E88+E93</f>
        <v>1075.827</v>
      </c>
      <c r="F70" s="103">
        <f t="shared" si="63"/>
        <v>0</v>
      </c>
      <c r="G70" s="103">
        <f t="shared" si="63"/>
        <v>1075.827</v>
      </c>
      <c r="H70" s="103">
        <f t="shared" si="63"/>
        <v>0</v>
      </c>
      <c r="I70" s="103">
        <f t="shared" si="63"/>
        <v>0</v>
      </c>
      <c r="J70" s="103">
        <f t="shared" si="63"/>
        <v>0</v>
      </c>
      <c r="K70" s="420">
        <f t="shared" si="62"/>
        <v>1075.827</v>
      </c>
      <c r="L70" s="103">
        <f t="shared" ref="L70:Q70" si="64">L71+L72+L80+L88+L93</f>
        <v>3224.7460193694487</v>
      </c>
      <c r="M70" s="103">
        <f t="shared" si="64"/>
        <v>0</v>
      </c>
      <c r="N70" s="103">
        <f t="shared" si="64"/>
        <v>3224.7460193694487</v>
      </c>
      <c r="O70" s="103">
        <f t="shared" si="64"/>
        <v>0</v>
      </c>
      <c r="P70" s="103">
        <f t="shared" si="64"/>
        <v>0</v>
      </c>
      <c r="Q70" s="103">
        <f t="shared" si="64"/>
        <v>0</v>
      </c>
      <c r="R70" s="420">
        <f t="shared" si="3"/>
        <v>3224.7460193694487</v>
      </c>
      <c r="S70" s="103">
        <f t="shared" ref="S70:X70" si="65">S71+S72+S80+S88+S93</f>
        <v>3453.1208723037803</v>
      </c>
      <c r="T70" s="103">
        <f t="shared" si="65"/>
        <v>0</v>
      </c>
      <c r="U70" s="103">
        <f t="shared" si="65"/>
        <v>3453.1208723037803</v>
      </c>
      <c r="V70" s="103">
        <f t="shared" si="65"/>
        <v>0</v>
      </c>
      <c r="W70" s="103">
        <f t="shared" si="65"/>
        <v>0</v>
      </c>
      <c r="X70" s="103">
        <f t="shared" si="65"/>
        <v>0</v>
      </c>
      <c r="Y70" s="420">
        <f t="shared" si="4"/>
        <v>3453.1208723037803</v>
      </c>
    </row>
    <row r="71" spans="2:25" s="270" customFormat="1" ht="33" customHeight="1">
      <c r="C71" s="1462" t="s">
        <v>770</v>
      </c>
      <c r="D71" s="95"/>
      <c r="E71" s="99">
        <f>'7|Total Rev Current'!J293</f>
        <v>0</v>
      </c>
      <c r="F71" s="418">
        <v>0</v>
      </c>
      <c r="G71" s="419">
        <f t="shared" ref="G71" si="66">E71-F71</f>
        <v>0</v>
      </c>
      <c r="H71" s="99"/>
      <c r="I71" s="99"/>
      <c r="J71" s="99"/>
      <c r="K71" s="420">
        <f t="shared" si="62"/>
        <v>0</v>
      </c>
      <c r="L71" s="99">
        <f>'7|Total Rev Current'!S293</f>
        <v>0</v>
      </c>
      <c r="M71" s="418">
        <v>0</v>
      </c>
      <c r="N71" s="419">
        <f t="shared" si="14"/>
        <v>0</v>
      </c>
      <c r="O71" s="99"/>
      <c r="P71" s="99"/>
      <c r="Q71" s="99"/>
      <c r="R71" s="420">
        <f t="shared" si="3"/>
        <v>0</v>
      </c>
      <c r="S71" s="99">
        <f>'7|Total Rev Current'!S471</f>
        <v>0</v>
      </c>
      <c r="T71" s="418"/>
      <c r="U71" s="419">
        <f>S71-T71</f>
        <v>0</v>
      </c>
      <c r="V71" s="99"/>
      <c r="W71" s="99"/>
      <c r="X71" s="99"/>
      <c r="Y71" s="420">
        <f t="shared" si="4"/>
        <v>0</v>
      </c>
    </row>
    <row r="72" spans="2:25" s="270" customFormat="1" ht="18" customHeight="1">
      <c r="C72" s="206" t="s">
        <v>776</v>
      </c>
      <c r="D72" s="206"/>
      <c r="E72" s="206">
        <f>SUM(E73:E78)</f>
        <v>46.2</v>
      </c>
      <c r="F72" s="206">
        <f t="shared" ref="F72:K72" si="67">SUM(F73:F78)</f>
        <v>0</v>
      </c>
      <c r="G72" s="206">
        <f t="shared" si="67"/>
        <v>46.2</v>
      </c>
      <c r="H72" s="206">
        <f t="shared" si="67"/>
        <v>0</v>
      </c>
      <c r="I72" s="206">
        <f t="shared" si="67"/>
        <v>0</v>
      </c>
      <c r="J72" s="206">
        <f t="shared" si="67"/>
        <v>0</v>
      </c>
      <c r="K72" s="206">
        <f t="shared" si="67"/>
        <v>46.2</v>
      </c>
      <c r="L72" s="206">
        <f>SUM(L73:L78)</f>
        <v>43.821916030799819</v>
      </c>
      <c r="M72" s="206">
        <f t="shared" ref="M72:Y72" si="68">SUM(M73:M78)</f>
        <v>0</v>
      </c>
      <c r="N72" s="206">
        <f t="shared" si="68"/>
        <v>43.821916030799819</v>
      </c>
      <c r="O72" s="206">
        <f t="shared" si="68"/>
        <v>0</v>
      </c>
      <c r="P72" s="206">
        <f t="shared" si="68"/>
        <v>0</v>
      </c>
      <c r="Q72" s="206">
        <f t="shared" si="68"/>
        <v>0</v>
      </c>
      <c r="R72" s="206">
        <f t="shared" si="68"/>
        <v>43.821916030799819</v>
      </c>
      <c r="S72" s="206">
        <f t="shared" si="68"/>
        <v>47.122072724638571</v>
      </c>
      <c r="T72" s="206">
        <f t="shared" si="68"/>
        <v>0</v>
      </c>
      <c r="U72" s="206">
        <f t="shared" si="68"/>
        <v>47.122072724638571</v>
      </c>
      <c r="V72" s="206">
        <f t="shared" si="68"/>
        <v>0</v>
      </c>
      <c r="W72" s="206">
        <f t="shared" si="68"/>
        <v>0</v>
      </c>
      <c r="X72" s="206">
        <f t="shared" si="68"/>
        <v>0</v>
      </c>
      <c r="Y72" s="206">
        <f t="shared" si="68"/>
        <v>47.122072724638571</v>
      </c>
    </row>
    <row r="73" spans="2:25" s="270" customFormat="1" ht="16.5" customHeight="1">
      <c r="C73" s="203" t="s">
        <v>696</v>
      </c>
      <c r="D73" s="95"/>
      <c r="E73" s="99">
        <f>'7|Total Rev Current'!J295</f>
        <v>36.5</v>
      </c>
      <c r="F73" s="418">
        <v>0</v>
      </c>
      <c r="G73" s="419">
        <f t="shared" ref="G73:G78" si="69">E73-F73</f>
        <v>36.5</v>
      </c>
      <c r="H73" s="99"/>
      <c r="I73" s="99"/>
      <c r="J73" s="99"/>
      <c r="K73" s="420">
        <f t="shared" ref="K73:K74" si="70">SUM(G73:J73)</f>
        <v>36.5</v>
      </c>
      <c r="L73" s="99">
        <f>'7|Total Rev Current'!S295</f>
        <v>37.377052515241182</v>
      </c>
      <c r="M73" s="418">
        <v>0</v>
      </c>
      <c r="N73" s="419">
        <f t="shared" si="14"/>
        <v>37.377052515241182</v>
      </c>
      <c r="O73" s="99"/>
      <c r="P73" s="99"/>
      <c r="Q73" s="99"/>
      <c r="R73" s="420">
        <f t="shared" si="3"/>
        <v>37.377052515241182</v>
      </c>
      <c r="S73" s="99">
        <f>'7|Total Rev Current'!S473</f>
        <v>40.839203439419755</v>
      </c>
      <c r="T73" s="418"/>
      <c r="U73" s="419">
        <f t="shared" ref="U73:U78" si="71">S73-T73</f>
        <v>40.839203439419755</v>
      </c>
      <c r="V73" s="99"/>
      <c r="W73" s="99"/>
      <c r="X73" s="99"/>
      <c r="Y73" s="420">
        <f t="shared" si="4"/>
        <v>40.839203439419755</v>
      </c>
    </row>
    <row r="74" spans="2:25" s="270" customFormat="1" ht="16.5" customHeight="1">
      <c r="C74" s="203" t="s">
        <v>697</v>
      </c>
      <c r="D74" s="95"/>
      <c r="E74" s="99">
        <f>'7|Total Rev Current'!J296</f>
        <v>0</v>
      </c>
      <c r="F74" s="418">
        <v>0</v>
      </c>
      <c r="G74" s="419">
        <f t="shared" si="69"/>
        <v>0</v>
      </c>
      <c r="H74" s="99"/>
      <c r="I74" s="99"/>
      <c r="J74" s="99"/>
      <c r="K74" s="420">
        <f t="shared" si="70"/>
        <v>0</v>
      </c>
      <c r="L74" s="99">
        <f>'7|Total Rev Current'!S296</f>
        <v>4.1883696138995905</v>
      </c>
      <c r="M74" s="418">
        <v>0</v>
      </c>
      <c r="N74" s="419">
        <f t="shared" si="14"/>
        <v>4.1883696138995905</v>
      </c>
      <c r="O74" s="99"/>
      <c r="P74" s="99"/>
      <c r="Q74" s="99"/>
      <c r="R74" s="420">
        <f t="shared" si="3"/>
        <v>4.1883696138995905</v>
      </c>
      <c r="S74" s="99">
        <f>'7|Total Rev Current'!S474</f>
        <v>4.7633048894514811</v>
      </c>
      <c r="T74" s="418"/>
      <c r="U74" s="419">
        <f t="shared" si="71"/>
        <v>4.7633048894514811</v>
      </c>
      <c r="V74" s="99"/>
      <c r="W74" s="99"/>
      <c r="X74" s="99"/>
      <c r="Y74" s="420">
        <f t="shared" si="4"/>
        <v>4.7633048894514811</v>
      </c>
    </row>
    <row r="75" spans="2:25" s="270" customFormat="1" ht="16.5" customHeight="1">
      <c r="C75" s="203" t="s">
        <v>682</v>
      </c>
      <c r="D75" s="95"/>
      <c r="E75" s="99">
        <f>'7|Total Rev Current'!J297</f>
        <v>0</v>
      </c>
      <c r="F75" s="418">
        <v>0</v>
      </c>
      <c r="G75" s="419">
        <f t="shared" si="69"/>
        <v>0</v>
      </c>
      <c r="H75" s="99"/>
      <c r="I75" s="99"/>
      <c r="J75" s="99"/>
      <c r="K75" s="420">
        <f>SUM(G75:J75)</f>
        <v>0</v>
      </c>
      <c r="L75" s="99">
        <f>'7|Total Rev Current'!S297</f>
        <v>0</v>
      </c>
      <c r="M75" s="418">
        <v>0</v>
      </c>
      <c r="N75" s="419">
        <f t="shared" si="14"/>
        <v>0</v>
      </c>
      <c r="O75" s="99"/>
      <c r="P75" s="99"/>
      <c r="Q75" s="99"/>
      <c r="R75" s="420">
        <f>SUM(N75:Q75)</f>
        <v>0</v>
      </c>
      <c r="S75" s="99">
        <f>'7|Total Rev Current'!S475</f>
        <v>0</v>
      </c>
      <c r="T75" s="418"/>
      <c r="U75" s="419">
        <f t="shared" si="71"/>
        <v>0</v>
      </c>
      <c r="V75" s="99"/>
      <c r="W75" s="99"/>
      <c r="X75" s="99"/>
      <c r="Y75" s="420">
        <f t="shared" si="4"/>
        <v>0</v>
      </c>
    </row>
    <row r="76" spans="2:25" s="270" customFormat="1" ht="16.5" customHeight="1">
      <c r="C76" s="203" t="s">
        <v>683</v>
      </c>
      <c r="D76" s="95"/>
      <c r="E76" s="99">
        <f>'7|Total Rev Current'!J298</f>
        <v>9.6999999999999993</v>
      </c>
      <c r="F76" s="418">
        <v>0</v>
      </c>
      <c r="G76" s="419">
        <f t="shared" si="69"/>
        <v>9.6999999999999993</v>
      </c>
      <c r="H76" s="99"/>
      <c r="I76" s="99"/>
      <c r="J76" s="99"/>
      <c r="K76" s="420">
        <f>SUM(G76:J76)</f>
        <v>9.6999999999999993</v>
      </c>
      <c r="L76" s="99">
        <f>'7|Total Rev Current'!S298</f>
        <v>2.2564939016590513</v>
      </c>
      <c r="M76" s="418">
        <v>0</v>
      </c>
      <c r="N76" s="419">
        <f t="shared" si="14"/>
        <v>2.2564939016590513</v>
      </c>
      <c r="O76" s="99"/>
      <c r="P76" s="99"/>
      <c r="Q76" s="99"/>
      <c r="R76" s="420">
        <f>SUM(N76:Q76)</f>
        <v>2.2564939016590513</v>
      </c>
      <c r="S76" s="99">
        <f>'7|Total Rev Current'!S476</f>
        <v>1.5195643957673322</v>
      </c>
      <c r="T76" s="418"/>
      <c r="U76" s="419">
        <f t="shared" si="71"/>
        <v>1.5195643957673322</v>
      </c>
      <c r="V76" s="99"/>
      <c r="W76" s="99"/>
      <c r="X76" s="99"/>
      <c r="Y76" s="420">
        <f>SUM(U76:X76)</f>
        <v>1.5195643957673322</v>
      </c>
    </row>
    <row r="77" spans="2:25" s="270" customFormat="1" ht="16.5" customHeight="1">
      <c r="C77" s="203" t="s">
        <v>684</v>
      </c>
      <c r="D77" s="95"/>
      <c r="E77" s="99">
        <f>'7|Total Rev Current'!J299</f>
        <v>0</v>
      </c>
      <c r="F77" s="418">
        <v>0</v>
      </c>
      <c r="G77" s="419">
        <f t="shared" si="69"/>
        <v>0</v>
      </c>
      <c r="H77" s="99"/>
      <c r="I77" s="99"/>
      <c r="J77" s="99"/>
      <c r="K77" s="420">
        <f>SUM(G77:J77)</f>
        <v>0</v>
      </c>
      <c r="L77" s="99">
        <f>'7|Total Rev Current'!S299</f>
        <v>0</v>
      </c>
      <c r="M77" s="418">
        <v>0</v>
      </c>
      <c r="N77" s="419">
        <f t="shared" si="14"/>
        <v>0</v>
      </c>
      <c r="O77" s="99"/>
      <c r="P77" s="99"/>
      <c r="Q77" s="99"/>
      <c r="R77" s="420">
        <f>SUM(N77:Q77)</f>
        <v>0</v>
      </c>
      <c r="S77" s="99">
        <f>'7|Total Rev Current'!S477</f>
        <v>0</v>
      </c>
      <c r="T77" s="418"/>
      <c r="U77" s="419">
        <f t="shared" si="71"/>
        <v>0</v>
      </c>
      <c r="V77" s="99"/>
      <c r="W77" s="99"/>
      <c r="X77" s="99"/>
      <c r="Y77" s="420">
        <f>SUM(U77:X77)</f>
        <v>0</v>
      </c>
    </row>
    <row r="78" spans="2:25" s="270" customFormat="1" ht="16.5" customHeight="1">
      <c r="C78" s="203" t="s">
        <v>685</v>
      </c>
      <c r="D78" s="95"/>
      <c r="E78" s="99">
        <f>'7|Total Rev Current'!J300</f>
        <v>0</v>
      </c>
      <c r="F78" s="418">
        <v>0</v>
      </c>
      <c r="G78" s="419">
        <f t="shared" si="69"/>
        <v>0</v>
      </c>
      <c r="H78" s="99"/>
      <c r="I78" s="99"/>
      <c r="J78" s="99"/>
      <c r="K78" s="420">
        <f>SUM(G78:J78)</f>
        <v>0</v>
      </c>
      <c r="L78" s="99">
        <f>'7|Total Rev Current'!S300</f>
        <v>0</v>
      </c>
      <c r="M78" s="418">
        <v>0</v>
      </c>
      <c r="N78" s="419">
        <f t="shared" si="14"/>
        <v>0</v>
      </c>
      <c r="O78" s="99"/>
      <c r="P78" s="99"/>
      <c r="Q78" s="99"/>
      <c r="R78" s="420">
        <f>SUM(N78:Q78)</f>
        <v>0</v>
      </c>
      <c r="S78" s="99">
        <f>'7|Total Rev Current'!S478</f>
        <v>0</v>
      </c>
      <c r="T78" s="418"/>
      <c r="U78" s="419">
        <f t="shared" si="71"/>
        <v>0</v>
      </c>
      <c r="V78" s="99"/>
      <c r="W78" s="99"/>
      <c r="X78" s="99"/>
      <c r="Y78" s="420">
        <f>SUM(U78:X78)</f>
        <v>0</v>
      </c>
    </row>
    <row r="79" spans="2:25" s="270" customFormat="1" ht="7.5" customHeight="1">
      <c r="C79" s="203"/>
      <c r="D79" s="95"/>
      <c r="E79" s="99"/>
      <c r="F79" s="418"/>
      <c r="G79" s="419"/>
      <c r="H79" s="99"/>
      <c r="I79" s="99"/>
      <c r="J79" s="99"/>
      <c r="K79" s="420">
        <f>SUM(G79:J79)</f>
        <v>0</v>
      </c>
      <c r="L79" s="99"/>
      <c r="M79" s="418"/>
      <c r="N79" s="419"/>
      <c r="O79" s="99"/>
      <c r="P79" s="99"/>
      <c r="Q79" s="99"/>
      <c r="R79" s="420">
        <f>SUM(N79:Q79)</f>
        <v>0</v>
      </c>
      <c r="S79" s="99"/>
      <c r="T79" s="418"/>
      <c r="U79" s="419"/>
      <c r="V79" s="99"/>
      <c r="W79" s="99"/>
      <c r="X79" s="99"/>
      <c r="Y79" s="420"/>
    </row>
    <row r="80" spans="2:25" s="270" customFormat="1" ht="18" customHeight="1">
      <c r="C80" s="206" t="s">
        <v>771</v>
      </c>
      <c r="D80" s="206"/>
      <c r="E80" s="206">
        <f>SUM(E82:E87)</f>
        <v>728.625</v>
      </c>
      <c r="F80" s="206">
        <f t="shared" ref="F80:K80" si="72">SUM(F82:F87)</f>
        <v>0</v>
      </c>
      <c r="G80" s="206">
        <f t="shared" si="72"/>
        <v>728.625</v>
      </c>
      <c r="H80" s="206">
        <f t="shared" si="72"/>
        <v>0</v>
      </c>
      <c r="I80" s="206">
        <f t="shared" si="72"/>
        <v>0</v>
      </c>
      <c r="J80" s="206">
        <f t="shared" si="72"/>
        <v>0</v>
      </c>
      <c r="K80" s="206">
        <f t="shared" si="72"/>
        <v>728.625</v>
      </c>
      <c r="L80" s="206">
        <f>SUM(L82:L87)</f>
        <v>2525.1884613415268</v>
      </c>
      <c r="M80" s="206">
        <f t="shared" ref="M80:Y80" si="73">SUM(M82:M87)</f>
        <v>0</v>
      </c>
      <c r="N80" s="206">
        <f t="shared" si="73"/>
        <v>2525.1884613415268</v>
      </c>
      <c r="O80" s="206">
        <f t="shared" si="73"/>
        <v>0</v>
      </c>
      <c r="P80" s="206">
        <f t="shared" si="73"/>
        <v>0</v>
      </c>
      <c r="Q80" s="206">
        <f t="shared" si="73"/>
        <v>0</v>
      </c>
      <c r="R80" s="206">
        <f t="shared" si="73"/>
        <v>2525.1884613415268</v>
      </c>
      <c r="S80" s="206">
        <f t="shared" si="73"/>
        <v>2721.2383282567939</v>
      </c>
      <c r="T80" s="206">
        <f t="shared" si="73"/>
        <v>0</v>
      </c>
      <c r="U80" s="206">
        <f t="shared" si="73"/>
        <v>2721.2383282567939</v>
      </c>
      <c r="V80" s="206">
        <f t="shared" si="73"/>
        <v>0</v>
      </c>
      <c r="W80" s="206">
        <f t="shared" si="73"/>
        <v>0</v>
      </c>
      <c r="X80" s="206">
        <f t="shared" si="73"/>
        <v>0</v>
      </c>
      <c r="Y80" s="206">
        <f t="shared" si="73"/>
        <v>2304.1763746569195</v>
      </c>
    </row>
    <row r="81" spans="2:25" s="270" customFormat="1" ht="14.25" customHeight="1">
      <c r="C81" s="203" t="s">
        <v>699</v>
      </c>
      <c r="D81" s="95"/>
      <c r="E81" s="99">
        <f>SUM(E82:E84)</f>
        <v>397.22499999999997</v>
      </c>
      <c r="F81" s="418">
        <v>0</v>
      </c>
      <c r="G81" s="419">
        <f t="shared" ref="G81:G85" si="74">E81-F81</f>
        <v>397.22499999999997</v>
      </c>
      <c r="H81" s="99"/>
      <c r="I81" s="99"/>
      <c r="J81" s="99"/>
      <c r="K81" s="420">
        <f t="shared" ref="K81:K87" si="75">SUM(G81:J81)</f>
        <v>397.22499999999997</v>
      </c>
      <c r="L81" s="99">
        <f>SUM(L82:L84)</f>
        <v>1127.2362243201621</v>
      </c>
      <c r="M81" s="418">
        <v>0</v>
      </c>
      <c r="N81" s="419">
        <f t="shared" si="14"/>
        <v>1127.2362243201621</v>
      </c>
      <c r="O81" s="99"/>
      <c r="P81" s="99"/>
      <c r="Q81" s="99"/>
      <c r="R81" s="420">
        <f t="shared" ref="R81:R122" si="76">SUM(N81:Q81)</f>
        <v>1127.2362243201621</v>
      </c>
      <c r="S81" s="99">
        <f>SUM(S82:S84)</f>
        <v>1250.9498849565962</v>
      </c>
      <c r="T81" s="418">
        <f>'7|Total Rev Current'!T489</f>
        <v>0</v>
      </c>
      <c r="U81" s="419">
        <f t="shared" ref="U81:U87" si="77">S81-T81</f>
        <v>1250.9498849565962</v>
      </c>
      <c r="V81" s="99"/>
      <c r="W81" s="99"/>
      <c r="X81" s="99"/>
      <c r="Y81" s="420">
        <f t="shared" ref="Y81:Y87" si="78">SUM(U81:X81)</f>
        <v>1250.9498849565962</v>
      </c>
    </row>
    <row r="82" spans="2:25" s="270" customFormat="1" ht="14.25" customHeight="1">
      <c r="C82" s="203" t="s">
        <v>700</v>
      </c>
      <c r="D82" s="95"/>
      <c r="E82" s="99">
        <f>'7|Total Rev Current'!J304+'7|Total Rev Current'!J308</f>
        <v>0</v>
      </c>
      <c r="F82" s="418">
        <v>0</v>
      </c>
      <c r="G82" s="419">
        <f t="shared" si="74"/>
        <v>0</v>
      </c>
      <c r="H82" s="99"/>
      <c r="I82" s="99"/>
      <c r="J82" s="99"/>
      <c r="K82" s="420">
        <f t="shared" si="75"/>
        <v>0</v>
      </c>
      <c r="L82" s="99">
        <f>'7|Total Rev Current'!S304+'7|Total Rev Current'!S308</f>
        <v>373.59471860514941</v>
      </c>
      <c r="M82" s="418">
        <v>0</v>
      </c>
      <c r="N82" s="419">
        <f t="shared" si="14"/>
        <v>373.59471860514941</v>
      </c>
      <c r="O82" s="99"/>
      <c r="P82" s="99"/>
      <c r="Q82" s="99"/>
      <c r="R82" s="420">
        <f t="shared" si="76"/>
        <v>373.59471860514941</v>
      </c>
      <c r="S82" s="99">
        <f>'7|Total Rev Current'!S482+'7|Total Rev Current'!S486</f>
        <v>416.00255821616452</v>
      </c>
      <c r="T82" s="418"/>
      <c r="U82" s="419">
        <f t="shared" si="77"/>
        <v>416.00255821616452</v>
      </c>
      <c r="V82" s="99"/>
      <c r="W82" s="99"/>
      <c r="X82" s="99"/>
      <c r="Y82" s="420">
        <f t="shared" si="78"/>
        <v>416.00255821616452</v>
      </c>
    </row>
    <row r="83" spans="2:25" s="270" customFormat="1" ht="14.25" customHeight="1">
      <c r="C83" s="203" t="s">
        <v>701</v>
      </c>
      <c r="D83" s="95"/>
      <c r="E83" s="99">
        <f>'7|Total Rev Current'!J305+'7|Total Rev Current'!J309</f>
        <v>0</v>
      </c>
      <c r="F83" s="418">
        <v>0</v>
      </c>
      <c r="G83" s="419">
        <f t="shared" si="74"/>
        <v>0</v>
      </c>
      <c r="H83" s="99"/>
      <c r="I83" s="99"/>
      <c r="J83" s="99"/>
      <c r="K83" s="420">
        <f t="shared" si="75"/>
        <v>0</v>
      </c>
      <c r="L83" s="99">
        <f>'7|Total Rev Current'!S305+'7|Total Rev Current'!S309</f>
        <v>376.57377071818422</v>
      </c>
      <c r="M83" s="418">
        <v>0</v>
      </c>
      <c r="N83" s="419">
        <f t="shared" si="14"/>
        <v>376.57377071818422</v>
      </c>
      <c r="O83" s="99"/>
      <c r="P83" s="99"/>
      <c r="Q83" s="99"/>
      <c r="R83" s="420">
        <f t="shared" si="76"/>
        <v>376.57377071818422</v>
      </c>
      <c r="S83" s="99">
        <f>'7|Total Rev Current'!S483+'7|Total Rev Current'!S487</f>
        <v>417.88537314055736</v>
      </c>
      <c r="T83" s="418"/>
      <c r="U83" s="419">
        <f t="shared" si="77"/>
        <v>417.88537314055736</v>
      </c>
      <c r="V83" s="99"/>
      <c r="W83" s="99"/>
      <c r="X83" s="99"/>
      <c r="Y83" s="420">
        <f t="shared" si="78"/>
        <v>417.88537314055736</v>
      </c>
    </row>
    <row r="84" spans="2:25" s="270" customFormat="1" ht="14.25" customHeight="1">
      <c r="C84" s="203" t="s">
        <v>933</v>
      </c>
      <c r="D84" s="95"/>
      <c r="E84" s="99">
        <f>'7|Total Rev Current'!J306+'7|Total Rev Current'!J310</f>
        <v>397.22499999999997</v>
      </c>
      <c r="F84" s="418">
        <v>0</v>
      </c>
      <c r="G84" s="419">
        <f t="shared" si="74"/>
        <v>397.22499999999997</v>
      </c>
      <c r="H84" s="99"/>
      <c r="I84" s="99"/>
      <c r="J84" s="99"/>
      <c r="K84" s="420">
        <f t="shared" si="75"/>
        <v>397.22499999999997</v>
      </c>
      <c r="L84" s="99">
        <f>'7|Total Rev Current'!S306+'7|Total Rev Current'!S310</f>
        <v>377.06773499682845</v>
      </c>
      <c r="M84" s="418">
        <v>0</v>
      </c>
      <c r="N84" s="419">
        <f t="shared" ref="N84" si="79">L84-M84</f>
        <v>377.06773499682845</v>
      </c>
      <c r="O84" s="99"/>
      <c r="P84" s="99"/>
      <c r="Q84" s="99"/>
      <c r="R84" s="420">
        <f t="shared" si="76"/>
        <v>377.06773499682845</v>
      </c>
      <c r="S84" s="99">
        <f>'7|Total Rev Current'!S484+'7|Total Rev Current'!S488</f>
        <v>417.06195359987441</v>
      </c>
      <c r="T84" s="418"/>
      <c r="U84" s="419">
        <f t="shared" si="77"/>
        <v>417.06195359987441</v>
      </c>
      <c r="V84" s="99"/>
      <c r="W84" s="99"/>
      <c r="X84" s="99"/>
      <c r="Y84" s="420"/>
    </row>
    <row r="85" spans="2:25" s="270" customFormat="1" ht="14.25" customHeight="1">
      <c r="C85" s="203" t="s">
        <v>592</v>
      </c>
      <c r="D85" s="95"/>
      <c r="E85" s="99">
        <f>'7|Total Rev Current'!J311</f>
        <v>0</v>
      </c>
      <c r="F85" s="418">
        <v>0</v>
      </c>
      <c r="G85" s="419">
        <f t="shared" si="74"/>
        <v>0</v>
      </c>
      <c r="H85" s="99"/>
      <c r="I85" s="99"/>
      <c r="J85" s="99"/>
      <c r="K85" s="420">
        <f t="shared" si="75"/>
        <v>0</v>
      </c>
      <c r="L85" s="99">
        <f>'7|Total Rev Current'!S311</f>
        <v>26.201241786410968</v>
      </c>
      <c r="M85" s="418">
        <v>0</v>
      </c>
      <c r="N85" s="419">
        <f t="shared" si="14"/>
        <v>26.201241786410968</v>
      </c>
      <c r="O85" s="99"/>
      <c r="P85" s="99"/>
      <c r="Q85" s="99"/>
      <c r="R85" s="420">
        <f t="shared" si="76"/>
        <v>26.201241786410968</v>
      </c>
      <c r="S85" s="99">
        <f>'7|Total Rev Current'!S489</f>
        <v>26.753489173137087</v>
      </c>
      <c r="T85" s="418"/>
      <c r="U85" s="419">
        <f t="shared" si="77"/>
        <v>26.753489173137087</v>
      </c>
      <c r="V85" s="99"/>
      <c r="W85" s="99"/>
      <c r="X85" s="99"/>
      <c r="Y85" s="420">
        <f t="shared" si="78"/>
        <v>26.753489173137087</v>
      </c>
    </row>
    <row r="86" spans="2:25" s="270" customFormat="1" ht="14.25" customHeight="1">
      <c r="C86" s="203" t="s">
        <v>702</v>
      </c>
      <c r="D86" s="95"/>
      <c r="E86" s="99">
        <f>'7|Total Rev Current'!J312</f>
        <v>0</v>
      </c>
      <c r="F86" s="418">
        <v>0</v>
      </c>
      <c r="G86" s="419">
        <f>E86-F86</f>
        <v>0</v>
      </c>
      <c r="H86" s="99"/>
      <c r="I86" s="99"/>
      <c r="J86" s="99"/>
      <c r="K86" s="420">
        <f t="shared" si="75"/>
        <v>0</v>
      </c>
      <c r="L86" s="99">
        <f>'7|Total Rev Current'!S312</f>
        <v>0</v>
      </c>
      <c r="M86" s="418">
        <v>0</v>
      </c>
      <c r="N86" s="419">
        <f>L86-M86</f>
        <v>0</v>
      </c>
      <c r="O86" s="99"/>
      <c r="P86" s="99"/>
      <c r="Q86" s="99"/>
      <c r="R86" s="420">
        <f t="shared" si="76"/>
        <v>0</v>
      </c>
      <c r="S86" s="99">
        <f>'7|Total Rev Current'!S490</f>
        <v>0</v>
      </c>
      <c r="T86" s="418"/>
      <c r="U86" s="419">
        <f t="shared" si="77"/>
        <v>0</v>
      </c>
      <c r="V86" s="99"/>
      <c r="W86" s="99"/>
      <c r="X86" s="99"/>
      <c r="Y86" s="420">
        <f t="shared" si="78"/>
        <v>0</v>
      </c>
    </row>
    <row r="87" spans="2:25" s="270" customFormat="1" ht="14.25" customHeight="1">
      <c r="C87" s="203" t="s">
        <v>703</v>
      </c>
      <c r="D87" s="95"/>
      <c r="E87" s="99">
        <f>'7|Total Rev Current'!J313</f>
        <v>331.4</v>
      </c>
      <c r="F87" s="418">
        <v>0</v>
      </c>
      <c r="G87" s="419">
        <f>E87-F87</f>
        <v>331.4</v>
      </c>
      <c r="H87" s="99"/>
      <c r="I87" s="99"/>
      <c r="J87" s="99"/>
      <c r="K87" s="420">
        <f t="shared" si="75"/>
        <v>331.4</v>
      </c>
      <c r="L87" s="99">
        <f>'7|Total Rev Current'!S313</f>
        <v>1371.7509952349537</v>
      </c>
      <c r="M87" s="418">
        <v>0</v>
      </c>
      <c r="N87" s="419">
        <f>L87-M87</f>
        <v>1371.7509952349537</v>
      </c>
      <c r="O87" s="99"/>
      <c r="P87" s="99"/>
      <c r="Q87" s="99"/>
      <c r="R87" s="420">
        <f t="shared" si="76"/>
        <v>1371.7509952349537</v>
      </c>
      <c r="S87" s="99">
        <f>'7|Total Rev Current'!S491</f>
        <v>1443.5349541270607</v>
      </c>
      <c r="T87" s="418"/>
      <c r="U87" s="419">
        <f t="shared" si="77"/>
        <v>1443.5349541270607</v>
      </c>
      <c r="V87" s="99"/>
      <c r="W87" s="99"/>
      <c r="X87" s="99"/>
      <c r="Y87" s="420">
        <f t="shared" si="78"/>
        <v>1443.5349541270607</v>
      </c>
    </row>
    <row r="88" spans="2:25" s="270" customFormat="1" ht="18" customHeight="1">
      <c r="C88" s="206" t="s">
        <v>773</v>
      </c>
      <c r="D88" s="206"/>
      <c r="E88" s="206">
        <f>SUM(E89:E92)</f>
        <v>301.00199999999995</v>
      </c>
      <c r="F88" s="206">
        <f t="shared" ref="F88:K88" si="80">SUM(F89:F92)</f>
        <v>0</v>
      </c>
      <c r="G88" s="206">
        <f t="shared" si="80"/>
        <v>301.00199999999995</v>
      </c>
      <c r="H88" s="206">
        <f t="shared" si="80"/>
        <v>0</v>
      </c>
      <c r="I88" s="206">
        <f t="shared" si="80"/>
        <v>0</v>
      </c>
      <c r="J88" s="206">
        <f t="shared" si="80"/>
        <v>0</v>
      </c>
      <c r="K88" s="206">
        <f t="shared" si="80"/>
        <v>301.00199999999995</v>
      </c>
      <c r="L88" s="206">
        <f>SUM(L89:L92)</f>
        <v>655.73226639712209</v>
      </c>
      <c r="M88" s="206">
        <f t="shared" ref="M88:Y88" si="81">SUM(M89:M92)</f>
        <v>0</v>
      </c>
      <c r="N88" s="206">
        <f t="shared" si="81"/>
        <v>655.73226639712209</v>
      </c>
      <c r="O88" s="206">
        <f t="shared" si="81"/>
        <v>0</v>
      </c>
      <c r="P88" s="206">
        <f t="shared" si="81"/>
        <v>0</v>
      </c>
      <c r="Q88" s="206">
        <f t="shared" si="81"/>
        <v>0</v>
      </c>
      <c r="R88" s="206">
        <f t="shared" si="81"/>
        <v>655.73226639712209</v>
      </c>
      <c r="S88" s="206">
        <f t="shared" si="81"/>
        <v>684.75372012234777</v>
      </c>
      <c r="T88" s="206">
        <f t="shared" si="81"/>
        <v>0</v>
      </c>
      <c r="U88" s="206">
        <f t="shared" si="81"/>
        <v>684.75372012234777</v>
      </c>
      <c r="V88" s="206">
        <f t="shared" si="81"/>
        <v>0</v>
      </c>
      <c r="W88" s="206">
        <f t="shared" si="81"/>
        <v>0</v>
      </c>
      <c r="X88" s="206">
        <f t="shared" si="81"/>
        <v>0</v>
      </c>
      <c r="Y88" s="206">
        <f t="shared" si="81"/>
        <v>684.75372012234777</v>
      </c>
    </row>
    <row r="89" spans="2:25" s="270" customFormat="1" ht="21">
      <c r="C89" s="203" t="s">
        <v>708</v>
      </c>
      <c r="D89" s="95"/>
      <c r="E89" s="99">
        <f>'7|Total Rev Current'!J315</f>
        <v>0</v>
      </c>
      <c r="F89" s="418">
        <v>0</v>
      </c>
      <c r="G89" s="419">
        <f>E89-F89</f>
        <v>0</v>
      </c>
      <c r="H89" s="99"/>
      <c r="I89" s="99"/>
      <c r="J89" s="99"/>
      <c r="K89" s="420">
        <f t="shared" ref="K89:K92" si="82">SUM(G89:J89)</f>
        <v>0</v>
      </c>
      <c r="L89" s="99">
        <f>'7|Total Rev Current'!S315</f>
        <v>0</v>
      </c>
      <c r="M89" s="418">
        <v>0</v>
      </c>
      <c r="N89" s="419">
        <f>L89-M89</f>
        <v>0</v>
      </c>
      <c r="O89" s="99"/>
      <c r="P89" s="99"/>
      <c r="Q89" s="99"/>
      <c r="R89" s="420">
        <f t="shared" si="76"/>
        <v>0</v>
      </c>
      <c r="S89" s="99">
        <f>'7|Total Rev Current'!S493</f>
        <v>0</v>
      </c>
      <c r="T89" s="418"/>
      <c r="U89" s="419">
        <f>S89-T89</f>
        <v>0</v>
      </c>
      <c r="V89" s="99"/>
      <c r="W89" s="99"/>
      <c r="X89" s="99"/>
      <c r="Y89" s="420">
        <f>SUM(U89:X89)</f>
        <v>0</v>
      </c>
    </row>
    <row r="90" spans="2:25" s="270" customFormat="1" ht="24.75" customHeight="1">
      <c r="C90" s="203" t="s">
        <v>687</v>
      </c>
      <c r="D90" s="95"/>
      <c r="E90" s="99">
        <f>'7|Total Rev Current'!J316</f>
        <v>0</v>
      </c>
      <c r="F90" s="418">
        <v>0</v>
      </c>
      <c r="G90" s="419">
        <f>E90-F90</f>
        <v>0</v>
      </c>
      <c r="H90" s="99"/>
      <c r="I90" s="99"/>
      <c r="J90" s="99"/>
      <c r="K90" s="420">
        <f t="shared" si="82"/>
        <v>0</v>
      </c>
      <c r="L90" s="99">
        <f>'7|Total Rev Current'!S316</f>
        <v>0</v>
      </c>
      <c r="M90" s="418">
        <v>0</v>
      </c>
      <c r="N90" s="419">
        <f>L90-M90</f>
        <v>0</v>
      </c>
      <c r="O90" s="99"/>
      <c r="P90" s="99"/>
      <c r="Q90" s="99"/>
      <c r="R90" s="420">
        <f t="shared" si="76"/>
        <v>0</v>
      </c>
      <c r="S90" s="99">
        <f>'7|Total Rev Current'!S494</f>
        <v>0</v>
      </c>
      <c r="T90" s="418"/>
      <c r="U90" s="419">
        <f>S90-T90</f>
        <v>0</v>
      </c>
      <c r="V90" s="99"/>
      <c r="W90" s="99"/>
      <c r="X90" s="99"/>
      <c r="Y90" s="420">
        <f>SUM(U90:X90)</f>
        <v>0</v>
      </c>
    </row>
    <row r="91" spans="2:25" s="270" customFormat="1" ht="18" customHeight="1">
      <c r="C91" s="203" t="s">
        <v>688</v>
      </c>
      <c r="D91" s="95"/>
      <c r="E91" s="99">
        <f>'7|Total Rev Current'!J317</f>
        <v>0</v>
      </c>
      <c r="F91" s="418">
        <v>0</v>
      </c>
      <c r="G91" s="419">
        <f>E91-F91</f>
        <v>0</v>
      </c>
      <c r="H91" s="99"/>
      <c r="I91" s="99"/>
      <c r="J91" s="99"/>
      <c r="K91" s="420">
        <f t="shared" si="82"/>
        <v>0</v>
      </c>
      <c r="L91" s="99">
        <f>'7|Total Rev Current'!S317</f>
        <v>0</v>
      </c>
      <c r="M91" s="418">
        <v>0</v>
      </c>
      <c r="N91" s="419">
        <f>L91-M91</f>
        <v>0</v>
      </c>
      <c r="O91" s="99"/>
      <c r="P91" s="99"/>
      <c r="Q91" s="99"/>
      <c r="R91" s="420">
        <f t="shared" si="76"/>
        <v>0</v>
      </c>
      <c r="S91" s="99">
        <f>'7|Total Rev Current'!S495</f>
        <v>0</v>
      </c>
      <c r="T91" s="418"/>
      <c r="U91" s="419">
        <f>S91-T91</f>
        <v>0</v>
      </c>
      <c r="V91" s="99"/>
      <c r="W91" s="99"/>
      <c r="X91" s="99"/>
      <c r="Y91" s="420">
        <f>SUM(U91:X91)</f>
        <v>0</v>
      </c>
    </row>
    <row r="92" spans="2:25" s="270" customFormat="1" ht="18" customHeight="1">
      <c r="C92" s="203" t="s">
        <v>704</v>
      </c>
      <c r="D92" s="95"/>
      <c r="E92" s="99">
        <f>'7|Total Rev Current'!J318</f>
        <v>301.00199999999995</v>
      </c>
      <c r="F92" s="418">
        <v>0</v>
      </c>
      <c r="G92" s="419">
        <f>E92-F92</f>
        <v>301.00199999999995</v>
      </c>
      <c r="H92" s="99"/>
      <c r="I92" s="99"/>
      <c r="J92" s="99"/>
      <c r="K92" s="420">
        <f t="shared" si="82"/>
        <v>301.00199999999995</v>
      </c>
      <c r="L92" s="99">
        <f>'7|Total Rev Current'!S318</f>
        <v>655.73226639712209</v>
      </c>
      <c r="M92" s="418">
        <v>0</v>
      </c>
      <c r="N92" s="419">
        <f>L92-M92</f>
        <v>655.73226639712209</v>
      </c>
      <c r="O92" s="99"/>
      <c r="P92" s="99"/>
      <c r="Q92" s="99"/>
      <c r="R92" s="420">
        <f t="shared" si="76"/>
        <v>655.73226639712209</v>
      </c>
      <c r="S92" s="99">
        <f>'7|Total Rev Current'!S496</f>
        <v>684.75372012234777</v>
      </c>
      <c r="T92" s="418"/>
      <c r="U92" s="419">
        <f>S92-T92</f>
        <v>684.75372012234777</v>
      </c>
      <c r="V92" s="99"/>
      <c r="W92" s="99"/>
      <c r="X92" s="99"/>
      <c r="Y92" s="420">
        <f>SUM(U92:X92)</f>
        <v>684.75372012234777</v>
      </c>
    </row>
    <row r="93" spans="2:25" s="270" customFormat="1" ht="18" customHeight="1">
      <c r="C93" s="206" t="s">
        <v>775</v>
      </c>
      <c r="D93" s="206"/>
      <c r="E93" s="206">
        <f>E94+E95</f>
        <v>0</v>
      </c>
      <c r="F93" s="206">
        <f t="shared" ref="F93:K93" si="83">F94+F95</f>
        <v>0</v>
      </c>
      <c r="G93" s="206">
        <f t="shared" si="83"/>
        <v>0</v>
      </c>
      <c r="H93" s="206">
        <f t="shared" si="83"/>
        <v>0</v>
      </c>
      <c r="I93" s="206">
        <f t="shared" si="83"/>
        <v>0</v>
      </c>
      <c r="J93" s="206">
        <f t="shared" si="83"/>
        <v>0</v>
      </c>
      <c r="K93" s="206">
        <f t="shared" si="83"/>
        <v>0</v>
      </c>
      <c r="L93" s="206">
        <f>L94+L95</f>
        <v>3.3755999999999999E-3</v>
      </c>
      <c r="M93" s="206">
        <f t="shared" ref="M93:Y93" si="84">M94+M95</f>
        <v>0</v>
      </c>
      <c r="N93" s="206">
        <f t="shared" si="84"/>
        <v>3.3755999999999999E-3</v>
      </c>
      <c r="O93" s="206">
        <f t="shared" si="84"/>
        <v>0</v>
      </c>
      <c r="P93" s="206">
        <f t="shared" si="84"/>
        <v>0</v>
      </c>
      <c r="Q93" s="206">
        <f t="shared" si="84"/>
        <v>0</v>
      </c>
      <c r="R93" s="206">
        <f t="shared" si="84"/>
        <v>3.3755999999999999E-3</v>
      </c>
      <c r="S93" s="206">
        <f t="shared" si="84"/>
        <v>6.7511999999999997E-3</v>
      </c>
      <c r="T93" s="206">
        <f t="shared" si="84"/>
        <v>0</v>
      </c>
      <c r="U93" s="206">
        <f t="shared" si="84"/>
        <v>6.7511999999999997E-3</v>
      </c>
      <c r="V93" s="206">
        <f t="shared" si="84"/>
        <v>0</v>
      </c>
      <c r="W93" s="206">
        <f t="shared" si="84"/>
        <v>0</v>
      </c>
      <c r="X93" s="206">
        <f t="shared" si="84"/>
        <v>0</v>
      </c>
      <c r="Y93" s="206">
        <f t="shared" si="84"/>
        <v>6.7511999999999997E-3</v>
      </c>
    </row>
    <row r="94" spans="2:25" s="270" customFormat="1" ht="18" customHeight="1">
      <c r="B94" s="270">
        <v>10073</v>
      </c>
      <c r="C94" s="203" t="s">
        <v>692</v>
      </c>
      <c r="D94" s="95"/>
      <c r="E94" s="99">
        <f>'7|Total Rev Current'!J320</f>
        <v>0</v>
      </c>
      <c r="F94" s="418">
        <v>0</v>
      </c>
      <c r="G94" s="419">
        <f>E94-F94</f>
        <v>0</v>
      </c>
      <c r="H94" s="422"/>
      <c r="I94" s="422"/>
      <c r="J94" s="422"/>
      <c r="K94" s="420">
        <f t="shared" ref="K94:K95" si="85">SUM(G94:J94)</f>
        <v>0</v>
      </c>
      <c r="L94" s="99">
        <f>'7|Total Rev Current'!S320</f>
        <v>0</v>
      </c>
      <c r="M94" s="418">
        <v>0</v>
      </c>
      <c r="N94" s="419">
        <f>L94-M94</f>
        <v>0</v>
      </c>
      <c r="O94" s="422"/>
      <c r="P94" s="422"/>
      <c r="Q94" s="422"/>
      <c r="R94" s="420">
        <f t="shared" si="76"/>
        <v>0</v>
      </c>
      <c r="S94" s="99">
        <f>'7|Total Rev Current'!S498</f>
        <v>0</v>
      </c>
      <c r="T94" s="418"/>
      <c r="U94" s="419">
        <f>S94-T94</f>
        <v>0</v>
      </c>
      <c r="V94" s="422"/>
      <c r="W94" s="422"/>
      <c r="X94" s="422"/>
      <c r="Y94" s="420">
        <f t="shared" ref="Y94:Y122" si="86">SUM(U94:X94)</f>
        <v>0</v>
      </c>
    </row>
    <row r="95" spans="2:25" s="270" customFormat="1" ht="23.25" customHeight="1">
      <c r="B95" s="270">
        <v>10105</v>
      </c>
      <c r="C95" s="203" t="s">
        <v>707</v>
      </c>
      <c r="D95" s="95"/>
      <c r="E95" s="99">
        <f>'7|Total Rev Current'!J321</f>
        <v>0</v>
      </c>
      <c r="F95" s="418">
        <v>0</v>
      </c>
      <c r="G95" s="419">
        <f>E95-F95</f>
        <v>0</v>
      </c>
      <c r="H95" s="99"/>
      <c r="I95" s="99"/>
      <c r="J95" s="99"/>
      <c r="K95" s="420">
        <f t="shared" si="85"/>
        <v>0</v>
      </c>
      <c r="L95" s="99">
        <f>'7|Total Rev Current'!S321</f>
        <v>3.3755999999999999E-3</v>
      </c>
      <c r="M95" s="418">
        <v>0</v>
      </c>
      <c r="N95" s="419">
        <f>L95-M95</f>
        <v>3.3755999999999999E-3</v>
      </c>
      <c r="O95" s="99"/>
      <c r="P95" s="99"/>
      <c r="Q95" s="99"/>
      <c r="R95" s="420">
        <f t="shared" si="76"/>
        <v>3.3755999999999999E-3</v>
      </c>
      <c r="S95" s="99">
        <f>'7|Total Rev Current'!S499</f>
        <v>6.7511999999999997E-3</v>
      </c>
      <c r="T95" s="418"/>
      <c r="U95" s="419">
        <f>S95-T95</f>
        <v>6.7511999999999997E-3</v>
      </c>
      <c r="V95" s="99"/>
      <c r="W95" s="99"/>
      <c r="X95" s="99"/>
      <c r="Y95" s="420">
        <f t="shared" si="86"/>
        <v>6.7511999999999997E-3</v>
      </c>
    </row>
    <row r="96" spans="2:25" s="270" customFormat="1" ht="18" customHeight="1">
      <c r="B96" s="270">
        <v>10158</v>
      </c>
      <c r="C96" s="1459" t="s">
        <v>945</v>
      </c>
      <c r="D96" s="103"/>
      <c r="E96" s="103">
        <f t="shared" ref="E96:J96" si="87">E97+E98+E106+E114+E119</f>
        <v>829.41000000000008</v>
      </c>
      <c r="F96" s="103">
        <f t="shared" si="87"/>
        <v>0</v>
      </c>
      <c r="G96" s="103">
        <f t="shared" si="87"/>
        <v>829.41000000000008</v>
      </c>
      <c r="H96" s="103">
        <f t="shared" si="87"/>
        <v>0</v>
      </c>
      <c r="I96" s="103">
        <f t="shared" si="87"/>
        <v>0</v>
      </c>
      <c r="J96" s="103">
        <f t="shared" si="87"/>
        <v>0</v>
      </c>
      <c r="K96" s="420">
        <f t="shared" ref="K96:K97" si="88">SUM(G96:J96)</f>
        <v>829.41000000000008</v>
      </c>
      <c r="L96" s="103">
        <f t="shared" ref="L96:Q96" si="89">L97+L98+L106+L114+L119</f>
        <v>2215.5811436467702</v>
      </c>
      <c r="M96" s="103">
        <f t="shared" si="89"/>
        <v>0</v>
      </c>
      <c r="N96" s="103">
        <f t="shared" si="89"/>
        <v>2215.5811436467702</v>
      </c>
      <c r="O96" s="103">
        <f t="shared" si="89"/>
        <v>0</v>
      </c>
      <c r="P96" s="103">
        <f t="shared" si="89"/>
        <v>0</v>
      </c>
      <c r="Q96" s="103">
        <f t="shared" si="89"/>
        <v>0</v>
      </c>
      <c r="R96" s="420">
        <f t="shared" ref="R96:R97" si="90">SUM(N96:Q96)</f>
        <v>2215.5811436467702</v>
      </c>
      <c r="S96" s="103">
        <f t="shared" ref="S96:X96" si="91">S97+S98+S106+S114+S119</f>
        <v>2323.944585970678</v>
      </c>
      <c r="T96" s="103">
        <f t="shared" si="91"/>
        <v>0</v>
      </c>
      <c r="U96" s="103">
        <f t="shared" si="91"/>
        <v>2323.944585970678</v>
      </c>
      <c r="V96" s="103">
        <f t="shared" si="91"/>
        <v>0</v>
      </c>
      <c r="W96" s="103">
        <f t="shared" si="91"/>
        <v>0</v>
      </c>
      <c r="X96" s="103">
        <f t="shared" si="91"/>
        <v>0</v>
      </c>
      <c r="Y96" s="420">
        <f t="shared" ref="Y96:Y97" si="92">SUM(U96:X96)</f>
        <v>2323.944585970678</v>
      </c>
    </row>
    <row r="97" spans="3:25" s="270" customFormat="1" ht="33" customHeight="1">
      <c r="C97" s="1462" t="s">
        <v>770</v>
      </c>
      <c r="D97" s="95"/>
      <c r="E97" s="99">
        <f>'7|Total Rev Current'!J324</f>
        <v>0</v>
      </c>
      <c r="F97" s="418">
        <v>0</v>
      </c>
      <c r="G97" s="419">
        <f t="shared" ref="G97" si="93">E97-F97</f>
        <v>0</v>
      </c>
      <c r="H97" s="99"/>
      <c r="I97" s="99"/>
      <c r="J97" s="99"/>
      <c r="K97" s="420">
        <f t="shared" si="88"/>
        <v>0</v>
      </c>
      <c r="L97" s="99">
        <f>'7|Total Rev Current'!S324</f>
        <v>0</v>
      </c>
      <c r="M97" s="418">
        <v>0</v>
      </c>
      <c r="N97" s="419">
        <f t="shared" ref="N97" si="94">L97-M97</f>
        <v>0</v>
      </c>
      <c r="O97" s="99"/>
      <c r="P97" s="99"/>
      <c r="Q97" s="99"/>
      <c r="R97" s="420">
        <f t="shared" si="90"/>
        <v>0</v>
      </c>
      <c r="S97" s="99">
        <f>'7|Total Rev Current'!S502</f>
        <v>0</v>
      </c>
      <c r="T97" s="418"/>
      <c r="U97" s="419">
        <f>S97-T97</f>
        <v>0</v>
      </c>
      <c r="V97" s="99"/>
      <c r="W97" s="99"/>
      <c r="X97" s="99"/>
      <c r="Y97" s="420">
        <f t="shared" si="92"/>
        <v>0</v>
      </c>
    </row>
    <row r="98" spans="3:25" s="270" customFormat="1" ht="18" customHeight="1">
      <c r="C98" s="206" t="s">
        <v>776</v>
      </c>
      <c r="D98" s="206"/>
      <c r="E98" s="206">
        <f>SUM(E99:E104)</f>
        <v>27.5</v>
      </c>
      <c r="F98" s="206">
        <f t="shared" ref="F98:K98" si="95">SUM(F99:F104)</f>
        <v>0</v>
      </c>
      <c r="G98" s="206">
        <f t="shared" si="95"/>
        <v>27.5</v>
      </c>
      <c r="H98" s="206">
        <f t="shared" si="95"/>
        <v>0</v>
      </c>
      <c r="I98" s="206">
        <f t="shared" si="95"/>
        <v>0</v>
      </c>
      <c r="J98" s="206">
        <f t="shared" si="95"/>
        <v>0</v>
      </c>
      <c r="K98" s="206">
        <f t="shared" si="95"/>
        <v>27.5</v>
      </c>
      <c r="L98" s="206">
        <f>SUM(L99:L104)</f>
        <v>106.21881415359204</v>
      </c>
      <c r="M98" s="206">
        <f t="shared" ref="M98:Y98" si="96">SUM(M99:M104)</f>
        <v>0</v>
      </c>
      <c r="N98" s="206">
        <f t="shared" si="96"/>
        <v>106.21881415359204</v>
      </c>
      <c r="O98" s="206">
        <f t="shared" si="96"/>
        <v>0</v>
      </c>
      <c r="P98" s="206">
        <f t="shared" si="96"/>
        <v>0</v>
      </c>
      <c r="Q98" s="206">
        <f t="shared" si="96"/>
        <v>0</v>
      </c>
      <c r="R98" s="206">
        <f t="shared" si="96"/>
        <v>106.21881415359204</v>
      </c>
      <c r="S98" s="206">
        <f t="shared" si="96"/>
        <v>84.881834042509553</v>
      </c>
      <c r="T98" s="206">
        <f t="shared" si="96"/>
        <v>0</v>
      </c>
      <c r="U98" s="206">
        <f t="shared" si="96"/>
        <v>84.881834042509553</v>
      </c>
      <c r="V98" s="206">
        <f t="shared" si="96"/>
        <v>0</v>
      </c>
      <c r="W98" s="206">
        <f t="shared" si="96"/>
        <v>0</v>
      </c>
      <c r="X98" s="206">
        <f t="shared" si="96"/>
        <v>0</v>
      </c>
      <c r="Y98" s="206">
        <f t="shared" si="96"/>
        <v>84.881834042509553</v>
      </c>
    </row>
    <row r="99" spans="3:25" s="270" customFormat="1" ht="18" customHeight="1">
      <c r="C99" s="203" t="s">
        <v>696</v>
      </c>
      <c r="D99" s="95"/>
      <c r="E99" s="99">
        <f>'7|Total Rev Current'!J326</f>
        <v>14.5</v>
      </c>
      <c r="F99" s="418">
        <v>0</v>
      </c>
      <c r="G99" s="419">
        <f t="shared" ref="G99:G105" si="97">E99-F99</f>
        <v>14.5</v>
      </c>
      <c r="H99" s="99"/>
      <c r="I99" s="99"/>
      <c r="J99" s="99"/>
      <c r="K99" s="420">
        <f t="shared" ref="K99:K100" si="98">SUM(G99:J99)</f>
        <v>14.5</v>
      </c>
      <c r="L99" s="99">
        <f>'7|Total Rev Current'!S326</f>
        <v>81.681469305358917</v>
      </c>
      <c r="M99" s="418">
        <v>0</v>
      </c>
      <c r="N99" s="419">
        <f t="shared" ref="N99:N105" si="99">L99-M99</f>
        <v>81.681469305358917</v>
      </c>
      <c r="O99" s="99"/>
      <c r="P99" s="99"/>
      <c r="Q99" s="99"/>
      <c r="R99" s="420">
        <f t="shared" ref="R99:R100" si="100">SUM(N99:Q99)</f>
        <v>81.681469305358917</v>
      </c>
      <c r="S99" s="99">
        <f>'7|Total Rev Current'!S504</f>
        <v>65.151394787562211</v>
      </c>
      <c r="T99" s="418"/>
      <c r="U99" s="419">
        <f t="shared" ref="U99:U104" si="101">S99-T99</f>
        <v>65.151394787562211</v>
      </c>
      <c r="V99" s="99"/>
      <c r="W99" s="99"/>
      <c r="X99" s="99"/>
      <c r="Y99" s="420">
        <f t="shared" ref="Y99:Y101" si="102">SUM(U99:X99)</f>
        <v>65.151394787562211</v>
      </c>
    </row>
    <row r="100" spans="3:25" s="270" customFormat="1" ht="18" customHeight="1">
      <c r="C100" s="203" t="s">
        <v>697</v>
      </c>
      <c r="D100" s="95"/>
      <c r="E100" s="99">
        <f>'7|Total Rev Current'!J327</f>
        <v>0</v>
      </c>
      <c r="F100" s="418">
        <v>0</v>
      </c>
      <c r="G100" s="419">
        <f t="shared" si="97"/>
        <v>0</v>
      </c>
      <c r="H100" s="99"/>
      <c r="I100" s="99"/>
      <c r="J100" s="99"/>
      <c r="K100" s="420">
        <f t="shared" si="98"/>
        <v>0</v>
      </c>
      <c r="L100" s="99">
        <f>'7|Total Rev Current'!S327</f>
        <v>18.114631648233111</v>
      </c>
      <c r="M100" s="418">
        <v>0</v>
      </c>
      <c r="N100" s="419">
        <f t="shared" si="99"/>
        <v>18.114631648233111</v>
      </c>
      <c r="O100" s="99"/>
      <c r="P100" s="99"/>
      <c r="Q100" s="99"/>
      <c r="R100" s="420">
        <f t="shared" si="100"/>
        <v>18.114631648233111</v>
      </c>
      <c r="S100" s="99">
        <f>'7|Total Rev Current'!S505</f>
        <v>14.004492454200513</v>
      </c>
      <c r="T100" s="418"/>
      <c r="U100" s="419">
        <f t="shared" si="101"/>
        <v>14.004492454200513</v>
      </c>
      <c r="V100" s="99"/>
      <c r="W100" s="99"/>
      <c r="X100" s="99"/>
      <c r="Y100" s="420">
        <f t="shared" si="102"/>
        <v>14.004492454200513</v>
      </c>
    </row>
    <row r="101" spans="3:25" s="270" customFormat="1" ht="18" customHeight="1">
      <c r="C101" s="203" t="s">
        <v>682</v>
      </c>
      <c r="D101" s="95"/>
      <c r="E101" s="99">
        <f>'7|Total Rev Current'!J328</f>
        <v>0</v>
      </c>
      <c r="F101" s="418">
        <v>0</v>
      </c>
      <c r="G101" s="419">
        <f t="shared" si="97"/>
        <v>0</v>
      </c>
      <c r="H101" s="99"/>
      <c r="I101" s="99"/>
      <c r="J101" s="99"/>
      <c r="K101" s="420">
        <f>SUM(G101:J101)</f>
        <v>0</v>
      </c>
      <c r="L101" s="99">
        <f>'7|Total Rev Current'!S328</f>
        <v>0</v>
      </c>
      <c r="M101" s="418">
        <v>0</v>
      </c>
      <c r="N101" s="419">
        <f t="shared" si="99"/>
        <v>0</v>
      </c>
      <c r="O101" s="99"/>
      <c r="P101" s="99"/>
      <c r="Q101" s="99"/>
      <c r="R101" s="420">
        <f>SUM(N101:Q101)</f>
        <v>0</v>
      </c>
      <c r="S101" s="99">
        <f>'7|Total Rev Current'!S506</f>
        <v>0</v>
      </c>
      <c r="T101" s="418"/>
      <c r="U101" s="419">
        <f t="shared" si="101"/>
        <v>0</v>
      </c>
      <c r="V101" s="99"/>
      <c r="W101" s="99"/>
      <c r="X101" s="99"/>
      <c r="Y101" s="420">
        <f t="shared" si="102"/>
        <v>0</v>
      </c>
    </row>
    <row r="102" spans="3:25" s="270" customFormat="1" ht="18" customHeight="1">
      <c r="C102" s="203" t="s">
        <v>683</v>
      </c>
      <c r="D102" s="95"/>
      <c r="E102" s="99">
        <f>'7|Total Rev Current'!J329</f>
        <v>13</v>
      </c>
      <c r="F102" s="418">
        <v>0</v>
      </c>
      <c r="G102" s="419">
        <f t="shared" si="97"/>
        <v>13</v>
      </c>
      <c r="H102" s="99"/>
      <c r="I102" s="99"/>
      <c r="J102" s="99"/>
      <c r="K102" s="420">
        <f>SUM(G102:J102)</f>
        <v>13</v>
      </c>
      <c r="L102" s="99">
        <f>'7|Total Rev Current'!S329</f>
        <v>6.4227132000000005</v>
      </c>
      <c r="M102" s="418">
        <v>0</v>
      </c>
      <c r="N102" s="419">
        <f t="shared" si="99"/>
        <v>6.4227132000000005</v>
      </c>
      <c r="O102" s="99"/>
      <c r="P102" s="99"/>
      <c r="Q102" s="99"/>
      <c r="R102" s="420">
        <f>SUM(N102:Q102)</f>
        <v>6.4227132000000005</v>
      </c>
      <c r="S102" s="99">
        <f>'7|Total Rev Current'!S507</f>
        <v>5.7259468007468302</v>
      </c>
      <c r="T102" s="418"/>
      <c r="U102" s="419">
        <f t="shared" si="101"/>
        <v>5.7259468007468302</v>
      </c>
      <c r="V102" s="99"/>
      <c r="W102" s="99"/>
      <c r="X102" s="99"/>
      <c r="Y102" s="420">
        <f>SUM(U102:X102)</f>
        <v>5.7259468007468302</v>
      </c>
    </row>
    <row r="103" spans="3:25" s="270" customFormat="1" ht="18" customHeight="1">
      <c r="C103" s="203" t="s">
        <v>684</v>
      </c>
      <c r="D103" s="95"/>
      <c r="E103" s="99">
        <f>'7|Total Rev Current'!J330</f>
        <v>0</v>
      </c>
      <c r="F103" s="418">
        <v>0</v>
      </c>
      <c r="G103" s="419">
        <f t="shared" si="97"/>
        <v>0</v>
      </c>
      <c r="H103" s="99"/>
      <c r="I103" s="99"/>
      <c r="J103" s="99"/>
      <c r="K103" s="420">
        <f>SUM(G103:J103)</f>
        <v>0</v>
      </c>
      <c r="L103" s="99">
        <f>'7|Total Rev Current'!S330</f>
        <v>0</v>
      </c>
      <c r="M103" s="418">
        <v>0</v>
      </c>
      <c r="N103" s="419">
        <f t="shared" si="99"/>
        <v>0</v>
      </c>
      <c r="O103" s="99"/>
      <c r="P103" s="99"/>
      <c r="Q103" s="99"/>
      <c r="R103" s="420">
        <f>SUM(N103:Q103)</f>
        <v>0</v>
      </c>
      <c r="S103" s="99">
        <f>'7|Total Rev Current'!S508</f>
        <v>0</v>
      </c>
      <c r="T103" s="418"/>
      <c r="U103" s="419">
        <f t="shared" si="101"/>
        <v>0</v>
      </c>
      <c r="V103" s="99"/>
      <c r="W103" s="99"/>
      <c r="X103" s="99"/>
      <c r="Y103" s="420">
        <f>SUM(U103:X103)</f>
        <v>0</v>
      </c>
    </row>
    <row r="104" spans="3:25" s="270" customFormat="1" ht="18" customHeight="1">
      <c r="C104" s="203" t="s">
        <v>685</v>
      </c>
      <c r="D104" s="95"/>
      <c r="E104" s="99">
        <f>'7|Total Rev Current'!J331</f>
        <v>0</v>
      </c>
      <c r="F104" s="418">
        <v>0</v>
      </c>
      <c r="G104" s="419">
        <f t="shared" si="97"/>
        <v>0</v>
      </c>
      <c r="H104" s="99"/>
      <c r="I104" s="99"/>
      <c r="J104" s="99"/>
      <c r="K104" s="420">
        <f>SUM(G104:J104)</f>
        <v>0</v>
      </c>
      <c r="L104" s="99">
        <f>'7|Total Rev Current'!S331</f>
        <v>0</v>
      </c>
      <c r="M104" s="418">
        <v>0</v>
      </c>
      <c r="N104" s="419">
        <f t="shared" si="99"/>
        <v>0</v>
      </c>
      <c r="O104" s="99"/>
      <c r="P104" s="99"/>
      <c r="Q104" s="99"/>
      <c r="R104" s="420">
        <f>SUM(N104:Q104)</f>
        <v>0</v>
      </c>
      <c r="S104" s="99">
        <f>'7|Total Rev Current'!S509</f>
        <v>0</v>
      </c>
      <c r="T104" s="418"/>
      <c r="U104" s="419">
        <f t="shared" si="101"/>
        <v>0</v>
      </c>
      <c r="V104" s="99"/>
      <c r="W104" s="99"/>
      <c r="X104" s="99"/>
      <c r="Y104" s="420">
        <f>SUM(U104:X104)</f>
        <v>0</v>
      </c>
    </row>
    <row r="105" spans="3:25" s="270" customFormat="1" ht="11.25" customHeight="1">
      <c r="C105" s="203"/>
      <c r="D105" s="95"/>
      <c r="E105" s="99"/>
      <c r="F105" s="418"/>
      <c r="G105" s="419">
        <f t="shared" si="97"/>
        <v>0</v>
      </c>
      <c r="H105" s="99"/>
      <c r="I105" s="99"/>
      <c r="J105" s="99"/>
      <c r="K105" s="420">
        <f>SUM(G105:J105)</f>
        <v>0</v>
      </c>
      <c r="L105" s="99"/>
      <c r="M105" s="418"/>
      <c r="N105" s="419">
        <f t="shared" si="99"/>
        <v>0</v>
      </c>
      <c r="O105" s="99"/>
      <c r="P105" s="99"/>
      <c r="Q105" s="99"/>
      <c r="R105" s="420">
        <f>SUM(N105:Q105)</f>
        <v>0</v>
      </c>
      <c r="S105" s="99"/>
      <c r="T105" s="418"/>
      <c r="U105" s="419"/>
      <c r="V105" s="99"/>
      <c r="W105" s="99"/>
      <c r="X105" s="99"/>
      <c r="Y105" s="420"/>
    </row>
    <row r="106" spans="3:25" s="270" customFormat="1" ht="18" customHeight="1">
      <c r="C106" s="206" t="s">
        <v>771</v>
      </c>
      <c r="D106" s="206"/>
      <c r="E106" s="206">
        <f>SUM(E108:E113)</f>
        <v>557</v>
      </c>
      <c r="F106" s="206">
        <f t="shared" ref="F106:K106" si="103">SUM(F108:F113)</f>
        <v>0</v>
      </c>
      <c r="G106" s="206">
        <f t="shared" si="103"/>
        <v>557</v>
      </c>
      <c r="H106" s="206">
        <f t="shared" si="103"/>
        <v>0</v>
      </c>
      <c r="I106" s="206">
        <f t="shared" si="103"/>
        <v>0</v>
      </c>
      <c r="J106" s="206">
        <f t="shared" si="103"/>
        <v>0</v>
      </c>
      <c r="K106" s="206">
        <f t="shared" si="103"/>
        <v>259</v>
      </c>
      <c r="L106" s="206">
        <f>SUM(L108:L113)</f>
        <v>1948.9049675485853</v>
      </c>
      <c r="M106" s="206">
        <f t="shared" ref="M106:Y106" si="104">SUM(M108:M113)</f>
        <v>0</v>
      </c>
      <c r="N106" s="206">
        <f t="shared" si="104"/>
        <v>1948.9049675485853</v>
      </c>
      <c r="O106" s="206">
        <f t="shared" si="104"/>
        <v>0</v>
      </c>
      <c r="P106" s="206">
        <f t="shared" si="104"/>
        <v>0</v>
      </c>
      <c r="Q106" s="206">
        <f t="shared" si="104"/>
        <v>0</v>
      </c>
      <c r="R106" s="206">
        <f t="shared" si="104"/>
        <v>1660.4064934971852</v>
      </c>
      <c r="S106" s="206">
        <f t="shared" si="104"/>
        <v>2062.5733696756106</v>
      </c>
      <c r="T106" s="206">
        <f t="shared" si="104"/>
        <v>0</v>
      </c>
      <c r="U106" s="206">
        <f t="shared" si="104"/>
        <v>2062.5733696756106</v>
      </c>
      <c r="V106" s="206">
        <f t="shared" si="104"/>
        <v>0</v>
      </c>
      <c r="W106" s="206">
        <f t="shared" si="104"/>
        <v>0</v>
      </c>
      <c r="X106" s="206">
        <f t="shared" si="104"/>
        <v>0</v>
      </c>
      <c r="Y106" s="206">
        <f t="shared" si="104"/>
        <v>1776.5278916272669</v>
      </c>
    </row>
    <row r="107" spans="3:25" s="270" customFormat="1" ht="16.5" customHeight="1">
      <c r="C107" s="203" t="s">
        <v>699</v>
      </c>
      <c r="D107" s="95"/>
      <c r="E107" s="99">
        <f>SUM(E108:E110)</f>
        <v>298</v>
      </c>
      <c r="F107" s="418">
        <v>0</v>
      </c>
      <c r="G107" s="419">
        <f t="shared" ref="G107:G111" si="105">E107-F107</f>
        <v>298</v>
      </c>
      <c r="H107" s="99"/>
      <c r="I107" s="99"/>
      <c r="J107" s="99"/>
      <c r="K107" s="420">
        <f t="shared" ref="K107:K109" si="106">SUM(G107:J107)</f>
        <v>298</v>
      </c>
      <c r="L107" s="99">
        <f>SUM(L108:L110)</f>
        <v>880.43725306074509</v>
      </c>
      <c r="M107" s="418">
        <v>0</v>
      </c>
      <c r="N107" s="419">
        <f t="shared" ref="N107:N110" si="107">L107-M107</f>
        <v>880.43725306074509</v>
      </c>
      <c r="O107" s="99"/>
      <c r="P107" s="99"/>
      <c r="Q107" s="99"/>
      <c r="R107" s="420">
        <f t="shared" ref="R107:R109" si="108">SUM(N107:Q107)</f>
        <v>880.43725306074509</v>
      </c>
      <c r="S107" s="99">
        <f>SUM(S108:S110)</f>
        <v>926.62370428304575</v>
      </c>
      <c r="T107" s="418">
        <f>'7|Total Rev Current'!T515</f>
        <v>0</v>
      </c>
      <c r="U107" s="419">
        <f t="shared" ref="U107:U111" si="109">S107-T107</f>
        <v>926.62370428304575</v>
      </c>
      <c r="V107" s="99"/>
      <c r="W107" s="99"/>
      <c r="X107" s="99"/>
      <c r="Y107" s="420">
        <f t="shared" ref="Y107:Y109" si="110">SUM(U107:X107)</f>
        <v>926.62370428304575</v>
      </c>
    </row>
    <row r="108" spans="3:25" s="270" customFormat="1" ht="16.5" customHeight="1">
      <c r="C108" s="203" t="s">
        <v>700</v>
      </c>
      <c r="D108" s="95"/>
      <c r="E108" s="99">
        <f>'7|Total Rev Current'!J335+'7|Total Rev Current'!J339</f>
        <v>0</v>
      </c>
      <c r="F108" s="418">
        <v>0</v>
      </c>
      <c r="G108" s="419">
        <f t="shared" si="105"/>
        <v>0</v>
      </c>
      <c r="H108" s="99"/>
      <c r="I108" s="99"/>
      <c r="J108" s="99"/>
      <c r="K108" s="420">
        <f t="shared" si="106"/>
        <v>0</v>
      </c>
      <c r="L108" s="99">
        <f>'7|Total Rev Current'!S335+'7|Total Rev Current'!S339</f>
        <v>303.99709852774515</v>
      </c>
      <c r="M108" s="418">
        <v>0</v>
      </c>
      <c r="N108" s="419">
        <f t="shared" si="107"/>
        <v>303.99709852774515</v>
      </c>
      <c r="O108" s="99"/>
      <c r="P108" s="99"/>
      <c r="Q108" s="99"/>
      <c r="R108" s="420">
        <f t="shared" si="108"/>
        <v>303.99709852774515</v>
      </c>
      <c r="S108" s="99">
        <f>'7|Total Rev Current'!S513+'7|Total Rev Current'!S517</f>
        <v>323.85980254641561</v>
      </c>
      <c r="T108" s="418"/>
      <c r="U108" s="419">
        <f t="shared" si="109"/>
        <v>323.85980254641561</v>
      </c>
      <c r="V108" s="99"/>
      <c r="W108" s="99"/>
      <c r="X108" s="99"/>
      <c r="Y108" s="420">
        <f t="shared" si="110"/>
        <v>323.85980254641561</v>
      </c>
    </row>
    <row r="109" spans="3:25" s="270" customFormat="1" ht="16.5" customHeight="1">
      <c r="C109" s="203" t="s">
        <v>701</v>
      </c>
      <c r="D109" s="95"/>
      <c r="E109" s="99">
        <f>'7|Total Rev Current'!J336+'7|Total Rev Current'!J340</f>
        <v>0</v>
      </c>
      <c r="F109" s="418">
        <v>0</v>
      </c>
      <c r="G109" s="419">
        <f t="shared" si="105"/>
        <v>0</v>
      </c>
      <c r="H109" s="99"/>
      <c r="I109" s="99"/>
      <c r="J109" s="99"/>
      <c r="K109" s="420">
        <f t="shared" si="106"/>
        <v>0</v>
      </c>
      <c r="L109" s="99">
        <f>'7|Total Rev Current'!S336+'7|Total Rev Current'!S340</f>
        <v>287.94168048159997</v>
      </c>
      <c r="M109" s="418">
        <v>0</v>
      </c>
      <c r="N109" s="419">
        <f t="shared" si="107"/>
        <v>287.94168048159997</v>
      </c>
      <c r="O109" s="99"/>
      <c r="P109" s="99"/>
      <c r="Q109" s="99"/>
      <c r="R109" s="420">
        <f t="shared" si="108"/>
        <v>287.94168048159997</v>
      </c>
      <c r="S109" s="99">
        <f>'7|Total Rev Current'!S514+'7|Total Rev Current'!S518</f>
        <v>316.71842368828629</v>
      </c>
      <c r="T109" s="418"/>
      <c r="U109" s="419">
        <f t="shared" si="109"/>
        <v>316.71842368828629</v>
      </c>
      <c r="V109" s="99"/>
      <c r="W109" s="99"/>
      <c r="X109" s="99"/>
      <c r="Y109" s="420">
        <f t="shared" si="110"/>
        <v>316.71842368828629</v>
      </c>
    </row>
    <row r="110" spans="3:25" s="270" customFormat="1" ht="16.5" customHeight="1">
      <c r="C110" s="203" t="s">
        <v>933</v>
      </c>
      <c r="D110" s="95"/>
      <c r="E110" s="99">
        <f>'7|Total Rev Current'!J337+'7|Total Rev Current'!J341</f>
        <v>298</v>
      </c>
      <c r="F110" s="418">
        <v>0</v>
      </c>
      <c r="G110" s="419">
        <f t="shared" si="105"/>
        <v>298</v>
      </c>
      <c r="H110" s="99"/>
      <c r="I110" s="99"/>
      <c r="J110" s="99"/>
      <c r="K110" s="420"/>
      <c r="L110" s="99">
        <f>'7|Total Rev Current'!S337+'7|Total Rev Current'!S341</f>
        <v>288.49847405139997</v>
      </c>
      <c r="M110" s="418">
        <v>0</v>
      </c>
      <c r="N110" s="419">
        <f t="shared" si="107"/>
        <v>288.49847405139997</v>
      </c>
      <c r="O110" s="99"/>
      <c r="P110" s="99"/>
      <c r="Q110" s="99"/>
      <c r="R110" s="420"/>
      <c r="S110" s="99">
        <f>'7|Total Rev Current'!S515+'7|Total Rev Current'!S519</f>
        <v>286.0454780483438</v>
      </c>
      <c r="T110" s="418"/>
      <c r="U110" s="419">
        <f t="shared" si="109"/>
        <v>286.0454780483438</v>
      </c>
      <c r="V110" s="99"/>
      <c r="W110" s="99"/>
      <c r="X110" s="99"/>
      <c r="Y110" s="420"/>
    </row>
    <row r="111" spans="3:25" s="270" customFormat="1" ht="16.5" customHeight="1">
      <c r="C111" s="203" t="s">
        <v>592</v>
      </c>
      <c r="D111" s="95"/>
      <c r="E111" s="99">
        <f>'7|Total Rev Current'!J342</f>
        <v>0</v>
      </c>
      <c r="F111" s="418">
        <v>0</v>
      </c>
      <c r="G111" s="419">
        <f t="shared" si="105"/>
        <v>0</v>
      </c>
      <c r="H111" s="99"/>
      <c r="I111" s="99"/>
      <c r="J111" s="99"/>
      <c r="K111" s="420">
        <f t="shared" ref="K111:K113" si="111">SUM(G111:J111)</f>
        <v>0</v>
      </c>
      <c r="L111" s="99">
        <f>'7|Total Rev Current'!S342</f>
        <v>27.404254160416503</v>
      </c>
      <c r="M111" s="418">
        <v>0</v>
      </c>
      <c r="N111" s="419">
        <f t="shared" ref="N111" si="112">L111-M111</f>
        <v>27.404254160416503</v>
      </c>
      <c r="O111" s="99"/>
      <c r="P111" s="99"/>
      <c r="Q111" s="99"/>
      <c r="R111" s="420">
        <f t="shared" ref="R111:R113" si="113">SUM(N111:Q111)</f>
        <v>27.404254160416503</v>
      </c>
      <c r="S111" s="99">
        <f>'7|Total Rev Current'!S520</f>
        <v>27.83798313803705</v>
      </c>
      <c r="T111" s="418"/>
      <c r="U111" s="419">
        <f t="shared" si="109"/>
        <v>27.83798313803705</v>
      </c>
      <c r="V111" s="99"/>
      <c r="W111" s="99"/>
      <c r="X111" s="99"/>
      <c r="Y111" s="420">
        <f t="shared" ref="Y111:Y113" si="114">SUM(U111:X111)</f>
        <v>27.83798313803705</v>
      </c>
    </row>
    <row r="112" spans="3:25" s="270" customFormat="1" ht="16.5" customHeight="1">
      <c r="C112" s="203" t="s">
        <v>702</v>
      </c>
      <c r="D112" s="95"/>
      <c r="E112" s="99">
        <f>'7|Total Rev Current'!J343</f>
        <v>0</v>
      </c>
      <c r="F112" s="418">
        <v>0</v>
      </c>
      <c r="G112" s="419">
        <f>E112-F112</f>
        <v>0</v>
      </c>
      <c r="H112" s="99"/>
      <c r="I112" s="99"/>
      <c r="J112" s="99"/>
      <c r="K112" s="420">
        <f t="shared" si="111"/>
        <v>0</v>
      </c>
      <c r="L112" s="99">
        <f>'7|Total Rev Current'!S343</f>
        <v>0</v>
      </c>
      <c r="M112" s="418">
        <v>0</v>
      </c>
      <c r="N112" s="419">
        <f>L112-M112</f>
        <v>0</v>
      </c>
      <c r="O112" s="99"/>
      <c r="P112" s="99"/>
      <c r="Q112" s="99"/>
      <c r="R112" s="420">
        <f t="shared" si="113"/>
        <v>0</v>
      </c>
      <c r="S112" s="99">
        <f>'7|Total Rev Current'!S521</f>
        <v>0</v>
      </c>
      <c r="T112" s="418"/>
      <c r="U112" s="419">
        <f t="shared" ref="U112:U113" si="115">S112-T112</f>
        <v>0</v>
      </c>
      <c r="V112" s="99"/>
      <c r="W112" s="99"/>
      <c r="X112" s="99"/>
      <c r="Y112" s="420">
        <f t="shared" si="114"/>
        <v>0</v>
      </c>
    </row>
    <row r="113" spans="2:25" s="270" customFormat="1" ht="16.5" customHeight="1">
      <c r="C113" s="203" t="s">
        <v>703</v>
      </c>
      <c r="D113" s="95"/>
      <c r="E113" s="99">
        <f>'7|Total Rev Current'!J344</f>
        <v>259</v>
      </c>
      <c r="F113" s="418">
        <v>0</v>
      </c>
      <c r="G113" s="419">
        <f>E113-F113</f>
        <v>259</v>
      </c>
      <c r="H113" s="99"/>
      <c r="I113" s="99"/>
      <c r="J113" s="99"/>
      <c r="K113" s="420">
        <f t="shared" si="111"/>
        <v>259</v>
      </c>
      <c r="L113" s="99">
        <f>'7|Total Rev Current'!S344</f>
        <v>1041.0634603274236</v>
      </c>
      <c r="M113" s="418">
        <v>0</v>
      </c>
      <c r="N113" s="419">
        <f>L113-M113</f>
        <v>1041.0634603274236</v>
      </c>
      <c r="O113" s="99"/>
      <c r="P113" s="99"/>
      <c r="Q113" s="99"/>
      <c r="R113" s="420">
        <f t="shared" si="113"/>
        <v>1041.0634603274236</v>
      </c>
      <c r="S113" s="99">
        <f>'7|Total Rev Current'!S522</f>
        <v>1108.1116822545278</v>
      </c>
      <c r="T113" s="418"/>
      <c r="U113" s="419">
        <f t="shared" si="115"/>
        <v>1108.1116822545278</v>
      </c>
      <c r="V113" s="99"/>
      <c r="W113" s="99"/>
      <c r="X113" s="99"/>
      <c r="Y113" s="420">
        <f t="shared" si="114"/>
        <v>1108.1116822545278</v>
      </c>
    </row>
    <row r="114" spans="2:25" s="270" customFormat="1" ht="18" customHeight="1">
      <c r="C114" s="206" t="s">
        <v>773</v>
      </c>
      <c r="D114" s="206"/>
      <c r="E114" s="206">
        <f>SUM(E115:E118)</f>
        <v>0</v>
      </c>
      <c r="F114" s="206">
        <f t="shared" ref="F114:K114" si="116">SUM(F115:F118)</f>
        <v>0</v>
      </c>
      <c r="G114" s="206">
        <f t="shared" si="116"/>
        <v>0</v>
      </c>
      <c r="H114" s="206">
        <f t="shared" si="116"/>
        <v>0</v>
      </c>
      <c r="I114" s="206">
        <f t="shared" si="116"/>
        <v>0</v>
      </c>
      <c r="J114" s="206">
        <f t="shared" si="116"/>
        <v>0</v>
      </c>
      <c r="K114" s="206">
        <f t="shared" si="116"/>
        <v>0</v>
      </c>
      <c r="L114" s="206">
        <f>SUM(L115:L118)</f>
        <v>0</v>
      </c>
      <c r="M114" s="206">
        <f t="shared" ref="M114:Y114" si="117">SUM(M115:M118)</f>
        <v>0</v>
      </c>
      <c r="N114" s="206">
        <f t="shared" si="117"/>
        <v>0</v>
      </c>
      <c r="O114" s="206">
        <f t="shared" si="117"/>
        <v>0</v>
      </c>
      <c r="P114" s="206">
        <f t="shared" si="117"/>
        <v>0</v>
      </c>
      <c r="Q114" s="206">
        <f t="shared" si="117"/>
        <v>0</v>
      </c>
      <c r="R114" s="206">
        <f t="shared" si="117"/>
        <v>0</v>
      </c>
      <c r="S114" s="206">
        <f t="shared" si="117"/>
        <v>0</v>
      </c>
      <c r="T114" s="206">
        <f t="shared" si="117"/>
        <v>0</v>
      </c>
      <c r="U114" s="206">
        <f t="shared" si="117"/>
        <v>0</v>
      </c>
      <c r="V114" s="206">
        <f t="shared" si="117"/>
        <v>0</v>
      </c>
      <c r="W114" s="206">
        <f t="shared" si="117"/>
        <v>0</v>
      </c>
      <c r="X114" s="206">
        <f t="shared" si="117"/>
        <v>0</v>
      </c>
      <c r="Y114" s="206">
        <f t="shared" si="117"/>
        <v>0</v>
      </c>
    </row>
    <row r="115" spans="2:25" s="270" customFormat="1" ht="21">
      <c r="C115" s="203" t="s">
        <v>708</v>
      </c>
      <c r="D115" s="95"/>
      <c r="E115" s="99">
        <f>'7|Total Rev Current'!J346</f>
        <v>0</v>
      </c>
      <c r="F115" s="418">
        <v>0</v>
      </c>
      <c r="G115" s="419">
        <f>E115-F115</f>
        <v>0</v>
      </c>
      <c r="H115" s="99"/>
      <c r="I115" s="99"/>
      <c r="J115" s="99"/>
      <c r="K115" s="420">
        <f t="shared" ref="K115:K118" si="118">SUM(G115:J115)</f>
        <v>0</v>
      </c>
      <c r="L115" s="99">
        <f>'7|Total Rev Current'!S346</f>
        <v>0</v>
      </c>
      <c r="M115" s="418">
        <v>0</v>
      </c>
      <c r="N115" s="419">
        <f>L115-M115</f>
        <v>0</v>
      </c>
      <c r="O115" s="99"/>
      <c r="P115" s="99"/>
      <c r="Q115" s="99"/>
      <c r="R115" s="420">
        <f t="shared" ref="R115:R118" si="119">SUM(N115:Q115)</f>
        <v>0</v>
      </c>
      <c r="S115" s="99">
        <f>'7|Total Rev Current'!S524</f>
        <v>0</v>
      </c>
      <c r="T115" s="418"/>
      <c r="U115" s="419">
        <f>S115-T115</f>
        <v>0</v>
      </c>
      <c r="V115" s="99"/>
      <c r="W115" s="99"/>
      <c r="X115" s="99"/>
      <c r="Y115" s="420">
        <f>SUM(U115:X115)</f>
        <v>0</v>
      </c>
    </row>
    <row r="116" spans="2:25" s="270" customFormat="1" ht="15" customHeight="1">
      <c r="C116" s="203" t="s">
        <v>687</v>
      </c>
      <c r="D116" s="95"/>
      <c r="E116" s="99">
        <f>'7|Total Rev Current'!J347</f>
        <v>0</v>
      </c>
      <c r="F116" s="418">
        <v>0</v>
      </c>
      <c r="G116" s="419">
        <f>E116-F116</f>
        <v>0</v>
      </c>
      <c r="H116" s="99"/>
      <c r="I116" s="99"/>
      <c r="J116" s="99"/>
      <c r="K116" s="420">
        <f t="shared" si="118"/>
        <v>0</v>
      </c>
      <c r="L116" s="99">
        <f>'7|Total Rev Current'!S347</f>
        <v>0</v>
      </c>
      <c r="M116" s="418">
        <v>0</v>
      </c>
      <c r="N116" s="419">
        <f>L116-M116</f>
        <v>0</v>
      </c>
      <c r="O116" s="99"/>
      <c r="P116" s="99"/>
      <c r="Q116" s="99"/>
      <c r="R116" s="420">
        <f t="shared" si="119"/>
        <v>0</v>
      </c>
      <c r="S116" s="99">
        <f>'7|Total Rev Current'!S525</f>
        <v>0</v>
      </c>
      <c r="T116" s="418"/>
      <c r="U116" s="419">
        <f>S116-T116</f>
        <v>0</v>
      </c>
      <c r="V116" s="99"/>
      <c r="W116" s="99"/>
      <c r="X116" s="99"/>
      <c r="Y116" s="420">
        <f>SUM(U116:X116)</f>
        <v>0</v>
      </c>
    </row>
    <row r="117" spans="2:25" s="270" customFormat="1" ht="15" customHeight="1">
      <c r="C117" s="203" t="s">
        <v>688</v>
      </c>
      <c r="D117" s="95"/>
      <c r="E117" s="99">
        <f>'7|Total Rev Current'!J348</f>
        <v>0</v>
      </c>
      <c r="F117" s="418">
        <v>0</v>
      </c>
      <c r="G117" s="419">
        <f>E117-F117</f>
        <v>0</v>
      </c>
      <c r="H117" s="99"/>
      <c r="I117" s="99"/>
      <c r="J117" s="99"/>
      <c r="K117" s="420">
        <f t="shared" si="118"/>
        <v>0</v>
      </c>
      <c r="L117" s="99">
        <f>'7|Total Rev Current'!S348</f>
        <v>0</v>
      </c>
      <c r="M117" s="418">
        <v>0</v>
      </c>
      <c r="N117" s="419">
        <f>L117-M117</f>
        <v>0</v>
      </c>
      <c r="O117" s="99"/>
      <c r="P117" s="99"/>
      <c r="Q117" s="99"/>
      <c r="R117" s="420">
        <f t="shared" si="119"/>
        <v>0</v>
      </c>
      <c r="S117" s="99">
        <f>'7|Total Rev Current'!S526</f>
        <v>0</v>
      </c>
      <c r="T117" s="418"/>
      <c r="U117" s="419">
        <f>S117-T117</f>
        <v>0</v>
      </c>
      <c r="V117" s="99"/>
      <c r="W117" s="99"/>
      <c r="X117" s="99"/>
      <c r="Y117" s="420">
        <f>SUM(U117:X117)</f>
        <v>0</v>
      </c>
    </row>
    <row r="118" spans="2:25" s="270" customFormat="1" ht="15" customHeight="1">
      <c r="C118" s="203" t="s">
        <v>704</v>
      </c>
      <c r="D118" s="95"/>
      <c r="E118" s="99">
        <f>'7|Total Rev Current'!J349</f>
        <v>0</v>
      </c>
      <c r="F118" s="418">
        <v>0</v>
      </c>
      <c r="G118" s="419">
        <f>E118-F118</f>
        <v>0</v>
      </c>
      <c r="H118" s="99"/>
      <c r="I118" s="99"/>
      <c r="J118" s="99"/>
      <c r="K118" s="420">
        <f t="shared" si="118"/>
        <v>0</v>
      </c>
      <c r="L118" s="99">
        <f>'7|Total Rev Current'!S349</f>
        <v>0</v>
      </c>
      <c r="M118" s="418">
        <v>0</v>
      </c>
      <c r="N118" s="419">
        <f>L118-M118</f>
        <v>0</v>
      </c>
      <c r="O118" s="99"/>
      <c r="P118" s="99"/>
      <c r="Q118" s="99"/>
      <c r="R118" s="420">
        <f t="shared" si="119"/>
        <v>0</v>
      </c>
      <c r="S118" s="99">
        <f>'7|Total Rev Current'!S527</f>
        <v>0</v>
      </c>
      <c r="T118" s="418"/>
      <c r="U118" s="419">
        <f>S118-T118</f>
        <v>0</v>
      </c>
      <c r="V118" s="99"/>
      <c r="W118" s="99"/>
      <c r="X118" s="99"/>
      <c r="Y118" s="420">
        <f>SUM(U118:X118)</f>
        <v>0</v>
      </c>
    </row>
    <row r="119" spans="2:25" s="270" customFormat="1" ht="18" customHeight="1">
      <c r="C119" s="206" t="s">
        <v>775</v>
      </c>
      <c r="D119" s="206"/>
      <c r="E119" s="206">
        <f>E120+E121</f>
        <v>244.91000000000003</v>
      </c>
      <c r="F119" s="206">
        <f t="shared" ref="F119:K119" si="120">F120+F121</f>
        <v>0</v>
      </c>
      <c r="G119" s="206">
        <f t="shared" si="120"/>
        <v>244.91000000000003</v>
      </c>
      <c r="H119" s="206">
        <f t="shared" si="120"/>
        <v>0</v>
      </c>
      <c r="I119" s="206">
        <f t="shared" si="120"/>
        <v>0</v>
      </c>
      <c r="J119" s="206">
        <f t="shared" si="120"/>
        <v>0</v>
      </c>
      <c r="K119" s="206">
        <f t="shared" si="120"/>
        <v>244.91000000000003</v>
      </c>
      <c r="L119" s="206">
        <f>L120+L121</f>
        <v>160.45736194459286</v>
      </c>
      <c r="M119" s="206">
        <f t="shared" ref="M119:Y119" si="121">M120+M121</f>
        <v>0</v>
      </c>
      <c r="N119" s="206">
        <f t="shared" si="121"/>
        <v>160.45736194459286</v>
      </c>
      <c r="O119" s="206">
        <f t="shared" si="121"/>
        <v>0</v>
      </c>
      <c r="P119" s="206">
        <f t="shared" si="121"/>
        <v>0</v>
      </c>
      <c r="Q119" s="206">
        <f t="shared" si="121"/>
        <v>0</v>
      </c>
      <c r="R119" s="206">
        <f t="shared" si="121"/>
        <v>160.45736194459286</v>
      </c>
      <c r="S119" s="206">
        <f t="shared" si="121"/>
        <v>176.48938225255799</v>
      </c>
      <c r="T119" s="206">
        <f t="shared" si="121"/>
        <v>0</v>
      </c>
      <c r="U119" s="206">
        <f t="shared" si="121"/>
        <v>176.48938225255799</v>
      </c>
      <c r="V119" s="206">
        <f t="shared" si="121"/>
        <v>0</v>
      </c>
      <c r="W119" s="206">
        <f t="shared" si="121"/>
        <v>0</v>
      </c>
      <c r="X119" s="206">
        <f t="shared" si="121"/>
        <v>0</v>
      </c>
      <c r="Y119" s="206">
        <f t="shared" si="121"/>
        <v>176.48938225255799</v>
      </c>
    </row>
    <row r="120" spans="2:25" s="270" customFormat="1" ht="18" customHeight="1">
      <c r="B120" s="270">
        <v>10073</v>
      </c>
      <c r="C120" s="203" t="s">
        <v>692</v>
      </c>
      <c r="D120" s="95"/>
      <c r="E120" s="99">
        <f>'7|Total Rev Current'!J351</f>
        <v>0</v>
      </c>
      <c r="F120" s="418">
        <v>0</v>
      </c>
      <c r="G120" s="419">
        <f>E120-F120</f>
        <v>0</v>
      </c>
      <c r="H120" s="422"/>
      <c r="I120" s="422"/>
      <c r="J120" s="422"/>
      <c r="K120" s="420">
        <f t="shared" ref="K120:K121" si="122">SUM(G120:J120)</f>
        <v>0</v>
      </c>
      <c r="L120" s="99">
        <f>'7|Total Rev Current'!S351</f>
        <v>0</v>
      </c>
      <c r="M120" s="418">
        <v>0</v>
      </c>
      <c r="N120" s="419">
        <f>L120-M120</f>
        <v>0</v>
      </c>
      <c r="O120" s="422"/>
      <c r="P120" s="422"/>
      <c r="Q120" s="422"/>
      <c r="R120" s="420">
        <f t="shared" ref="R120:R121" si="123">SUM(N120:Q120)</f>
        <v>0</v>
      </c>
      <c r="S120" s="99">
        <f>'7|Total Rev Current'!S529</f>
        <v>0</v>
      </c>
      <c r="T120" s="418"/>
      <c r="U120" s="419">
        <f>S120-T120</f>
        <v>0</v>
      </c>
      <c r="V120" s="422"/>
      <c r="W120" s="422"/>
      <c r="X120" s="422"/>
      <c r="Y120" s="420">
        <f t="shared" ref="Y120:Y121" si="124">SUM(U120:X120)</f>
        <v>0</v>
      </c>
    </row>
    <row r="121" spans="2:25" s="270" customFormat="1" ht="23.25" customHeight="1">
      <c r="B121" s="270">
        <v>10105</v>
      </c>
      <c r="C121" s="203" t="s">
        <v>707</v>
      </c>
      <c r="D121" s="95"/>
      <c r="E121" s="99">
        <f>'7|Total Rev Current'!J352</f>
        <v>244.91000000000003</v>
      </c>
      <c r="F121" s="418">
        <v>0</v>
      </c>
      <c r="G121" s="419">
        <f>E121-F121</f>
        <v>244.91000000000003</v>
      </c>
      <c r="H121" s="99"/>
      <c r="I121" s="99"/>
      <c r="J121" s="99"/>
      <c r="K121" s="420">
        <f t="shared" si="122"/>
        <v>244.91000000000003</v>
      </c>
      <c r="L121" s="99">
        <f>'7|Total Rev Current'!S352</f>
        <v>160.45736194459286</v>
      </c>
      <c r="M121" s="418">
        <v>0</v>
      </c>
      <c r="N121" s="419">
        <f>L121-M121</f>
        <v>160.45736194459286</v>
      </c>
      <c r="O121" s="99"/>
      <c r="P121" s="99"/>
      <c r="Q121" s="99"/>
      <c r="R121" s="420">
        <f t="shared" si="123"/>
        <v>160.45736194459286</v>
      </c>
      <c r="S121" s="99">
        <f>'7|Total Rev Current'!S530</f>
        <v>176.48938225255799</v>
      </c>
      <c r="T121" s="418"/>
      <c r="U121" s="419">
        <f>S121-T121</f>
        <v>176.48938225255799</v>
      </c>
      <c r="V121" s="99"/>
      <c r="W121" s="99"/>
      <c r="X121" s="99"/>
      <c r="Y121" s="420">
        <f t="shared" si="124"/>
        <v>176.48938225255799</v>
      </c>
    </row>
    <row r="122" spans="2:25" s="270" customFormat="1" ht="18" customHeight="1">
      <c r="B122" s="270">
        <v>10116</v>
      </c>
      <c r="C122" s="1459" t="s">
        <v>644</v>
      </c>
      <c r="D122" s="103"/>
      <c r="E122" s="103">
        <f>E17+E9</f>
        <v>14017.973313445</v>
      </c>
      <c r="F122" s="103">
        <f t="shared" ref="F122:J122" si="125">F17+F9</f>
        <v>0</v>
      </c>
      <c r="G122" s="103">
        <f t="shared" si="125"/>
        <v>14017.973313445</v>
      </c>
      <c r="H122" s="103">
        <f t="shared" si="125"/>
        <v>0</v>
      </c>
      <c r="I122" s="103">
        <f t="shared" si="125"/>
        <v>0</v>
      </c>
      <c r="J122" s="103">
        <f t="shared" si="125"/>
        <v>0</v>
      </c>
      <c r="K122" s="420">
        <f t="shared" ref="K122" si="126">SUM(G122:J122)</f>
        <v>14017.973313445</v>
      </c>
      <c r="L122" s="103">
        <f>L17+L9</f>
        <v>16257.960970001765</v>
      </c>
      <c r="M122" s="103">
        <f t="shared" ref="M122:X122" si="127">M17+M9</f>
        <v>0</v>
      </c>
      <c r="N122" s="103">
        <f t="shared" si="127"/>
        <v>16257.960970001765</v>
      </c>
      <c r="O122" s="103">
        <f t="shared" si="127"/>
        <v>0</v>
      </c>
      <c r="P122" s="103">
        <f t="shared" si="127"/>
        <v>0</v>
      </c>
      <c r="Q122" s="103">
        <f t="shared" si="127"/>
        <v>0</v>
      </c>
      <c r="R122" s="420">
        <f t="shared" si="76"/>
        <v>16257.960970001765</v>
      </c>
      <c r="S122" s="103">
        <f t="shared" si="127"/>
        <v>17331.891481597275</v>
      </c>
      <c r="T122" s="103">
        <f t="shared" si="127"/>
        <v>0</v>
      </c>
      <c r="U122" s="103">
        <f t="shared" si="127"/>
        <v>17331.891481597275</v>
      </c>
      <c r="V122" s="103">
        <f t="shared" si="127"/>
        <v>0</v>
      </c>
      <c r="W122" s="103">
        <f t="shared" si="127"/>
        <v>0</v>
      </c>
      <c r="X122" s="103">
        <f t="shared" si="127"/>
        <v>0</v>
      </c>
      <c r="Y122" s="103">
        <f t="shared" si="86"/>
        <v>17331.891481597275</v>
      </c>
    </row>
    <row r="123" spans="2:25" ht="15" customHeight="1"/>
    <row r="124" spans="2:25" ht="15" customHeight="1">
      <c r="E124" s="104"/>
      <c r="L124" s="104"/>
      <c r="S124" s="104"/>
    </row>
    <row r="125" spans="2:25" ht="15" customHeight="1"/>
    <row r="126" spans="2:25" ht="15" customHeight="1">
      <c r="U126" s="104"/>
    </row>
    <row r="127" spans="2:25" ht="15" customHeight="1"/>
    <row r="128" spans="2:25"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sheetData>
  <mergeCells count="17">
    <mergeCell ref="J7:J8"/>
    <mergeCell ref="K7:K8"/>
    <mergeCell ref="X7:X8"/>
    <mergeCell ref="D6:D8"/>
    <mergeCell ref="O7:P7"/>
    <mergeCell ref="C6:C8"/>
    <mergeCell ref="S6:Y6"/>
    <mergeCell ref="S7:U7"/>
    <mergeCell ref="Y7:Y8"/>
    <mergeCell ref="V7:W7"/>
    <mergeCell ref="L7:N7"/>
    <mergeCell ref="R7:R8"/>
    <mergeCell ref="Q7:Q8"/>
    <mergeCell ref="L6:R6"/>
    <mergeCell ref="E6:K6"/>
    <mergeCell ref="E7:G7"/>
    <mergeCell ref="H7:I7"/>
  </mergeCells>
  <phoneticPr fontId="11" type="noConversion"/>
  <dataValidations count="1">
    <dataValidation type="decimal" allowBlank="1" showInputMessage="1" showErrorMessage="1" sqref="E1:Y5 E7:Y65542">
      <formula1>-9.99999999999999E+21</formula1>
      <formula2>9.99999999999999E+25</formula2>
    </dataValidation>
  </dataValidations>
  <hyperlinks>
    <hyperlink ref="A1" location="Index!A1" display="Index sheet"/>
  </hyperlinks>
  <printOptions horizontalCentered="1"/>
  <pageMargins left="0.51181102362204722" right="0.51181102362204722" top="0.51181102362204722" bottom="0.51181102362204722" header="0.23622047244094491" footer="0.23622047244094491"/>
  <pageSetup paperSize="9" scale="80" fitToHeight="4" pageOrder="overThenDown" orientation="landscape" blackAndWhite="1" r:id="rId1"/>
  <headerFooter alignWithMargins="0"/>
  <rowBreaks count="2" manualBreakCount="2">
    <brk id="43" min="2" max="24" man="1"/>
    <brk id="95" min="2" max="24" man="1"/>
  </rowBreaks>
</worksheet>
</file>

<file path=xl/worksheets/sheet30.xml><?xml version="1.0" encoding="utf-8"?>
<worksheet xmlns="http://schemas.openxmlformats.org/spreadsheetml/2006/main" xmlns:r="http://schemas.openxmlformats.org/officeDocument/2006/relationships">
  <sheetPr codeName="Sheet27">
    <pageSetUpPr fitToPage="1"/>
  </sheetPr>
  <dimension ref="B1:H117"/>
  <sheetViews>
    <sheetView view="pageBreakPreview" topLeftCell="B22" zoomScale="115" zoomScaleSheetLayoutView="115" workbookViewId="0">
      <selection activeCell="C18" sqref="C18:G18"/>
    </sheetView>
  </sheetViews>
  <sheetFormatPr defaultRowHeight="10.5"/>
  <cols>
    <col min="1" max="1" width="0" style="92" hidden="1" customWidth="1"/>
    <col min="2" max="2" width="54.42578125" style="92" customWidth="1"/>
    <col min="3" max="3" width="6" style="92" customWidth="1"/>
    <col min="4" max="4" width="13.85546875" style="282" customWidth="1"/>
    <col min="5" max="5" width="10.85546875" style="104" customWidth="1"/>
    <col min="6" max="6" width="11.140625" style="92" customWidth="1"/>
    <col min="7" max="16384" width="9.140625" style="92"/>
  </cols>
  <sheetData>
    <row r="1" spans="2:8">
      <c r="B1" s="136" t="s">
        <v>396</v>
      </c>
      <c r="C1" s="136"/>
    </row>
    <row r="3" spans="2:8" s="91" customFormat="1">
      <c r="B3" s="91" t="s">
        <v>344</v>
      </c>
      <c r="D3" s="284"/>
      <c r="E3" s="283"/>
    </row>
    <row r="4" spans="2:8" s="91" customFormat="1">
      <c r="B4" s="91" t="s">
        <v>381</v>
      </c>
      <c r="D4" s="284"/>
      <c r="E4" s="283"/>
    </row>
    <row r="5" spans="2:8">
      <c r="B5" s="91" t="s">
        <v>974</v>
      </c>
    </row>
    <row r="6" spans="2:8">
      <c r="B6" s="1771" t="s">
        <v>342</v>
      </c>
      <c r="C6" s="1425"/>
      <c r="D6" s="1771" t="s">
        <v>98</v>
      </c>
      <c r="E6" s="1771"/>
      <c r="F6" s="1726" t="s">
        <v>365</v>
      </c>
      <c r="H6" s="92" t="s">
        <v>98</v>
      </c>
    </row>
    <row r="7" spans="2:8" ht="21">
      <c r="B7" s="1771"/>
      <c r="C7" s="1425" t="s">
        <v>46</v>
      </c>
      <c r="D7" s="286" t="s">
        <v>343</v>
      </c>
      <c r="E7" s="1424" t="s">
        <v>345</v>
      </c>
      <c r="F7" s="1726"/>
    </row>
    <row r="8" spans="2:8">
      <c r="B8" s="102" t="s">
        <v>598</v>
      </c>
      <c r="C8" s="402" t="s">
        <v>45</v>
      </c>
      <c r="D8" s="403"/>
      <c r="E8" s="404"/>
      <c r="F8" s="277"/>
    </row>
    <row r="9" spans="2:8">
      <c r="B9" s="1460" t="s">
        <v>591</v>
      </c>
      <c r="C9" s="405"/>
      <c r="D9" s="406"/>
      <c r="E9" s="407"/>
      <c r="F9" s="277"/>
    </row>
    <row r="10" spans="2:8">
      <c r="B10" s="1460" t="s">
        <v>599</v>
      </c>
      <c r="C10" s="405"/>
      <c r="D10" s="406"/>
      <c r="E10" s="407"/>
      <c r="F10" s="277"/>
    </row>
    <row r="11" spans="2:8">
      <c r="B11" s="1460" t="s">
        <v>596</v>
      </c>
      <c r="C11" s="405"/>
      <c r="D11" s="406"/>
      <c r="E11" s="407"/>
      <c r="F11" s="277"/>
    </row>
    <row r="12" spans="2:8">
      <c r="B12" s="1460" t="s">
        <v>632</v>
      </c>
      <c r="C12" s="408"/>
      <c r="D12" s="406"/>
      <c r="E12" s="407"/>
      <c r="F12" s="277"/>
    </row>
    <row r="13" spans="2:8">
      <c r="B13" s="1460" t="s">
        <v>597</v>
      </c>
      <c r="C13" s="405"/>
      <c r="D13" s="406"/>
      <c r="E13" s="407"/>
      <c r="F13" s="277"/>
    </row>
    <row r="14" spans="2:8">
      <c r="B14" s="409" t="s">
        <v>600</v>
      </c>
      <c r="C14" s="409"/>
      <c r="D14" s="409"/>
      <c r="E14" s="409"/>
      <c r="F14" s="409"/>
    </row>
    <row r="15" spans="2:8">
      <c r="B15" s="102" t="s">
        <v>601</v>
      </c>
      <c r="C15" s="102"/>
      <c r="D15" s="102"/>
      <c r="E15" s="102"/>
      <c r="F15" s="102"/>
    </row>
    <row r="16" spans="2:8">
      <c r="B16" s="234" t="s">
        <v>602</v>
      </c>
      <c r="C16" s="234"/>
      <c r="D16" s="234"/>
      <c r="E16" s="234"/>
      <c r="F16" s="234"/>
    </row>
    <row r="17" spans="2:6" ht="12" customHeight="1">
      <c r="B17" s="206" t="s">
        <v>694</v>
      </c>
      <c r="C17" s="206"/>
      <c r="D17" s="206"/>
      <c r="E17" s="206"/>
      <c r="F17" s="206"/>
    </row>
    <row r="18" spans="2:6">
      <c r="B18" s="206" t="s">
        <v>695</v>
      </c>
      <c r="C18" s="206"/>
      <c r="D18" s="206"/>
      <c r="E18" s="206"/>
      <c r="F18" s="206"/>
    </row>
    <row r="19" spans="2:6">
      <c r="B19" s="203" t="s">
        <v>696</v>
      </c>
      <c r="C19" s="238"/>
      <c r="D19" s="238"/>
      <c r="E19" s="238"/>
      <c r="F19" s="238"/>
    </row>
    <row r="20" spans="2:6">
      <c r="B20" s="203" t="s">
        <v>697</v>
      </c>
      <c r="C20" s="238"/>
      <c r="D20" s="238"/>
      <c r="E20" s="238"/>
      <c r="F20" s="238"/>
    </row>
    <row r="21" spans="2:6">
      <c r="B21" s="203" t="s">
        <v>682</v>
      </c>
      <c r="C21" s="238"/>
      <c r="D21" s="238"/>
      <c r="E21" s="238"/>
      <c r="F21" s="238"/>
    </row>
    <row r="22" spans="2:6">
      <c r="B22" s="203" t="s">
        <v>683</v>
      </c>
      <c r="C22" s="238"/>
      <c r="D22" s="238"/>
      <c r="E22" s="238"/>
      <c r="F22" s="238"/>
    </row>
    <row r="23" spans="2:6">
      <c r="B23" s="203" t="s">
        <v>684</v>
      </c>
      <c r="C23" s="238"/>
      <c r="D23" s="238"/>
      <c r="E23" s="238"/>
      <c r="F23" s="238"/>
    </row>
    <row r="24" spans="2:6">
      <c r="B24" s="203" t="s">
        <v>685</v>
      </c>
      <c r="C24" s="238"/>
      <c r="D24" s="238"/>
      <c r="E24" s="238"/>
      <c r="F24" s="238"/>
    </row>
    <row r="25" spans="2:6">
      <c r="B25" s="206" t="s">
        <v>698</v>
      </c>
      <c r="C25" s="206"/>
      <c r="D25" s="206"/>
      <c r="E25" s="206"/>
      <c r="F25" s="206"/>
    </row>
    <row r="26" spans="2:6">
      <c r="B26" s="203" t="s">
        <v>699</v>
      </c>
      <c r="C26" s="238"/>
      <c r="D26" s="238"/>
      <c r="E26" s="238"/>
      <c r="F26" s="238"/>
    </row>
    <row r="27" spans="2:6">
      <c r="B27" s="203" t="s">
        <v>700</v>
      </c>
      <c r="C27" s="238"/>
      <c r="D27" s="238"/>
      <c r="E27" s="238"/>
      <c r="F27" s="238"/>
    </row>
    <row r="28" spans="2:6">
      <c r="B28" s="203" t="s">
        <v>701</v>
      </c>
      <c r="C28" s="238"/>
      <c r="D28" s="238"/>
      <c r="E28" s="238"/>
      <c r="F28" s="238"/>
    </row>
    <row r="29" spans="2:6">
      <c r="B29" s="101" t="s">
        <v>933</v>
      </c>
      <c r="C29" s="238"/>
      <c r="D29" s="238"/>
      <c r="E29" s="238"/>
      <c r="F29" s="238"/>
    </row>
    <row r="30" spans="2:6">
      <c r="B30" s="203" t="s">
        <v>592</v>
      </c>
      <c r="C30" s="238"/>
      <c r="D30" s="238"/>
      <c r="E30" s="238"/>
      <c r="F30" s="238"/>
    </row>
    <row r="31" spans="2:6">
      <c r="B31" s="203" t="s">
        <v>702</v>
      </c>
      <c r="C31" s="238"/>
      <c r="D31" s="238"/>
      <c r="E31" s="238"/>
      <c r="F31" s="238"/>
    </row>
    <row r="32" spans="2:6">
      <c r="B32" s="203" t="s">
        <v>703</v>
      </c>
      <c r="C32" s="238"/>
      <c r="D32" s="238"/>
      <c r="E32" s="238"/>
      <c r="F32" s="238"/>
    </row>
    <row r="33" spans="2:6">
      <c r="B33" s="206" t="s">
        <v>636</v>
      </c>
      <c r="C33" s="206"/>
      <c r="D33" s="206"/>
      <c r="E33" s="206"/>
      <c r="F33" s="206"/>
    </row>
    <row r="34" spans="2:6" ht="15.75" customHeight="1">
      <c r="B34" s="410" t="s">
        <v>686</v>
      </c>
      <c r="C34" s="410"/>
      <c r="D34" s="410"/>
      <c r="E34" s="410"/>
      <c r="F34" s="410"/>
    </row>
    <row r="35" spans="2:6">
      <c r="B35" s="410" t="s">
        <v>687</v>
      </c>
      <c r="C35" s="410"/>
      <c r="D35" s="410"/>
      <c r="E35" s="410"/>
      <c r="F35" s="410"/>
    </row>
    <row r="36" spans="2:6">
      <c r="B36" s="410" t="s">
        <v>688</v>
      </c>
      <c r="C36" s="410"/>
      <c r="D36" s="410"/>
      <c r="E36" s="410"/>
      <c r="F36" s="410"/>
    </row>
    <row r="37" spans="2:6">
      <c r="B37" s="410" t="s">
        <v>704</v>
      </c>
      <c r="C37" s="410"/>
      <c r="D37" s="410"/>
      <c r="E37" s="410"/>
      <c r="F37" s="410"/>
    </row>
    <row r="38" spans="2:6">
      <c r="B38" s="206" t="s">
        <v>639</v>
      </c>
      <c r="C38" s="206"/>
      <c r="D38" s="206"/>
      <c r="E38" s="206"/>
      <c r="F38" s="206"/>
    </row>
    <row r="39" spans="2:6">
      <c r="B39" s="203" t="s">
        <v>692</v>
      </c>
      <c r="C39" s="238"/>
      <c r="D39" s="238"/>
      <c r="E39" s="238"/>
      <c r="F39" s="238"/>
    </row>
    <row r="40" spans="2:6">
      <c r="B40" s="203" t="s">
        <v>707</v>
      </c>
      <c r="C40" s="238"/>
      <c r="D40" s="238"/>
      <c r="E40" s="238"/>
      <c r="F40" s="238"/>
    </row>
    <row r="41" spans="2:6">
      <c r="B41" s="234" t="s">
        <v>603</v>
      </c>
      <c r="C41" s="234"/>
      <c r="D41" s="234"/>
      <c r="E41" s="234"/>
      <c r="F41" s="234"/>
    </row>
    <row r="42" spans="2:6" ht="11.25" customHeight="1">
      <c r="B42" s="206" t="s">
        <v>694</v>
      </c>
      <c r="C42" s="206"/>
      <c r="D42" s="206"/>
      <c r="E42" s="206"/>
      <c r="F42" s="206"/>
    </row>
    <row r="43" spans="2:6">
      <c r="B43" s="206" t="s">
        <v>695</v>
      </c>
      <c r="C43" s="206"/>
      <c r="D43" s="206"/>
      <c r="E43" s="206"/>
      <c r="F43" s="206"/>
    </row>
    <row r="44" spans="2:6">
      <c r="B44" s="203" t="s">
        <v>696</v>
      </c>
      <c r="C44" s="238"/>
      <c r="D44" s="238"/>
      <c r="E44" s="238"/>
      <c r="F44" s="238"/>
    </row>
    <row r="45" spans="2:6">
      <c r="B45" s="203" t="s">
        <v>697</v>
      </c>
      <c r="C45" s="238"/>
      <c r="D45" s="238"/>
      <c r="E45" s="238"/>
      <c r="F45" s="238"/>
    </row>
    <row r="46" spans="2:6">
      <c r="B46" s="203" t="s">
        <v>682</v>
      </c>
      <c r="C46" s="238"/>
      <c r="D46" s="238"/>
      <c r="E46" s="238"/>
      <c r="F46" s="238"/>
    </row>
    <row r="47" spans="2:6">
      <c r="B47" s="203" t="s">
        <v>683</v>
      </c>
      <c r="C47" s="238"/>
      <c r="D47" s="238"/>
      <c r="E47" s="238"/>
      <c r="F47" s="238"/>
    </row>
    <row r="48" spans="2:6">
      <c r="B48" s="203" t="s">
        <v>684</v>
      </c>
      <c r="C48" s="238"/>
      <c r="D48" s="238"/>
      <c r="E48" s="238"/>
      <c r="F48" s="238"/>
    </row>
    <row r="49" spans="2:6">
      <c r="B49" s="203" t="s">
        <v>685</v>
      </c>
      <c r="C49" s="238"/>
      <c r="D49" s="238"/>
      <c r="E49" s="238"/>
      <c r="F49" s="238"/>
    </row>
    <row r="50" spans="2:6">
      <c r="B50" s="206" t="s">
        <v>635</v>
      </c>
      <c r="C50" s="206"/>
      <c r="D50" s="206"/>
      <c r="E50" s="206"/>
      <c r="F50" s="206"/>
    </row>
    <row r="51" spans="2:6">
      <c r="B51" s="203" t="s">
        <v>699</v>
      </c>
      <c r="C51" s="238"/>
      <c r="D51" s="413"/>
      <c r="E51" s="238"/>
      <c r="F51" s="238"/>
    </row>
    <row r="52" spans="2:6">
      <c r="B52" s="203" t="s">
        <v>700</v>
      </c>
      <c r="C52" s="238"/>
      <c r="D52" s="238"/>
      <c r="E52" s="238"/>
      <c r="F52" s="238"/>
    </row>
    <row r="53" spans="2:6">
      <c r="B53" s="203" t="s">
        <v>701</v>
      </c>
      <c r="C53" s="238"/>
      <c r="D53" s="238"/>
      <c r="E53" s="238"/>
      <c r="F53" s="238"/>
    </row>
    <row r="54" spans="2:6">
      <c r="B54" s="101" t="s">
        <v>933</v>
      </c>
      <c r="C54" s="238"/>
      <c r="D54" s="238"/>
      <c r="E54" s="238"/>
      <c r="F54" s="238"/>
    </row>
    <row r="55" spans="2:6">
      <c r="B55" s="203" t="s">
        <v>592</v>
      </c>
      <c r="C55" s="238"/>
      <c r="D55" s="238"/>
      <c r="E55" s="238"/>
      <c r="F55" s="238"/>
    </row>
    <row r="56" spans="2:6">
      <c r="B56" s="203" t="s">
        <v>702</v>
      </c>
      <c r="C56" s="238"/>
      <c r="D56" s="238"/>
      <c r="E56" s="238"/>
      <c r="F56" s="238"/>
    </row>
    <row r="57" spans="2:6">
      <c r="B57" s="203" t="s">
        <v>703</v>
      </c>
      <c r="C57" s="238"/>
      <c r="D57" s="238"/>
      <c r="E57" s="238"/>
      <c r="F57" s="238"/>
    </row>
    <row r="58" spans="2:6">
      <c r="B58" s="206" t="s">
        <v>636</v>
      </c>
      <c r="C58" s="206"/>
      <c r="D58" s="206"/>
      <c r="E58" s="206"/>
      <c r="F58" s="206"/>
    </row>
    <row r="59" spans="2:6" ht="12.75" customHeight="1">
      <c r="B59" s="203" t="s">
        <v>708</v>
      </c>
      <c r="C59" s="238"/>
      <c r="D59" s="238"/>
      <c r="E59" s="238"/>
      <c r="F59" s="238"/>
    </row>
    <row r="60" spans="2:6">
      <c r="B60" s="203" t="s">
        <v>687</v>
      </c>
      <c r="C60" s="238"/>
      <c r="D60" s="238"/>
      <c r="E60" s="238"/>
      <c r="F60" s="238"/>
    </row>
    <row r="61" spans="2:6">
      <c r="B61" s="203" t="s">
        <v>688</v>
      </c>
      <c r="C61" s="238"/>
      <c r="D61" s="238"/>
      <c r="E61" s="238"/>
      <c r="F61" s="238"/>
    </row>
    <row r="62" spans="2:6">
      <c r="B62" s="203" t="s">
        <v>704</v>
      </c>
      <c r="C62" s="238"/>
      <c r="D62" s="238"/>
      <c r="E62" s="238"/>
      <c r="F62" s="238"/>
    </row>
    <row r="63" spans="2:6">
      <c r="B63" s="206" t="s">
        <v>639</v>
      </c>
      <c r="C63" s="206"/>
      <c r="D63" s="206"/>
      <c r="E63" s="206"/>
      <c r="F63" s="206"/>
    </row>
    <row r="64" spans="2:6">
      <c r="B64" s="203" t="s">
        <v>692</v>
      </c>
      <c r="C64" s="238"/>
      <c r="D64" s="238"/>
      <c r="E64" s="238"/>
      <c r="F64" s="238"/>
    </row>
    <row r="65" spans="2:6">
      <c r="B65" s="203" t="s">
        <v>707</v>
      </c>
      <c r="C65" s="238"/>
      <c r="D65" s="238"/>
      <c r="E65" s="238"/>
      <c r="F65" s="238"/>
    </row>
    <row r="66" spans="2:6">
      <c r="B66" s="234" t="s">
        <v>604</v>
      </c>
      <c r="C66" s="234"/>
      <c r="D66" s="234"/>
      <c r="E66" s="234"/>
      <c r="F66" s="234"/>
    </row>
    <row r="67" spans="2:6" ht="13.5" customHeight="1">
      <c r="B67" s="206" t="s">
        <v>694</v>
      </c>
      <c r="C67" s="206"/>
      <c r="D67" s="206"/>
      <c r="E67" s="206"/>
      <c r="F67" s="206"/>
    </row>
    <row r="68" spans="2:6">
      <c r="B68" s="206" t="s">
        <v>695</v>
      </c>
      <c r="C68" s="206"/>
      <c r="D68" s="206"/>
      <c r="E68" s="206"/>
      <c r="F68" s="206"/>
    </row>
    <row r="69" spans="2:6">
      <c r="B69" s="203" t="s">
        <v>696</v>
      </c>
      <c r="C69" s="238"/>
      <c r="D69" s="238"/>
      <c r="E69" s="238"/>
      <c r="F69" s="238"/>
    </row>
    <row r="70" spans="2:6">
      <c r="B70" s="203" t="s">
        <v>697</v>
      </c>
      <c r="C70" s="238"/>
      <c r="D70" s="238"/>
      <c r="E70" s="238"/>
      <c r="F70" s="238"/>
    </row>
    <row r="71" spans="2:6">
      <c r="B71" s="203" t="s">
        <v>682</v>
      </c>
      <c r="C71" s="238"/>
      <c r="D71" s="238"/>
      <c r="E71" s="238"/>
      <c r="F71" s="238"/>
    </row>
    <row r="72" spans="2:6">
      <c r="B72" s="203" t="s">
        <v>683</v>
      </c>
      <c r="C72" s="238"/>
      <c r="D72" s="238"/>
      <c r="E72" s="238"/>
      <c r="F72" s="238"/>
    </row>
    <row r="73" spans="2:6">
      <c r="B73" s="203" t="s">
        <v>684</v>
      </c>
      <c r="C73" s="238"/>
      <c r="D73" s="238"/>
      <c r="E73" s="238"/>
      <c r="F73" s="238"/>
    </row>
    <row r="74" spans="2:6">
      <c r="B74" s="203" t="s">
        <v>685</v>
      </c>
      <c r="C74" s="238"/>
      <c r="D74" s="238"/>
      <c r="E74" s="238"/>
      <c r="F74" s="238"/>
    </row>
    <row r="75" spans="2:6">
      <c r="B75" s="206" t="s">
        <v>635</v>
      </c>
      <c r="C75" s="206"/>
      <c r="D75" s="206"/>
      <c r="E75" s="206"/>
      <c r="F75" s="206"/>
    </row>
    <row r="76" spans="2:6">
      <c r="B76" s="203" t="s">
        <v>699</v>
      </c>
      <c r="C76" s="238"/>
      <c r="D76" s="413"/>
      <c r="E76" s="238"/>
      <c r="F76" s="238"/>
    </row>
    <row r="77" spans="2:6">
      <c r="B77" s="203" t="s">
        <v>700</v>
      </c>
      <c r="C77" s="238"/>
      <c r="D77" s="238"/>
      <c r="E77" s="238"/>
      <c r="F77" s="238"/>
    </row>
    <row r="78" spans="2:6">
      <c r="B78" s="203" t="s">
        <v>701</v>
      </c>
      <c r="C78" s="238"/>
      <c r="D78" s="238"/>
      <c r="E78" s="238"/>
      <c r="F78" s="238"/>
    </row>
    <row r="79" spans="2:6">
      <c r="B79" s="101" t="s">
        <v>933</v>
      </c>
      <c r="C79" s="238"/>
      <c r="D79" s="238"/>
      <c r="E79" s="238"/>
      <c r="F79" s="238"/>
    </row>
    <row r="80" spans="2:6">
      <c r="B80" s="203" t="s">
        <v>592</v>
      </c>
      <c r="C80" s="238"/>
      <c r="D80" s="238"/>
      <c r="E80" s="238"/>
      <c r="F80" s="238"/>
    </row>
    <row r="81" spans="2:6">
      <c r="B81" s="203" t="s">
        <v>702</v>
      </c>
      <c r="C81" s="238"/>
      <c r="D81" s="238"/>
      <c r="E81" s="238"/>
      <c r="F81" s="238"/>
    </row>
    <row r="82" spans="2:6">
      <c r="B82" s="203" t="s">
        <v>703</v>
      </c>
      <c r="C82" s="238"/>
      <c r="D82" s="238"/>
      <c r="E82" s="238"/>
      <c r="F82" s="238"/>
    </row>
    <row r="83" spans="2:6">
      <c r="B83" s="206" t="s">
        <v>636</v>
      </c>
      <c r="C83" s="206"/>
      <c r="D83" s="206"/>
      <c r="E83" s="206"/>
      <c r="F83" s="206"/>
    </row>
    <row r="84" spans="2:6" ht="10.5" customHeight="1">
      <c r="B84" s="203" t="s">
        <v>708</v>
      </c>
      <c r="C84" s="238"/>
      <c r="D84" s="238"/>
      <c r="E84" s="238"/>
      <c r="F84" s="238"/>
    </row>
    <row r="85" spans="2:6">
      <c r="B85" s="203" t="s">
        <v>687</v>
      </c>
      <c r="C85" s="238"/>
      <c r="D85" s="238"/>
      <c r="E85" s="238"/>
      <c r="F85" s="238"/>
    </row>
    <row r="86" spans="2:6">
      <c r="B86" s="203" t="s">
        <v>688</v>
      </c>
      <c r="C86" s="238"/>
      <c r="D86" s="238">
        <f>D71+D49+D27</f>
        <v>0</v>
      </c>
      <c r="E86" s="238">
        <f>E71+E49+E27</f>
        <v>0</v>
      </c>
      <c r="F86" s="238"/>
    </row>
    <row r="87" spans="2:6">
      <c r="B87" s="203" t="s">
        <v>704</v>
      </c>
      <c r="C87" s="238"/>
      <c r="D87" s="238">
        <f>D86+D14</f>
        <v>0</v>
      </c>
      <c r="E87" s="238">
        <f>E86+E14</f>
        <v>0</v>
      </c>
      <c r="F87" s="238"/>
    </row>
    <row r="88" spans="2:6">
      <c r="B88" s="206" t="s">
        <v>639</v>
      </c>
      <c r="C88" s="206"/>
      <c r="D88" s="206"/>
      <c r="E88" s="206"/>
      <c r="F88" s="206"/>
    </row>
    <row r="89" spans="2:6">
      <c r="B89" s="203" t="s">
        <v>692</v>
      </c>
      <c r="C89" s="238"/>
      <c r="D89" s="238"/>
      <c r="E89" s="238"/>
      <c r="F89" s="238"/>
    </row>
    <row r="90" spans="2:6">
      <c r="B90" s="203" t="s">
        <v>707</v>
      </c>
      <c r="C90" s="238"/>
      <c r="D90" s="238"/>
      <c r="E90" s="238"/>
      <c r="F90" s="238"/>
    </row>
    <row r="91" spans="2:6">
      <c r="B91" s="234" t="s">
        <v>919</v>
      </c>
      <c r="C91" s="234"/>
      <c r="D91" s="234"/>
      <c r="E91" s="234"/>
      <c r="F91" s="234"/>
    </row>
    <row r="92" spans="2:6" ht="12.75" customHeight="1">
      <c r="B92" s="206" t="s">
        <v>694</v>
      </c>
      <c r="C92" s="206"/>
      <c r="D92" s="206"/>
      <c r="E92" s="206"/>
      <c r="F92" s="206"/>
    </row>
    <row r="93" spans="2:6">
      <c r="B93" s="206" t="s">
        <v>695</v>
      </c>
      <c r="C93" s="206"/>
      <c r="D93" s="206"/>
      <c r="E93" s="206"/>
      <c r="F93" s="206"/>
    </row>
    <row r="94" spans="2:6">
      <c r="B94" s="203" t="s">
        <v>696</v>
      </c>
      <c r="C94" s="238"/>
      <c r="D94" s="238"/>
      <c r="E94" s="238"/>
      <c r="F94" s="238"/>
    </row>
    <row r="95" spans="2:6">
      <c r="B95" s="203" t="s">
        <v>697</v>
      </c>
      <c r="C95" s="238"/>
      <c r="D95" s="238"/>
      <c r="E95" s="238"/>
      <c r="F95" s="238"/>
    </row>
    <row r="96" spans="2:6">
      <c r="B96" s="203" t="s">
        <v>682</v>
      </c>
      <c r="C96" s="238"/>
      <c r="D96" s="238"/>
      <c r="E96" s="238"/>
      <c r="F96" s="238"/>
    </row>
    <row r="97" spans="2:6">
      <c r="B97" s="203" t="s">
        <v>683</v>
      </c>
      <c r="C97" s="238"/>
      <c r="D97" s="238"/>
      <c r="E97" s="238"/>
      <c r="F97" s="238"/>
    </row>
    <row r="98" spans="2:6">
      <c r="B98" s="203" t="s">
        <v>684</v>
      </c>
      <c r="C98" s="238"/>
      <c r="D98" s="238"/>
      <c r="E98" s="238"/>
      <c r="F98" s="238"/>
    </row>
    <row r="99" spans="2:6">
      <c r="B99" s="203" t="s">
        <v>685</v>
      </c>
      <c r="C99" s="238"/>
      <c r="D99" s="238"/>
      <c r="E99" s="238"/>
      <c r="F99" s="238"/>
    </row>
    <row r="100" spans="2:6">
      <c r="B100" s="206" t="s">
        <v>635</v>
      </c>
      <c r="C100" s="206"/>
      <c r="D100" s="206"/>
      <c r="E100" s="206"/>
      <c r="F100" s="206"/>
    </row>
    <row r="101" spans="2:6">
      <c r="B101" s="203" t="s">
        <v>699</v>
      </c>
      <c r="C101" s="238"/>
      <c r="D101" s="413"/>
      <c r="E101" s="238"/>
      <c r="F101" s="238"/>
    </row>
    <row r="102" spans="2:6">
      <c r="B102" s="203" t="s">
        <v>700</v>
      </c>
      <c r="C102" s="238"/>
      <c r="D102" s="238"/>
      <c r="E102" s="238"/>
      <c r="F102" s="238"/>
    </row>
    <row r="103" spans="2:6">
      <c r="B103" s="203" t="s">
        <v>701</v>
      </c>
      <c r="C103" s="238"/>
      <c r="D103" s="238"/>
      <c r="E103" s="238"/>
      <c r="F103" s="238"/>
    </row>
    <row r="104" spans="2:6">
      <c r="B104" s="101" t="s">
        <v>933</v>
      </c>
      <c r="C104" s="238"/>
      <c r="D104" s="238"/>
      <c r="E104" s="238"/>
      <c r="F104" s="238"/>
    </row>
    <row r="105" spans="2:6">
      <c r="B105" s="203" t="s">
        <v>592</v>
      </c>
      <c r="C105" s="238"/>
      <c r="D105" s="238"/>
      <c r="E105" s="238"/>
      <c r="F105" s="238"/>
    </row>
    <row r="106" spans="2:6">
      <c r="B106" s="203" t="s">
        <v>702</v>
      </c>
      <c r="C106" s="238"/>
      <c r="D106" s="238"/>
      <c r="E106" s="238"/>
      <c r="F106" s="238"/>
    </row>
    <row r="107" spans="2:6">
      <c r="B107" s="203" t="s">
        <v>703</v>
      </c>
      <c r="C107" s="238"/>
      <c r="D107" s="238"/>
      <c r="E107" s="238"/>
      <c r="F107" s="238"/>
    </row>
    <row r="108" spans="2:6">
      <c r="B108" s="206" t="s">
        <v>636</v>
      </c>
      <c r="C108" s="206"/>
      <c r="D108" s="206"/>
      <c r="E108" s="206"/>
      <c r="F108" s="206"/>
    </row>
    <row r="109" spans="2:6" ht="9.75" customHeight="1">
      <c r="B109" s="203" t="s">
        <v>708</v>
      </c>
      <c r="C109" s="238"/>
      <c r="D109" s="238"/>
      <c r="E109" s="238"/>
      <c r="F109" s="238"/>
    </row>
    <row r="110" spans="2:6">
      <c r="B110" s="203" t="s">
        <v>687</v>
      </c>
      <c r="C110" s="238"/>
      <c r="D110" s="238"/>
      <c r="E110" s="238"/>
      <c r="F110" s="238"/>
    </row>
    <row r="111" spans="2:6">
      <c r="B111" s="203" t="s">
        <v>688</v>
      </c>
      <c r="C111" s="238"/>
      <c r="D111" s="238">
        <f>D96+D74+D50</f>
        <v>0</v>
      </c>
      <c r="E111" s="238">
        <f>E96+E74+E50</f>
        <v>0</v>
      </c>
      <c r="F111" s="238"/>
    </row>
    <row r="112" spans="2:6">
      <c r="B112" s="203" t="s">
        <v>704</v>
      </c>
      <c r="C112" s="238"/>
      <c r="D112" s="238">
        <f>D111+D38</f>
        <v>0</v>
      </c>
      <c r="E112" s="238">
        <f>E111+E38</f>
        <v>0</v>
      </c>
      <c r="F112" s="238"/>
    </row>
    <row r="113" spans="2:6">
      <c r="B113" s="206" t="s">
        <v>639</v>
      </c>
      <c r="C113" s="206"/>
      <c r="D113" s="206"/>
      <c r="E113" s="206"/>
      <c r="F113" s="206"/>
    </row>
    <row r="114" spans="2:6">
      <c r="B114" s="203" t="s">
        <v>692</v>
      </c>
      <c r="C114" s="238"/>
      <c r="D114" s="238"/>
      <c r="E114" s="238"/>
      <c r="F114" s="238"/>
    </row>
    <row r="115" spans="2:6">
      <c r="B115" s="203" t="s">
        <v>707</v>
      </c>
      <c r="C115" s="238"/>
      <c r="D115" s="238"/>
      <c r="E115" s="238"/>
      <c r="F115" s="238"/>
    </row>
    <row r="116" spans="2:6">
      <c r="B116" s="240" t="s">
        <v>643</v>
      </c>
      <c r="C116" s="240"/>
      <c r="D116" s="250">
        <f>D26+D51+D76</f>
        <v>0</v>
      </c>
      <c r="E116" s="240">
        <f>E26+E51+E76</f>
        <v>0</v>
      </c>
      <c r="F116" s="240"/>
    </row>
    <row r="117" spans="2:6">
      <c r="B117" s="240" t="s">
        <v>644</v>
      </c>
      <c r="C117" s="240"/>
      <c r="D117" s="250">
        <f>D116+D14</f>
        <v>0</v>
      </c>
      <c r="E117" s="240">
        <f>E116+E14</f>
        <v>0</v>
      </c>
      <c r="F117" s="240"/>
    </row>
  </sheetData>
  <mergeCells count="3">
    <mergeCell ref="B6:B7"/>
    <mergeCell ref="D6:E6"/>
    <mergeCell ref="F6:F7"/>
  </mergeCells>
  <phoneticPr fontId="11" type="noConversion"/>
  <dataValidations count="1">
    <dataValidation type="decimal" allowBlank="1" showInputMessage="1" showErrorMessage="1" sqref="B4:C4 D1:E1048576">
      <formula1>-9999999999999990000</formula1>
      <formula2>9.99999999999999E+30</formula2>
    </dataValidation>
  </dataValidations>
  <hyperlinks>
    <hyperlink ref="B1" location="Index!A1" display="Index sheet"/>
    <hyperlink ref="C8" location="'7|Total Rev Current'!Print_Area" display="Form-7"/>
  </hyperlinks>
  <printOptions horizontalCentered="1" verticalCentered="1"/>
  <pageMargins left="0" right="0" top="0.23622047244094491" bottom="0.23622047244094491" header="0" footer="0"/>
  <pageSetup paperSize="9" scale="89" fitToHeight="2" orientation="landscape" blackAndWhite="1" r:id="rId1"/>
  <headerFooter alignWithMargins="0"/>
  <rowBreaks count="1" manualBreakCount="1">
    <brk id="40" min="1" max="5" man="1"/>
  </rowBreaks>
</worksheet>
</file>

<file path=xl/worksheets/sheet31.xml><?xml version="1.0" encoding="utf-8"?>
<worksheet xmlns="http://schemas.openxmlformats.org/spreadsheetml/2006/main" xmlns:r="http://schemas.openxmlformats.org/officeDocument/2006/relationships">
  <sheetPr codeName="Sheet28"/>
  <dimension ref="A1:BE107"/>
  <sheetViews>
    <sheetView zoomScaleSheetLayoutView="100" workbookViewId="0">
      <pane xSplit="3" ySplit="9" topLeftCell="D22" activePane="bottomRight" state="frozen"/>
      <selection activeCell="C84" sqref="C84:C103"/>
      <selection pane="topRight" activeCell="C84" sqref="C84:C103"/>
      <selection pane="bottomLeft" activeCell="C84" sqref="C84:C103"/>
      <selection pane="bottomRight" activeCell="N14" sqref="N14"/>
    </sheetView>
  </sheetViews>
  <sheetFormatPr defaultRowHeight="11.25" outlineLevelRow="1"/>
  <cols>
    <col min="1" max="1" width="3.140625" style="2" customWidth="1"/>
    <col min="2" max="2" width="5.7109375" style="2" hidden="1" customWidth="1"/>
    <col min="3" max="3" width="38.7109375" style="2" customWidth="1"/>
    <col min="4" max="4" width="7.85546875" style="2" customWidth="1"/>
    <col min="5" max="5" width="11.140625" style="2" customWidth="1"/>
    <col min="6" max="6" width="10.28515625" style="2" customWidth="1"/>
    <col min="7" max="7" width="10.42578125" style="2" customWidth="1"/>
    <col min="8" max="8" width="11.42578125" style="2" customWidth="1"/>
    <col min="9" max="9" width="9.5703125" style="2" customWidth="1"/>
    <col min="10" max="10" width="9.85546875" style="2" customWidth="1"/>
    <col min="11" max="12" width="10.5703125" style="2" customWidth="1"/>
    <col min="13" max="13" width="11" style="2" customWidth="1"/>
    <col min="14" max="14" width="9.85546875" style="2" customWidth="1"/>
    <col min="15" max="15" width="10.5703125" style="2" customWidth="1"/>
    <col min="16" max="16" width="10.7109375" style="2" customWidth="1"/>
    <col min="17" max="17" width="9.7109375" style="2" customWidth="1"/>
    <col min="18" max="18" width="10.42578125" style="2" customWidth="1"/>
    <col min="19" max="19" width="10.140625" style="2" customWidth="1"/>
    <col min="20" max="20" width="10.85546875" style="2" customWidth="1"/>
    <col min="21" max="21" width="11.7109375" style="2" customWidth="1"/>
    <col min="22" max="22" width="10.28515625" style="2" customWidth="1"/>
    <col min="23" max="23" width="10.7109375" style="2" customWidth="1"/>
    <col min="24" max="24" width="10.5703125" style="2" customWidth="1"/>
    <col min="25" max="25" width="9.140625" style="2" bestFit="1"/>
    <col min="26" max="26" width="10.42578125" style="2" customWidth="1"/>
    <col min="27" max="27" width="9.85546875" style="2" customWidth="1"/>
    <col min="28" max="29" width="11" style="2" customWidth="1"/>
    <col min="30" max="30" width="10.5703125" style="2" customWidth="1"/>
    <col min="31" max="31" width="10.140625" style="2" customWidth="1"/>
    <col min="32" max="32" width="11.28515625" style="2" customWidth="1"/>
    <col min="33" max="33" width="9" style="2" customWidth="1"/>
    <col min="34" max="34" width="10.5703125" style="2" customWidth="1"/>
    <col min="35" max="35" width="9.42578125" style="2" customWidth="1"/>
    <col min="36" max="36" width="10.5703125" style="2" customWidth="1"/>
    <col min="37" max="37" width="10.7109375" style="2" customWidth="1"/>
    <col min="38" max="38" width="10.28515625" style="2" customWidth="1"/>
    <col min="39" max="39" width="10" style="2" customWidth="1"/>
    <col min="40" max="40" width="11.28515625" style="2" customWidth="1"/>
    <col min="41" max="41" width="10.7109375" style="2" customWidth="1"/>
    <col min="42" max="42" width="11.28515625" style="2" customWidth="1"/>
    <col min="43" max="43" width="9.7109375" style="2" customWidth="1"/>
    <col min="44" max="44" width="10.7109375" style="2" customWidth="1"/>
    <col min="45" max="45" width="10.85546875" style="2" customWidth="1"/>
    <col min="46" max="46" width="10.5703125" style="2" customWidth="1"/>
    <col min="47" max="47" width="9.85546875" style="2" customWidth="1"/>
    <col min="48" max="48" width="10.28515625" style="2" customWidth="1"/>
    <col min="49" max="50" width="9.140625" style="2"/>
    <col min="51" max="51" width="10.140625" style="2" customWidth="1"/>
    <col min="52" max="52" width="11" style="2" customWidth="1"/>
    <col min="53" max="53" width="9.140625" style="2"/>
    <col min="54" max="57" width="20.7109375" style="2" customWidth="1"/>
    <col min="58" max="16384" width="9.140625" style="2"/>
  </cols>
  <sheetData>
    <row r="1" spans="1:57">
      <c r="A1" s="1" t="s">
        <v>396</v>
      </c>
    </row>
    <row r="2" spans="1:57" hidden="1">
      <c r="D2" s="8"/>
    </row>
    <row r="3" spans="1:57" ht="12.75">
      <c r="C3" s="3" t="s">
        <v>350</v>
      </c>
      <c r="D3" s="1907" t="s">
        <v>430</v>
      </c>
      <c r="E3" s="1907"/>
      <c r="F3" s="1907"/>
      <c r="G3" s="1907"/>
      <c r="H3" s="1907"/>
      <c r="I3" s="1907"/>
      <c r="J3" s="1907"/>
      <c r="K3" s="1907"/>
      <c r="L3" s="1907"/>
      <c r="M3" s="10"/>
      <c r="N3" s="10"/>
      <c r="P3" s="10"/>
      <c r="Q3" s="10"/>
    </row>
    <row r="4" spans="1:57" hidden="1">
      <c r="C4" s="3"/>
      <c r="D4" s="9"/>
      <c r="E4" s="9"/>
      <c r="F4" s="9"/>
      <c r="G4" s="9"/>
      <c r="H4" s="9"/>
      <c r="I4" s="9"/>
      <c r="J4" s="9"/>
      <c r="K4" s="9"/>
      <c r="L4" s="9"/>
      <c r="M4" s="10"/>
      <c r="N4" s="10"/>
      <c r="P4" s="10"/>
      <c r="Q4" s="9"/>
      <c r="R4" s="9"/>
      <c r="S4" s="9"/>
    </row>
    <row r="5" spans="1:57" ht="12.75" customHeight="1">
      <c r="C5" s="1907" t="s">
        <v>531</v>
      </c>
      <c r="D5" s="1907"/>
      <c r="E5" s="1907"/>
      <c r="F5" s="1907"/>
      <c r="G5" s="1907"/>
      <c r="H5" s="1907"/>
      <c r="I5" s="1907"/>
      <c r="J5" s="1907"/>
      <c r="K5" s="9"/>
      <c r="L5" s="9"/>
      <c r="M5" s="10"/>
      <c r="N5" s="10"/>
      <c r="P5" s="10"/>
      <c r="Q5" s="10"/>
      <c r="S5" s="9"/>
    </row>
    <row r="6" spans="1:57" ht="12.75" hidden="1" customHeight="1">
      <c r="C6" s="27"/>
      <c r="D6" s="27"/>
      <c r="E6" s="27"/>
      <c r="F6" s="27"/>
      <c r="G6" s="27"/>
      <c r="H6" s="27"/>
      <c r="I6" s="27"/>
      <c r="J6" s="27"/>
      <c r="K6" s="9"/>
      <c r="L6" s="9"/>
      <c r="M6" s="10"/>
      <c r="N6" s="10"/>
      <c r="P6" s="10"/>
      <c r="Q6" s="27"/>
      <c r="R6" s="27"/>
      <c r="S6" s="9"/>
    </row>
    <row r="7" spans="1:57" ht="5.25" customHeight="1">
      <c r="C7" s="27"/>
      <c r="D7" s="27"/>
      <c r="E7" s="27"/>
      <c r="F7" s="27"/>
      <c r="G7" s="27"/>
      <c r="H7" s="27"/>
      <c r="I7" s="27"/>
      <c r="J7" s="27"/>
      <c r="K7" s="9"/>
      <c r="L7" s="9"/>
      <c r="M7" s="10"/>
      <c r="N7" s="10"/>
      <c r="P7" s="10"/>
      <c r="Q7" s="27"/>
      <c r="R7" s="27"/>
      <c r="S7" s="9"/>
    </row>
    <row r="8" spans="1:57" ht="12.75" customHeight="1">
      <c r="C8" s="23"/>
      <c r="D8" s="24"/>
      <c r="E8" s="1908" t="str">
        <f>Notes!$C$5</f>
        <v>Base Year</v>
      </c>
      <c r="F8" s="1908"/>
      <c r="G8" s="1908"/>
      <c r="H8" s="1908"/>
      <c r="I8" s="1908"/>
      <c r="J8" s="1908"/>
      <c r="K8" s="1908"/>
      <c r="L8" s="1908"/>
      <c r="M8" s="1908" t="str">
        <f>Notes!$C$7</f>
        <v>FY 2025-26</v>
      </c>
      <c r="N8" s="1908"/>
      <c r="O8" s="1908"/>
      <c r="P8" s="1908"/>
      <c r="Q8" s="1908"/>
      <c r="R8" s="1908"/>
      <c r="S8" s="1908"/>
      <c r="T8" s="1908"/>
      <c r="U8" s="1908" t="str">
        <f>Notes!$C$8</f>
        <v>FY 2026-27</v>
      </c>
      <c r="V8" s="1908"/>
      <c r="W8" s="1908"/>
      <c r="X8" s="1908"/>
      <c r="Y8" s="1908"/>
      <c r="Z8" s="1908"/>
      <c r="AA8" s="1908"/>
      <c r="AB8" s="1908"/>
      <c r="AC8" s="1908" t="str">
        <f>Notes!$C$9</f>
        <v>FY 2027-28</v>
      </c>
      <c r="AD8" s="1908"/>
      <c r="AE8" s="1908"/>
      <c r="AF8" s="1908"/>
      <c r="AG8" s="1908"/>
      <c r="AH8" s="1908"/>
      <c r="AI8" s="1908"/>
      <c r="AJ8" s="1908"/>
      <c r="AK8" s="1908" t="str">
        <f>Notes!$C$10</f>
        <v>FY 2028-29</v>
      </c>
      <c r="AL8" s="1908"/>
      <c r="AM8" s="1908"/>
      <c r="AN8" s="1908"/>
      <c r="AO8" s="1908"/>
      <c r="AP8" s="1908"/>
      <c r="AQ8" s="1908"/>
      <c r="AR8" s="1908"/>
      <c r="AS8" s="1908" t="e">
        <f>Notes!#REF!</f>
        <v>#REF!</v>
      </c>
      <c r="AT8" s="1908"/>
      <c r="AU8" s="1908"/>
      <c r="AV8" s="1908"/>
      <c r="AW8" s="1908"/>
      <c r="AX8" s="1908"/>
      <c r="AY8" s="1908"/>
      <c r="AZ8" s="1908"/>
      <c r="BA8" s="25"/>
      <c r="BB8" s="1908" t="s">
        <v>365</v>
      </c>
      <c r="BC8" s="1908"/>
      <c r="BD8" s="1908"/>
      <c r="BE8" s="1908"/>
    </row>
    <row r="9" spans="1:57" ht="66.75" customHeight="1">
      <c r="C9" s="25" t="s">
        <v>174</v>
      </c>
      <c r="D9" s="25" t="s">
        <v>140</v>
      </c>
      <c r="E9" s="25" t="s">
        <v>378</v>
      </c>
      <c r="F9" s="25" t="s">
        <v>375</v>
      </c>
      <c r="G9" s="25" t="s">
        <v>390</v>
      </c>
      <c r="H9" s="25" t="s">
        <v>391</v>
      </c>
      <c r="I9" s="25" t="s">
        <v>248</v>
      </c>
      <c r="J9" s="25" t="s">
        <v>249</v>
      </c>
      <c r="K9" s="25" t="s">
        <v>329</v>
      </c>
      <c r="L9" s="25" t="s">
        <v>330</v>
      </c>
      <c r="M9" s="25" t="s">
        <v>378</v>
      </c>
      <c r="N9" s="25" t="s">
        <v>375</v>
      </c>
      <c r="O9" s="25" t="s">
        <v>390</v>
      </c>
      <c r="P9" s="25" t="s">
        <v>391</v>
      </c>
      <c r="Q9" s="25" t="s">
        <v>248</v>
      </c>
      <c r="R9" s="25" t="s">
        <v>249</v>
      </c>
      <c r="S9" s="25" t="s">
        <v>329</v>
      </c>
      <c r="T9" s="25" t="s">
        <v>330</v>
      </c>
      <c r="U9" s="25" t="s">
        <v>378</v>
      </c>
      <c r="V9" s="25" t="s">
        <v>375</v>
      </c>
      <c r="W9" s="25" t="s">
        <v>390</v>
      </c>
      <c r="X9" s="25" t="s">
        <v>391</v>
      </c>
      <c r="Y9" s="25" t="s">
        <v>248</v>
      </c>
      <c r="Z9" s="25" t="s">
        <v>249</v>
      </c>
      <c r="AA9" s="25" t="s">
        <v>329</v>
      </c>
      <c r="AB9" s="25" t="s">
        <v>330</v>
      </c>
      <c r="AC9" s="25" t="s">
        <v>378</v>
      </c>
      <c r="AD9" s="25" t="s">
        <v>375</v>
      </c>
      <c r="AE9" s="25" t="s">
        <v>390</v>
      </c>
      <c r="AF9" s="25" t="s">
        <v>391</v>
      </c>
      <c r="AG9" s="25" t="s">
        <v>248</v>
      </c>
      <c r="AH9" s="25" t="s">
        <v>249</v>
      </c>
      <c r="AI9" s="25" t="s">
        <v>329</v>
      </c>
      <c r="AJ9" s="25" t="s">
        <v>330</v>
      </c>
      <c r="AK9" s="25" t="s">
        <v>378</v>
      </c>
      <c r="AL9" s="25" t="s">
        <v>375</v>
      </c>
      <c r="AM9" s="25" t="s">
        <v>390</v>
      </c>
      <c r="AN9" s="25" t="s">
        <v>391</v>
      </c>
      <c r="AO9" s="25" t="s">
        <v>248</v>
      </c>
      <c r="AP9" s="25" t="s">
        <v>249</v>
      </c>
      <c r="AQ9" s="25" t="s">
        <v>329</v>
      </c>
      <c r="AR9" s="25" t="s">
        <v>330</v>
      </c>
      <c r="AS9" s="25" t="s">
        <v>378</v>
      </c>
      <c r="AT9" s="25" t="s">
        <v>375</v>
      </c>
      <c r="AU9" s="25" t="s">
        <v>390</v>
      </c>
      <c r="AV9" s="25" t="s">
        <v>391</v>
      </c>
      <c r="AW9" s="25" t="s">
        <v>248</v>
      </c>
      <c r="AX9" s="25" t="s">
        <v>249</v>
      </c>
      <c r="AY9" s="25" t="s">
        <v>329</v>
      </c>
      <c r="AZ9" s="25" t="s">
        <v>330</v>
      </c>
      <c r="BA9" s="25"/>
      <c r="BB9" s="25" t="s">
        <v>255</v>
      </c>
      <c r="BC9" s="25" t="s">
        <v>60</v>
      </c>
      <c r="BD9" s="25" t="s">
        <v>61</v>
      </c>
      <c r="BE9" s="25" t="s">
        <v>62</v>
      </c>
    </row>
    <row r="10" spans="1:57" ht="12.75">
      <c r="B10">
        <v>10074</v>
      </c>
      <c r="C10" s="11" t="s">
        <v>160</v>
      </c>
      <c r="D10" s="21"/>
      <c r="E10" s="17">
        <f t="shared" ref="E10:L10" si="0">SUM(E11:E30)</f>
        <v>0</v>
      </c>
      <c r="F10" s="12">
        <f>SUM(F11:F30)</f>
        <v>0</v>
      </c>
      <c r="G10" s="12">
        <f>SUM(G11:G30)</f>
        <v>0</v>
      </c>
      <c r="H10" s="26"/>
      <c r="I10" s="12" t="e">
        <f t="shared" si="0"/>
        <v>#REF!</v>
      </c>
      <c r="J10" s="12" t="e">
        <f t="shared" si="0"/>
        <v>#REF!</v>
      </c>
      <c r="K10" s="12" t="e">
        <f t="shared" si="0"/>
        <v>#REF!</v>
      </c>
      <c r="L10" s="12" t="e">
        <f t="shared" si="0"/>
        <v>#REF!</v>
      </c>
      <c r="M10" s="17">
        <f>SUM(M11:M30)</f>
        <v>0</v>
      </c>
      <c r="N10" s="12">
        <f>SUM(N11:N30)</f>
        <v>0</v>
      </c>
      <c r="O10" s="12">
        <f>SUM(O11:O30)</f>
        <v>0</v>
      </c>
      <c r="P10" s="26"/>
      <c r="Q10" s="12" t="e">
        <f t="shared" ref="Q10:W10" si="1">SUM(Q11:Q30)</f>
        <v>#REF!</v>
      </c>
      <c r="R10" s="12" t="e">
        <f t="shared" si="1"/>
        <v>#REF!</v>
      </c>
      <c r="S10" s="12" t="e">
        <f t="shared" si="1"/>
        <v>#REF!</v>
      </c>
      <c r="T10" s="12" t="e">
        <f t="shared" si="1"/>
        <v>#REF!</v>
      </c>
      <c r="U10" s="17">
        <f t="shared" si="1"/>
        <v>0</v>
      </c>
      <c r="V10" s="12">
        <f t="shared" si="1"/>
        <v>0</v>
      </c>
      <c r="W10" s="12">
        <f t="shared" si="1"/>
        <v>0</v>
      </c>
      <c r="X10" s="26"/>
      <c r="Y10" s="12" t="e">
        <f t="shared" ref="Y10:AE10" si="2">SUM(Y11:Y30)</f>
        <v>#REF!</v>
      </c>
      <c r="Z10" s="12" t="e">
        <f t="shared" si="2"/>
        <v>#REF!</v>
      </c>
      <c r="AA10" s="12" t="e">
        <f t="shared" si="2"/>
        <v>#REF!</v>
      </c>
      <c r="AB10" s="12" t="e">
        <f t="shared" si="2"/>
        <v>#REF!</v>
      </c>
      <c r="AC10" s="17">
        <f t="shared" si="2"/>
        <v>0</v>
      </c>
      <c r="AD10" s="12">
        <f t="shared" si="2"/>
        <v>0</v>
      </c>
      <c r="AE10" s="12">
        <f t="shared" si="2"/>
        <v>0</v>
      </c>
      <c r="AF10" s="26"/>
      <c r="AG10" s="12" t="e">
        <f t="shared" ref="AG10:AM10" si="3">SUM(AG11:AG30)</f>
        <v>#REF!</v>
      </c>
      <c r="AH10" s="12" t="e">
        <f t="shared" si="3"/>
        <v>#REF!</v>
      </c>
      <c r="AI10" s="12" t="e">
        <f t="shared" si="3"/>
        <v>#REF!</v>
      </c>
      <c r="AJ10" s="12" t="e">
        <f t="shared" si="3"/>
        <v>#REF!</v>
      </c>
      <c r="AK10" s="17">
        <f t="shared" si="3"/>
        <v>0</v>
      </c>
      <c r="AL10" s="12">
        <f t="shared" si="3"/>
        <v>0</v>
      </c>
      <c r="AM10" s="12">
        <f t="shared" si="3"/>
        <v>0</v>
      </c>
      <c r="AN10" s="26"/>
      <c r="AO10" s="12" t="e">
        <f t="shared" ref="AO10:AU10" si="4">SUM(AO11:AO30)</f>
        <v>#REF!</v>
      </c>
      <c r="AP10" s="12" t="e">
        <f t="shared" si="4"/>
        <v>#REF!</v>
      </c>
      <c r="AQ10" s="12" t="e">
        <f t="shared" si="4"/>
        <v>#REF!</v>
      </c>
      <c r="AR10" s="12" t="e">
        <f t="shared" si="4"/>
        <v>#REF!</v>
      </c>
      <c r="AS10" s="17">
        <f t="shared" si="4"/>
        <v>0</v>
      </c>
      <c r="AT10" s="12">
        <f t="shared" si="4"/>
        <v>0</v>
      </c>
      <c r="AU10" s="12">
        <f t="shared" si="4"/>
        <v>0</v>
      </c>
      <c r="AV10" s="26"/>
      <c r="AW10" s="12" t="e">
        <f>SUM(AW11:AW30)</f>
        <v>#REF!</v>
      </c>
      <c r="AX10" s="12" t="e">
        <f>SUM(AX11:AX30)</f>
        <v>#REF!</v>
      </c>
      <c r="AY10" s="12" t="e">
        <f>SUM(AY11:AY30)</f>
        <v>#REF!</v>
      </c>
      <c r="AZ10" s="12" t="e">
        <f>SUM(AZ11:AZ30)</f>
        <v>#REF!</v>
      </c>
      <c r="BA10" s="32"/>
      <c r="BB10" s="26"/>
      <c r="BC10" s="26"/>
      <c r="BD10" s="26"/>
      <c r="BE10" s="26"/>
    </row>
    <row r="11" spans="1:57" ht="12.75">
      <c r="B11">
        <v>10054</v>
      </c>
      <c r="C11" s="13" t="s">
        <v>31</v>
      </c>
      <c r="D11" s="47" t="s">
        <v>173</v>
      </c>
      <c r="E11" s="16"/>
      <c r="F11" s="5"/>
      <c r="G11" s="5"/>
      <c r="H11" s="26"/>
      <c r="I11" s="20" t="e">
        <f>'5|Revenue Current Tariff'!#REF!</f>
        <v>#REF!</v>
      </c>
      <c r="J11" s="20" t="e">
        <f>'5|Revenue Current Tariff'!#REF!</f>
        <v>#REF!</v>
      </c>
      <c r="K11" s="20" t="e">
        <f>'5|Revenue Current Tariff'!#REF!</f>
        <v>#REF!</v>
      </c>
      <c r="L11" s="6" t="e">
        <f>SUM(I11:K11)</f>
        <v>#REF!</v>
      </c>
      <c r="M11" s="16"/>
      <c r="N11" s="5"/>
      <c r="O11" s="5"/>
      <c r="P11" s="26"/>
      <c r="Q11" s="20">
        <f>'5|Revenue Current Tariff'!V10</f>
        <v>0</v>
      </c>
      <c r="R11" s="20">
        <f>'5|Revenue Current Tariff'!W10</f>
        <v>0</v>
      </c>
      <c r="S11" s="20">
        <f>'5|Revenue Current Tariff'!X10</f>
        <v>0</v>
      </c>
      <c r="T11" s="6">
        <f>SUM(Q11:S11)</f>
        <v>0</v>
      </c>
      <c r="U11" s="16"/>
      <c r="V11" s="5"/>
      <c r="W11" s="5"/>
      <c r="X11" s="26"/>
      <c r="Y11" s="20" t="e">
        <f>'5|Revenue Current Tariff'!#REF!</f>
        <v>#REF!</v>
      </c>
      <c r="Z11" s="20" t="e">
        <f>'5|Revenue Current Tariff'!#REF!</f>
        <v>#REF!</v>
      </c>
      <c r="AA11" s="20" t="e">
        <f>'5|Revenue Current Tariff'!#REF!</f>
        <v>#REF!</v>
      </c>
      <c r="AB11" s="6" t="e">
        <f>SUM(Y11:AA11)</f>
        <v>#REF!</v>
      </c>
      <c r="AC11" s="16"/>
      <c r="AD11" s="5"/>
      <c r="AE11" s="5"/>
      <c r="AF11" s="26"/>
      <c r="AG11" s="20" t="e">
        <f>'5|Revenue Current Tariff'!#REF!</f>
        <v>#REF!</v>
      </c>
      <c r="AH11" s="20" t="e">
        <f>'5|Revenue Current Tariff'!#REF!</f>
        <v>#REF!</v>
      </c>
      <c r="AI11" s="20" t="e">
        <f>'5|Revenue Current Tariff'!#REF!</f>
        <v>#REF!</v>
      </c>
      <c r="AJ11" s="6" t="e">
        <f>SUM(AG11:AI11)</f>
        <v>#REF!</v>
      </c>
      <c r="AK11" s="16"/>
      <c r="AL11" s="5"/>
      <c r="AM11" s="5"/>
      <c r="AN11" s="26"/>
      <c r="AO11" s="20" t="e">
        <f>'5|Revenue Current Tariff'!#REF!</f>
        <v>#REF!</v>
      </c>
      <c r="AP11" s="20" t="e">
        <f>'5|Revenue Current Tariff'!#REF!</f>
        <v>#REF!</v>
      </c>
      <c r="AQ11" s="20" t="e">
        <f>'5|Revenue Current Tariff'!#REF!</f>
        <v>#REF!</v>
      </c>
      <c r="AR11" s="6" t="e">
        <f>SUM(AO11:AQ11)</f>
        <v>#REF!</v>
      </c>
      <c r="AS11" s="16"/>
      <c r="AT11" s="5"/>
      <c r="AU11" s="5"/>
      <c r="AV11" s="26"/>
      <c r="AW11" s="20" t="e">
        <f>'5|Revenue Current Tariff'!#REF!</f>
        <v>#REF!</v>
      </c>
      <c r="AX11" s="20" t="e">
        <f>'5|Revenue Current Tariff'!#REF!</f>
        <v>#REF!</v>
      </c>
      <c r="AY11" s="20" t="e">
        <f>'5|Revenue Current Tariff'!#REF!</f>
        <v>#REF!</v>
      </c>
      <c r="AZ11" s="6" t="e">
        <f>SUM(AW11:AY11)</f>
        <v>#REF!</v>
      </c>
      <c r="BA11" s="32"/>
      <c r="BB11" s="26"/>
      <c r="BC11" s="26"/>
      <c r="BD11" s="26"/>
      <c r="BE11" s="26"/>
    </row>
    <row r="12" spans="1:57" ht="12.75">
      <c r="B12">
        <v>10055</v>
      </c>
      <c r="C12" s="13" t="s">
        <v>37</v>
      </c>
      <c r="D12" s="48"/>
      <c r="E12" s="16"/>
      <c r="F12" s="5"/>
      <c r="G12" s="5"/>
      <c r="H12" s="26"/>
      <c r="I12" s="20" t="e">
        <f>'5|Revenue Current Tariff'!#REF!</f>
        <v>#REF!</v>
      </c>
      <c r="J12" s="20" t="e">
        <f>'5|Revenue Current Tariff'!#REF!</f>
        <v>#REF!</v>
      </c>
      <c r="K12" s="20" t="e">
        <f>'5|Revenue Current Tariff'!#REF!</f>
        <v>#REF!</v>
      </c>
      <c r="L12" s="6" t="e">
        <f t="shared" ref="L12:L30" si="5">SUM(I12:K12)</f>
        <v>#REF!</v>
      </c>
      <c r="M12" s="16"/>
      <c r="N12" s="5"/>
      <c r="O12" s="5"/>
      <c r="P12" s="26"/>
      <c r="Q12" s="20">
        <f>'5|Revenue Current Tariff'!V11</f>
        <v>0</v>
      </c>
      <c r="R12" s="20">
        <f>'5|Revenue Current Tariff'!W11</f>
        <v>0</v>
      </c>
      <c r="S12" s="20">
        <f>'5|Revenue Current Tariff'!X11</f>
        <v>0</v>
      </c>
      <c r="T12" s="6">
        <f t="shared" ref="T12:T30" si="6">SUM(Q12:S12)</f>
        <v>0</v>
      </c>
      <c r="U12" s="16"/>
      <c r="V12" s="5"/>
      <c r="W12" s="5"/>
      <c r="X12" s="26"/>
      <c r="Y12" s="20" t="e">
        <f>'5|Revenue Current Tariff'!#REF!</f>
        <v>#REF!</v>
      </c>
      <c r="Z12" s="20" t="e">
        <f>'5|Revenue Current Tariff'!#REF!</f>
        <v>#REF!</v>
      </c>
      <c r="AA12" s="20" t="e">
        <f>'5|Revenue Current Tariff'!#REF!</f>
        <v>#REF!</v>
      </c>
      <c r="AB12" s="6" t="e">
        <f t="shared" ref="AB12:AB30" si="7">SUM(Y12:AA12)</f>
        <v>#REF!</v>
      </c>
      <c r="AC12" s="16"/>
      <c r="AD12" s="5"/>
      <c r="AE12" s="5"/>
      <c r="AF12" s="26"/>
      <c r="AG12" s="20" t="e">
        <f>'5|Revenue Current Tariff'!#REF!</f>
        <v>#REF!</v>
      </c>
      <c r="AH12" s="20" t="e">
        <f>'5|Revenue Current Tariff'!#REF!</f>
        <v>#REF!</v>
      </c>
      <c r="AI12" s="20" t="e">
        <f>'5|Revenue Current Tariff'!#REF!</f>
        <v>#REF!</v>
      </c>
      <c r="AJ12" s="6" t="e">
        <f t="shared" ref="AJ12:AJ30" si="8">SUM(AG12:AI12)</f>
        <v>#REF!</v>
      </c>
      <c r="AK12" s="16"/>
      <c r="AL12" s="5"/>
      <c r="AM12" s="5"/>
      <c r="AN12" s="26"/>
      <c r="AO12" s="20" t="e">
        <f>'5|Revenue Current Tariff'!#REF!</f>
        <v>#REF!</v>
      </c>
      <c r="AP12" s="20" t="e">
        <f>'5|Revenue Current Tariff'!#REF!</f>
        <v>#REF!</v>
      </c>
      <c r="AQ12" s="20" t="e">
        <f>'5|Revenue Current Tariff'!#REF!</f>
        <v>#REF!</v>
      </c>
      <c r="AR12" s="6" t="e">
        <f t="shared" ref="AR12:AR30" si="9">SUM(AO12:AQ12)</f>
        <v>#REF!</v>
      </c>
      <c r="AS12" s="16"/>
      <c r="AT12" s="5"/>
      <c r="AU12" s="5"/>
      <c r="AV12" s="26"/>
      <c r="AW12" s="20" t="e">
        <f>'5|Revenue Current Tariff'!#REF!</f>
        <v>#REF!</v>
      </c>
      <c r="AX12" s="20" t="e">
        <f>'5|Revenue Current Tariff'!#REF!</f>
        <v>#REF!</v>
      </c>
      <c r="AY12" s="20" t="e">
        <f>'5|Revenue Current Tariff'!#REF!</f>
        <v>#REF!</v>
      </c>
      <c r="AZ12" s="6" t="e">
        <f t="shared" ref="AZ12:AZ30" si="10">SUM(AW12:AY12)</f>
        <v>#REF!</v>
      </c>
      <c r="BA12" s="32"/>
      <c r="BB12" s="26"/>
      <c r="BC12" s="26"/>
      <c r="BD12" s="26"/>
      <c r="BE12" s="26"/>
    </row>
    <row r="13" spans="1:57" ht="12.75">
      <c r="B13"/>
      <c r="C13" s="45" t="s">
        <v>30</v>
      </c>
      <c r="D13" s="48"/>
      <c r="E13" s="16"/>
      <c r="F13" s="5"/>
      <c r="G13" s="5"/>
      <c r="H13" s="26"/>
      <c r="I13" s="20" t="e">
        <f>'5|Revenue Current Tariff'!#REF!</f>
        <v>#REF!</v>
      </c>
      <c r="J13" s="20" t="e">
        <f>'5|Revenue Current Tariff'!#REF!</f>
        <v>#REF!</v>
      </c>
      <c r="K13" s="20" t="e">
        <f>'5|Revenue Current Tariff'!#REF!</f>
        <v>#REF!</v>
      </c>
      <c r="L13" s="6" t="e">
        <f t="shared" si="5"/>
        <v>#REF!</v>
      </c>
      <c r="M13" s="16"/>
      <c r="N13" s="5"/>
      <c r="O13" s="5"/>
      <c r="P13" s="26"/>
      <c r="Q13" s="20">
        <f>'5|Revenue Current Tariff'!V12</f>
        <v>0</v>
      </c>
      <c r="R13" s="20">
        <f>'5|Revenue Current Tariff'!W12</f>
        <v>0</v>
      </c>
      <c r="S13" s="20">
        <f>'5|Revenue Current Tariff'!X12</f>
        <v>0</v>
      </c>
      <c r="T13" s="6">
        <f t="shared" si="6"/>
        <v>0</v>
      </c>
      <c r="U13" s="16"/>
      <c r="V13" s="5"/>
      <c r="W13" s="5"/>
      <c r="X13" s="26"/>
      <c r="Y13" s="20" t="e">
        <f>'5|Revenue Current Tariff'!#REF!</f>
        <v>#REF!</v>
      </c>
      <c r="Z13" s="20" t="e">
        <f>'5|Revenue Current Tariff'!#REF!</f>
        <v>#REF!</v>
      </c>
      <c r="AA13" s="20" t="e">
        <f>'5|Revenue Current Tariff'!#REF!</f>
        <v>#REF!</v>
      </c>
      <c r="AB13" s="6" t="e">
        <f t="shared" si="7"/>
        <v>#REF!</v>
      </c>
      <c r="AC13" s="16"/>
      <c r="AD13" s="5"/>
      <c r="AE13" s="5"/>
      <c r="AF13" s="26"/>
      <c r="AG13" s="20" t="e">
        <f>'5|Revenue Current Tariff'!#REF!</f>
        <v>#REF!</v>
      </c>
      <c r="AH13" s="20" t="e">
        <f>'5|Revenue Current Tariff'!#REF!</f>
        <v>#REF!</v>
      </c>
      <c r="AI13" s="20" t="e">
        <f>'5|Revenue Current Tariff'!#REF!</f>
        <v>#REF!</v>
      </c>
      <c r="AJ13" s="6" t="e">
        <f t="shared" si="8"/>
        <v>#REF!</v>
      </c>
      <c r="AK13" s="16"/>
      <c r="AL13" s="5"/>
      <c r="AM13" s="5"/>
      <c r="AN13" s="26"/>
      <c r="AO13" s="20" t="e">
        <f>'5|Revenue Current Tariff'!#REF!</f>
        <v>#REF!</v>
      </c>
      <c r="AP13" s="20" t="e">
        <f>'5|Revenue Current Tariff'!#REF!</f>
        <v>#REF!</v>
      </c>
      <c r="AQ13" s="20" t="e">
        <f>'5|Revenue Current Tariff'!#REF!</f>
        <v>#REF!</v>
      </c>
      <c r="AR13" s="6" t="e">
        <f t="shared" si="9"/>
        <v>#REF!</v>
      </c>
      <c r="AS13" s="16"/>
      <c r="AT13" s="5"/>
      <c r="AU13" s="5"/>
      <c r="AV13" s="26"/>
      <c r="AW13" s="20" t="e">
        <f>'5|Revenue Current Tariff'!#REF!</f>
        <v>#REF!</v>
      </c>
      <c r="AX13" s="20" t="e">
        <f>'5|Revenue Current Tariff'!#REF!</f>
        <v>#REF!</v>
      </c>
      <c r="AY13" s="20" t="e">
        <f>'5|Revenue Current Tariff'!#REF!</f>
        <v>#REF!</v>
      </c>
      <c r="AZ13" s="6" t="e">
        <f t="shared" si="10"/>
        <v>#REF!</v>
      </c>
      <c r="BA13" s="32"/>
      <c r="BB13" s="26"/>
      <c r="BC13" s="26"/>
      <c r="BD13" s="26"/>
      <c r="BE13" s="26"/>
    </row>
    <row r="14" spans="1:57" ht="12.75">
      <c r="B14">
        <v>10077</v>
      </c>
      <c r="C14" s="13" t="s">
        <v>206</v>
      </c>
      <c r="D14" s="48"/>
      <c r="E14" s="16"/>
      <c r="F14" s="5"/>
      <c r="G14" s="5"/>
      <c r="H14" s="26"/>
      <c r="I14" s="20" t="e">
        <f>'5|Revenue Current Tariff'!#REF!</f>
        <v>#REF!</v>
      </c>
      <c r="J14" s="20" t="e">
        <f>'5|Revenue Current Tariff'!#REF!</f>
        <v>#REF!</v>
      </c>
      <c r="K14" s="20" t="e">
        <f>'5|Revenue Current Tariff'!#REF!</f>
        <v>#REF!</v>
      </c>
      <c r="L14" s="6" t="e">
        <f t="shared" si="5"/>
        <v>#REF!</v>
      </c>
      <c r="M14" s="16"/>
      <c r="N14" s="5"/>
      <c r="O14" s="5"/>
      <c r="P14" s="26"/>
      <c r="Q14" s="20">
        <f>'5|Revenue Current Tariff'!V13</f>
        <v>0</v>
      </c>
      <c r="R14" s="20">
        <f>'5|Revenue Current Tariff'!W13</f>
        <v>0</v>
      </c>
      <c r="S14" s="20">
        <f>'5|Revenue Current Tariff'!X13</f>
        <v>0</v>
      </c>
      <c r="T14" s="6">
        <f t="shared" si="6"/>
        <v>0</v>
      </c>
      <c r="U14" s="16"/>
      <c r="V14" s="5"/>
      <c r="W14" s="5"/>
      <c r="X14" s="26"/>
      <c r="Y14" s="20" t="e">
        <f>'5|Revenue Current Tariff'!#REF!</f>
        <v>#REF!</v>
      </c>
      <c r="Z14" s="20" t="e">
        <f>'5|Revenue Current Tariff'!#REF!</f>
        <v>#REF!</v>
      </c>
      <c r="AA14" s="20" t="e">
        <f>'5|Revenue Current Tariff'!#REF!</f>
        <v>#REF!</v>
      </c>
      <c r="AB14" s="6" t="e">
        <f t="shared" si="7"/>
        <v>#REF!</v>
      </c>
      <c r="AC14" s="16"/>
      <c r="AD14" s="5"/>
      <c r="AE14" s="5"/>
      <c r="AF14" s="26"/>
      <c r="AG14" s="20" t="e">
        <f>'5|Revenue Current Tariff'!#REF!</f>
        <v>#REF!</v>
      </c>
      <c r="AH14" s="20" t="e">
        <f>'5|Revenue Current Tariff'!#REF!</f>
        <v>#REF!</v>
      </c>
      <c r="AI14" s="20" t="e">
        <f>'5|Revenue Current Tariff'!#REF!</f>
        <v>#REF!</v>
      </c>
      <c r="AJ14" s="6" t="e">
        <f t="shared" si="8"/>
        <v>#REF!</v>
      </c>
      <c r="AK14" s="16"/>
      <c r="AL14" s="5"/>
      <c r="AM14" s="5"/>
      <c r="AN14" s="26"/>
      <c r="AO14" s="20" t="e">
        <f>'5|Revenue Current Tariff'!#REF!</f>
        <v>#REF!</v>
      </c>
      <c r="AP14" s="20" t="e">
        <f>'5|Revenue Current Tariff'!#REF!</f>
        <v>#REF!</v>
      </c>
      <c r="AQ14" s="20" t="e">
        <f>'5|Revenue Current Tariff'!#REF!</f>
        <v>#REF!</v>
      </c>
      <c r="AR14" s="6" t="e">
        <f t="shared" si="9"/>
        <v>#REF!</v>
      </c>
      <c r="AS14" s="16"/>
      <c r="AT14" s="5"/>
      <c r="AU14" s="5"/>
      <c r="AV14" s="26"/>
      <c r="AW14" s="20" t="e">
        <f>'5|Revenue Current Tariff'!#REF!</f>
        <v>#REF!</v>
      </c>
      <c r="AX14" s="20" t="e">
        <f>'5|Revenue Current Tariff'!#REF!</f>
        <v>#REF!</v>
      </c>
      <c r="AY14" s="20" t="e">
        <f>'5|Revenue Current Tariff'!#REF!</f>
        <v>#REF!</v>
      </c>
      <c r="AZ14" s="6" t="e">
        <f t="shared" si="10"/>
        <v>#REF!</v>
      </c>
      <c r="BA14" s="32"/>
      <c r="BB14" s="26"/>
      <c r="BC14" s="26"/>
      <c r="BD14" s="26"/>
      <c r="BE14" s="26"/>
    </row>
    <row r="15" spans="1:57" ht="12.75">
      <c r="B15">
        <v>10058</v>
      </c>
      <c r="C15" s="45" t="s">
        <v>33</v>
      </c>
      <c r="D15" s="48"/>
      <c r="E15" s="16"/>
      <c r="F15" s="5"/>
      <c r="G15" s="5"/>
      <c r="H15" s="26"/>
      <c r="I15" s="20" t="e">
        <f>'5|Revenue Current Tariff'!#REF!</f>
        <v>#REF!</v>
      </c>
      <c r="J15" s="20" t="e">
        <f>'5|Revenue Current Tariff'!#REF!</f>
        <v>#REF!</v>
      </c>
      <c r="K15" s="20" t="e">
        <f>'5|Revenue Current Tariff'!#REF!</f>
        <v>#REF!</v>
      </c>
      <c r="L15" s="6" t="e">
        <f t="shared" si="5"/>
        <v>#REF!</v>
      </c>
      <c r="M15" s="16"/>
      <c r="N15" s="5"/>
      <c r="O15" s="5"/>
      <c r="P15" s="26"/>
      <c r="Q15" s="20">
        <f>'5|Revenue Current Tariff'!V14</f>
        <v>0</v>
      </c>
      <c r="R15" s="20">
        <f>'5|Revenue Current Tariff'!W14</f>
        <v>0</v>
      </c>
      <c r="S15" s="20">
        <f>'5|Revenue Current Tariff'!X14</f>
        <v>0</v>
      </c>
      <c r="T15" s="6">
        <f t="shared" si="6"/>
        <v>0</v>
      </c>
      <c r="U15" s="16"/>
      <c r="V15" s="5"/>
      <c r="W15" s="5"/>
      <c r="X15" s="26"/>
      <c r="Y15" s="20" t="e">
        <f>'5|Revenue Current Tariff'!#REF!</f>
        <v>#REF!</v>
      </c>
      <c r="Z15" s="20" t="e">
        <f>'5|Revenue Current Tariff'!#REF!</f>
        <v>#REF!</v>
      </c>
      <c r="AA15" s="20" t="e">
        <f>'5|Revenue Current Tariff'!#REF!</f>
        <v>#REF!</v>
      </c>
      <c r="AB15" s="6" t="e">
        <f t="shared" si="7"/>
        <v>#REF!</v>
      </c>
      <c r="AC15" s="16"/>
      <c r="AD15" s="5"/>
      <c r="AE15" s="5"/>
      <c r="AF15" s="26"/>
      <c r="AG15" s="20" t="e">
        <f>'5|Revenue Current Tariff'!#REF!</f>
        <v>#REF!</v>
      </c>
      <c r="AH15" s="20" t="e">
        <f>'5|Revenue Current Tariff'!#REF!</f>
        <v>#REF!</v>
      </c>
      <c r="AI15" s="20" t="e">
        <f>'5|Revenue Current Tariff'!#REF!</f>
        <v>#REF!</v>
      </c>
      <c r="AJ15" s="6" t="e">
        <f t="shared" si="8"/>
        <v>#REF!</v>
      </c>
      <c r="AK15" s="16"/>
      <c r="AL15" s="5"/>
      <c r="AM15" s="5"/>
      <c r="AN15" s="26"/>
      <c r="AO15" s="20" t="e">
        <f>'5|Revenue Current Tariff'!#REF!</f>
        <v>#REF!</v>
      </c>
      <c r="AP15" s="20" t="e">
        <f>'5|Revenue Current Tariff'!#REF!</f>
        <v>#REF!</v>
      </c>
      <c r="AQ15" s="20" t="e">
        <f>'5|Revenue Current Tariff'!#REF!</f>
        <v>#REF!</v>
      </c>
      <c r="AR15" s="6" t="e">
        <f t="shared" si="9"/>
        <v>#REF!</v>
      </c>
      <c r="AS15" s="16"/>
      <c r="AT15" s="5"/>
      <c r="AU15" s="5"/>
      <c r="AV15" s="26"/>
      <c r="AW15" s="20" t="e">
        <f>'5|Revenue Current Tariff'!#REF!</f>
        <v>#REF!</v>
      </c>
      <c r="AX15" s="20" t="e">
        <f>'5|Revenue Current Tariff'!#REF!</f>
        <v>#REF!</v>
      </c>
      <c r="AY15" s="20" t="e">
        <f>'5|Revenue Current Tariff'!#REF!</f>
        <v>#REF!</v>
      </c>
      <c r="AZ15" s="6" t="e">
        <f t="shared" si="10"/>
        <v>#REF!</v>
      </c>
      <c r="BA15" s="32"/>
      <c r="BB15" s="26"/>
      <c r="BC15" s="26"/>
      <c r="BD15" s="26"/>
      <c r="BE15" s="26"/>
    </row>
    <row r="16" spans="1:57" ht="12.75">
      <c r="B16">
        <v>10085</v>
      </c>
      <c r="C16" s="45" t="s">
        <v>34</v>
      </c>
      <c r="D16" s="4"/>
      <c r="E16" s="16"/>
      <c r="F16" s="5"/>
      <c r="G16" s="5"/>
      <c r="H16" s="26"/>
      <c r="I16" s="20" t="e">
        <f>'5|Revenue Current Tariff'!#REF!</f>
        <v>#REF!</v>
      </c>
      <c r="J16" s="20" t="e">
        <f>'5|Revenue Current Tariff'!#REF!</f>
        <v>#REF!</v>
      </c>
      <c r="K16" s="20" t="e">
        <f>'5|Revenue Current Tariff'!#REF!</f>
        <v>#REF!</v>
      </c>
      <c r="L16" s="6" t="e">
        <f t="shared" si="5"/>
        <v>#REF!</v>
      </c>
      <c r="M16" s="16"/>
      <c r="N16" s="5"/>
      <c r="O16" s="5"/>
      <c r="P16" s="26"/>
      <c r="Q16" s="20" t="e">
        <f>'5|Revenue Current Tariff'!#REF!</f>
        <v>#REF!</v>
      </c>
      <c r="R16" s="20" t="e">
        <f>'5|Revenue Current Tariff'!#REF!</f>
        <v>#REF!</v>
      </c>
      <c r="S16" s="20" t="e">
        <f>'5|Revenue Current Tariff'!#REF!</f>
        <v>#REF!</v>
      </c>
      <c r="T16" s="6" t="e">
        <f t="shared" si="6"/>
        <v>#REF!</v>
      </c>
      <c r="U16" s="16"/>
      <c r="V16" s="5"/>
      <c r="W16" s="5"/>
      <c r="X16" s="26"/>
      <c r="Y16" s="20" t="e">
        <f>'5|Revenue Current Tariff'!#REF!</f>
        <v>#REF!</v>
      </c>
      <c r="Z16" s="20" t="e">
        <f>'5|Revenue Current Tariff'!#REF!</f>
        <v>#REF!</v>
      </c>
      <c r="AA16" s="20" t="e">
        <f>'5|Revenue Current Tariff'!#REF!</f>
        <v>#REF!</v>
      </c>
      <c r="AB16" s="6" t="e">
        <f t="shared" si="7"/>
        <v>#REF!</v>
      </c>
      <c r="AC16" s="16"/>
      <c r="AD16" s="5"/>
      <c r="AE16" s="5"/>
      <c r="AF16" s="26"/>
      <c r="AG16" s="20" t="e">
        <f>'5|Revenue Current Tariff'!#REF!</f>
        <v>#REF!</v>
      </c>
      <c r="AH16" s="20" t="e">
        <f>'5|Revenue Current Tariff'!#REF!</f>
        <v>#REF!</v>
      </c>
      <c r="AI16" s="20" t="e">
        <f>'5|Revenue Current Tariff'!#REF!</f>
        <v>#REF!</v>
      </c>
      <c r="AJ16" s="6" t="e">
        <f t="shared" si="8"/>
        <v>#REF!</v>
      </c>
      <c r="AK16" s="16"/>
      <c r="AL16" s="5"/>
      <c r="AM16" s="5"/>
      <c r="AN16" s="26"/>
      <c r="AO16" s="20" t="e">
        <f>'5|Revenue Current Tariff'!#REF!</f>
        <v>#REF!</v>
      </c>
      <c r="AP16" s="20" t="e">
        <f>'5|Revenue Current Tariff'!#REF!</f>
        <v>#REF!</v>
      </c>
      <c r="AQ16" s="20" t="e">
        <f>'5|Revenue Current Tariff'!#REF!</f>
        <v>#REF!</v>
      </c>
      <c r="AR16" s="6" t="e">
        <f t="shared" si="9"/>
        <v>#REF!</v>
      </c>
      <c r="AS16" s="16"/>
      <c r="AT16" s="5"/>
      <c r="AU16" s="5"/>
      <c r="AV16" s="26"/>
      <c r="AW16" s="20" t="e">
        <f>'5|Revenue Current Tariff'!#REF!</f>
        <v>#REF!</v>
      </c>
      <c r="AX16" s="20" t="e">
        <f>'5|Revenue Current Tariff'!#REF!</f>
        <v>#REF!</v>
      </c>
      <c r="AY16" s="20" t="e">
        <f>'5|Revenue Current Tariff'!#REF!</f>
        <v>#REF!</v>
      </c>
      <c r="AZ16" s="6" t="e">
        <f t="shared" si="10"/>
        <v>#REF!</v>
      </c>
      <c r="BA16" s="32"/>
      <c r="BB16" s="26"/>
      <c r="BC16" s="26"/>
      <c r="BD16" s="26"/>
      <c r="BE16" s="26"/>
    </row>
    <row r="17" spans="2:57" ht="12.75" hidden="1">
      <c r="B17">
        <v>10088</v>
      </c>
      <c r="C17" s="46" t="s">
        <v>207</v>
      </c>
      <c r="D17" s="4"/>
      <c r="E17" s="16"/>
      <c r="F17" s="5"/>
      <c r="G17" s="5"/>
      <c r="H17" s="26"/>
      <c r="I17" s="20" t="e">
        <f>'5|Revenue Current Tariff'!#REF!</f>
        <v>#REF!</v>
      </c>
      <c r="J17" s="20" t="e">
        <f>'5|Revenue Current Tariff'!#REF!</f>
        <v>#REF!</v>
      </c>
      <c r="K17" s="20" t="e">
        <f>'5|Revenue Current Tariff'!#REF!</f>
        <v>#REF!</v>
      </c>
      <c r="L17" s="6" t="e">
        <f t="shared" si="5"/>
        <v>#REF!</v>
      </c>
      <c r="M17" s="16"/>
      <c r="N17" s="5"/>
      <c r="O17" s="5"/>
      <c r="P17" s="26"/>
      <c r="Q17" s="20" t="e">
        <f>'5|Revenue Current Tariff'!#REF!</f>
        <v>#REF!</v>
      </c>
      <c r="R17" s="20" t="e">
        <f>'5|Revenue Current Tariff'!#REF!</f>
        <v>#REF!</v>
      </c>
      <c r="S17" s="20" t="e">
        <f>'5|Revenue Current Tariff'!#REF!</f>
        <v>#REF!</v>
      </c>
      <c r="T17" s="6" t="e">
        <f t="shared" si="6"/>
        <v>#REF!</v>
      </c>
      <c r="U17" s="16"/>
      <c r="V17" s="5"/>
      <c r="W17" s="5"/>
      <c r="X17" s="26"/>
      <c r="Y17" s="20" t="e">
        <f>'5|Revenue Current Tariff'!#REF!</f>
        <v>#REF!</v>
      </c>
      <c r="Z17" s="20" t="e">
        <f>'5|Revenue Current Tariff'!#REF!</f>
        <v>#REF!</v>
      </c>
      <c r="AA17" s="20" t="e">
        <f>'5|Revenue Current Tariff'!#REF!</f>
        <v>#REF!</v>
      </c>
      <c r="AB17" s="6" t="e">
        <f t="shared" si="7"/>
        <v>#REF!</v>
      </c>
      <c r="AC17" s="16"/>
      <c r="AD17" s="5"/>
      <c r="AE17" s="5"/>
      <c r="AF17" s="26"/>
      <c r="AG17" s="20" t="e">
        <f>'5|Revenue Current Tariff'!#REF!</f>
        <v>#REF!</v>
      </c>
      <c r="AH17" s="20" t="e">
        <f>'5|Revenue Current Tariff'!#REF!</f>
        <v>#REF!</v>
      </c>
      <c r="AI17" s="20" t="e">
        <f>'5|Revenue Current Tariff'!#REF!</f>
        <v>#REF!</v>
      </c>
      <c r="AJ17" s="6" t="e">
        <f t="shared" si="8"/>
        <v>#REF!</v>
      </c>
      <c r="AK17" s="16"/>
      <c r="AL17" s="5"/>
      <c r="AM17" s="5"/>
      <c r="AN17" s="26"/>
      <c r="AO17" s="20" t="e">
        <f>'5|Revenue Current Tariff'!#REF!</f>
        <v>#REF!</v>
      </c>
      <c r="AP17" s="20" t="e">
        <f>'5|Revenue Current Tariff'!#REF!</f>
        <v>#REF!</v>
      </c>
      <c r="AQ17" s="20" t="e">
        <f>'5|Revenue Current Tariff'!#REF!</f>
        <v>#REF!</v>
      </c>
      <c r="AR17" s="6" t="e">
        <f t="shared" si="9"/>
        <v>#REF!</v>
      </c>
      <c r="AS17" s="16"/>
      <c r="AT17" s="5"/>
      <c r="AU17" s="5"/>
      <c r="AV17" s="26"/>
      <c r="AW17" s="20" t="e">
        <f>'5|Revenue Current Tariff'!#REF!</f>
        <v>#REF!</v>
      </c>
      <c r="AX17" s="20" t="e">
        <f>'5|Revenue Current Tariff'!#REF!</f>
        <v>#REF!</v>
      </c>
      <c r="AY17" s="20" t="e">
        <f>'5|Revenue Current Tariff'!#REF!</f>
        <v>#REF!</v>
      </c>
      <c r="AZ17" s="6" t="e">
        <f t="shared" si="10"/>
        <v>#REF!</v>
      </c>
      <c r="BA17" s="32"/>
      <c r="BB17" s="26"/>
      <c r="BC17" s="26"/>
      <c r="BD17" s="26"/>
      <c r="BE17" s="26"/>
    </row>
    <row r="18" spans="2:57" ht="12.75">
      <c r="B18">
        <v>10063</v>
      </c>
      <c r="C18" s="13" t="s">
        <v>35</v>
      </c>
      <c r="D18" s="4"/>
      <c r="E18" s="16"/>
      <c r="F18" s="5"/>
      <c r="G18" s="5"/>
      <c r="H18" s="26"/>
      <c r="I18" s="20" t="e">
        <f>'5|Revenue Current Tariff'!#REF!</f>
        <v>#REF!</v>
      </c>
      <c r="J18" s="20" t="e">
        <f>'5|Revenue Current Tariff'!#REF!</f>
        <v>#REF!</v>
      </c>
      <c r="K18" s="20" t="e">
        <f>'5|Revenue Current Tariff'!#REF!</f>
        <v>#REF!</v>
      </c>
      <c r="L18" s="6" t="e">
        <f t="shared" si="5"/>
        <v>#REF!</v>
      </c>
      <c r="M18" s="16"/>
      <c r="N18" s="5"/>
      <c r="O18" s="5"/>
      <c r="P18" s="26"/>
      <c r="Q18" s="20" t="e">
        <f>'5|Revenue Current Tariff'!#REF!</f>
        <v>#REF!</v>
      </c>
      <c r="R18" s="20" t="e">
        <f>'5|Revenue Current Tariff'!#REF!</f>
        <v>#REF!</v>
      </c>
      <c r="S18" s="20" t="e">
        <f>'5|Revenue Current Tariff'!#REF!</f>
        <v>#REF!</v>
      </c>
      <c r="T18" s="6" t="e">
        <f t="shared" si="6"/>
        <v>#REF!</v>
      </c>
      <c r="U18" s="16"/>
      <c r="V18" s="5"/>
      <c r="W18" s="5"/>
      <c r="X18" s="26"/>
      <c r="Y18" s="20" t="e">
        <f>'5|Revenue Current Tariff'!#REF!</f>
        <v>#REF!</v>
      </c>
      <c r="Z18" s="20" t="e">
        <f>'5|Revenue Current Tariff'!#REF!</f>
        <v>#REF!</v>
      </c>
      <c r="AA18" s="20" t="e">
        <f>'5|Revenue Current Tariff'!#REF!</f>
        <v>#REF!</v>
      </c>
      <c r="AB18" s="6" t="e">
        <f t="shared" si="7"/>
        <v>#REF!</v>
      </c>
      <c r="AC18" s="16"/>
      <c r="AD18" s="5"/>
      <c r="AE18" s="5"/>
      <c r="AF18" s="26"/>
      <c r="AG18" s="20" t="e">
        <f>'5|Revenue Current Tariff'!#REF!</f>
        <v>#REF!</v>
      </c>
      <c r="AH18" s="20" t="e">
        <f>'5|Revenue Current Tariff'!#REF!</f>
        <v>#REF!</v>
      </c>
      <c r="AI18" s="20" t="e">
        <f>'5|Revenue Current Tariff'!#REF!</f>
        <v>#REF!</v>
      </c>
      <c r="AJ18" s="6" t="e">
        <f t="shared" si="8"/>
        <v>#REF!</v>
      </c>
      <c r="AK18" s="16"/>
      <c r="AL18" s="5"/>
      <c r="AM18" s="5"/>
      <c r="AN18" s="26"/>
      <c r="AO18" s="20" t="e">
        <f>'5|Revenue Current Tariff'!#REF!</f>
        <v>#REF!</v>
      </c>
      <c r="AP18" s="20" t="e">
        <f>'5|Revenue Current Tariff'!#REF!</f>
        <v>#REF!</v>
      </c>
      <c r="AQ18" s="20" t="e">
        <f>'5|Revenue Current Tariff'!#REF!</f>
        <v>#REF!</v>
      </c>
      <c r="AR18" s="6" t="e">
        <f t="shared" si="9"/>
        <v>#REF!</v>
      </c>
      <c r="AS18" s="16"/>
      <c r="AT18" s="5"/>
      <c r="AU18" s="5"/>
      <c r="AV18" s="26"/>
      <c r="AW18" s="20" t="e">
        <f>'5|Revenue Current Tariff'!#REF!</f>
        <v>#REF!</v>
      </c>
      <c r="AX18" s="20" t="e">
        <f>'5|Revenue Current Tariff'!#REF!</f>
        <v>#REF!</v>
      </c>
      <c r="AY18" s="20" t="e">
        <f>'5|Revenue Current Tariff'!#REF!</f>
        <v>#REF!</v>
      </c>
      <c r="AZ18" s="6" t="e">
        <f t="shared" si="10"/>
        <v>#REF!</v>
      </c>
      <c r="BA18" s="32"/>
      <c r="BB18" s="26"/>
      <c r="BC18" s="26"/>
      <c r="BD18" s="26"/>
      <c r="BE18" s="26"/>
    </row>
    <row r="19" spans="2:57" ht="12.75">
      <c r="B19">
        <v>10064</v>
      </c>
      <c r="C19" s="13" t="s">
        <v>49</v>
      </c>
      <c r="D19" s="4"/>
      <c r="E19" s="16"/>
      <c r="F19" s="5"/>
      <c r="G19" s="5"/>
      <c r="H19" s="26"/>
      <c r="I19" s="20" t="e">
        <f>'5|Revenue Current Tariff'!#REF!</f>
        <v>#REF!</v>
      </c>
      <c r="J19" s="20" t="e">
        <f>'5|Revenue Current Tariff'!#REF!</f>
        <v>#REF!</v>
      </c>
      <c r="K19" s="20" t="e">
        <f>'5|Revenue Current Tariff'!#REF!</f>
        <v>#REF!</v>
      </c>
      <c r="L19" s="6" t="e">
        <f t="shared" si="5"/>
        <v>#REF!</v>
      </c>
      <c r="M19" s="16"/>
      <c r="N19" s="5"/>
      <c r="O19" s="5"/>
      <c r="P19" s="26"/>
      <c r="Q19" s="20" t="e">
        <f>'5|Revenue Current Tariff'!#REF!</f>
        <v>#REF!</v>
      </c>
      <c r="R19" s="20" t="e">
        <f>'5|Revenue Current Tariff'!#REF!</f>
        <v>#REF!</v>
      </c>
      <c r="S19" s="20" t="e">
        <f>'5|Revenue Current Tariff'!#REF!</f>
        <v>#REF!</v>
      </c>
      <c r="T19" s="6" t="e">
        <f t="shared" si="6"/>
        <v>#REF!</v>
      </c>
      <c r="U19" s="16"/>
      <c r="V19" s="5"/>
      <c r="W19" s="5"/>
      <c r="X19" s="26"/>
      <c r="Y19" s="20" t="e">
        <f>'5|Revenue Current Tariff'!#REF!</f>
        <v>#REF!</v>
      </c>
      <c r="Z19" s="20" t="e">
        <f>'5|Revenue Current Tariff'!#REF!</f>
        <v>#REF!</v>
      </c>
      <c r="AA19" s="20" t="e">
        <f>'5|Revenue Current Tariff'!#REF!</f>
        <v>#REF!</v>
      </c>
      <c r="AB19" s="6" t="e">
        <f t="shared" si="7"/>
        <v>#REF!</v>
      </c>
      <c r="AC19" s="16"/>
      <c r="AD19" s="5"/>
      <c r="AE19" s="5"/>
      <c r="AF19" s="26"/>
      <c r="AG19" s="20" t="e">
        <f>'5|Revenue Current Tariff'!#REF!</f>
        <v>#REF!</v>
      </c>
      <c r="AH19" s="20" t="e">
        <f>'5|Revenue Current Tariff'!#REF!</f>
        <v>#REF!</v>
      </c>
      <c r="AI19" s="20" t="e">
        <f>'5|Revenue Current Tariff'!#REF!</f>
        <v>#REF!</v>
      </c>
      <c r="AJ19" s="6" t="e">
        <f t="shared" si="8"/>
        <v>#REF!</v>
      </c>
      <c r="AK19" s="16"/>
      <c r="AL19" s="5"/>
      <c r="AM19" s="5"/>
      <c r="AN19" s="26"/>
      <c r="AO19" s="20" t="e">
        <f>'5|Revenue Current Tariff'!#REF!</f>
        <v>#REF!</v>
      </c>
      <c r="AP19" s="20" t="e">
        <f>'5|Revenue Current Tariff'!#REF!</f>
        <v>#REF!</v>
      </c>
      <c r="AQ19" s="20" t="e">
        <f>'5|Revenue Current Tariff'!#REF!</f>
        <v>#REF!</v>
      </c>
      <c r="AR19" s="6" t="e">
        <f t="shared" si="9"/>
        <v>#REF!</v>
      </c>
      <c r="AS19" s="16"/>
      <c r="AT19" s="5"/>
      <c r="AU19" s="5"/>
      <c r="AV19" s="26"/>
      <c r="AW19" s="20" t="e">
        <f>'5|Revenue Current Tariff'!#REF!</f>
        <v>#REF!</v>
      </c>
      <c r="AX19" s="20" t="e">
        <f>'5|Revenue Current Tariff'!#REF!</f>
        <v>#REF!</v>
      </c>
      <c r="AY19" s="20" t="e">
        <f>'5|Revenue Current Tariff'!#REF!</f>
        <v>#REF!</v>
      </c>
      <c r="AZ19" s="6" t="e">
        <f t="shared" si="10"/>
        <v>#REF!</v>
      </c>
      <c r="BA19" s="32"/>
      <c r="BB19" s="26"/>
      <c r="BC19" s="26"/>
      <c r="BD19" s="26"/>
      <c r="BE19" s="26"/>
    </row>
    <row r="20" spans="2:57" ht="12.75">
      <c r="B20"/>
      <c r="C20" s="13" t="s">
        <v>36</v>
      </c>
      <c r="D20" s="4"/>
      <c r="E20" s="16"/>
      <c r="F20" s="5"/>
      <c r="G20" s="5"/>
      <c r="H20" s="26"/>
      <c r="I20" s="20" t="e">
        <f>'5|Revenue Current Tariff'!#REF!</f>
        <v>#REF!</v>
      </c>
      <c r="J20" s="20" t="e">
        <f>'5|Revenue Current Tariff'!#REF!</f>
        <v>#REF!</v>
      </c>
      <c r="K20" s="20" t="e">
        <f>'5|Revenue Current Tariff'!#REF!</f>
        <v>#REF!</v>
      </c>
      <c r="L20" s="6" t="e">
        <f t="shared" si="5"/>
        <v>#REF!</v>
      </c>
      <c r="M20" s="16"/>
      <c r="N20" s="5"/>
      <c r="O20" s="5"/>
      <c r="P20" s="26"/>
      <c r="Q20" s="20" t="e">
        <f>'5|Revenue Current Tariff'!#REF!</f>
        <v>#REF!</v>
      </c>
      <c r="R20" s="20" t="e">
        <f>'5|Revenue Current Tariff'!#REF!</f>
        <v>#REF!</v>
      </c>
      <c r="S20" s="20" t="e">
        <f>'5|Revenue Current Tariff'!#REF!</f>
        <v>#REF!</v>
      </c>
      <c r="T20" s="6" t="e">
        <f t="shared" si="6"/>
        <v>#REF!</v>
      </c>
      <c r="U20" s="16"/>
      <c r="V20" s="5"/>
      <c r="W20" s="5"/>
      <c r="X20" s="26"/>
      <c r="Y20" s="20" t="e">
        <f>'5|Revenue Current Tariff'!#REF!</f>
        <v>#REF!</v>
      </c>
      <c r="Z20" s="20" t="e">
        <f>'5|Revenue Current Tariff'!#REF!</f>
        <v>#REF!</v>
      </c>
      <c r="AA20" s="20" t="e">
        <f>'5|Revenue Current Tariff'!#REF!</f>
        <v>#REF!</v>
      </c>
      <c r="AB20" s="6" t="e">
        <f t="shared" si="7"/>
        <v>#REF!</v>
      </c>
      <c r="AC20" s="16"/>
      <c r="AD20" s="5"/>
      <c r="AE20" s="5"/>
      <c r="AF20" s="26"/>
      <c r="AG20" s="20" t="e">
        <f>'5|Revenue Current Tariff'!#REF!</f>
        <v>#REF!</v>
      </c>
      <c r="AH20" s="20" t="e">
        <f>'5|Revenue Current Tariff'!#REF!</f>
        <v>#REF!</v>
      </c>
      <c r="AI20" s="20" t="e">
        <f>'5|Revenue Current Tariff'!#REF!</f>
        <v>#REF!</v>
      </c>
      <c r="AJ20" s="6" t="e">
        <f t="shared" si="8"/>
        <v>#REF!</v>
      </c>
      <c r="AK20" s="16"/>
      <c r="AL20" s="5"/>
      <c r="AM20" s="5"/>
      <c r="AN20" s="26"/>
      <c r="AO20" s="20" t="e">
        <f>'5|Revenue Current Tariff'!#REF!</f>
        <v>#REF!</v>
      </c>
      <c r="AP20" s="20" t="e">
        <f>'5|Revenue Current Tariff'!#REF!</f>
        <v>#REF!</v>
      </c>
      <c r="AQ20" s="20" t="e">
        <f>'5|Revenue Current Tariff'!#REF!</f>
        <v>#REF!</v>
      </c>
      <c r="AR20" s="6" t="e">
        <f t="shared" si="9"/>
        <v>#REF!</v>
      </c>
      <c r="AS20" s="16"/>
      <c r="AT20" s="5"/>
      <c r="AU20" s="5"/>
      <c r="AV20" s="26"/>
      <c r="AW20" s="20" t="e">
        <f>'5|Revenue Current Tariff'!#REF!</f>
        <v>#REF!</v>
      </c>
      <c r="AX20" s="20" t="e">
        <f>'5|Revenue Current Tariff'!#REF!</f>
        <v>#REF!</v>
      </c>
      <c r="AY20" s="20" t="e">
        <f>'5|Revenue Current Tariff'!#REF!</f>
        <v>#REF!</v>
      </c>
      <c r="AZ20" s="6" t="e">
        <f t="shared" si="10"/>
        <v>#REF!</v>
      </c>
      <c r="BA20" s="32"/>
      <c r="BB20" s="26"/>
      <c r="BC20" s="26"/>
      <c r="BD20" s="26"/>
      <c r="BE20" s="26"/>
    </row>
    <row r="21" spans="2:57" ht="12.75">
      <c r="B21"/>
      <c r="C21" s="13"/>
      <c r="D21" s="4"/>
      <c r="E21" s="16"/>
      <c r="F21" s="5"/>
      <c r="G21" s="5"/>
      <c r="H21" s="26"/>
      <c r="I21" s="20" t="e">
        <f>'5|Revenue Current Tariff'!#REF!</f>
        <v>#REF!</v>
      </c>
      <c r="J21" s="20" t="e">
        <f>'5|Revenue Current Tariff'!#REF!</f>
        <v>#REF!</v>
      </c>
      <c r="K21" s="20" t="e">
        <f>'5|Revenue Current Tariff'!#REF!</f>
        <v>#REF!</v>
      </c>
      <c r="L21" s="6" t="e">
        <f t="shared" si="5"/>
        <v>#REF!</v>
      </c>
      <c r="M21" s="16"/>
      <c r="N21" s="5"/>
      <c r="O21" s="5"/>
      <c r="P21" s="26"/>
      <c r="Q21" s="20" t="e">
        <f>'5|Revenue Current Tariff'!#REF!</f>
        <v>#REF!</v>
      </c>
      <c r="R21" s="20" t="e">
        <f>'5|Revenue Current Tariff'!#REF!</f>
        <v>#REF!</v>
      </c>
      <c r="S21" s="20" t="e">
        <f>'5|Revenue Current Tariff'!#REF!</f>
        <v>#REF!</v>
      </c>
      <c r="T21" s="6" t="e">
        <f t="shared" si="6"/>
        <v>#REF!</v>
      </c>
      <c r="U21" s="16"/>
      <c r="V21" s="5"/>
      <c r="W21" s="5"/>
      <c r="X21" s="26"/>
      <c r="Y21" s="20" t="e">
        <f>'5|Revenue Current Tariff'!#REF!</f>
        <v>#REF!</v>
      </c>
      <c r="Z21" s="20" t="e">
        <f>'5|Revenue Current Tariff'!#REF!</f>
        <v>#REF!</v>
      </c>
      <c r="AA21" s="20" t="e">
        <f>'5|Revenue Current Tariff'!#REF!</f>
        <v>#REF!</v>
      </c>
      <c r="AB21" s="6" t="e">
        <f t="shared" si="7"/>
        <v>#REF!</v>
      </c>
      <c r="AC21" s="16"/>
      <c r="AD21" s="5"/>
      <c r="AE21" s="5"/>
      <c r="AF21" s="26"/>
      <c r="AG21" s="20" t="e">
        <f>'5|Revenue Current Tariff'!#REF!</f>
        <v>#REF!</v>
      </c>
      <c r="AH21" s="20" t="e">
        <f>'5|Revenue Current Tariff'!#REF!</f>
        <v>#REF!</v>
      </c>
      <c r="AI21" s="20" t="e">
        <f>'5|Revenue Current Tariff'!#REF!</f>
        <v>#REF!</v>
      </c>
      <c r="AJ21" s="6" t="e">
        <f t="shared" si="8"/>
        <v>#REF!</v>
      </c>
      <c r="AK21" s="16"/>
      <c r="AL21" s="5"/>
      <c r="AM21" s="5"/>
      <c r="AN21" s="26"/>
      <c r="AO21" s="20" t="e">
        <f>'5|Revenue Current Tariff'!#REF!</f>
        <v>#REF!</v>
      </c>
      <c r="AP21" s="20" t="e">
        <f>'5|Revenue Current Tariff'!#REF!</f>
        <v>#REF!</v>
      </c>
      <c r="AQ21" s="20" t="e">
        <f>'5|Revenue Current Tariff'!#REF!</f>
        <v>#REF!</v>
      </c>
      <c r="AR21" s="6" t="e">
        <f t="shared" si="9"/>
        <v>#REF!</v>
      </c>
      <c r="AS21" s="16"/>
      <c r="AT21" s="5"/>
      <c r="AU21" s="5"/>
      <c r="AV21" s="26"/>
      <c r="AW21" s="20" t="e">
        <f>'5|Revenue Current Tariff'!#REF!</f>
        <v>#REF!</v>
      </c>
      <c r="AX21" s="20" t="e">
        <f>'5|Revenue Current Tariff'!#REF!</f>
        <v>#REF!</v>
      </c>
      <c r="AY21" s="20" t="e">
        <f>'5|Revenue Current Tariff'!#REF!</f>
        <v>#REF!</v>
      </c>
      <c r="AZ21" s="6" t="e">
        <f t="shared" si="10"/>
        <v>#REF!</v>
      </c>
      <c r="BA21" s="32"/>
      <c r="BB21" s="26"/>
      <c r="BC21" s="26"/>
      <c r="BD21" s="26"/>
      <c r="BE21" s="26"/>
    </row>
    <row r="22" spans="2:57" ht="12.75">
      <c r="B22"/>
      <c r="C22" s="13"/>
      <c r="D22" s="4"/>
      <c r="E22" s="16"/>
      <c r="F22" s="5"/>
      <c r="G22" s="5"/>
      <c r="H22" s="26"/>
      <c r="I22" s="20" t="e">
        <f>'5|Revenue Current Tariff'!#REF!</f>
        <v>#REF!</v>
      </c>
      <c r="J22" s="20" t="e">
        <f>'5|Revenue Current Tariff'!#REF!</f>
        <v>#REF!</v>
      </c>
      <c r="K22" s="20" t="e">
        <f>'5|Revenue Current Tariff'!#REF!</f>
        <v>#REF!</v>
      </c>
      <c r="L22" s="6" t="e">
        <f t="shared" si="5"/>
        <v>#REF!</v>
      </c>
      <c r="M22" s="16"/>
      <c r="N22" s="5"/>
      <c r="O22" s="5"/>
      <c r="P22" s="26"/>
      <c r="Q22" s="20" t="e">
        <f>'5|Revenue Current Tariff'!#REF!</f>
        <v>#REF!</v>
      </c>
      <c r="R22" s="20" t="e">
        <f>'5|Revenue Current Tariff'!#REF!</f>
        <v>#REF!</v>
      </c>
      <c r="S22" s="20" t="e">
        <f>'5|Revenue Current Tariff'!#REF!</f>
        <v>#REF!</v>
      </c>
      <c r="T22" s="6" t="e">
        <f t="shared" si="6"/>
        <v>#REF!</v>
      </c>
      <c r="U22" s="16"/>
      <c r="V22" s="5"/>
      <c r="W22" s="5"/>
      <c r="X22" s="26"/>
      <c r="Y22" s="20" t="e">
        <f>'5|Revenue Current Tariff'!#REF!</f>
        <v>#REF!</v>
      </c>
      <c r="Z22" s="20" t="e">
        <f>'5|Revenue Current Tariff'!#REF!</f>
        <v>#REF!</v>
      </c>
      <c r="AA22" s="20" t="e">
        <f>'5|Revenue Current Tariff'!#REF!</f>
        <v>#REF!</v>
      </c>
      <c r="AB22" s="6" t="e">
        <f t="shared" si="7"/>
        <v>#REF!</v>
      </c>
      <c r="AC22" s="16"/>
      <c r="AD22" s="5"/>
      <c r="AE22" s="5"/>
      <c r="AF22" s="26"/>
      <c r="AG22" s="20" t="e">
        <f>'5|Revenue Current Tariff'!#REF!</f>
        <v>#REF!</v>
      </c>
      <c r="AH22" s="20" t="e">
        <f>'5|Revenue Current Tariff'!#REF!</f>
        <v>#REF!</v>
      </c>
      <c r="AI22" s="20" t="e">
        <f>'5|Revenue Current Tariff'!#REF!</f>
        <v>#REF!</v>
      </c>
      <c r="AJ22" s="6" t="e">
        <f t="shared" si="8"/>
        <v>#REF!</v>
      </c>
      <c r="AK22" s="16"/>
      <c r="AL22" s="5"/>
      <c r="AM22" s="5"/>
      <c r="AN22" s="26"/>
      <c r="AO22" s="20" t="e">
        <f>'5|Revenue Current Tariff'!#REF!</f>
        <v>#REF!</v>
      </c>
      <c r="AP22" s="20" t="e">
        <f>'5|Revenue Current Tariff'!#REF!</f>
        <v>#REF!</v>
      </c>
      <c r="AQ22" s="20" t="e">
        <f>'5|Revenue Current Tariff'!#REF!</f>
        <v>#REF!</v>
      </c>
      <c r="AR22" s="6" t="e">
        <f t="shared" si="9"/>
        <v>#REF!</v>
      </c>
      <c r="AS22" s="16"/>
      <c r="AT22" s="5"/>
      <c r="AU22" s="5"/>
      <c r="AV22" s="26"/>
      <c r="AW22" s="20" t="e">
        <f>'5|Revenue Current Tariff'!#REF!</f>
        <v>#REF!</v>
      </c>
      <c r="AX22" s="20" t="e">
        <f>'5|Revenue Current Tariff'!#REF!</f>
        <v>#REF!</v>
      </c>
      <c r="AY22" s="20" t="e">
        <f>'5|Revenue Current Tariff'!#REF!</f>
        <v>#REF!</v>
      </c>
      <c r="AZ22" s="6" t="e">
        <f t="shared" si="10"/>
        <v>#REF!</v>
      </c>
      <c r="BA22" s="32"/>
      <c r="BB22" s="26"/>
      <c r="BC22" s="26"/>
      <c r="BD22" s="26"/>
      <c r="BE22" s="26"/>
    </row>
    <row r="23" spans="2:57" ht="12.75">
      <c r="B23"/>
      <c r="C23" s="36"/>
      <c r="D23" s="4"/>
      <c r="E23" s="16"/>
      <c r="F23" s="5"/>
      <c r="G23" s="5"/>
      <c r="H23" s="26"/>
      <c r="I23" s="20" t="e">
        <f>'5|Revenue Current Tariff'!#REF!</f>
        <v>#REF!</v>
      </c>
      <c r="J23" s="20" t="e">
        <f>'5|Revenue Current Tariff'!#REF!</f>
        <v>#REF!</v>
      </c>
      <c r="K23" s="20" t="e">
        <f>'5|Revenue Current Tariff'!#REF!</f>
        <v>#REF!</v>
      </c>
      <c r="L23" s="6" t="e">
        <f t="shared" si="5"/>
        <v>#REF!</v>
      </c>
      <c r="M23" s="16"/>
      <c r="N23" s="5"/>
      <c r="O23" s="5"/>
      <c r="P23" s="26"/>
      <c r="Q23" s="20" t="e">
        <f>'5|Revenue Current Tariff'!#REF!</f>
        <v>#REF!</v>
      </c>
      <c r="R23" s="20" t="e">
        <f>'5|Revenue Current Tariff'!#REF!</f>
        <v>#REF!</v>
      </c>
      <c r="S23" s="20" t="e">
        <f>'5|Revenue Current Tariff'!#REF!</f>
        <v>#REF!</v>
      </c>
      <c r="T23" s="6" t="e">
        <f t="shared" si="6"/>
        <v>#REF!</v>
      </c>
      <c r="U23" s="16"/>
      <c r="V23" s="5"/>
      <c r="W23" s="5"/>
      <c r="X23" s="26"/>
      <c r="Y23" s="20" t="e">
        <f>'5|Revenue Current Tariff'!#REF!</f>
        <v>#REF!</v>
      </c>
      <c r="Z23" s="20" t="e">
        <f>'5|Revenue Current Tariff'!#REF!</f>
        <v>#REF!</v>
      </c>
      <c r="AA23" s="20" t="e">
        <f>'5|Revenue Current Tariff'!#REF!</f>
        <v>#REF!</v>
      </c>
      <c r="AB23" s="6" t="e">
        <f t="shared" si="7"/>
        <v>#REF!</v>
      </c>
      <c r="AC23" s="16"/>
      <c r="AD23" s="5"/>
      <c r="AE23" s="5"/>
      <c r="AF23" s="26"/>
      <c r="AG23" s="20" t="e">
        <f>'5|Revenue Current Tariff'!#REF!</f>
        <v>#REF!</v>
      </c>
      <c r="AH23" s="20" t="e">
        <f>'5|Revenue Current Tariff'!#REF!</f>
        <v>#REF!</v>
      </c>
      <c r="AI23" s="20" t="e">
        <f>'5|Revenue Current Tariff'!#REF!</f>
        <v>#REF!</v>
      </c>
      <c r="AJ23" s="6" t="e">
        <f t="shared" si="8"/>
        <v>#REF!</v>
      </c>
      <c r="AK23" s="16"/>
      <c r="AL23" s="5"/>
      <c r="AM23" s="5"/>
      <c r="AN23" s="26"/>
      <c r="AO23" s="20" t="e">
        <f>'5|Revenue Current Tariff'!#REF!</f>
        <v>#REF!</v>
      </c>
      <c r="AP23" s="20" t="e">
        <f>'5|Revenue Current Tariff'!#REF!</f>
        <v>#REF!</v>
      </c>
      <c r="AQ23" s="20" t="e">
        <f>'5|Revenue Current Tariff'!#REF!</f>
        <v>#REF!</v>
      </c>
      <c r="AR23" s="6" t="e">
        <f t="shared" si="9"/>
        <v>#REF!</v>
      </c>
      <c r="AS23" s="16"/>
      <c r="AT23" s="5"/>
      <c r="AU23" s="5"/>
      <c r="AV23" s="26"/>
      <c r="AW23" s="20" t="e">
        <f>'5|Revenue Current Tariff'!#REF!</f>
        <v>#REF!</v>
      </c>
      <c r="AX23" s="20" t="e">
        <f>'5|Revenue Current Tariff'!#REF!</f>
        <v>#REF!</v>
      </c>
      <c r="AY23" s="20" t="e">
        <f>'5|Revenue Current Tariff'!#REF!</f>
        <v>#REF!</v>
      </c>
      <c r="AZ23" s="6" t="e">
        <f t="shared" si="10"/>
        <v>#REF!</v>
      </c>
      <c r="BA23" s="32"/>
      <c r="BB23" s="26"/>
      <c r="BC23" s="26"/>
      <c r="BD23" s="26"/>
      <c r="BE23" s="26"/>
    </row>
    <row r="24" spans="2:57" ht="12.75">
      <c r="B24"/>
      <c r="C24" s="13"/>
      <c r="D24" s="4"/>
      <c r="E24" s="16"/>
      <c r="F24" s="5"/>
      <c r="G24" s="5"/>
      <c r="H24" s="26"/>
      <c r="I24" s="20" t="e">
        <f>'5|Revenue Current Tariff'!#REF!</f>
        <v>#REF!</v>
      </c>
      <c r="J24" s="20" t="e">
        <f>'5|Revenue Current Tariff'!#REF!</f>
        <v>#REF!</v>
      </c>
      <c r="K24" s="20" t="e">
        <f>'5|Revenue Current Tariff'!#REF!</f>
        <v>#REF!</v>
      </c>
      <c r="L24" s="6" t="e">
        <f t="shared" si="5"/>
        <v>#REF!</v>
      </c>
      <c r="M24" s="16"/>
      <c r="N24" s="5"/>
      <c r="O24" s="5"/>
      <c r="P24" s="26"/>
      <c r="Q24" s="20" t="e">
        <f>'5|Revenue Current Tariff'!#REF!</f>
        <v>#REF!</v>
      </c>
      <c r="R24" s="20" t="e">
        <f>'5|Revenue Current Tariff'!#REF!</f>
        <v>#REF!</v>
      </c>
      <c r="S24" s="20" t="e">
        <f>'5|Revenue Current Tariff'!#REF!</f>
        <v>#REF!</v>
      </c>
      <c r="T24" s="6" t="e">
        <f t="shared" si="6"/>
        <v>#REF!</v>
      </c>
      <c r="U24" s="16"/>
      <c r="V24" s="5"/>
      <c r="W24" s="5"/>
      <c r="X24" s="26"/>
      <c r="Y24" s="20" t="e">
        <f>'5|Revenue Current Tariff'!#REF!</f>
        <v>#REF!</v>
      </c>
      <c r="Z24" s="20" t="e">
        <f>'5|Revenue Current Tariff'!#REF!</f>
        <v>#REF!</v>
      </c>
      <c r="AA24" s="20" t="e">
        <f>'5|Revenue Current Tariff'!#REF!</f>
        <v>#REF!</v>
      </c>
      <c r="AB24" s="6" t="e">
        <f t="shared" si="7"/>
        <v>#REF!</v>
      </c>
      <c r="AC24" s="16"/>
      <c r="AD24" s="5"/>
      <c r="AE24" s="5"/>
      <c r="AF24" s="26"/>
      <c r="AG24" s="20" t="e">
        <f>'5|Revenue Current Tariff'!#REF!</f>
        <v>#REF!</v>
      </c>
      <c r="AH24" s="20" t="e">
        <f>'5|Revenue Current Tariff'!#REF!</f>
        <v>#REF!</v>
      </c>
      <c r="AI24" s="20" t="e">
        <f>'5|Revenue Current Tariff'!#REF!</f>
        <v>#REF!</v>
      </c>
      <c r="AJ24" s="6" t="e">
        <f t="shared" si="8"/>
        <v>#REF!</v>
      </c>
      <c r="AK24" s="16"/>
      <c r="AL24" s="5"/>
      <c r="AM24" s="5"/>
      <c r="AN24" s="26"/>
      <c r="AO24" s="20" t="e">
        <f>'5|Revenue Current Tariff'!#REF!</f>
        <v>#REF!</v>
      </c>
      <c r="AP24" s="20" t="e">
        <f>'5|Revenue Current Tariff'!#REF!</f>
        <v>#REF!</v>
      </c>
      <c r="AQ24" s="20" t="e">
        <f>'5|Revenue Current Tariff'!#REF!</f>
        <v>#REF!</v>
      </c>
      <c r="AR24" s="6" t="e">
        <f t="shared" si="9"/>
        <v>#REF!</v>
      </c>
      <c r="AS24" s="16"/>
      <c r="AT24" s="5"/>
      <c r="AU24" s="5"/>
      <c r="AV24" s="26"/>
      <c r="AW24" s="20" t="e">
        <f>'5|Revenue Current Tariff'!#REF!</f>
        <v>#REF!</v>
      </c>
      <c r="AX24" s="20" t="e">
        <f>'5|Revenue Current Tariff'!#REF!</f>
        <v>#REF!</v>
      </c>
      <c r="AY24" s="20" t="e">
        <f>'5|Revenue Current Tariff'!#REF!</f>
        <v>#REF!</v>
      </c>
      <c r="AZ24" s="6" t="e">
        <f t="shared" si="10"/>
        <v>#REF!</v>
      </c>
      <c r="BA24" s="32"/>
      <c r="BB24" s="26"/>
      <c r="BC24" s="26"/>
      <c r="BD24" s="26"/>
      <c r="BE24" s="26"/>
    </row>
    <row r="25" spans="2:57" ht="12.75">
      <c r="B25"/>
      <c r="C25" s="14"/>
      <c r="D25" s="4"/>
      <c r="E25" s="16"/>
      <c r="F25" s="5"/>
      <c r="G25" s="5"/>
      <c r="H25" s="26"/>
      <c r="I25" s="20" t="e">
        <f>'5|Revenue Current Tariff'!#REF!</f>
        <v>#REF!</v>
      </c>
      <c r="J25" s="20" t="e">
        <f>'5|Revenue Current Tariff'!#REF!</f>
        <v>#REF!</v>
      </c>
      <c r="K25" s="20" t="e">
        <f>'5|Revenue Current Tariff'!#REF!</f>
        <v>#REF!</v>
      </c>
      <c r="L25" s="6" t="e">
        <f t="shared" si="5"/>
        <v>#REF!</v>
      </c>
      <c r="M25" s="16"/>
      <c r="N25" s="5"/>
      <c r="O25" s="5"/>
      <c r="P25" s="26"/>
      <c r="Q25" s="20" t="e">
        <f>'5|Revenue Current Tariff'!#REF!</f>
        <v>#REF!</v>
      </c>
      <c r="R25" s="20" t="e">
        <f>'5|Revenue Current Tariff'!#REF!</f>
        <v>#REF!</v>
      </c>
      <c r="S25" s="20" t="e">
        <f>'5|Revenue Current Tariff'!#REF!</f>
        <v>#REF!</v>
      </c>
      <c r="T25" s="6" t="e">
        <f t="shared" si="6"/>
        <v>#REF!</v>
      </c>
      <c r="U25" s="16"/>
      <c r="V25" s="5"/>
      <c r="W25" s="5"/>
      <c r="X25" s="26"/>
      <c r="Y25" s="20" t="e">
        <f>'5|Revenue Current Tariff'!#REF!</f>
        <v>#REF!</v>
      </c>
      <c r="Z25" s="20" t="e">
        <f>'5|Revenue Current Tariff'!#REF!</f>
        <v>#REF!</v>
      </c>
      <c r="AA25" s="20" t="e">
        <f>'5|Revenue Current Tariff'!#REF!</f>
        <v>#REF!</v>
      </c>
      <c r="AB25" s="6" t="e">
        <f t="shared" si="7"/>
        <v>#REF!</v>
      </c>
      <c r="AC25" s="16"/>
      <c r="AD25" s="5"/>
      <c r="AE25" s="5"/>
      <c r="AF25" s="26"/>
      <c r="AG25" s="20" t="e">
        <f>'5|Revenue Current Tariff'!#REF!</f>
        <v>#REF!</v>
      </c>
      <c r="AH25" s="20" t="e">
        <f>'5|Revenue Current Tariff'!#REF!</f>
        <v>#REF!</v>
      </c>
      <c r="AI25" s="20" t="e">
        <f>'5|Revenue Current Tariff'!#REF!</f>
        <v>#REF!</v>
      </c>
      <c r="AJ25" s="6" t="e">
        <f t="shared" si="8"/>
        <v>#REF!</v>
      </c>
      <c r="AK25" s="16"/>
      <c r="AL25" s="5"/>
      <c r="AM25" s="5"/>
      <c r="AN25" s="26"/>
      <c r="AO25" s="20" t="e">
        <f>'5|Revenue Current Tariff'!#REF!</f>
        <v>#REF!</v>
      </c>
      <c r="AP25" s="20" t="e">
        <f>'5|Revenue Current Tariff'!#REF!</f>
        <v>#REF!</v>
      </c>
      <c r="AQ25" s="20" t="e">
        <f>'5|Revenue Current Tariff'!#REF!</f>
        <v>#REF!</v>
      </c>
      <c r="AR25" s="6" t="e">
        <f t="shared" si="9"/>
        <v>#REF!</v>
      </c>
      <c r="AS25" s="16"/>
      <c r="AT25" s="5"/>
      <c r="AU25" s="5"/>
      <c r="AV25" s="26"/>
      <c r="AW25" s="20" t="e">
        <f>'5|Revenue Current Tariff'!#REF!</f>
        <v>#REF!</v>
      </c>
      <c r="AX25" s="20" t="e">
        <f>'5|Revenue Current Tariff'!#REF!</f>
        <v>#REF!</v>
      </c>
      <c r="AY25" s="20" t="e">
        <f>'5|Revenue Current Tariff'!#REF!</f>
        <v>#REF!</v>
      </c>
      <c r="AZ25" s="6" t="e">
        <f t="shared" si="10"/>
        <v>#REF!</v>
      </c>
      <c r="BA25" s="32"/>
      <c r="BB25" s="26"/>
      <c r="BC25" s="26"/>
      <c r="BD25" s="26"/>
      <c r="BE25" s="26"/>
    </row>
    <row r="26" spans="2:57" ht="12.75">
      <c r="B26"/>
      <c r="C26" s="14"/>
      <c r="D26" s="4"/>
      <c r="E26" s="16"/>
      <c r="F26" s="5"/>
      <c r="G26" s="5"/>
      <c r="H26" s="26"/>
      <c r="I26" s="20" t="e">
        <f>'5|Revenue Current Tariff'!#REF!</f>
        <v>#REF!</v>
      </c>
      <c r="J26" s="20" t="e">
        <f>'5|Revenue Current Tariff'!#REF!</f>
        <v>#REF!</v>
      </c>
      <c r="K26" s="20" t="e">
        <f>'5|Revenue Current Tariff'!#REF!</f>
        <v>#REF!</v>
      </c>
      <c r="L26" s="6" t="e">
        <f t="shared" si="5"/>
        <v>#REF!</v>
      </c>
      <c r="M26" s="16"/>
      <c r="N26" s="5"/>
      <c r="O26" s="5"/>
      <c r="P26" s="26"/>
      <c r="Q26" s="20" t="e">
        <f>'5|Revenue Current Tariff'!#REF!</f>
        <v>#REF!</v>
      </c>
      <c r="R26" s="20" t="e">
        <f>'5|Revenue Current Tariff'!#REF!</f>
        <v>#REF!</v>
      </c>
      <c r="S26" s="20" t="e">
        <f>'5|Revenue Current Tariff'!#REF!</f>
        <v>#REF!</v>
      </c>
      <c r="T26" s="6" t="e">
        <f t="shared" si="6"/>
        <v>#REF!</v>
      </c>
      <c r="U26" s="16"/>
      <c r="V26" s="5"/>
      <c r="W26" s="5"/>
      <c r="X26" s="26"/>
      <c r="Y26" s="20" t="e">
        <f>'5|Revenue Current Tariff'!#REF!</f>
        <v>#REF!</v>
      </c>
      <c r="Z26" s="20" t="e">
        <f>'5|Revenue Current Tariff'!#REF!</f>
        <v>#REF!</v>
      </c>
      <c r="AA26" s="20" t="e">
        <f>'5|Revenue Current Tariff'!#REF!</f>
        <v>#REF!</v>
      </c>
      <c r="AB26" s="6" t="e">
        <f t="shared" si="7"/>
        <v>#REF!</v>
      </c>
      <c r="AC26" s="16"/>
      <c r="AD26" s="5"/>
      <c r="AE26" s="5"/>
      <c r="AF26" s="26"/>
      <c r="AG26" s="20" t="e">
        <f>'5|Revenue Current Tariff'!#REF!</f>
        <v>#REF!</v>
      </c>
      <c r="AH26" s="20" t="e">
        <f>'5|Revenue Current Tariff'!#REF!</f>
        <v>#REF!</v>
      </c>
      <c r="AI26" s="20" t="e">
        <f>'5|Revenue Current Tariff'!#REF!</f>
        <v>#REF!</v>
      </c>
      <c r="AJ26" s="6" t="e">
        <f t="shared" si="8"/>
        <v>#REF!</v>
      </c>
      <c r="AK26" s="16"/>
      <c r="AL26" s="5"/>
      <c r="AM26" s="5"/>
      <c r="AN26" s="26"/>
      <c r="AO26" s="20" t="e">
        <f>'5|Revenue Current Tariff'!#REF!</f>
        <v>#REF!</v>
      </c>
      <c r="AP26" s="20" t="e">
        <f>'5|Revenue Current Tariff'!#REF!</f>
        <v>#REF!</v>
      </c>
      <c r="AQ26" s="20" t="e">
        <f>'5|Revenue Current Tariff'!#REF!</f>
        <v>#REF!</v>
      </c>
      <c r="AR26" s="6" t="e">
        <f t="shared" si="9"/>
        <v>#REF!</v>
      </c>
      <c r="AS26" s="16"/>
      <c r="AT26" s="5"/>
      <c r="AU26" s="5"/>
      <c r="AV26" s="26"/>
      <c r="AW26" s="20" t="e">
        <f>'5|Revenue Current Tariff'!#REF!</f>
        <v>#REF!</v>
      </c>
      <c r="AX26" s="20" t="e">
        <f>'5|Revenue Current Tariff'!#REF!</f>
        <v>#REF!</v>
      </c>
      <c r="AY26" s="20" t="e">
        <f>'5|Revenue Current Tariff'!#REF!</f>
        <v>#REF!</v>
      </c>
      <c r="AZ26" s="6" t="e">
        <f t="shared" si="10"/>
        <v>#REF!</v>
      </c>
      <c r="BA26" s="32"/>
      <c r="BB26" s="26"/>
      <c r="BC26" s="26"/>
      <c r="BD26" s="26"/>
      <c r="BE26" s="26"/>
    </row>
    <row r="27" spans="2:57" ht="12.75">
      <c r="B27"/>
      <c r="C27" s="14"/>
      <c r="D27" s="4"/>
      <c r="E27" s="16"/>
      <c r="F27" s="5"/>
      <c r="G27" s="5"/>
      <c r="H27" s="26"/>
      <c r="I27" s="20" t="e">
        <f>'5|Revenue Current Tariff'!#REF!</f>
        <v>#REF!</v>
      </c>
      <c r="J27" s="20" t="e">
        <f>'5|Revenue Current Tariff'!#REF!</f>
        <v>#REF!</v>
      </c>
      <c r="K27" s="20" t="e">
        <f>'5|Revenue Current Tariff'!#REF!</f>
        <v>#REF!</v>
      </c>
      <c r="L27" s="6" t="e">
        <f t="shared" si="5"/>
        <v>#REF!</v>
      </c>
      <c r="M27" s="16"/>
      <c r="N27" s="5"/>
      <c r="O27" s="5"/>
      <c r="P27" s="26"/>
      <c r="Q27" s="20" t="e">
        <f>'5|Revenue Current Tariff'!#REF!</f>
        <v>#REF!</v>
      </c>
      <c r="R27" s="20" t="e">
        <f>'5|Revenue Current Tariff'!#REF!</f>
        <v>#REF!</v>
      </c>
      <c r="S27" s="20" t="e">
        <f>'5|Revenue Current Tariff'!#REF!</f>
        <v>#REF!</v>
      </c>
      <c r="T27" s="6" t="e">
        <f t="shared" si="6"/>
        <v>#REF!</v>
      </c>
      <c r="U27" s="16"/>
      <c r="V27" s="5"/>
      <c r="W27" s="5"/>
      <c r="X27" s="26"/>
      <c r="Y27" s="20" t="e">
        <f>'5|Revenue Current Tariff'!#REF!</f>
        <v>#REF!</v>
      </c>
      <c r="Z27" s="20" t="e">
        <f>'5|Revenue Current Tariff'!#REF!</f>
        <v>#REF!</v>
      </c>
      <c r="AA27" s="20" t="e">
        <f>'5|Revenue Current Tariff'!#REF!</f>
        <v>#REF!</v>
      </c>
      <c r="AB27" s="6" t="e">
        <f t="shared" si="7"/>
        <v>#REF!</v>
      </c>
      <c r="AC27" s="16"/>
      <c r="AD27" s="5"/>
      <c r="AE27" s="5"/>
      <c r="AF27" s="26"/>
      <c r="AG27" s="20" t="e">
        <f>'5|Revenue Current Tariff'!#REF!</f>
        <v>#REF!</v>
      </c>
      <c r="AH27" s="20" t="e">
        <f>'5|Revenue Current Tariff'!#REF!</f>
        <v>#REF!</v>
      </c>
      <c r="AI27" s="20" t="e">
        <f>'5|Revenue Current Tariff'!#REF!</f>
        <v>#REF!</v>
      </c>
      <c r="AJ27" s="6" t="e">
        <f t="shared" si="8"/>
        <v>#REF!</v>
      </c>
      <c r="AK27" s="16"/>
      <c r="AL27" s="5"/>
      <c r="AM27" s="5"/>
      <c r="AN27" s="26"/>
      <c r="AO27" s="20" t="e">
        <f>'5|Revenue Current Tariff'!#REF!</f>
        <v>#REF!</v>
      </c>
      <c r="AP27" s="20" t="e">
        <f>'5|Revenue Current Tariff'!#REF!</f>
        <v>#REF!</v>
      </c>
      <c r="AQ27" s="20" t="e">
        <f>'5|Revenue Current Tariff'!#REF!</f>
        <v>#REF!</v>
      </c>
      <c r="AR27" s="6" t="e">
        <f t="shared" si="9"/>
        <v>#REF!</v>
      </c>
      <c r="AS27" s="16"/>
      <c r="AT27" s="5"/>
      <c r="AU27" s="5"/>
      <c r="AV27" s="26"/>
      <c r="AW27" s="20" t="e">
        <f>'5|Revenue Current Tariff'!#REF!</f>
        <v>#REF!</v>
      </c>
      <c r="AX27" s="20" t="e">
        <f>'5|Revenue Current Tariff'!#REF!</f>
        <v>#REF!</v>
      </c>
      <c r="AY27" s="20" t="e">
        <f>'5|Revenue Current Tariff'!#REF!</f>
        <v>#REF!</v>
      </c>
      <c r="AZ27" s="6" t="e">
        <f t="shared" si="10"/>
        <v>#REF!</v>
      </c>
      <c r="BA27" s="32"/>
      <c r="BB27" s="26"/>
      <c r="BC27" s="26"/>
      <c r="BD27" s="26"/>
      <c r="BE27" s="26"/>
    </row>
    <row r="28" spans="2:57" ht="12.75">
      <c r="B28"/>
      <c r="C28" s="14"/>
      <c r="D28" s="4"/>
      <c r="E28" s="16"/>
      <c r="F28" s="5"/>
      <c r="G28" s="5"/>
      <c r="H28" s="26"/>
      <c r="I28" s="20" t="e">
        <f>'5|Revenue Current Tariff'!#REF!</f>
        <v>#REF!</v>
      </c>
      <c r="J28" s="20" t="e">
        <f>'5|Revenue Current Tariff'!#REF!</f>
        <v>#REF!</v>
      </c>
      <c r="K28" s="20" t="e">
        <f>'5|Revenue Current Tariff'!#REF!</f>
        <v>#REF!</v>
      </c>
      <c r="L28" s="6" t="e">
        <f t="shared" si="5"/>
        <v>#REF!</v>
      </c>
      <c r="M28" s="16"/>
      <c r="N28" s="5"/>
      <c r="O28" s="5"/>
      <c r="P28" s="26"/>
      <c r="Q28" s="20" t="e">
        <f>'5|Revenue Current Tariff'!#REF!</f>
        <v>#REF!</v>
      </c>
      <c r="R28" s="20" t="e">
        <f>'5|Revenue Current Tariff'!#REF!</f>
        <v>#REF!</v>
      </c>
      <c r="S28" s="20" t="e">
        <f>'5|Revenue Current Tariff'!#REF!</f>
        <v>#REF!</v>
      </c>
      <c r="T28" s="6" t="e">
        <f t="shared" si="6"/>
        <v>#REF!</v>
      </c>
      <c r="U28" s="16"/>
      <c r="V28" s="5"/>
      <c r="W28" s="5"/>
      <c r="X28" s="26"/>
      <c r="Y28" s="20" t="e">
        <f>'5|Revenue Current Tariff'!#REF!</f>
        <v>#REF!</v>
      </c>
      <c r="Z28" s="20" t="e">
        <f>'5|Revenue Current Tariff'!#REF!</f>
        <v>#REF!</v>
      </c>
      <c r="AA28" s="20" t="e">
        <f>'5|Revenue Current Tariff'!#REF!</f>
        <v>#REF!</v>
      </c>
      <c r="AB28" s="6" t="e">
        <f t="shared" si="7"/>
        <v>#REF!</v>
      </c>
      <c r="AC28" s="16"/>
      <c r="AD28" s="5"/>
      <c r="AE28" s="5"/>
      <c r="AF28" s="26"/>
      <c r="AG28" s="20" t="e">
        <f>'5|Revenue Current Tariff'!#REF!</f>
        <v>#REF!</v>
      </c>
      <c r="AH28" s="20" t="e">
        <f>'5|Revenue Current Tariff'!#REF!</f>
        <v>#REF!</v>
      </c>
      <c r="AI28" s="20" t="e">
        <f>'5|Revenue Current Tariff'!#REF!</f>
        <v>#REF!</v>
      </c>
      <c r="AJ28" s="6" t="e">
        <f t="shared" si="8"/>
        <v>#REF!</v>
      </c>
      <c r="AK28" s="16"/>
      <c r="AL28" s="5"/>
      <c r="AM28" s="5"/>
      <c r="AN28" s="26"/>
      <c r="AO28" s="20" t="e">
        <f>'5|Revenue Current Tariff'!#REF!</f>
        <v>#REF!</v>
      </c>
      <c r="AP28" s="20" t="e">
        <f>'5|Revenue Current Tariff'!#REF!</f>
        <v>#REF!</v>
      </c>
      <c r="AQ28" s="20" t="e">
        <f>'5|Revenue Current Tariff'!#REF!</f>
        <v>#REF!</v>
      </c>
      <c r="AR28" s="6" t="e">
        <f t="shared" si="9"/>
        <v>#REF!</v>
      </c>
      <c r="AS28" s="16"/>
      <c r="AT28" s="5"/>
      <c r="AU28" s="5"/>
      <c r="AV28" s="26"/>
      <c r="AW28" s="20" t="e">
        <f>'5|Revenue Current Tariff'!#REF!</f>
        <v>#REF!</v>
      </c>
      <c r="AX28" s="20" t="e">
        <f>'5|Revenue Current Tariff'!#REF!</f>
        <v>#REF!</v>
      </c>
      <c r="AY28" s="20" t="e">
        <f>'5|Revenue Current Tariff'!#REF!</f>
        <v>#REF!</v>
      </c>
      <c r="AZ28" s="6" t="e">
        <f t="shared" si="10"/>
        <v>#REF!</v>
      </c>
      <c r="BA28" s="32"/>
      <c r="BB28" s="26"/>
      <c r="BC28" s="26"/>
      <c r="BD28" s="26"/>
      <c r="BE28" s="26"/>
    </row>
    <row r="29" spans="2:57" ht="12.75">
      <c r="B29"/>
      <c r="C29" s="14"/>
      <c r="D29" s="4"/>
      <c r="E29" s="16"/>
      <c r="F29" s="5"/>
      <c r="G29" s="5"/>
      <c r="H29" s="26"/>
      <c r="I29" s="20" t="e">
        <f>'5|Revenue Current Tariff'!#REF!</f>
        <v>#REF!</v>
      </c>
      <c r="J29" s="20" t="e">
        <f>'5|Revenue Current Tariff'!#REF!</f>
        <v>#REF!</v>
      </c>
      <c r="K29" s="20" t="e">
        <f>'5|Revenue Current Tariff'!#REF!</f>
        <v>#REF!</v>
      </c>
      <c r="L29" s="6" t="e">
        <f t="shared" si="5"/>
        <v>#REF!</v>
      </c>
      <c r="M29" s="16"/>
      <c r="N29" s="5"/>
      <c r="O29" s="5"/>
      <c r="P29" s="26"/>
      <c r="Q29" s="20" t="e">
        <f>'5|Revenue Current Tariff'!#REF!</f>
        <v>#REF!</v>
      </c>
      <c r="R29" s="20" t="e">
        <f>'5|Revenue Current Tariff'!#REF!</f>
        <v>#REF!</v>
      </c>
      <c r="S29" s="20" t="e">
        <f>'5|Revenue Current Tariff'!#REF!</f>
        <v>#REF!</v>
      </c>
      <c r="T29" s="6" t="e">
        <f t="shared" si="6"/>
        <v>#REF!</v>
      </c>
      <c r="U29" s="16"/>
      <c r="V29" s="5"/>
      <c r="W29" s="5"/>
      <c r="X29" s="26"/>
      <c r="Y29" s="20" t="e">
        <f>'5|Revenue Current Tariff'!#REF!</f>
        <v>#REF!</v>
      </c>
      <c r="Z29" s="20" t="e">
        <f>'5|Revenue Current Tariff'!#REF!</f>
        <v>#REF!</v>
      </c>
      <c r="AA29" s="20" t="e">
        <f>'5|Revenue Current Tariff'!#REF!</f>
        <v>#REF!</v>
      </c>
      <c r="AB29" s="6" t="e">
        <f t="shared" si="7"/>
        <v>#REF!</v>
      </c>
      <c r="AC29" s="16"/>
      <c r="AD29" s="5"/>
      <c r="AE29" s="5"/>
      <c r="AF29" s="26"/>
      <c r="AG29" s="20" t="e">
        <f>'5|Revenue Current Tariff'!#REF!</f>
        <v>#REF!</v>
      </c>
      <c r="AH29" s="20" t="e">
        <f>'5|Revenue Current Tariff'!#REF!</f>
        <v>#REF!</v>
      </c>
      <c r="AI29" s="20" t="e">
        <f>'5|Revenue Current Tariff'!#REF!</f>
        <v>#REF!</v>
      </c>
      <c r="AJ29" s="6" t="e">
        <f t="shared" si="8"/>
        <v>#REF!</v>
      </c>
      <c r="AK29" s="16"/>
      <c r="AL29" s="5"/>
      <c r="AM29" s="5"/>
      <c r="AN29" s="26"/>
      <c r="AO29" s="20" t="e">
        <f>'5|Revenue Current Tariff'!#REF!</f>
        <v>#REF!</v>
      </c>
      <c r="AP29" s="20" t="e">
        <f>'5|Revenue Current Tariff'!#REF!</f>
        <v>#REF!</v>
      </c>
      <c r="AQ29" s="20" t="e">
        <f>'5|Revenue Current Tariff'!#REF!</f>
        <v>#REF!</v>
      </c>
      <c r="AR29" s="6" t="e">
        <f t="shared" si="9"/>
        <v>#REF!</v>
      </c>
      <c r="AS29" s="16"/>
      <c r="AT29" s="5"/>
      <c r="AU29" s="5"/>
      <c r="AV29" s="26"/>
      <c r="AW29" s="20" t="e">
        <f>'5|Revenue Current Tariff'!#REF!</f>
        <v>#REF!</v>
      </c>
      <c r="AX29" s="20" t="e">
        <f>'5|Revenue Current Tariff'!#REF!</f>
        <v>#REF!</v>
      </c>
      <c r="AY29" s="20" t="e">
        <f>'5|Revenue Current Tariff'!#REF!</f>
        <v>#REF!</v>
      </c>
      <c r="AZ29" s="6" t="e">
        <f t="shared" si="10"/>
        <v>#REF!</v>
      </c>
      <c r="BA29" s="32"/>
      <c r="BB29" s="26"/>
      <c r="BC29" s="26"/>
      <c r="BD29" s="26"/>
      <c r="BE29" s="26"/>
    </row>
    <row r="30" spans="2:57" ht="12.75">
      <c r="B30"/>
      <c r="C30" s="14"/>
      <c r="D30" s="4"/>
      <c r="E30" s="16"/>
      <c r="F30" s="5"/>
      <c r="G30" s="5"/>
      <c r="H30" s="26"/>
      <c r="I30" s="20" t="e">
        <f>'5|Revenue Current Tariff'!#REF!</f>
        <v>#REF!</v>
      </c>
      <c r="J30" s="20" t="e">
        <f>'5|Revenue Current Tariff'!#REF!</f>
        <v>#REF!</v>
      </c>
      <c r="K30" s="20" t="e">
        <f>'5|Revenue Current Tariff'!#REF!</f>
        <v>#REF!</v>
      </c>
      <c r="L30" s="6" t="e">
        <f t="shared" si="5"/>
        <v>#REF!</v>
      </c>
      <c r="M30" s="16"/>
      <c r="N30" s="5"/>
      <c r="O30" s="5"/>
      <c r="P30" s="26"/>
      <c r="Q30" s="20">
        <f>'5|Revenue Current Tariff'!V16</f>
        <v>0</v>
      </c>
      <c r="R30" s="20">
        <f>'5|Revenue Current Tariff'!W16</f>
        <v>0</v>
      </c>
      <c r="S30" s="20">
        <f>'5|Revenue Current Tariff'!X16</f>
        <v>0</v>
      </c>
      <c r="T30" s="6">
        <f t="shared" si="6"/>
        <v>0</v>
      </c>
      <c r="U30" s="16"/>
      <c r="V30" s="5"/>
      <c r="W30" s="5"/>
      <c r="X30" s="26"/>
      <c r="Y30" s="20" t="e">
        <f>'5|Revenue Current Tariff'!#REF!</f>
        <v>#REF!</v>
      </c>
      <c r="Z30" s="20" t="e">
        <f>'5|Revenue Current Tariff'!#REF!</f>
        <v>#REF!</v>
      </c>
      <c r="AA30" s="20" t="e">
        <f>'5|Revenue Current Tariff'!#REF!</f>
        <v>#REF!</v>
      </c>
      <c r="AB30" s="6" t="e">
        <f t="shared" si="7"/>
        <v>#REF!</v>
      </c>
      <c r="AC30" s="16"/>
      <c r="AD30" s="5"/>
      <c r="AE30" s="5"/>
      <c r="AF30" s="26"/>
      <c r="AG30" s="20" t="e">
        <f>'5|Revenue Current Tariff'!#REF!</f>
        <v>#REF!</v>
      </c>
      <c r="AH30" s="20" t="e">
        <f>'5|Revenue Current Tariff'!#REF!</f>
        <v>#REF!</v>
      </c>
      <c r="AI30" s="20" t="e">
        <f>'5|Revenue Current Tariff'!#REF!</f>
        <v>#REF!</v>
      </c>
      <c r="AJ30" s="6" t="e">
        <f t="shared" si="8"/>
        <v>#REF!</v>
      </c>
      <c r="AK30" s="16"/>
      <c r="AL30" s="5"/>
      <c r="AM30" s="5"/>
      <c r="AN30" s="26"/>
      <c r="AO30" s="20" t="e">
        <f>'5|Revenue Current Tariff'!#REF!</f>
        <v>#REF!</v>
      </c>
      <c r="AP30" s="20" t="e">
        <f>'5|Revenue Current Tariff'!#REF!</f>
        <v>#REF!</v>
      </c>
      <c r="AQ30" s="20" t="e">
        <f>'5|Revenue Current Tariff'!#REF!</f>
        <v>#REF!</v>
      </c>
      <c r="AR30" s="6" t="e">
        <f t="shared" si="9"/>
        <v>#REF!</v>
      </c>
      <c r="AS30" s="16"/>
      <c r="AT30" s="5"/>
      <c r="AU30" s="5"/>
      <c r="AV30" s="26"/>
      <c r="AW30" s="20" t="e">
        <f>'5|Revenue Current Tariff'!#REF!</f>
        <v>#REF!</v>
      </c>
      <c r="AX30" s="20" t="e">
        <f>'5|Revenue Current Tariff'!#REF!</f>
        <v>#REF!</v>
      </c>
      <c r="AY30" s="20" t="e">
        <f>'5|Revenue Current Tariff'!#REF!</f>
        <v>#REF!</v>
      </c>
      <c r="AZ30" s="6" t="e">
        <f t="shared" si="10"/>
        <v>#REF!</v>
      </c>
      <c r="BA30" s="32"/>
      <c r="BB30" s="26"/>
      <c r="BC30" s="26"/>
      <c r="BD30" s="26"/>
      <c r="BE30" s="26"/>
    </row>
    <row r="31" spans="2:57" ht="12.75">
      <c r="B31">
        <v>10071</v>
      </c>
      <c r="C31" s="11" t="s">
        <v>161</v>
      </c>
      <c r="D31" s="21"/>
      <c r="E31" s="17">
        <f t="shared" ref="E31:L31" si="11">SUM(E32:E53)</f>
        <v>0</v>
      </c>
      <c r="F31" s="12">
        <f>SUM(F32:F53)</f>
        <v>0</v>
      </c>
      <c r="G31" s="12">
        <f>SUM(G32:G53)</f>
        <v>0</v>
      </c>
      <c r="H31" s="26"/>
      <c r="I31" s="12" t="e">
        <f t="shared" si="11"/>
        <v>#REF!</v>
      </c>
      <c r="J31" s="12" t="e">
        <f t="shared" si="11"/>
        <v>#REF!</v>
      </c>
      <c r="K31" s="12" t="e">
        <f t="shared" si="11"/>
        <v>#REF!</v>
      </c>
      <c r="L31" s="12" t="e">
        <f t="shared" si="11"/>
        <v>#REF!</v>
      </c>
      <c r="M31" s="17">
        <f>SUM(M32:M53)</f>
        <v>0</v>
      </c>
      <c r="N31" s="12">
        <f>SUM(N32:N53)</f>
        <v>0</v>
      </c>
      <c r="O31" s="12">
        <f>SUM(O32:O53)</f>
        <v>0</v>
      </c>
      <c r="P31" s="26"/>
      <c r="Q31" s="12" t="e">
        <f t="shared" ref="Q31:W31" si="12">SUM(Q32:Q53)</f>
        <v>#REF!</v>
      </c>
      <c r="R31" s="12" t="e">
        <f t="shared" si="12"/>
        <v>#REF!</v>
      </c>
      <c r="S31" s="12" t="e">
        <f t="shared" si="12"/>
        <v>#REF!</v>
      </c>
      <c r="T31" s="12" t="e">
        <f t="shared" si="12"/>
        <v>#REF!</v>
      </c>
      <c r="U31" s="17">
        <f t="shared" si="12"/>
        <v>0</v>
      </c>
      <c r="V31" s="12">
        <f t="shared" si="12"/>
        <v>0</v>
      </c>
      <c r="W31" s="12">
        <f t="shared" si="12"/>
        <v>0</v>
      </c>
      <c r="X31" s="26"/>
      <c r="Y31" s="12" t="e">
        <f t="shared" ref="Y31:AE31" si="13">SUM(Y32:Y53)</f>
        <v>#REF!</v>
      </c>
      <c r="Z31" s="12" t="e">
        <f t="shared" si="13"/>
        <v>#REF!</v>
      </c>
      <c r="AA31" s="12" t="e">
        <f t="shared" si="13"/>
        <v>#REF!</v>
      </c>
      <c r="AB31" s="12" t="e">
        <f t="shared" si="13"/>
        <v>#REF!</v>
      </c>
      <c r="AC31" s="17">
        <f t="shared" si="13"/>
        <v>0</v>
      </c>
      <c r="AD31" s="12">
        <f t="shared" si="13"/>
        <v>0</v>
      </c>
      <c r="AE31" s="12">
        <f t="shared" si="13"/>
        <v>0</v>
      </c>
      <c r="AF31" s="26"/>
      <c r="AG31" s="12" t="e">
        <f t="shared" ref="AG31:AM31" si="14">SUM(AG32:AG53)</f>
        <v>#REF!</v>
      </c>
      <c r="AH31" s="12" t="e">
        <f t="shared" si="14"/>
        <v>#REF!</v>
      </c>
      <c r="AI31" s="12" t="e">
        <f t="shared" si="14"/>
        <v>#REF!</v>
      </c>
      <c r="AJ31" s="12" t="e">
        <f t="shared" si="14"/>
        <v>#REF!</v>
      </c>
      <c r="AK31" s="17">
        <f t="shared" si="14"/>
        <v>0</v>
      </c>
      <c r="AL31" s="12">
        <f t="shared" si="14"/>
        <v>0</v>
      </c>
      <c r="AM31" s="12">
        <f t="shared" si="14"/>
        <v>0</v>
      </c>
      <c r="AN31" s="26"/>
      <c r="AO31" s="12" t="e">
        <f t="shared" ref="AO31:AU31" si="15">SUM(AO32:AO53)</f>
        <v>#REF!</v>
      </c>
      <c r="AP31" s="12" t="e">
        <f t="shared" si="15"/>
        <v>#REF!</v>
      </c>
      <c r="AQ31" s="12" t="e">
        <f t="shared" si="15"/>
        <v>#REF!</v>
      </c>
      <c r="AR31" s="12" t="e">
        <f t="shared" si="15"/>
        <v>#REF!</v>
      </c>
      <c r="AS31" s="17">
        <f t="shared" si="15"/>
        <v>0</v>
      </c>
      <c r="AT31" s="12">
        <f t="shared" si="15"/>
        <v>0</v>
      </c>
      <c r="AU31" s="12">
        <f t="shared" si="15"/>
        <v>0</v>
      </c>
      <c r="AV31" s="26"/>
      <c r="AW31" s="12" t="e">
        <f>SUM(AW32:AW53)</f>
        <v>#REF!</v>
      </c>
      <c r="AX31" s="12" t="e">
        <f>SUM(AX32:AX53)</f>
        <v>#REF!</v>
      </c>
      <c r="AY31" s="12" t="e">
        <f>SUM(AY32:AY53)</f>
        <v>#REF!</v>
      </c>
      <c r="AZ31" s="12" t="e">
        <f>SUM(AZ32:AZ53)</f>
        <v>#REF!</v>
      </c>
      <c r="BA31" s="32"/>
      <c r="BB31" s="26"/>
      <c r="BC31" s="26"/>
      <c r="BD31" s="26"/>
      <c r="BE31" s="26"/>
    </row>
    <row r="32" spans="2:57" ht="12.75">
      <c r="B32">
        <v>10043</v>
      </c>
      <c r="C32" s="4" t="s">
        <v>162</v>
      </c>
      <c r="D32" s="4"/>
      <c r="E32" s="16"/>
      <c r="F32" s="5"/>
      <c r="G32" s="5"/>
      <c r="H32" s="26"/>
      <c r="I32" s="20" t="e">
        <f>'5|Revenue Current Tariff'!#REF!</f>
        <v>#REF!</v>
      </c>
      <c r="J32" s="20" t="e">
        <f>'5|Revenue Current Tariff'!#REF!</f>
        <v>#REF!</v>
      </c>
      <c r="K32" s="20" t="e">
        <f>'5|Revenue Current Tariff'!#REF!</f>
        <v>#REF!</v>
      </c>
      <c r="L32" s="6" t="e">
        <f>SUM(I32:K32)</f>
        <v>#REF!</v>
      </c>
      <c r="M32" s="16"/>
      <c r="N32" s="5"/>
      <c r="O32" s="5"/>
      <c r="P32" s="26"/>
      <c r="Q32" s="20">
        <f>'5|Revenue Current Tariff'!V18</f>
        <v>0</v>
      </c>
      <c r="R32" s="20">
        <f>'5|Revenue Current Tariff'!W18</f>
        <v>0</v>
      </c>
      <c r="S32" s="20">
        <f>'5|Revenue Current Tariff'!X18</f>
        <v>0</v>
      </c>
      <c r="T32" s="6">
        <f>SUM(Q32:S32)</f>
        <v>0</v>
      </c>
      <c r="U32" s="16"/>
      <c r="V32" s="5"/>
      <c r="W32" s="5"/>
      <c r="X32" s="26"/>
      <c r="Y32" s="20" t="e">
        <f>'5|Revenue Current Tariff'!#REF!</f>
        <v>#REF!</v>
      </c>
      <c r="Z32" s="20" t="e">
        <f>'5|Revenue Current Tariff'!#REF!</f>
        <v>#REF!</v>
      </c>
      <c r="AA32" s="20" t="e">
        <f>'5|Revenue Current Tariff'!#REF!</f>
        <v>#REF!</v>
      </c>
      <c r="AB32" s="6" t="e">
        <f>SUM(Y32:AA32)</f>
        <v>#REF!</v>
      </c>
      <c r="AC32" s="16"/>
      <c r="AD32" s="5"/>
      <c r="AE32" s="5"/>
      <c r="AF32" s="26"/>
      <c r="AG32" s="20" t="e">
        <f>'5|Revenue Current Tariff'!#REF!</f>
        <v>#REF!</v>
      </c>
      <c r="AH32" s="20" t="e">
        <f>'5|Revenue Current Tariff'!#REF!</f>
        <v>#REF!</v>
      </c>
      <c r="AI32" s="20" t="e">
        <f>'5|Revenue Current Tariff'!#REF!</f>
        <v>#REF!</v>
      </c>
      <c r="AJ32" s="6" t="e">
        <f>SUM(AG32:AI32)</f>
        <v>#REF!</v>
      </c>
      <c r="AK32" s="16"/>
      <c r="AL32" s="5"/>
      <c r="AM32" s="5"/>
      <c r="AN32" s="26"/>
      <c r="AO32" s="20" t="e">
        <f>'5|Revenue Current Tariff'!#REF!</f>
        <v>#REF!</v>
      </c>
      <c r="AP32" s="20" t="e">
        <f>'5|Revenue Current Tariff'!#REF!</f>
        <v>#REF!</v>
      </c>
      <c r="AQ32" s="20" t="e">
        <f>'5|Revenue Current Tariff'!#REF!</f>
        <v>#REF!</v>
      </c>
      <c r="AR32" s="6" t="e">
        <f>SUM(AO32:AQ32)</f>
        <v>#REF!</v>
      </c>
      <c r="AS32" s="16"/>
      <c r="AT32" s="5"/>
      <c r="AU32" s="5"/>
      <c r="AV32" s="26"/>
      <c r="AW32" s="20" t="e">
        <f>'5|Revenue Current Tariff'!#REF!</f>
        <v>#REF!</v>
      </c>
      <c r="AX32" s="20" t="e">
        <f>'5|Revenue Current Tariff'!#REF!</f>
        <v>#REF!</v>
      </c>
      <c r="AY32" s="20" t="e">
        <f>'5|Revenue Current Tariff'!#REF!</f>
        <v>#REF!</v>
      </c>
      <c r="AZ32" s="6" t="e">
        <f>SUM(AW32:AY32)</f>
        <v>#REF!</v>
      </c>
      <c r="BA32" s="32"/>
      <c r="BB32" s="26"/>
      <c r="BC32" s="26"/>
      <c r="BD32" s="26"/>
      <c r="BE32" s="26"/>
    </row>
    <row r="33" spans="2:57" ht="12.75">
      <c r="B33">
        <v>10107</v>
      </c>
      <c r="C33" s="39" t="s">
        <v>163</v>
      </c>
      <c r="D33" s="4"/>
      <c r="E33" s="16"/>
      <c r="F33" s="5"/>
      <c r="G33" s="5"/>
      <c r="H33" s="26"/>
      <c r="I33" s="20" t="e">
        <f>'5|Revenue Current Tariff'!#REF!</f>
        <v>#REF!</v>
      </c>
      <c r="J33" s="20" t="e">
        <f>'5|Revenue Current Tariff'!#REF!</f>
        <v>#REF!</v>
      </c>
      <c r="K33" s="20" t="e">
        <f>'5|Revenue Current Tariff'!#REF!</f>
        <v>#REF!</v>
      </c>
      <c r="L33" s="6" t="e">
        <f t="shared" ref="L33:L53" si="16">SUM(I33:K33)</f>
        <v>#REF!</v>
      </c>
      <c r="M33" s="16"/>
      <c r="N33" s="5"/>
      <c r="O33" s="5"/>
      <c r="P33" s="26"/>
      <c r="Q33" s="20">
        <f>'5|Revenue Current Tariff'!V19</f>
        <v>0</v>
      </c>
      <c r="R33" s="20">
        <f>'5|Revenue Current Tariff'!W19</f>
        <v>0</v>
      </c>
      <c r="S33" s="20">
        <f>'5|Revenue Current Tariff'!X19</f>
        <v>0</v>
      </c>
      <c r="T33" s="6">
        <f t="shared" ref="T33:T53" si="17">SUM(Q33:S33)</f>
        <v>0</v>
      </c>
      <c r="U33" s="16"/>
      <c r="V33" s="5"/>
      <c r="W33" s="5"/>
      <c r="X33" s="26"/>
      <c r="Y33" s="20" t="e">
        <f>'5|Revenue Current Tariff'!#REF!</f>
        <v>#REF!</v>
      </c>
      <c r="Z33" s="20" t="e">
        <f>'5|Revenue Current Tariff'!#REF!</f>
        <v>#REF!</v>
      </c>
      <c r="AA33" s="20" t="e">
        <f>'5|Revenue Current Tariff'!#REF!</f>
        <v>#REF!</v>
      </c>
      <c r="AB33" s="6" t="e">
        <f t="shared" ref="AB33:AB53" si="18">SUM(Y33:AA33)</f>
        <v>#REF!</v>
      </c>
      <c r="AC33" s="16"/>
      <c r="AD33" s="5"/>
      <c r="AE33" s="5"/>
      <c r="AF33" s="26"/>
      <c r="AG33" s="20" t="e">
        <f>'5|Revenue Current Tariff'!#REF!</f>
        <v>#REF!</v>
      </c>
      <c r="AH33" s="20" t="e">
        <f>'5|Revenue Current Tariff'!#REF!</f>
        <v>#REF!</v>
      </c>
      <c r="AI33" s="20" t="e">
        <f>'5|Revenue Current Tariff'!#REF!</f>
        <v>#REF!</v>
      </c>
      <c r="AJ33" s="6" t="e">
        <f t="shared" ref="AJ33:AJ53" si="19">SUM(AG33:AI33)</f>
        <v>#REF!</v>
      </c>
      <c r="AK33" s="16"/>
      <c r="AL33" s="5"/>
      <c r="AM33" s="5"/>
      <c r="AN33" s="26"/>
      <c r="AO33" s="20" t="e">
        <f>'5|Revenue Current Tariff'!#REF!</f>
        <v>#REF!</v>
      </c>
      <c r="AP33" s="20" t="e">
        <f>'5|Revenue Current Tariff'!#REF!</f>
        <v>#REF!</v>
      </c>
      <c r="AQ33" s="20" t="e">
        <f>'5|Revenue Current Tariff'!#REF!</f>
        <v>#REF!</v>
      </c>
      <c r="AR33" s="6" t="e">
        <f t="shared" ref="AR33:AR53" si="20">SUM(AO33:AQ33)</f>
        <v>#REF!</v>
      </c>
      <c r="AS33" s="16"/>
      <c r="AT33" s="5"/>
      <c r="AU33" s="5"/>
      <c r="AV33" s="26"/>
      <c r="AW33" s="20" t="e">
        <f>'5|Revenue Current Tariff'!#REF!</f>
        <v>#REF!</v>
      </c>
      <c r="AX33" s="20" t="e">
        <f>'5|Revenue Current Tariff'!#REF!</f>
        <v>#REF!</v>
      </c>
      <c r="AY33" s="20" t="e">
        <f>'5|Revenue Current Tariff'!#REF!</f>
        <v>#REF!</v>
      </c>
      <c r="AZ33" s="6" t="e">
        <f t="shared" ref="AZ33:AZ53" si="21">SUM(AW33:AY33)</f>
        <v>#REF!</v>
      </c>
      <c r="BA33" s="32"/>
      <c r="BB33" s="26"/>
      <c r="BC33" s="26"/>
      <c r="BD33" s="26"/>
      <c r="BE33" s="26"/>
    </row>
    <row r="34" spans="2:57" ht="12.75">
      <c r="B34">
        <v>10111</v>
      </c>
      <c r="C34" s="39" t="s">
        <v>164</v>
      </c>
      <c r="D34" s="4"/>
      <c r="E34" s="16"/>
      <c r="F34" s="5"/>
      <c r="G34" s="5"/>
      <c r="H34" s="26"/>
      <c r="I34" s="20" t="e">
        <f>'5|Revenue Current Tariff'!#REF!</f>
        <v>#REF!</v>
      </c>
      <c r="J34" s="20" t="e">
        <f>'5|Revenue Current Tariff'!#REF!</f>
        <v>#REF!</v>
      </c>
      <c r="K34" s="20" t="e">
        <f>'5|Revenue Current Tariff'!#REF!</f>
        <v>#REF!</v>
      </c>
      <c r="L34" s="6" t="e">
        <f t="shared" si="16"/>
        <v>#REF!</v>
      </c>
      <c r="M34" s="16"/>
      <c r="N34" s="5"/>
      <c r="O34" s="5"/>
      <c r="P34" s="26"/>
      <c r="Q34" s="20">
        <f>'5|Revenue Current Tariff'!V20</f>
        <v>0</v>
      </c>
      <c r="R34" s="20">
        <f>'5|Revenue Current Tariff'!W20</f>
        <v>0</v>
      </c>
      <c r="S34" s="20">
        <f>'5|Revenue Current Tariff'!X20</f>
        <v>0</v>
      </c>
      <c r="T34" s="6">
        <f t="shared" si="17"/>
        <v>0</v>
      </c>
      <c r="U34" s="16"/>
      <c r="V34" s="5"/>
      <c r="W34" s="5"/>
      <c r="X34" s="26"/>
      <c r="Y34" s="20" t="e">
        <f>'5|Revenue Current Tariff'!#REF!</f>
        <v>#REF!</v>
      </c>
      <c r="Z34" s="20" t="e">
        <f>'5|Revenue Current Tariff'!#REF!</f>
        <v>#REF!</v>
      </c>
      <c r="AA34" s="20" t="e">
        <f>'5|Revenue Current Tariff'!#REF!</f>
        <v>#REF!</v>
      </c>
      <c r="AB34" s="6" t="e">
        <f t="shared" si="18"/>
        <v>#REF!</v>
      </c>
      <c r="AC34" s="16"/>
      <c r="AD34" s="5"/>
      <c r="AE34" s="5"/>
      <c r="AF34" s="26"/>
      <c r="AG34" s="20" t="e">
        <f>'5|Revenue Current Tariff'!#REF!</f>
        <v>#REF!</v>
      </c>
      <c r="AH34" s="20" t="e">
        <f>'5|Revenue Current Tariff'!#REF!</f>
        <v>#REF!</v>
      </c>
      <c r="AI34" s="20" t="e">
        <f>'5|Revenue Current Tariff'!#REF!</f>
        <v>#REF!</v>
      </c>
      <c r="AJ34" s="6" t="e">
        <f t="shared" si="19"/>
        <v>#REF!</v>
      </c>
      <c r="AK34" s="16"/>
      <c r="AL34" s="5"/>
      <c r="AM34" s="5"/>
      <c r="AN34" s="26"/>
      <c r="AO34" s="20" t="e">
        <f>'5|Revenue Current Tariff'!#REF!</f>
        <v>#REF!</v>
      </c>
      <c r="AP34" s="20" t="e">
        <f>'5|Revenue Current Tariff'!#REF!</f>
        <v>#REF!</v>
      </c>
      <c r="AQ34" s="20" t="e">
        <f>'5|Revenue Current Tariff'!#REF!</f>
        <v>#REF!</v>
      </c>
      <c r="AR34" s="6" t="e">
        <f t="shared" si="20"/>
        <v>#REF!</v>
      </c>
      <c r="AS34" s="16"/>
      <c r="AT34" s="5"/>
      <c r="AU34" s="5"/>
      <c r="AV34" s="26"/>
      <c r="AW34" s="20" t="e">
        <f>'5|Revenue Current Tariff'!#REF!</f>
        <v>#REF!</v>
      </c>
      <c r="AX34" s="20" t="e">
        <f>'5|Revenue Current Tariff'!#REF!</f>
        <v>#REF!</v>
      </c>
      <c r="AY34" s="20" t="e">
        <f>'5|Revenue Current Tariff'!#REF!</f>
        <v>#REF!</v>
      </c>
      <c r="AZ34" s="6" t="e">
        <f t="shared" si="21"/>
        <v>#REF!</v>
      </c>
      <c r="BA34" s="32"/>
      <c r="BB34" s="26"/>
      <c r="BC34" s="26"/>
      <c r="BD34" s="26"/>
      <c r="BE34" s="26"/>
    </row>
    <row r="35" spans="2:57" ht="12.75">
      <c r="B35">
        <v>10118</v>
      </c>
      <c r="C35" s="39" t="s">
        <v>165</v>
      </c>
      <c r="D35" s="4"/>
      <c r="E35" s="16"/>
      <c r="F35" s="5"/>
      <c r="G35" s="5"/>
      <c r="H35" s="26"/>
      <c r="I35" s="20" t="e">
        <f>'5|Revenue Current Tariff'!#REF!</f>
        <v>#REF!</v>
      </c>
      <c r="J35" s="20" t="e">
        <f>'5|Revenue Current Tariff'!#REF!</f>
        <v>#REF!</v>
      </c>
      <c r="K35" s="20" t="e">
        <f>'5|Revenue Current Tariff'!#REF!</f>
        <v>#REF!</v>
      </c>
      <c r="L35" s="6" t="e">
        <f t="shared" si="16"/>
        <v>#REF!</v>
      </c>
      <c r="M35" s="16"/>
      <c r="N35" s="5"/>
      <c r="O35" s="5"/>
      <c r="P35" s="26"/>
      <c r="Q35" s="20">
        <f>'5|Revenue Current Tariff'!V21</f>
        <v>0</v>
      </c>
      <c r="R35" s="20">
        <f>'5|Revenue Current Tariff'!W21</f>
        <v>0</v>
      </c>
      <c r="S35" s="20">
        <f>'5|Revenue Current Tariff'!X21</f>
        <v>0</v>
      </c>
      <c r="T35" s="6">
        <f t="shared" si="17"/>
        <v>0</v>
      </c>
      <c r="U35" s="16"/>
      <c r="V35" s="5"/>
      <c r="W35" s="5"/>
      <c r="X35" s="26"/>
      <c r="Y35" s="20" t="e">
        <f>'5|Revenue Current Tariff'!#REF!</f>
        <v>#REF!</v>
      </c>
      <c r="Z35" s="20" t="e">
        <f>'5|Revenue Current Tariff'!#REF!</f>
        <v>#REF!</v>
      </c>
      <c r="AA35" s="20" t="e">
        <f>'5|Revenue Current Tariff'!#REF!</f>
        <v>#REF!</v>
      </c>
      <c r="AB35" s="6" t="e">
        <f t="shared" si="18"/>
        <v>#REF!</v>
      </c>
      <c r="AC35" s="16"/>
      <c r="AD35" s="5"/>
      <c r="AE35" s="5"/>
      <c r="AF35" s="26"/>
      <c r="AG35" s="20" t="e">
        <f>'5|Revenue Current Tariff'!#REF!</f>
        <v>#REF!</v>
      </c>
      <c r="AH35" s="20" t="e">
        <f>'5|Revenue Current Tariff'!#REF!</f>
        <v>#REF!</v>
      </c>
      <c r="AI35" s="20" t="e">
        <f>'5|Revenue Current Tariff'!#REF!</f>
        <v>#REF!</v>
      </c>
      <c r="AJ35" s="6" t="e">
        <f t="shared" si="19"/>
        <v>#REF!</v>
      </c>
      <c r="AK35" s="16"/>
      <c r="AL35" s="5"/>
      <c r="AM35" s="5"/>
      <c r="AN35" s="26"/>
      <c r="AO35" s="20" t="e">
        <f>'5|Revenue Current Tariff'!#REF!</f>
        <v>#REF!</v>
      </c>
      <c r="AP35" s="20" t="e">
        <f>'5|Revenue Current Tariff'!#REF!</f>
        <v>#REF!</v>
      </c>
      <c r="AQ35" s="20" t="e">
        <f>'5|Revenue Current Tariff'!#REF!</f>
        <v>#REF!</v>
      </c>
      <c r="AR35" s="6" t="e">
        <f t="shared" si="20"/>
        <v>#REF!</v>
      </c>
      <c r="AS35" s="16"/>
      <c r="AT35" s="5"/>
      <c r="AU35" s="5"/>
      <c r="AV35" s="26"/>
      <c r="AW35" s="20" t="e">
        <f>'5|Revenue Current Tariff'!#REF!</f>
        <v>#REF!</v>
      </c>
      <c r="AX35" s="20" t="e">
        <f>'5|Revenue Current Tariff'!#REF!</f>
        <v>#REF!</v>
      </c>
      <c r="AY35" s="20" t="e">
        <f>'5|Revenue Current Tariff'!#REF!</f>
        <v>#REF!</v>
      </c>
      <c r="AZ35" s="6" t="e">
        <f t="shared" si="21"/>
        <v>#REF!</v>
      </c>
      <c r="BA35" s="32"/>
      <c r="BB35" s="26"/>
      <c r="BC35" s="26"/>
      <c r="BD35" s="26"/>
      <c r="BE35" s="26"/>
    </row>
    <row r="36" spans="2:57" ht="12.75" hidden="1" outlineLevel="1">
      <c r="B36">
        <v>10147</v>
      </c>
      <c r="C36" s="40" t="s">
        <v>573</v>
      </c>
      <c r="D36" s="4"/>
      <c r="E36" s="16"/>
      <c r="F36" s="5"/>
      <c r="G36" s="5"/>
      <c r="H36" s="26"/>
      <c r="I36" s="20"/>
      <c r="J36" s="20"/>
      <c r="K36" s="20"/>
      <c r="L36" s="6">
        <f t="shared" si="16"/>
        <v>0</v>
      </c>
      <c r="M36" s="16"/>
      <c r="N36" s="5"/>
      <c r="O36" s="5"/>
      <c r="P36" s="26"/>
      <c r="Q36" s="20"/>
      <c r="R36" s="20"/>
      <c r="S36" s="20"/>
      <c r="T36" s="6">
        <f t="shared" si="17"/>
        <v>0</v>
      </c>
      <c r="U36" s="16"/>
      <c r="V36" s="5"/>
      <c r="W36" s="5"/>
      <c r="X36" s="26"/>
      <c r="Y36" s="20"/>
      <c r="Z36" s="20"/>
      <c r="AA36" s="20"/>
      <c r="AB36" s="6">
        <f t="shared" si="18"/>
        <v>0</v>
      </c>
      <c r="AC36" s="16"/>
      <c r="AD36" s="5"/>
      <c r="AE36" s="5"/>
      <c r="AF36" s="26"/>
      <c r="AG36" s="20"/>
      <c r="AH36" s="20"/>
      <c r="AI36" s="20"/>
      <c r="AJ36" s="6">
        <f t="shared" si="19"/>
        <v>0</v>
      </c>
      <c r="AK36" s="16"/>
      <c r="AL36" s="5"/>
      <c r="AM36" s="5"/>
      <c r="AN36" s="26"/>
      <c r="AO36" s="20"/>
      <c r="AP36" s="20"/>
      <c r="AQ36" s="20"/>
      <c r="AR36" s="6">
        <f t="shared" si="20"/>
        <v>0</v>
      </c>
      <c r="AS36" s="16"/>
      <c r="AT36" s="5"/>
      <c r="AU36" s="5"/>
      <c r="AV36" s="26"/>
      <c r="AW36" s="20"/>
      <c r="AX36" s="20"/>
      <c r="AY36" s="20"/>
      <c r="AZ36" s="6">
        <f t="shared" si="21"/>
        <v>0</v>
      </c>
      <c r="BA36" s="32"/>
      <c r="BB36" s="26"/>
      <c r="BC36" s="26"/>
      <c r="BD36" s="26"/>
      <c r="BE36" s="26"/>
    </row>
    <row r="37" spans="2:57" ht="12.75" hidden="1" outlineLevel="1">
      <c r="B37">
        <v>10120</v>
      </c>
      <c r="C37" s="40" t="s">
        <v>571</v>
      </c>
      <c r="D37" s="4"/>
      <c r="E37" s="16"/>
      <c r="F37" s="5"/>
      <c r="G37" s="5"/>
      <c r="H37" s="26"/>
      <c r="I37" s="20"/>
      <c r="J37" s="20"/>
      <c r="K37" s="20"/>
      <c r="L37" s="6">
        <f t="shared" si="16"/>
        <v>0</v>
      </c>
      <c r="M37" s="16"/>
      <c r="N37" s="5"/>
      <c r="O37" s="5"/>
      <c r="P37" s="26"/>
      <c r="Q37" s="20"/>
      <c r="R37" s="20"/>
      <c r="S37" s="20"/>
      <c r="T37" s="6">
        <f t="shared" si="17"/>
        <v>0</v>
      </c>
      <c r="U37" s="16"/>
      <c r="V37" s="5"/>
      <c r="W37" s="5"/>
      <c r="X37" s="26"/>
      <c r="Y37" s="20"/>
      <c r="Z37" s="20"/>
      <c r="AA37" s="20"/>
      <c r="AB37" s="6">
        <f t="shared" si="18"/>
        <v>0</v>
      </c>
      <c r="AC37" s="16"/>
      <c r="AD37" s="5"/>
      <c r="AE37" s="5"/>
      <c r="AF37" s="26"/>
      <c r="AG37" s="20"/>
      <c r="AH37" s="20"/>
      <c r="AI37" s="20"/>
      <c r="AJ37" s="6">
        <f t="shared" si="19"/>
        <v>0</v>
      </c>
      <c r="AK37" s="16"/>
      <c r="AL37" s="5"/>
      <c r="AM37" s="5"/>
      <c r="AN37" s="26"/>
      <c r="AO37" s="20"/>
      <c r="AP37" s="20"/>
      <c r="AQ37" s="20"/>
      <c r="AR37" s="6">
        <f t="shared" si="20"/>
        <v>0</v>
      </c>
      <c r="AS37" s="16"/>
      <c r="AT37" s="5"/>
      <c r="AU37" s="5"/>
      <c r="AV37" s="26"/>
      <c r="AW37" s="20"/>
      <c r="AX37" s="20"/>
      <c r="AY37" s="20"/>
      <c r="AZ37" s="6">
        <f t="shared" si="21"/>
        <v>0</v>
      </c>
      <c r="BA37" s="32"/>
      <c r="BB37" s="26"/>
      <c r="BC37" s="26"/>
      <c r="BD37" s="26"/>
      <c r="BE37" s="26"/>
    </row>
    <row r="38" spans="2:57" ht="12.75" collapsed="1">
      <c r="B38">
        <v>10150</v>
      </c>
      <c r="C38" s="37" t="s">
        <v>572</v>
      </c>
      <c r="D38" s="4"/>
      <c r="E38" s="16"/>
      <c r="F38" s="5"/>
      <c r="G38" s="5"/>
      <c r="H38" s="26"/>
      <c r="I38" s="20" t="e">
        <f>'5|Revenue Current Tariff'!#REF!</f>
        <v>#REF!</v>
      </c>
      <c r="J38" s="20" t="e">
        <f>'5|Revenue Current Tariff'!#REF!</f>
        <v>#REF!</v>
      </c>
      <c r="K38" s="20" t="e">
        <f>'5|Revenue Current Tariff'!#REF!</f>
        <v>#REF!</v>
      </c>
      <c r="L38" s="6" t="e">
        <f t="shared" si="16"/>
        <v>#REF!</v>
      </c>
      <c r="M38" s="16"/>
      <c r="N38" s="5"/>
      <c r="O38" s="5"/>
      <c r="P38" s="26"/>
      <c r="Q38" s="20">
        <f>'5|Revenue Current Tariff'!V22</f>
        <v>0</v>
      </c>
      <c r="R38" s="20">
        <f>'5|Revenue Current Tariff'!W22</f>
        <v>0</v>
      </c>
      <c r="S38" s="20">
        <f>'5|Revenue Current Tariff'!X22</f>
        <v>0</v>
      </c>
      <c r="T38" s="6">
        <f t="shared" si="17"/>
        <v>0</v>
      </c>
      <c r="U38" s="16"/>
      <c r="V38" s="5"/>
      <c r="W38" s="5"/>
      <c r="X38" s="26"/>
      <c r="Y38" s="20" t="e">
        <f>'5|Revenue Current Tariff'!#REF!</f>
        <v>#REF!</v>
      </c>
      <c r="Z38" s="20" t="e">
        <f>'5|Revenue Current Tariff'!#REF!</f>
        <v>#REF!</v>
      </c>
      <c r="AA38" s="20" t="e">
        <f>'5|Revenue Current Tariff'!#REF!</f>
        <v>#REF!</v>
      </c>
      <c r="AB38" s="6" t="e">
        <f t="shared" si="18"/>
        <v>#REF!</v>
      </c>
      <c r="AC38" s="16"/>
      <c r="AD38" s="5"/>
      <c r="AE38" s="5"/>
      <c r="AF38" s="26"/>
      <c r="AG38" s="20" t="e">
        <f>'5|Revenue Current Tariff'!#REF!</f>
        <v>#REF!</v>
      </c>
      <c r="AH38" s="20" t="e">
        <f>'5|Revenue Current Tariff'!#REF!</f>
        <v>#REF!</v>
      </c>
      <c r="AI38" s="20" t="e">
        <f>'5|Revenue Current Tariff'!#REF!</f>
        <v>#REF!</v>
      </c>
      <c r="AJ38" s="6" t="e">
        <f t="shared" si="19"/>
        <v>#REF!</v>
      </c>
      <c r="AK38" s="16"/>
      <c r="AL38" s="5"/>
      <c r="AM38" s="5"/>
      <c r="AN38" s="26"/>
      <c r="AO38" s="20" t="e">
        <f>'5|Revenue Current Tariff'!#REF!</f>
        <v>#REF!</v>
      </c>
      <c r="AP38" s="20" t="e">
        <f>'5|Revenue Current Tariff'!#REF!</f>
        <v>#REF!</v>
      </c>
      <c r="AQ38" s="20" t="e">
        <f>'5|Revenue Current Tariff'!#REF!</f>
        <v>#REF!</v>
      </c>
      <c r="AR38" s="6" t="e">
        <f t="shared" si="20"/>
        <v>#REF!</v>
      </c>
      <c r="AS38" s="16"/>
      <c r="AT38" s="5"/>
      <c r="AU38" s="5"/>
      <c r="AV38" s="26"/>
      <c r="AW38" s="20" t="e">
        <f>'5|Revenue Current Tariff'!#REF!</f>
        <v>#REF!</v>
      </c>
      <c r="AX38" s="20" t="e">
        <f>'5|Revenue Current Tariff'!#REF!</f>
        <v>#REF!</v>
      </c>
      <c r="AY38" s="20" t="e">
        <f>'5|Revenue Current Tariff'!#REF!</f>
        <v>#REF!</v>
      </c>
      <c r="AZ38" s="6" t="e">
        <f t="shared" si="21"/>
        <v>#REF!</v>
      </c>
      <c r="BA38" s="32"/>
      <c r="BB38" s="26"/>
      <c r="BC38" s="26"/>
      <c r="BD38" s="26"/>
      <c r="BE38" s="26"/>
    </row>
    <row r="39" spans="2:57" ht="12.75">
      <c r="B39">
        <v>10153</v>
      </c>
      <c r="C39" s="4" t="s">
        <v>166</v>
      </c>
      <c r="D39" s="4"/>
      <c r="E39" s="16"/>
      <c r="F39" s="5"/>
      <c r="G39" s="5"/>
      <c r="H39" s="26"/>
      <c r="I39" s="20" t="e">
        <f>'5|Revenue Current Tariff'!#REF!</f>
        <v>#REF!</v>
      </c>
      <c r="J39" s="20" t="e">
        <f>'5|Revenue Current Tariff'!#REF!</f>
        <v>#REF!</v>
      </c>
      <c r="K39" s="20" t="e">
        <f>'5|Revenue Current Tariff'!#REF!</f>
        <v>#REF!</v>
      </c>
      <c r="L39" s="6" t="e">
        <f t="shared" si="16"/>
        <v>#REF!</v>
      </c>
      <c r="M39" s="16"/>
      <c r="N39" s="5"/>
      <c r="O39" s="5"/>
      <c r="P39" s="26"/>
      <c r="Q39" s="20">
        <f>'5|Revenue Current Tariff'!V23</f>
        <v>0</v>
      </c>
      <c r="R39" s="20">
        <f>'5|Revenue Current Tariff'!W23</f>
        <v>0</v>
      </c>
      <c r="S39" s="20">
        <f>'5|Revenue Current Tariff'!X23</f>
        <v>0</v>
      </c>
      <c r="T39" s="6">
        <f t="shared" si="17"/>
        <v>0</v>
      </c>
      <c r="U39" s="16"/>
      <c r="V39" s="5"/>
      <c r="W39" s="5"/>
      <c r="X39" s="26"/>
      <c r="Y39" s="20" t="e">
        <f>'5|Revenue Current Tariff'!#REF!</f>
        <v>#REF!</v>
      </c>
      <c r="Z39" s="20" t="e">
        <f>'5|Revenue Current Tariff'!#REF!</f>
        <v>#REF!</v>
      </c>
      <c r="AA39" s="20" t="e">
        <f>'5|Revenue Current Tariff'!#REF!</f>
        <v>#REF!</v>
      </c>
      <c r="AB39" s="6" t="e">
        <f t="shared" si="18"/>
        <v>#REF!</v>
      </c>
      <c r="AC39" s="16"/>
      <c r="AD39" s="5"/>
      <c r="AE39" s="5"/>
      <c r="AF39" s="26"/>
      <c r="AG39" s="20" t="e">
        <f>'5|Revenue Current Tariff'!#REF!</f>
        <v>#REF!</v>
      </c>
      <c r="AH39" s="20" t="e">
        <f>'5|Revenue Current Tariff'!#REF!</f>
        <v>#REF!</v>
      </c>
      <c r="AI39" s="20" t="e">
        <f>'5|Revenue Current Tariff'!#REF!</f>
        <v>#REF!</v>
      </c>
      <c r="AJ39" s="6" t="e">
        <f t="shared" si="19"/>
        <v>#REF!</v>
      </c>
      <c r="AK39" s="16"/>
      <c r="AL39" s="5"/>
      <c r="AM39" s="5"/>
      <c r="AN39" s="26"/>
      <c r="AO39" s="20" t="e">
        <f>'5|Revenue Current Tariff'!#REF!</f>
        <v>#REF!</v>
      </c>
      <c r="AP39" s="20" t="e">
        <f>'5|Revenue Current Tariff'!#REF!</f>
        <v>#REF!</v>
      </c>
      <c r="AQ39" s="20" t="e">
        <f>'5|Revenue Current Tariff'!#REF!</f>
        <v>#REF!</v>
      </c>
      <c r="AR39" s="6" t="e">
        <f t="shared" si="20"/>
        <v>#REF!</v>
      </c>
      <c r="AS39" s="16"/>
      <c r="AT39" s="5"/>
      <c r="AU39" s="5"/>
      <c r="AV39" s="26"/>
      <c r="AW39" s="20" t="e">
        <f>'5|Revenue Current Tariff'!#REF!</f>
        <v>#REF!</v>
      </c>
      <c r="AX39" s="20" t="e">
        <f>'5|Revenue Current Tariff'!#REF!</f>
        <v>#REF!</v>
      </c>
      <c r="AY39" s="20" t="e">
        <f>'5|Revenue Current Tariff'!#REF!</f>
        <v>#REF!</v>
      </c>
      <c r="AZ39" s="6" t="e">
        <f t="shared" si="21"/>
        <v>#REF!</v>
      </c>
      <c r="BA39" s="32"/>
      <c r="BB39" s="26"/>
      <c r="BC39" s="26"/>
      <c r="BD39" s="26"/>
      <c r="BE39" s="26"/>
    </row>
    <row r="40" spans="2:57" ht="12.75">
      <c r="B40">
        <v>10156</v>
      </c>
      <c r="C40" s="41" t="s">
        <v>43</v>
      </c>
      <c r="D40" s="4"/>
      <c r="E40" s="16"/>
      <c r="F40" s="5"/>
      <c r="G40" s="5"/>
      <c r="H40" s="26"/>
      <c r="I40" s="20" t="e">
        <f>'5|Revenue Current Tariff'!#REF!</f>
        <v>#REF!</v>
      </c>
      <c r="J40" s="20" t="e">
        <f>'5|Revenue Current Tariff'!#REF!</f>
        <v>#REF!</v>
      </c>
      <c r="K40" s="20" t="e">
        <f>'5|Revenue Current Tariff'!#REF!</f>
        <v>#REF!</v>
      </c>
      <c r="L40" s="6" t="e">
        <f t="shared" si="16"/>
        <v>#REF!</v>
      </c>
      <c r="M40" s="16"/>
      <c r="N40" s="5"/>
      <c r="O40" s="5"/>
      <c r="P40" s="26"/>
      <c r="Q40" s="20">
        <f>'5|Revenue Current Tariff'!V24</f>
        <v>0</v>
      </c>
      <c r="R40" s="20">
        <f>'5|Revenue Current Tariff'!W24</f>
        <v>0</v>
      </c>
      <c r="S40" s="20">
        <f>'5|Revenue Current Tariff'!X24</f>
        <v>0</v>
      </c>
      <c r="T40" s="6">
        <f t="shared" si="17"/>
        <v>0</v>
      </c>
      <c r="U40" s="16"/>
      <c r="V40" s="5"/>
      <c r="W40" s="5"/>
      <c r="X40" s="26"/>
      <c r="Y40" s="20" t="e">
        <f>'5|Revenue Current Tariff'!#REF!</f>
        <v>#REF!</v>
      </c>
      <c r="Z40" s="20" t="e">
        <f>'5|Revenue Current Tariff'!#REF!</f>
        <v>#REF!</v>
      </c>
      <c r="AA40" s="20" t="e">
        <f>'5|Revenue Current Tariff'!#REF!</f>
        <v>#REF!</v>
      </c>
      <c r="AB40" s="6" t="e">
        <f t="shared" si="18"/>
        <v>#REF!</v>
      </c>
      <c r="AC40" s="16"/>
      <c r="AD40" s="5"/>
      <c r="AE40" s="5"/>
      <c r="AF40" s="26"/>
      <c r="AG40" s="20" t="e">
        <f>'5|Revenue Current Tariff'!#REF!</f>
        <v>#REF!</v>
      </c>
      <c r="AH40" s="20" t="e">
        <f>'5|Revenue Current Tariff'!#REF!</f>
        <v>#REF!</v>
      </c>
      <c r="AI40" s="20" t="e">
        <f>'5|Revenue Current Tariff'!#REF!</f>
        <v>#REF!</v>
      </c>
      <c r="AJ40" s="6" t="e">
        <f t="shared" si="19"/>
        <v>#REF!</v>
      </c>
      <c r="AK40" s="16"/>
      <c r="AL40" s="5"/>
      <c r="AM40" s="5"/>
      <c r="AN40" s="26"/>
      <c r="AO40" s="20" t="e">
        <f>'5|Revenue Current Tariff'!#REF!</f>
        <v>#REF!</v>
      </c>
      <c r="AP40" s="20" t="e">
        <f>'5|Revenue Current Tariff'!#REF!</f>
        <v>#REF!</v>
      </c>
      <c r="AQ40" s="20" t="e">
        <f>'5|Revenue Current Tariff'!#REF!</f>
        <v>#REF!</v>
      </c>
      <c r="AR40" s="6" t="e">
        <f t="shared" si="20"/>
        <v>#REF!</v>
      </c>
      <c r="AS40" s="16"/>
      <c r="AT40" s="5"/>
      <c r="AU40" s="5"/>
      <c r="AV40" s="26"/>
      <c r="AW40" s="20" t="e">
        <f>'5|Revenue Current Tariff'!#REF!</f>
        <v>#REF!</v>
      </c>
      <c r="AX40" s="20" t="e">
        <f>'5|Revenue Current Tariff'!#REF!</f>
        <v>#REF!</v>
      </c>
      <c r="AY40" s="20" t="e">
        <f>'5|Revenue Current Tariff'!#REF!</f>
        <v>#REF!</v>
      </c>
      <c r="AZ40" s="6" t="e">
        <f t="shared" si="21"/>
        <v>#REF!</v>
      </c>
      <c r="BA40" s="32"/>
      <c r="BB40" s="26"/>
      <c r="BC40" s="26"/>
      <c r="BD40" s="26"/>
      <c r="BE40" s="26"/>
    </row>
    <row r="41" spans="2:57" ht="12.75">
      <c r="B41">
        <v>10159</v>
      </c>
      <c r="C41" s="44" t="s">
        <v>39</v>
      </c>
      <c r="D41" s="4"/>
      <c r="E41" s="16"/>
      <c r="F41" s="5"/>
      <c r="G41" s="5"/>
      <c r="H41" s="26"/>
      <c r="I41" s="20" t="e">
        <f>'5|Revenue Current Tariff'!#REF!</f>
        <v>#REF!</v>
      </c>
      <c r="J41" s="20" t="e">
        <f>'5|Revenue Current Tariff'!#REF!</f>
        <v>#REF!</v>
      </c>
      <c r="K41" s="20" t="e">
        <f>'5|Revenue Current Tariff'!#REF!</f>
        <v>#REF!</v>
      </c>
      <c r="L41" s="6" t="e">
        <f t="shared" si="16"/>
        <v>#REF!</v>
      </c>
      <c r="M41" s="16"/>
      <c r="N41" s="5"/>
      <c r="O41" s="5"/>
      <c r="P41" s="26"/>
      <c r="Q41" s="20">
        <f>'5|Revenue Current Tariff'!V25</f>
        <v>0</v>
      </c>
      <c r="R41" s="20">
        <f>'5|Revenue Current Tariff'!W25</f>
        <v>0</v>
      </c>
      <c r="S41" s="20">
        <f>'5|Revenue Current Tariff'!X25</f>
        <v>0</v>
      </c>
      <c r="T41" s="6">
        <f t="shared" si="17"/>
        <v>0</v>
      </c>
      <c r="U41" s="16"/>
      <c r="V41" s="5"/>
      <c r="W41" s="5"/>
      <c r="X41" s="26"/>
      <c r="Y41" s="20" t="e">
        <f>'5|Revenue Current Tariff'!#REF!</f>
        <v>#REF!</v>
      </c>
      <c r="Z41" s="20" t="e">
        <f>'5|Revenue Current Tariff'!#REF!</f>
        <v>#REF!</v>
      </c>
      <c r="AA41" s="20" t="e">
        <f>'5|Revenue Current Tariff'!#REF!</f>
        <v>#REF!</v>
      </c>
      <c r="AB41" s="6" t="e">
        <f t="shared" si="18"/>
        <v>#REF!</v>
      </c>
      <c r="AC41" s="16"/>
      <c r="AD41" s="5"/>
      <c r="AE41" s="5"/>
      <c r="AF41" s="26"/>
      <c r="AG41" s="20" t="e">
        <f>'5|Revenue Current Tariff'!#REF!</f>
        <v>#REF!</v>
      </c>
      <c r="AH41" s="20" t="e">
        <f>'5|Revenue Current Tariff'!#REF!</f>
        <v>#REF!</v>
      </c>
      <c r="AI41" s="20" t="e">
        <f>'5|Revenue Current Tariff'!#REF!</f>
        <v>#REF!</v>
      </c>
      <c r="AJ41" s="6" t="e">
        <f t="shared" si="19"/>
        <v>#REF!</v>
      </c>
      <c r="AK41" s="16"/>
      <c r="AL41" s="5"/>
      <c r="AM41" s="5"/>
      <c r="AN41" s="26"/>
      <c r="AO41" s="20" t="e">
        <f>'5|Revenue Current Tariff'!#REF!</f>
        <v>#REF!</v>
      </c>
      <c r="AP41" s="20" t="e">
        <f>'5|Revenue Current Tariff'!#REF!</f>
        <v>#REF!</v>
      </c>
      <c r="AQ41" s="20" t="e">
        <f>'5|Revenue Current Tariff'!#REF!</f>
        <v>#REF!</v>
      </c>
      <c r="AR41" s="6" t="e">
        <f t="shared" si="20"/>
        <v>#REF!</v>
      </c>
      <c r="AS41" s="16"/>
      <c r="AT41" s="5"/>
      <c r="AU41" s="5"/>
      <c r="AV41" s="26"/>
      <c r="AW41" s="20" t="e">
        <f>'5|Revenue Current Tariff'!#REF!</f>
        <v>#REF!</v>
      </c>
      <c r="AX41" s="20" t="e">
        <f>'5|Revenue Current Tariff'!#REF!</f>
        <v>#REF!</v>
      </c>
      <c r="AY41" s="20" t="e">
        <f>'5|Revenue Current Tariff'!#REF!</f>
        <v>#REF!</v>
      </c>
      <c r="AZ41" s="6" t="e">
        <f t="shared" si="21"/>
        <v>#REF!</v>
      </c>
      <c r="BA41" s="32"/>
      <c r="BB41" s="26"/>
      <c r="BC41" s="26"/>
      <c r="BD41" s="26"/>
      <c r="BE41" s="26"/>
    </row>
    <row r="42" spans="2:57" ht="12.75">
      <c r="B42">
        <v>10162</v>
      </c>
      <c r="C42" s="41" t="s">
        <v>38</v>
      </c>
      <c r="D42" s="4"/>
      <c r="E42" s="16"/>
      <c r="F42" s="5"/>
      <c r="G42" s="5"/>
      <c r="H42" s="26"/>
      <c r="I42" s="20" t="e">
        <f>'5|Revenue Current Tariff'!#REF!</f>
        <v>#REF!</v>
      </c>
      <c r="J42" s="20" t="e">
        <f>'5|Revenue Current Tariff'!#REF!</f>
        <v>#REF!</v>
      </c>
      <c r="K42" s="20" t="e">
        <f>'5|Revenue Current Tariff'!#REF!</f>
        <v>#REF!</v>
      </c>
      <c r="L42" s="6" t="e">
        <f t="shared" si="16"/>
        <v>#REF!</v>
      </c>
      <c r="M42" s="16"/>
      <c r="N42" s="5"/>
      <c r="O42" s="5"/>
      <c r="P42" s="26"/>
      <c r="Q42" s="20">
        <f>'5|Revenue Current Tariff'!V26</f>
        <v>0</v>
      </c>
      <c r="R42" s="20">
        <f>'5|Revenue Current Tariff'!W26</f>
        <v>0</v>
      </c>
      <c r="S42" s="20">
        <f>'5|Revenue Current Tariff'!X26</f>
        <v>0</v>
      </c>
      <c r="T42" s="6">
        <f t="shared" si="17"/>
        <v>0</v>
      </c>
      <c r="U42" s="16"/>
      <c r="V42" s="5"/>
      <c r="W42" s="5"/>
      <c r="X42" s="26"/>
      <c r="Y42" s="20" t="e">
        <f>'5|Revenue Current Tariff'!#REF!</f>
        <v>#REF!</v>
      </c>
      <c r="Z42" s="20" t="e">
        <f>'5|Revenue Current Tariff'!#REF!</f>
        <v>#REF!</v>
      </c>
      <c r="AA42" s="20" t="e">
        <f>'5|Revenue Current Tariff'!#REF!</f>
        <v>#REF!</v>
      </c>
      <c r="AB42" s="6" t="e">
        <f t="shared" si="18"/>
        <v>#REF!</v>
      </c>
      <c r="AC42" s="16"/>
      <c r="AD42" s="5"/>
      <c r="AE42" s="5"/>
      <c r="AF42" s="26"/>
      <c r="AG42" s="20" t="e">
        <f>'5|Revenue Current Tariff'!#REF!</f>
        <v>#REF!</v>
      </c>
      <c r="AH42" s="20" t="e">
        <f>'5|Revenue Current Tariff'!#REF!</f>
        <v>#REF!</v>
      </c>
      <c r="AI42" s="20" t="e">
        <f>'5|Revenue Current Tariff'!#REF!</f>
        <v>#REF!</v>
      </c>
      <c r="AJ42" s="6" t="e">
        <f t="shared" si="19"/>
        <v>#REF!</v>
      </c>
      <c r="AK42" s="16"/>
      <c r="AL42" s="5"/>
      <c r="AM42" s="5"/>
      <c r="AN42" s="26"/>
      <c r="AO42" s="20" t="e">
        <f>'5|Revenue Current Tariff'!#REF!</f>
        <v>#REF!</v>
      </c>
      <c r="AP42" s="20" t="e">
        <f>'5|Revenue Current Tariff'!#REF!</f>
        <v>#REF!</v>
      </c>
      <c r="AQ42" s="20" t="e">
        <f>'5|Revenue Current Tariff'!#REF!</f>
        <v>#REF!</v>
      </c>
      <c r="AR42" s="6" t="e">
        <f t="shared" si="20"/>
        <v>#REF!</v>
      </c>
      <c r="AS42" s="16"/>
      <c r="AT42" s="5"/>
      <c r="AU42" s="5"/>
      <c r="AV42" s="26"/>
      <c r="AW42" s="20" t="e">
        <f>'5|Revenue Current Tariff'!#REF!</f>
        <v>#REF!</v>
      </c>
      <c r="AX42" s="20" t="e">
        <f>'5|Revenue Current Tariff'!#REF!</f>
        <v>#REF!</v>
      </c>
      <c r="AY42" s="20" t="e">
        <f>'5|Revenue Current Tariff'!#REF!</f>
        <v>#REF!</v>
      </c>
      <c r="AZ42" s="6" t="e">
        <f t="shared" si="21"/>
        <v>#REF!</v>
      </c>
      <c r="BA42" s="32"/>
      <c r="BB42" s="26"/>
      <c r="BC42" s="26"/>
      <c r="BD42" s="26"/>
      <c r="BE42" s="26"/>
    </row>
    <row r="43" spans="2:57" ht="12.75">
      <c r="B43"/>
      <c r="C43" s="44" t="s">
        <v>40</v>
      </c>
      <c r="D43" s="4"/>
      <c r="E43" s="16"/>
      <c r="F43" s="5"/>
      <c r="G43" s="5"/>
      <c r="H43" s="26"/>
      <c r="I43" s="20" t="e">
        <f>'5|Revenue Current Tariff'!#REF!</f>
        <v>#REF!</v>
      </c>
      <c r="J43" s="20" t="e">
        <f>'5|Revenue Current Tariff'!#REF!</f>
        <v>#REF!</v>
      </c>
      <c r="K43" s="20" t="e">
        <f>'5|Revenue Current Tariff'!#REF!</f>
        <v>#REF!</v>
      </c>
      <c r="L43" s="6" t="e">
        <f t="shared" si="16"/>
        <v>#REF!</v>
      </c>
      <c r="M43" s="16"/>
      <c r="N43" s="5"/>
      <c r="O43" s="5"/>
      <c r="P43" s="26"/>
      <c r="Q43" s="20" t="e">
        <f>'5|Revenue Current Tariff'!#REF!</f>
        <v>#REF!</v>
      </c>
      <c r="R43" s="20" t="e">
        <f>'5|Revenue Current Tariff'!#REF!</f>
        <v>#REF!</v>
      </c>
      <c r="S43" s="20" t="e">
        <f>'5|Revenue Current Tariff'!#REF!</f>
        <v>#REF!</v>
      </c>
      <c r="T43" s="6" t="e">
        <f t="shared" si="17"/>
        <v>#REF!</v>
      </c>
      <c r="U43" s="16"/>
      <c r="V43" s="5"/>
      <c r="W43" s="5"/>
      <c r="X43" s="26"/>
      <c r="Y43" s="20" t="e">
        <f>'5|Revenue Current Tariff'!#REF!</f>
        <v>#REF!</v>
      </c>
      <c r="Z43" s="20" t="e">
        <f>'5|Revenue Current Tariff'!#REF!</f>
        <v>#REF!</v>
      </c>
      <c r="AA43" s="20" t="e">
        <f>'5|Revenue Current Tariff'!#REF!</f>
        <v>#REF!</v>
      </c>
      <c r="AB43" s="6" t="e">
        <f t="shared" si="18"/>
        <v>#REF!</v>
      </c>
      <c r="AC43" s="16"/>
      <c r="AD43" s="5"/>
      <c r="AE43" s="5"/>
      <c r="AF43" s="26"/>
      <c r="AG43" s="20" t="e">
        <f>'5|Revenue Current Tariff'!#REF!</f>
        <v>#REF!</v>
      </c>
      <c r="AH43" s="20" t="e">
        <f>'5|Revenue Current Tariff'!#REF!</f>
        <v>#REF!</v>
      </c>
      <c r="AI43" s="20" t="e">
        <f>'5|Revenue Current Tariff'!#REF!</f>
        <v>#REF!</v>
      </c>
      <c r="AJ43" s="6" t="e">
        <f t="shared" si="19"/>
        <v>#REF!</v>
      </c>
      <c r="AK43" s="16"/>
      <c r="AL43" s="5"/>
      <c r="AM43" s="5"/>
      <c r="AN43" s="26"/>
      <c r="AO43" s="20" t="e">
        <f>'5|Revenue Current Tariff'!#REF!</f>
        <v>#REF!</v>
      </c>
      <c r="AP43" s="20" t="e">
        <f>'5|Revenue Current Tariff'!#REF!</f>
        <v>#REF!</v>
      </c>
      <c r="AQ43" s="20" t="e">
        <f>'5|Revenue Current Tariff'!#REF!</f>
        <v>#REF!</v>
      </c>
      <c r="AR43" s="6" t="e">
        <f t="shared" si="20"/>
        <v>#REF!</v>
      </c>
      <c r="AS43" s="16"/>
      <c r="AT43" s="5"/>
      <c r="AU43" s="5"/>
      <c r="AV43" s="26"/>
      <c r="AW43" s="20" t="e">
        <f>'5|Revenue Current Tariff'!#REF!</f>
        <v>#REF!</v>
      </c>
      <c r="AX43" s="20" t="e">
        <f>'5|Revenue Current Tariff'!#REF!</f>
        <v>#REF!</v>
      </c>
      <c r="AY43" s="20" t="e">
        <f>'5|Revenue Current Tariff'!#REF!</f>
        <v>#REF!</v>
      </c>
      <c r="AZ43" s="6" t="e">
        <f t="shared" si="21"/>
        <v>#REF!</v>
      </c>
      <c r="BA43" s="32"/>
      <c r="BB43" s="26"/>
      <c r="BC43" s="26"/>
      <c r="BD43" s="26"/>
      <c r="BE43" s="26"/>
    </row>
    <row r="44" spans="2:57" ht="12.75">
      <c r="B44"/>
      <c r="C44" s="4" t="s">
        <v>348</v>
      </c>
      <c r="D44" s="4"/>
      <c r="E44" s="16"/>
      <c r="F44" s="5"/>
      <c r="G44" s="5"/>
      <c r="H44" s="26"/>
      <c r="I44" s="20" t="e">
        <f>'5|Revenue Current Tariff'!#REF!</f>
        <v>#REF!</v>
      </c>
      <c r="J44" s="20" t="e">
        <f>'5|Revenue Current Tariff'!#REF!</f>
        <v>#REF!</v>
      </c>
      <c r="K44" s="20" t="e">
        <f>'5|Revenue Current Tariff'!#REF!</f>
        <v>#REF!</v>
      </c>
      <c r="L44" s="6" t="e">
        <f t="shared" si="16"/>
        <v>#REF!</v>
      </c>
      <c r="M44" s="16"/>
      <c r="N44" s="5"/>
      <c r="O44" s="5"/>
      <c r="P44" s="26"/>
      <c r="Q44" s="20">
        <f>'5|Revenue Current Tariff'!V27</f>
        <v>0</v>
      </c>
      <c r="R44" s="20">
        <f>'5|Revenue Current Tariff'!W27</f>
        <v>0</v>
      </c>
      <c r="S44" s="20">
        <f>'5|Revenue Current Tariff'!X27</f>
        <v>0</v>
      </c>
      <c r="T44" s="6">
        <f t="shared" si="17"/>
        <v>0</v>
      </c>
      <c r="U44" s="16"/>
      <c r="V44" s="5"/>
      <c r="W44" s="5"/>
      <c r="X44" s="26"/>
      <c r="Y44" s="20" t="e">
        <f>'5|Revenue Current Tariff'!#REF!</f>
        <v>#REF!</v>
      </c>
      <c r="Z44" s="20" t="e">
        <f>'5|Revenue Current Tariff'!#REF!</f>
        <v>#REF!</v>
      </c>
      <c r="AA44" s="20" t="e">
        <f>'5|Revenue Current Tariff'!#REF!</f>
        <v>#REF!</v>
      </c>
      <c r="AB44" s="6" t="e">
        <f t="shared" si="18"/>
        <v>#REF!</v>
      </c>
      <c r="AC44" s="16"/>
      <c r="AD44" s="5"/>
      <c r="AE44" s="5"/>
      <c r="AF44" s="26"/>
      <c r="AG44" s="20" t="e">
        <f>'5|Revenue Current Tariff'!#REF!</f>
        <v>#REF!</v>
      </c>
      <c r="AH44" s="20" t="e">
        <f>'5|Revenue Current Tariff'!#REF!</f>
        <v>#REF!</v>
      </c>
      <c r="AI44" s="20" t="e">
        <f>'5|Revenue Current Tariff'!#REF!</f>
        <v>#REF!</v>
      </c>
      <c r="AJ44" s="6" t="e">
        <f t="shared" si="19"/>
        <v>#REF!</v>
      </c>
      <c r="AK44" s="16"/>
      <c r="AL44" s="5"/>
      <c r="AM44" s="5"/>
      <c r="AN44" s="26"/>
      <c r="AO44" s="20" t="e">
        <f>'5|Revenue Current Tariff'!#REF!</f>
        <v>#REF!</v>
      </c>
      <c r="AP44" s="20" t="e">
        <f>'5|Revenue Current Tariff'!#REF!</f>
        <v>#REF!</v>
      </c>
      <c r="AQ44" s="20" t="e">
        <f>'5|Revenue Current Tariff'!#REF!</f>
        <v>#REF!</v>
      </c>
      <c r="AR44" s="6" t="e">
        <f t="shared" si="20"/>
        <v>#REF!</v>
      </c>
      <c r="AS44" s="16"/>
      <c r="AT44" s="5"/>
      <c r="AU44" s="5"/>
      <c r="AV44" s="26"/>
      <c r="AW44" s="20" t="e">
        <f>'5|Revenue Current Tariff'!#REF!</f>
        <v>#REF!</v>
      </c>
      <c r="AX44" s="20" t="e">
        <f>'5|Revenue Current Tariff'!#REF!</f>
        <v>#REF!</v>
      </c>
      <c r="AY44" s="20" t="e">
        <f>'5|Revenue Current Tariff'!#REF!</f>
        <v>#REF!</v>
      </c>
      <c r="AZ44" s="6" t="e">
        <f t="shared" si="21"/>
        <v>#REF!</v>
      </c>
      <c r="BA44" s="32"/>
      <c r="BB44" s="26"/>
      <c r="BC44" s="26"/>
      <c r="BD44" s="26"/>
      <c r="BE44" s="26"/>
    </row>
    <row r="45" spans="2:57" ht="12.75">
      <c r="B45"/>
      <c r="C45" s="4" t="s">
        <v>347</v>
      </c>
      <c r="D45" s="4"/>
      <c r="E45" s="16"/>
      <c r="F45" s="5"/>
      <c r="G45" s="5"/>
      <c r="H45" s="26"/>
      <c r="I45" s="20" t="e">
        <f>'5|Revenue Current Tariff'!#REF!</f>
        <v>#REF!</v>
      </c>
      <c r="J45" s="20" t="e">
        <f>'5|Revenue Current Tariff'!#REF!</f>
        <v>#REF!</v>
      </c>
      <c r="K45" s="20" t="e">
        <f>'5|Revenue Current Tariff'!#REF!</f>
        <v>#REF!</v>
      </c>
      <c r="L45" s="6" t="e">
        <f t="shared" si="16"/>
        <v>#REF!</v>
      </c>
      <c r="M45" s="16"/>
      <c r="N45" s="5"/>
      <c r="O45" s="5"/>
      <c r="P45" s="26"/>
      <c r="Q45" s="20">
        <f>'5|Revenue Current Tariff'!V28</f>
        <v>0</v>
      </c>
      <c r="R45" s="20">
        <f>'5|Revenue Current Tariff'!W28</f>
        <v>0</v>
      </c>
      <c r="S45" s="20">
        <f>'5|Revenue Current Tariff'!X28</f>
        <v>0</v>
      </c>
      <c r="T45" s="6">
        <f t="shared" si="17"/>
        <v>0</v>
      </c>
      <c r="U45" s="16"/>
      <c r="V45" s="5"/>
      <c r="W45" s="5"/>
      <c r="X45" s="26"/>
      <c r="Y45" s="20" t="e">
        <f>'5|Revenue Current Tariff'!#REF!</f>
        <v>#REF!</v>
      </c>
      <c r="Z45" s="20" t="e">
        <f>'5|Revenue Current Tariff'!#REF!</f>
        <v>#REF!</v>
      </c>
      <c r="AA45" s="20" t="e">
        <f>'5|Revenue Current Tariff'!#REF!</f>
        <v>#REF!</v>
      </c>
      <c r="AB45" s="6" t="e">
        <f t="shared" si="18"/>
        <v>#REF!</v>
      </c>
      <c r="AC45" s="16"/>
      <c r="AD45" s="5"/>
      <c r="AE45" s="5"/>
      <c r="AF45" s="26"/>
      <c r="AG45" s="20" t="e">
        <f>'5|Revenue Current Tariff'!#REF!</f>
        <v>#REF!</v>
      </c>
      <c r="AH45" s="20" t="e">
        <f>'5|Revenue Current Tariff'!#REF!</f>
        <v>#REF!</v>
      </c>
      <c r="AI45" s="20" t="e">
        <f>'5|Revenue Current Tariff'!#REF!</f>
        <v>#REF!</v>
      </c>
      <c r="AJ45" s="6" t="e">
        <f t="shared" si="19"/>
        <v>#REF!</v>
      </c>
      <c r="AK45" s="16"/>
      <c r="AL45" s="5"/>
      <c r="AM45" s="5"/>
      <c r="AN45" s="26"/>
      <c r="AO45" s="20" t="e">
        <f>'5|Revenue Current Tariff'!#REF!</f>
        <v>#REF!</v>
      </c>
      <c r="AP45" s="20" t="e">
        <f>'5|Revenue Current Tariff'!#REF!</f>
        <v>#REF!</v>
      </c>
      <c r="AQ45" s="20" t="e">
        <f>'5|Revenue Current Tariff'!#REF!</f>
        <v>#REF!</v>
      </c>
      <c r="AR45" s="6" t="e">
        <f t="shared" si="20"/>
        <v>#REF!</v>
      </c>
      <c r="AS45" s="16"/>
      <c r="AT45" s="5"/>
      <c r="AU45" s="5"/>
      <c r="AV45" s="26"/>
      <c r="AW45" s="20" t="e">
        <f>'5|Revenue Current Tariff'!#REF!</f>
        <v>#REF!</v>
      </c>
      <c r="AX45" s="20" t="e">
        <f>'5|Revenue Current Tariff'!#REF!</f>
        <v>#REF!</v>
      </c>
      <c r="AY45" s="20" t="e">
        <f>'5|Revenue Current Tariff'!#REF!</f>
        <v>#REF!</v>
      </c>
      <c r="AZ45" s="6" t="e">
        <f t="shared" si="21"/>
        <v>#REF!</v>
      </c>
      <c r="BA45" s="32"/>
      <c r="BB45" s="26"/>
      <c r="BC45" s="26"/>
      <c r="BD45" s="26"/>
      <c r="BE45" s="26"/>
    </row>
    <row r="46" spans="2:57" ht="12.75">
      <c r="B46"/>
      <c r="C46" s="14" t="s">
        <v>44</v>
      </c>
      <c r="D46" s="4"/>
      <c r="E46" s="16"/>
      <c r="F46" s="5"/>
      <c r="G46" s="5"/>
      <c r="H46" s="26"/>
      <c r="I46" s="20" t="e">
        <f>'5|Revenue Current Tariff'!#REF!</f>
        <v>#REF!</v>
      </c>
      <c r="J46" s="20" t="e">
        <f>'5|Revenue Current Tariff'!#REF!</f>
        <v>#REF!</v>
      </c>
      <c r="K46" s="20" t="e">
        <f>'5|Revenue Current Tariff'!#REF!</f>
        <v>#REF!</v>
      </c>
      <c r="L46" s="6" t="e">
        <f t="shared" si="16"/>
        <v>#REF!</v>
      </c>
      <c r="M46" s="16"/>
      <c r="N46" s="5"/>
      <c r="O46" s="5"/>
      <c r="P46" s="26"/>
      <c r="Q46" s="20">
        <f>'5|Revenue Current Tariff'!V29</f>
        <v>0</v>
      </c>
      <c r="R46" s="20">
        <f>'5|Revenue Current Tariff'!W29</f>
        <v>0</v>
      </c>
      <c r="S46" s="20">
        <f>'5|Revenue Current Tariff'!X29</f>
        <v>0</v>
      </c>
      <c r="T46" s="6">
        <f t="shared" si="17"/>
        <v>0</v>
      </c>
      <c r="U46" s="16"/>
      <c r="V46" s="5"/>
      <c r="W46" s="5"/>
      <c r="X46" s="26"/>
      <c r="Y46" s="20" t="e">
        <f>'5|Revenue Current Tariff'!#REF!</f>
        <v>#REF!</v>
      </c>
      <c r="Z46" s="20" t="e">
        <f>'5|Revenue Current Tariff'!#REF!</f>
        <v>#REF!</v>
      </c>
      <c r="AA46" s="20" t="e">
        <f>'5|Revenue Current Tariff'!#REF!</f>
        <v>#REF!</v>
      </c>
      <c r="AB46" s="6" t="e">
        <f t="shared" si="18"/>
        <v>#REF!</v>
      </c>
      <c r="AC46" s="16"/>
      <c r="AD46" s="5"/>
      <c r="AE46" s="5"/>
      <c r="AF46" s="26"/>
      <c r="AG46" s="20" t="e">
        <f>'5|Revenue Current Tariff'!#REF!</f>
        <v>#REF!</v>
      </c>
      <c r="AH46" s="20" t="e">
        <f>'5|Revenue Current Tariff'!#REF!</f>
        <v>#REF!</v>
      </c>
      <c r="AI46" s="20" t="e">
        <f>'5|Revenue Current Tariff'!#REF!</f>
        <v>#REF!</v>
      </c>
      <c r="AJ46" s="6" t="e">
        <f t="shared" si="19"/>
        <v>#REF!</v>
      </c>
      <c r="AK46" s="16"/>
      <c r="AL46" s="5"/>
      <c r="AM46" s="5"/>
      <c r="AN46" s="26"/>
      <c r="AO46" s="20" t="e">
        <f>'5|Revenue Current Tariff'!#REF!</f>
        <v>#REF!</v>
      </c>
      <c r="AP46" s="20" t="e">
        <f>'5|Revenue Current Tariff'!#REF!</f>
        <v>#REF!</v>
      </c>
      <c r="AQ46" s="20" t="e">
        <f>'5|Revenue Current Tariff'!#REF!</f>
        <v>#REF!</v>
      </c>
      <c r="AR46" s="6" t="e">
        <f t="shared" si="20"/>
        <v>#REF!</v>
      </c>
      <c r="AS46" s="16"/>
      <c r="AT46" s="5"/>
      <c r="AU46" s="5"/>
      <c r="AV46" s="26"/>
      <c r="AW46" s="20" t="e">
        <f>'5|Revenue Current Tariff'!#REF!</f>
        <v>#REF!</v>
      </c>
      <c r="AX46" s="20" t="e">
        <f>'5|Revenue Current Tariff'!#REF!</f>
        <v>#REF!</v>
      </c>
      <c r="AY46" s="20" t="e">
        <f>'5|Revenue Current Tariff'!#REF!</f>
        <v>#REF!</v>
      </c>
      <c r="AZ46" s="6" t="e">
        <f t="shared" si="21"/>
        <v>#REF!</v>
      </c>
      <c r="BA46" s="32"/>
      <c r="BB46" s="26"/>
      <c r="BC46" s="26"/>
      <c r="BD46" s="26"/>
      <c r="BE46" s="26"/>
    </row>
    <row r="47" spans="2:57" ht="12.75">
      <c r="B47"/>
      <c r="C47" s="4" t="s">
        <v>349</v>
      </c>
      <c r="D47" s="4"/>
      <c r="E47" s="16"/>
      <c r="F47" s="5"/>
      <c r="G47" s="5"/>
      <c r="H47" s="26"/>
      <c r="I47" s="20" t="e">
        <f>'5|Revenue Current Tariff'!#REF!</f>
        <v>#REF!</v>
      </c>
      <c r="J47" s="20" t="e">
        <f>'5|Revenue Current Tariff'!#REF!</f>
        <v>#REF!</v>
      </c>
      <c r="K47" s="20" t="e">
        <f>'5|Revenue Current Tariff'!#REF!</f>
        <v>#REF!</v>
      </c>
      <c r="L47" s="6" t="e">
        <f t="shared" si="16"/>
        <v>#REF!</v>
      </c>
      <c r="M47" s="16"/>
      <c r="N47" s="5"/>
      <c r="O47" s="5"/>
      <c r="P47" s="26"/>
      <c r="Q47" s="20">
        <f>'5|Revenue Current Tariff'!V30</f>
        <v>0</v>
      </c>
      <c r="R47" s="20">
        <f>'5|Revenue Current Tariff'!W30</f>
        <v>0</v>
      </c>
      <c r="S47" s="20">
        <f>'5|Revenue Current Tariff'!X30</f>
        <v>0</v>
      </c>
      <c r="T47" s="6">
        <f t="shared" si="17"/>
        <v>0</v>
      </c>
      <c r="U47" s="16"/>
      <c r="V47" s="5"/>
      <c r="W47" s="5"/>
      <c r="X47" s="26"/>
      <c r="Y47" s="20" t="e">
        <f>'5|Revenue Current Tariff'!#REF!</f>
        <v>#REF!</v>
      </c>
      <c r="Z47" s="20" t="e">
        <f>'5|Revenue Current Tariff'!#REF!</f>
        <v>#REF!</v>
      </c>
      <c r="AA47" s="20" t="e">
        <f>'5|Revenue Current Tariff'!#REF!</f>
        <v>#REF!</v>
      </c>
      <c r="AB47" s="6" t="e">
        <f t="shared" si="18"/>
        <v>#REF!</v>
      </c>
      <c r="AC47" s="16"/>
      <c r="AD47" s="5"/>
      <c r="AE47" s="5"/>
      <c r="AF47" s="26"/>
      <c r="AG47" s="20" t="e">
        <f>'5|Revenue Current Tariff'!#REF!</f>
        <v>#REF!</v>
      </c>
      <c r="AH47" s="20" t="e">
        <f>'5|Revenue Current Tariff'!#REF!</f>
        <v>#REF!</v>
      </c>
      <c r="AI47" s="20" t="e">
        <f>'5|Revenue Current Tariff'!#REF!</f>
        <v>#REF!</v>
      </c>
      <c r="AJ47" s="6" t="e">
        <f t="shared" si="19"/>
        <v>#REF!</v>
      </c>
      <c r="AK47" s="16"/>
      <c r="AL47" s="5"/>
      <c r="AM47" s="5"/>
      <c r="AN47" s="26"/>
      <c r="AO47" s="20" t="e">
        <f>'5|Revenue Current Tariff'!#REF!</f>
        <v>#REF!</v>
      </c>
      <c r="AP47" s="20" t="e">
        <f>'5|Revenue Current Tariff'!#REF!</f>
        <v>#REF!</v>
      </c>
      <c r="AQ47" s="20" t="e">
        <f>'5|Revenue Current Tariff'!#REF!</f>
        <v>#REF!</v>
      </c>
      <c r="AR47" s="6" t="e">
        <f t="shared" si="20"/>
        <v>#REF!</v>
      </c>
      <c r="AS47" s="16"/>
      <c r="AT47" s="5"/>
      <c r="AU47" s="5"/>
      <c r="AV47" s="26"/>
      <c r="AW47" s="20" t="e">
        <f>'5|Revenue Current Tariff'!#REF!</f>
        <v>#REF!</v>
      </c>
      <c r="AX47" s="20" t="e">
        <f>'5|Revenue Current Tariff'!#REF!</f>
        <v>#REF!</v>
      </c>
      <c r="AY47" s="20" t="e">
        <f>'5|Revenue Current Tariff'!#REF!</f>
        <v>#REF!</v>
      </c>
      <c r="AZ47" s="6" t="e">
        <f t="shared" si="21"/>
        <v>#REF!</v>
      </c>
      <c r="BA47" s="32"/>
      <c r="BB47" s="26"/>
      <c r="BC47" s="26"/>
      <c r="BD47" s="26"/>
      <c r="BE47" s="26"/>
    </row>
    <row r="48" spans="2:57" ht="12.75">
      <c r="B48"/>
      <c r="C48" s="4" t="s">
        <v>19</v>
      </c>
      <c r="D48" s="4"/>
      <c r="E48" s="16"/>
      <c r="F48" s="5"/>
      <c r="G48" s="5"/>
      <c r="H48" s="26"/>
      <c r="I48" s="20" t="e">
        <f>'5|Revenue Current Tariff'!#REF!</f>
        <v>#REF!</v>
      </c>
      <c r="J48" s="20" t="e">
        <f>'5|Revenue Current Tariff'!#REF!</f>
        <v>#REF!</v>
      </c>
      <c r="K48" s="20" t="e">
        <f>'5|Revenue Current Tariff'!#REF!</f>
        <v>#REF!</v>
      </c>
      <c r="L48" s="6" t="e">
        <f t="shared" si="16"/>
        <v>#REF!</v>
      </c>
      <c r="M48" s="16"/>
      <c r="N48" s="5"/>
      <c r="O48" s="5"/>
      <c r="P48" s="26"/>
      <c r="Q48" s="20">
        <f>'5|Revenue Current Tariff'!V32</f>
        <v>0</v>
      </c>
      <c r="R48" s="20">
        <f>'5|Revenue Current Tariff'!W32</f>
        <v>0</v>
      </c>
      <c r="S48" s="20">
        <f>'5|Revenue Current Tariff'!X32</f>
        <v>0</v>
      </c>
      <c r="T48" s="6">
        <f t="shared" si="17"/>
        <v>0</v>
      </c>
      <c r="U48" s="16"/>
      <c r="V48" s="5"/>
      <c r="W48" s="5"/>
      <c r="X48" s="26"/>
      <c r="Y48" s="20" t="e">
        <f>'5|Revenue Current Tariff'!#REF!</f>
        <v>#REF!</v>
      </c>
      <c r="Z48" s="20" t="e">
        <f>'5|Revenue Current Tariff'!#REF!</f>
        <v>#REF!</v>
      </c>
      <c r="AA48" s="20" t="e">
        <f>'5|Revenue Current Tariff'!#REF!</f>
        <v>#REF!</v>
      </c>
      <c r="AB48" s="6" t="e">
        <f t="shared" si="18"/>
        <v>#REF!</v>
      </c>
      <c r="AC48" s="16"/>
      <c r="AD48" s="5"/>
      <c r="AE48" s="5"/>
      <c r="AF48" s="26"/>
      <c r="AG48" s="20" t="e">
        <f>'5|Revenue Current Tariff'!#REF!</f>
        <v>#REF!</v>
      </c>
      <c r="AH48" s="20" t="e">
        <f>'5|Revenue Current Tariff'!#REF!</f>
        <v>#REF!</v>
      </c>
      <c r="AI48" s="20" t="e">
        <f>'5|Revenue Current Tariff'!#REF!</f>
        <v>#REF!</v>
      </c>
      <c r="AJ48" s="6" t="e">
        <f t="shared" si="19"/>
        <v>#REF!</v>
      </c>
      <c r="AK48" s="16"/>
      <c r="AL48" s="5"/>
      <c r="AM48" s="5"/>
      <c r="AN48" s="26"/>
      <c r="AO48" s="20" t="e">
        <f>'5|Revenue Current Tariff'!#REF!</f>
        <v>#REF!</v>
      </c>
      <c r="AP48" s="20" t="e">
        <f>'5|Revenue Current Tariff'!#REF!</f>
        <v>#REF!</v>
      </c>
      <c r="AQ48" s="20" t="e">
        <f>'5|Revenue Current Tariff'!#REF!</f>
        <v>#REF!</v>
      </c>
      <c r="AR48" s="6" t="e">
        <f t="shared" si="20"/>
        <v>#REF!</v>
      </c>
      <c r="AS48" s="16"/>
      <c r="AT48" s="5"/>
      <c r="AU48" s="5"/>
      <c r="AV48" s="26"/>
      <c r="AW48" s="20" t="e">
        <f>'5|Revenue Current Tariff'!#REF!</f>
        <v>#REF!</v>
      </c>
      <c r="AX48" s="20" t="e">
        <f>'5|Revenue Current Tariff'!#REF!</f>
        <v>#REF!</v>
      </c>
      <c r="AY48" s="20" t="e">
        <f>'5|Revenue Current Tariff'!#REF!</f>
        <v>#REF!</v>
      </c>
      <c r="AZ48" s="6" t="e">
        <f t="shared" si="21"/>
        <v>#REF!</v>
      </c>
      <c r="BA48" s="32"/>
      <c r="BB48" s="26"/>
      <c r="BC48" s="26"/>
      <c r="BD48" s="26"/>
      <c r="BE48" s="26"/>
    </row>
    <row r="49" spans="2:57" ht="12.75">
      <c r="B49"/>
      <c r="C49" s="4" t="s">
        <v>41</v>
      </c>
      <c r="D49" s="4"/>
      <c r="E49" s="16"/>
      <c r="F49" s="5"/>
      <c r="G49" s="5"/>
      <c r="H49" s="26"/>
      <c r="I49" s="20" t="e">
        <f>'5|Revenue Current Tariff'!#REF!</f>
        <v>#REF!</v>
      </c>
      <c r="J49" s="20" t="e">
        <f>'5|Revenue Current Tariff'!#REF!</f>
        <v>#REF!</v>
      </c>
      <c r="K49" s="20" t="e">
        <f>'5|Revenue Current Tariff'!#REF!</f>
        <v>#REF!</v>
      </c>
      <c r="L49" s="6" t="e">
        <f t="shared" si="16"/>
        <v>#REF!</v>
      </c>
      <c r="M49" s="16"/>
      <c r="N49" s="5"/>
      <c r="O49" s="5"/>
      <c r="P49" s="26"/>
      <c r="Q49" s="20">
        <f>'5|Revenue Current Tariff'!V34</f>
        <v>0</v>
      </c>
      <c r="R49" s="20">
        <f>'5|Revenue Current Tariff'!W34</f>
        <v>0</v>
      </c>
      <c r="S49" s="20">
        <f>'5|Revenue Current Tariff'!X34</f>
        <v>0</v>
      </c>
      <c r="T49" s="6">
        <f t="shared" si="17"/>
        <v>0</v>
      </c>
      <c r="U49" s="16"/>
      <c r="V49" s="5"/>
      <c r="W49" s="5"/>
      <c r="X49" s="26"/>
      <c r="Y49" s="20" t="e">
        <f>'5|Revenue Current Tariff'!#REF!</f>
        <v>#REF!</v>
      </c>
      <c r="Z49" s="20" t="e">
        <f>'5|Revenue Current Tariff'!#REF!</f>
        <v>#REF!</v>
      </c>
      <c r="AA49" s="20" t="e">
        <f>'5|Revenue Current Tariff'!#REF!</f>
        <v>#REF!</v>
      </c>
      <c r="AB49" s="6" t="e">
        <f t="shared" si="18"/>
        <v>#REF!</v>
      </c>
      <c r="AC49" s="16"/>
      <c r="AD49" s="5"/>
      <c r="AE49" s="5"/>
      <c r="AF49" s="26"/>
      <c r="AG49" s="20" t="e">
        <f>'5|Revenue Current Tariff'!#REF!</f>
        <v>#REF!</v>
      </c>
      <c r="AH49" s="20" t="e">
        <f>'5|Revenue Current Tariff'!#REF!</f>
        <v>#REF!</v>
      </c>
      <c r="AI49" s="20" t="e">
        <f>'5|Revenue Current Tariff'!#REF!</f>
        <v>#REF!</v>
      </c>
      <c r="AJ49" s="6" t="e">
        <f t="shared" si="19"/>
        <v>#REF!</v>
      </c>
      <c r="AK49" s="16"/>
      <c r="AL49" s="5"/>
      <c r="AM49" s="5"/>
      <c r="AN49" s="26"/>
      <c r="AO49" s="20" t="e">
        <f>'5|Revenue Current Tariff'!#REF!</f>
        <v>#REF!</v>
      </c>
      <c r="AP49" s="20" t="e">
        <f>'5|Revenue Current Tariff'!#REF!</f>
        <v>#REF!</v>
      </c>
      <c r="AQ49" s="20" t="e">
        <f>'5|Revenue Current Tariff'!#REF!</f>
        <v>#REF!</v>
      </c>
      <c r="AR49" s="6" t="e">
        <f t="shared" si="20"/>
        <v>#REF!</v>
      </c>
      <c r="AS49" s="16"/>
      <c r="AT49" s="5"/>
      <c r="AU49" s="5"/>
      <c r="AV49" s="26"/>
      <c r="AW49" s="20" t="e">
        <f>'5|Revenue Current Tariff'!#REF!</f>
        <v>#REF!</v>
      </c>
      <c r="AX49" s="20" t="e">
        <f>'5|Revenue Current Tariff'!#REF!</f>
        <v>#REF!</v>
      </c>
      <c r="AY49" s="20" t="e">
        <f>'5|Revenue Current Tariff'!#REF!</f>
        <v>#REF!</v>
      </c>
      <c r="AZ49" s="6" t="e">
        <f t="shared" si="21"/>
        <v>#REF!</v>
      </c>
      <c r="BA49" s="32"/>
      <c r="BB49" s="26"/>
      <c r="BC49" s="26"/>
      <c r="BD49" s="26"/>
      <c r="BE49" s="26"/>
    </row>
    <row r="50" spans="2:57" ht="12.75">
      <c r="B50"/>
      <c r="C50" s="4" t="s">
        <v>42</v>
      </c>
      <c r="D50" s="4"/>
      <c r="E50" s="16"/>
      <c r="F50" s="5"/>
      <c r="G50" s="5"/>
      <c r="H50" s="26"/>
      <c r="I50" s="20" t="e">
        <f>'5|Revenue Current Tariff'!#REF!</f>
        <v>#REF!</v>
      </c>
      <c r="J50" s="20" t="e">
        <f>'5|Revenue Current Tariff'!#REF!</f>
        <v>#REF!</v>
      </c>
      <c r="K50" s="20" t="e">
        <f>'5|Revenue Current Tariff'!#REF!</f>
        <v>#REF!</v>
      </c>
      <c r="L50" s="6" t="e">
        <f t="shared" si="16"/>
        <v>#REF!</v>
      </c>
      <c r="M50" s="16"/>
      <c r="N50" s="5"/>
      <c r="O50" s="5"/>
      <c r="P50" s="26"/>
      <c r="Q50" s="20">
        <f>'5|Revenue Current Tariff'!V33</f>
        <v>0</v>
      </c>
      <c r="R50" s="20">
        <f>'5|Revenue Current Tariff'!W33</f>
        <v>0</v>
      </c>
      <c r="S50" s="20">
        <f>'5|Revenue Current Tariff'!X33</f>
        <v>0</v>
      </c>
      <c r="T50" s="6">
        <f t="shared" si="17"/>
        <v>0</v>
      </c>
      <c r="U50" s="16"/>
      <c r="V50" s="5"/>
      <c r="W50" s="5"/>
      <c r="X50" s="26"/>
      <c r="Y50" s="20" t="e">
        <f>'5|Revenue Current Tariff'!#REF!</f>
        <v>#REF!</v>
      </c>
      <c r="Z50" s="20" t="e">
        <f>'5|Revenue Current Tariff'!#REF!</f>
        <v>#REF!</v>
      </c>
      <c r="AA50" s="20" t="e">
        <f>'5|Revenue Current Tariff'!#REF!</f>
        <v>#REF!</v>
      </c>
      <c r="AB50" s="6" t="e">
        <f t="shared" si="18"/>
        <v>#REF!</v>
      </c>
      <c r="AC50" s="16"/>
      <c r="AD50" s="5"/>
      <c r="AE50" s="5"/>
      <c r="AF50" s="26"/>
      <c r="AG50" s="20" t="e">
        <f>'5|Revenue Current Tariff'!#REF!</f>
        <v>#REF!</v>
      </c>
      <c r="AH50" s="20" t="e">
        <f>'5|Revenue Current Tariff'!#REF!</f>
        <v>#REF!</v>
      </c>
      <c r="AI50" s="20" t="e">
        <f>'5|Revenue Current Tariff'!#REF!</f>
        <v>#REF!</v>
      </c>
      <c r="AJ50" s="6" t="e">
        <f t="shared" si="19"/>
        <v>#REF!</v>
      </c>
      <c r="AK50" s="16"/>
      <c r="AL50" s="5"/>
      <c r="AM50" s="5"/>
      <c r="AN50" s="26"/>
      <c r="AO50" s="20" t="e">
        <f>'5|Revenue Current Tariff'!#REF!</f>
        <v>#REF!</v>
      </c>
      <c r="AP50" s="20" t="e">
        <f>'5|Revenue Current Tariff'!#REF!</f>
        <v>#REF!</v>
      </c>
      <c r="AQ50" s="20" t="e">
        <f>'5|Revenue Current Tariff'!#REF!</f>
        <v>#REF!</v>
      </c>
      <c r="AR50" s="6" t="e">
        <f t="shared" si="20"/>
        <v>#REF!</v>
      </c>
      <c r="AS50" s="16"/>
      <c r="AT50" s="5"/>
      <c r="AU50" s="5"/>
      <c r="AV50" s="26"/>
      <c r="AW50" s="20" t="e">
        <f>'5|Revenue Current Tariff'!#REF!</f>
        <v>#REF!</v>
      </c>
      <c r="AX50" s="20" t="e">
        <f>'5|Revenue Current Tariff'!#REF!</f>
        <v>#REF!</v>
      </c>
      <c r="AY50" s="20" t="e">
        <f>'5|Revenue Current Tariff'!#REF!</f>
        <v>#REF!</v>
      </c>
      <c r="AZ50" s="6" t="e">
        <f t="shared" si="21"/>
        <v>#REF!</v>
      </c>
      <c r="BA50" s="32"/>
      <c r="BB50" s="26"/>
      <c r="BC50" s="26"/>
      <c r="BD50" s="26"/>
      <c r="BE50" s="26"/>
    </row>
    <row r="51" spans="2:57" ht="12.75">
      <c r="B51"/>
      <c r="C51" s="14" t="e">
        <f>#REF!</f>
        <v>#REF!</v>
      </c>
      <c r="D51" s="4"/>
      <c r="E51" s="16"/>
      <c r="F51" s="5"/>
      <c r="G51" s="5"/>
      <c r="H51" s="26"/>
      <c r="I51" s="20" t="e">
        <f>'5|Revenue Current Tariff'!#REF!</f>
        <v>#REF!</v>
      </c>
      <c r="J51" s="20" t="e">
        <f>'5|Revenue Current Tariff'!#REF!</f>
        <v>#REF!</v>
      </c>
      <c r="K51" s="20" t="e">
        <f>'5|Revenue Current Tariff'!#REF!</f>
        <v>#REF!</v>
      </c>
      <c r="L51" s="6" t="e">
        <f t="shared" si="16"/>
        <v>#REF!</v>
      </c>
      <c r="M51" s="16"/>
      <c r="N51" s="5"/>
      <c r="O51" s="5"/>
      <c r="P51" s="26"/>
      <c r="Q51" s="20">
        <f>'5|Revenue Current Tariff'!V35</f>
        <v>0</v>
      </c>
      <c r="R51" s="20">
        <f>'5|Revenue Current Tariff'!W35</f>
        <v>0</v>
      </c>
      <c r="S51" s="20">
        <f>'5|Revenue Current Tariff'!X35</f>
        <v>0</v>
      </c>
      <c r="T51" s="6">
        <f t="shared" si="17"/>
        <v>0</v>
      </c>
      <c r="U51" s="16"/>
      <c r="V51" s="5"/>
      <c r="W51" s="5"/>
      <c r="X51" s="26"/>
      <c r="Y51" s="20" t="e">
        <f>'5|Revenue Current Tariff'!#REF!</f>
        <v>#REF!</v>
      </c>
      <c r="Z51" s="20" t="e">
        <f>'5|Revenue Current Tariff'!#REF!</f>
        <v>#REF!</v>
      </c>
      <c r="AA51" s="20" t="e">
        <f>'5|Revenue Current Tariff'!#REF!</f>
        <v>#REF!</v>
      </c>
      <c r="AB51" s="6" t="e">
        <f t="shared" si="18"/>
        <v>#REF!</v>
      </c>
      <c r="AC51" s="16"/>
      <c r="AD51" s="5"/>
      <c r="AE51" s="5"/>
      <c r="AF51" s="26"/>
      <c r="AG51" s="20" t="e">
        <f>'5|Revenue Current Tariff'!#REF!</f>
        <v>#REF!</v>
      </c>
      <c r="AH51" s="20" t="e">
        <f>'5|Revenue Current Tariff'!#REF!</f>
        <v>#REF!</v>
      </c>
      <c r="AI51" s="20" t="e">
        <f>'5|Revenue Current Tariff'!#REF!</f>
        <v>#REF!</v>
      </c>
      <c r="AJ51" s="6" t="e">
        <f t="shared" si="19"/>
        <v>#REF!</v>
      </c>
      <c r="AK51" s="16"/>
      <c r="AL51" s="5"/>
      <c r="AM51" s="5"/>
      <c r="AN51" s="26"/>
      <c r="AO51" s="20" t="e">
        <f>'5|Revenue Current Tariff'!#REF!</f>
        <v>#REF!</v>
      </c>
      <c r="AP51" s="20" t="e">
        <f>'5|Revenue Current Tariff'!#REF!</f>
        <v>#REF!</v>
      </c>
      <c r="AQ51" s="20" t="e">
        <f>'5|Revenue Current Tariff'!#REF!</f>
        <v>#REF!</v>
      </c>
      <c r="AR51" s="6" t="e">
        <f t="shared" si="20"/>
        <v>#REF!</v>
      </c>
      <c r="AS51" s="16"/>
      <c r="AT51" s="5"/>
      <c r="AU51" s="5"/>
      <c r="AV51" s="26"/>
      <c r="AW51" s="20" t="e">
        <f>'5|Revenue Current Tariff'!#REF!</f>
        <v>#REF!</v>
      </c>
      <c r="AX51" s="20" t="e">
        <f>'5|Revenue Current Tariff'!#REF!</f>
        <v>#REF!</v>
      </c>
      <c r="AY51" s="20" t="e">
        <f>'5|Revenue Current Tariff'!#REF!</f>
        <v>#REF!</v>
      </c>
      <c r="AZ51" s="6" t="e">
        <f t="shared" si="21"/>
        <v>#REF!</v>
      </c>
      <c r="BA51" s="32"/>
      <c r="BB51" s="26"/>
      <c r="BC51" s="26"/>
      <c r="BD51" s="26"/>
      <c r="BE51" s="26"/>
    </row>
    <row r="52" spans="2:57" ht="12.75">
      <c r="B52"/>
      <c r="C52" s="14" t="e">
        <f>#REF!</f>
        <v>#REF!</v>
      </c>
      <c r="D52" s="4"/>
      <c r="E52" s="16"/>
      <c r="F52" s="5"/>
      <c r="G52" s="5"/>
      <c r="H52" s="26"/>
      <c r="I52" s="20" t="e">
        <f>'5|Revenue Current Tariff'!#REF!</f>
        <v>#REF!</v>
      </c>
      <c r="J52" s="20" t="e">
        <f>'5|Revenue Current Tariff'!#REF!</f>
        <v>#REF!</v>
      </c>
      <c r="K52" s="20" t="e">
        <f>'5|Revenue Current Tariff'!#REF!</f>
        <v>#REF!</v>
      </c>
      <c r="L52" s="6" t="e">
        <f t="shared" si="16"/>
        <v>#REF!</v>
      </c>
      <c r="M52" s="16"/>
      <c r="N52" s="5"/>
      <c r="O52" s="5"/>
      <c r="P52" s="26"/>
      <c r="Q52" s="20">
        <f>'5|Revenue Current Tariff'!V36</f>
        <v>0</v>
      </c>
      <c r="R52" s="20">
        <f>'5|Revenue Current Tariff'!W36</f>
        <v>0</v>
      </c>
      <c r="S52" s="20">
        <f>'5|Revenue Current Tariff'!X36</f>
        <v>0</v>
      </c>
      <c r="T52" s="6">
        <f t="shared" si="17"/>
        <v>0</v>
      </c>
      <c r="U52" s="16"/>
      <c r="V52" s="5"/>
      <c r="W52" s="5"/>
      <c r="X52" s="26"/>
      <c r="Y52" s="20" t="e">
        <f>'5|Revenue Current Tariff'!#REF!</f>
        <v>#REF!</v>
      </c>
      <c r="Z52" s="20" t="e">
        <f>'5|Revenue Current Tariff'!#REF!</f>
        <v>#REF!</v>
      </c>
      <c r="AA52" s="20" t="e">
        <f>'5|Revenue Current Tariff'!#REF!</f>
        <v>#REF!</v>
      </c>
      <c r="AB52" s="6" t="e">
        <f t="shared" si="18"/>
        <v>#REF!</v>
      </c>
      <c r="AC52" s="16"/>
      <c r="AD52" s="5"/>
      <c r="AE52" s="5"/>
      <c r="AF52" s="26"/>
      <c r="AG52" s="20" t="e">
        <f>'5|Revenue Current Tariff'!#REF!</f>
        <v>#REF!</v>
      </c>
      <c r="AH52" s="20" t="e">
        <f>'5|Revenue Current Tariff'!#REF!</f>
        <v>#REF!</v>
      </c>
      <c r="AI52" s="20" t="e">
        <f>'5|Revenue Current Tariff'!#REF!</f>
        <v>#REF!</v>
      </c>
      <c r="AJ52" s="6" t="e">
        <f t="shared" si="19"/>
        <v>#REF!</v>
      </c>
      <c r="AK52" s="16"/>
      <c r="AL52" s="5"/>
      <c r="AM52" s="5"/>
      <c r="AN52" s="26"/>
      <c r="AO52" s="20" t="e">
        <f>'5|Revenue Current Tariff'!#REF!</f>
        <v>#REF!</v>
      </c>
      <c r="AP52" s="20" t="e">
        <f>'5|Revenue Current Tariff'!#REF!</f>
        <v>#REF!</v>
      </c>
      <c r="AQ52" s="20" t="e">
        <f>'5|Revenue Current Tariff'!#REF!</f>
        <v>#REF!</v>
      </c>
      <c r="AR52" s="6" t="e">
        <f t="shared" si="20"/>
        <v>#REF!</v>
      </c>
      <c r="AS52" s="16"/>
      <c r="AT52" s="5"/>
      <c r="AU52" s="5"/>
      <c r="AV52" s="26"/>
      <c r="AW52" s="20" t="e">
        <f>'5|Revenue Current Tariff'!#REF!</f>
        <v>#REF!</v>
      </c>
      <c r="AX52" s="20" t="e">
        <f>'5|Revenue Current Tariff'!#REF!</f>
        <v>#REF!</v>
      </c>
      <c r="AY52" s="20" t="e">
        <f>'5|Revenue Current Tariff'!#REF!</f>
        <v>#REF!</v>
      </c>
      <c r="AZ52" s="6" t="e">
        <f t="shared" si="21"/>
        <v>#REF!</v>
      </c>
      <c r="BA52" s="32"/>
      <c r="BB52" s="26"/>
      <c r="BC52" s="26"/>
      <c r="BD52" s="26"/>
      <c r="BE52" s="26"/>
    </row>
    <row r="53" spans="2:57" ht="12.75">
      <c r="B53"/>
      <c r="C53" s="14" t="e">
        <f>#REF!</f>
        <v>#REF!</v>
      </c>
      <c r="D53" s="4"/>
      <c r="E53" s="16"/>
      <c r="F53" s="5"/>
      <c r="G53" s="5"/>
      <c r="H53" s="26"/>
      <c r="I53" s="20" t="e">
        <f>'5|Revenue Current Tariff'!#REF!</f>
        <v>#REF!</v>
      </c>
      <c r="J53" s="20" t="e">
        <f>'5|Revenue Current Tariff'!#REF!</f>
        <v>#REF!</v>
      </c>
      <c r="K53" s="20" t="e">
        <f>'5|Revenue Current Tariff'!#REF!</f>
        <v>#REF!</v>
      </c>
      <c r="L53" s="6" t="e">
        <f t="shared" si="16"/>
        <v>#REF!</v>
      </c>
      <c r="M53" s="16"/>
      <c r="N53" s="5"/>
      <c r="O53" s="5"/>
      <c r="P53" s="26"/>
      <c r="Q53" s="20">
        <f>'5|Revenue Current Tariff'!V39</f>
        <v>0</v>
      </c>
      <c r="R53" s="20">
        <f>'5|Revenue Current Tariff'!W39</f>
        <v>0</v>
      </c>
      <c r="S53" s="20">
        <f>'5|Revenue Current Tariff'!X39</f>
        <v>0</v>
      </c>
      <c r="T53" s="6">
        <f t="shared" si="17"/>
        <v>0</v>
      </c>
      <c r="U53" s="16"/>
      <c r="V53" s="5"/>
      <c r="W53" s="5"/>
      <c r="X53" s="26"/>
      <c r="Y53" s="20" t="e">
        <f>'5|Revenue Current Tariff'!#REF!</f>
        <v>#REF!</v>
      </c>
      <c r="Z53" s="20" t="e">
        <f>'5|Revenue Current Tariff'!#REF!</f>
        <v>#REF!</v>
      </c>
      <c r="AA53" s="20" t="e">
        <f>'5|Revenue Current Tariff'!#REF!</f>
        <v>#REF!</v>
      </c>
      <c r="AB53" s="6" t="e">
        <f t="shared" si="18"/>
        <v>#REF!</v>
      </c>
      <c r="AC53" s="16"/>
      <c r="AD53" s="5"/>
      <c r="AE53" s="5"/>
      <c r="AF53" s="26"/>
      <c r="AG53" s="20" t="e">
        <f>'5|Revenue Current Tariff'!#REF!</f>
        <v>#REF!</v>
      </c>
      <c r="AH53" s="20" t="e">
        <f>'5|Revenue Current Tariff'!#REF!</f>
        <v>#REF!</v>
      </c>
      <c r="AI53" s="20" t="e">
        <f>'5|Revenue Current Tariff'!#REF!</f>
        <v>#REF!</v>
      </c>
      <c r="AJ53" s="6" t="e">
        <f t="shared" si="19"/>
        <v>#REF!</v>
      </c>
      <c r="AK53" s="16"/>
      <c r="AL53" s="5"/>
      <c r="AM53" s="5"/>
      <c r="AN53" s="26"/>
      <c r="AO53" s="20" t="e">
        <f>'5|Revenue Current Tariff'!#REF!</f>
        <v>#REF!</v>
      </c>
      <c r="AP53" s="20" t="e">
        <f>'5|Revenue Current Tariff'!#REF!</f>
        <v>#REF!</v>
      </c>
      <c r="AQ53" s="20" t="e">
        <f>'5|Revenue Current Tariff'!#REF!</f>
        <v>#REF!</v>
      </c>
      <c r="AR53" s="6" t="e">
        <f t="shared" si="20"/>
        <v>#REF!</v>
      </c>
      <c r="AS53" s="16"/>
      <c r="AT53" s="5"/>
      <c r="AU53" s="5"/>
      <c r="AV53" s="26"/>
      <c r="AW53" s="20" t="e">
        <f>'5|Revenue Current Tariff'!#REF!</f>
        <v>#REF!</v>
      </c>
      <c r="AX53" s="20" t="e">
        <f>'5|Revenue Current Tariff'!#REF!</f>
        <v>#REF!</v>
      </c>
      <c r="AY53" s="20" t="e">
        <f>'5|Revenue Current Tariff'!#REF!</f>
        <v>#REF!</v>
      </c>
      <c r="AZ53" s="6" t="e">
        <f t="shared" si="21"/>
        <v>#REF!</v>
      </c>
      <c r="BA53" s="32"/>
      <c r="BB53" s="26"/>
      <c r="BC53" s="26"/>
      <c r="BD53" s="26"/>
      <c r="BE53" s="26"/>
    </row>
    <row r="54" spans="2:57" ht="12.75">
      <c r="B54">
        <v>10072</v>
      </c>
      <c r="C54" s="11" t="s">
        <v>169</v>
      </c>
      <c r="D54" s="21"/>
      <c r="E54" s="17">
        <f t="shared" ref="E54:L54" si="22">SUM(E55:E79)</f>
        <v>0</v>
      </c>
      <c r="F54" s="12">
        <f>SUM(F55:F79)</f>
        <v>0</v>
      </c>
      <c r="G54" s="12">
        <f>SUM(G55:G79)</f>
        <v>0</v>
      </c>
      <c r="H54" s="26"/>
      <c r="I54" s="12" t="e">
        <f t="shared" si="22"/>
        <v>#REF!</v>
      </c>
      <c r="J54" s="12" t="e">
        <f t="shared" si="22"/>
        <v>#REF!</v>
      </c>
      <c r="K54" s="12" t="e">
        <f t="shared" si="22"/>
        <v>#REF!</v>
      </c>
      <c r="L54" s="12" t="e">
        <f t="shared" si="22"/>
        <v>#REF!</v>
      </c>
      <c r="M54" s="17">
        <f>SUM(M55:M79)</f>
        <v>0</v>
      </c>
      <c r="N54" s="12">
        <f>SUM(N55:N79)</f>
        <v>0</v>
      </c>
      <c r="O54" s="12">
        <f>SUM(O55:O79)</f>
        <v>0</v>
      </c>
      <c r="P54" s="26"/>
      <c r="Q54" s="12" t="e">
        <f t="shared" ref="Q54:W54" si="23">SUM(Q55:Q79)</f>
        <v>#REF!</v>
      </c>
      <c r="R54" s="12" t="e">
        <f t="shared" si="23"/>
        <v>#REF!</v>
      </c>
      <c r="S54" s="12" t="e">
        <f t="shared" si="23"/>
        <v>#REF!</v>
      </c>
      <c r="T54" s="12" t="e">
        <f t="shared" si="23"/>
        <v>#REF!</v>
      </c>
      <c r="U54" s="17">
        <f t="shared" si="23"/>
        <v>0</v>
      </c>
      <c r="V54" s="12">
        <f t="shared" si="23"/>
        <v>0</v>
      </c>
      <c r="W54" s="12">
        <f t="shared" si="23"/>
        <v>0</v>
      </c>
      <c r="X54" s="26"/>
      <c r="Y54" s="12" t="e">
        <f t="shared" ref="Y54:AE54" si="24">SUM(Y55:Y79)</f>
        <v>#REF!</v>
      </c>
      <c r="Z54" s="12" t="e">
        <f t="shared" si="24"/>
        <v>#REF!</v>
      </c>
      <c r="AA54" s="12" t="e">
        <f t="shared" si="24"/>
        <v>#REF!</v>
      </c>
      <c r="AB54" s="12" t="e">
        <f t="shared" si="24"/>
        <v>#REF!</v>
      </c>
      <c r="AC54" s="17">
        <f t="shared" si="24"/>
        <v>0</v>
      </c>
      <c r="AD54" s="12">
        <f t="shared" si="24"/>
        <v>0</v>
      </c>
      <c r="AE54" s="12">
        <f t="shared" si="24"/>
        <v>0</v>
      </c>
      <c r="AF54" s="26"/>
      <c r="AG54" s="12" t="e">
        <f t="shared" ref="AG54:AM54" si="25">SUM(AG55:AG79)</f>
        <v>#REF!</v>
      </c>
      <c r="AH54" s="12" t="e">
        <f t="shared" si="25"/>
        <v>#REF!</v>
      </c>
      <c r="AI54" s="12" t="e">
        <f t="shared" si="25"/>
        <v>#REF!</v>
      </c>
      <c r="AJ54" s="12" t="e">
        <f t="shared" si="25"/>
        <v>#REF!</v>
      </c>
      <c r="AK54" s="17">
        <f t="shared" si="25"/>
        <v>0</v>
      </c>
      <c r="AL54" s="12">
        <f t="shared" si="25"/>
        <v>0</v>
      </c>
      <c r="AM54" s="12">
        <f t="shared" si="25"/>
        <v>0</v>
      </c>
      <c r="AN54" s="26"/>
      <c r="AO54" s="12" t="e">
        <f t="shared" ref="AO54:AU54" si="26">SUM(AO55:AO79)</f>
        <v>#REF!</v>
      </c>
      <c r="AP54" s="12" t="e">
        <f t="shared" si="26"/>
        <v>#REF!</v>
      </c>
      <c r="AQ54" s="12" t="e">
        <f t="shared" si="26"/>
        <v>#REF!</v>
      </c>
      <c r="AR54" s="12" t="e">
        <f t="shared" si="26"/>
        <v>#REF!</v>
      </c>
      <c r="AS54" s="17">
        <f t="shared" si="26"/>
        <v>0</v>
      </c>
      <c r="AT54" s="12">
        <f t="shared" si="26"/>
        <v>0</v>
      </c>
      <c r="AU54" s="12">
        <f t="shared" si="26"/>
        <v>0</v>
      </c>
      <c r="AV54" s="26"/>
      <c r="AW54" s="12" t="e">
        <f>SUM(AW55:AW79)</f>
        <v>#REF!</v>
      </c>
      <c r="AX54" s="12" t="e">
        <f>SUM(AX55:AX79)</f>
        <v>#REF!</v>
      </c>
      <c r="AY54" s="12" t="e">
        <f>SUM(AY55:AY79)</f>
        <v>#REF!</v>
      </c>
      <c r="AZ54" s="12" t="e">
        <f>SUM(AZ55:AZ79)</f>
        <v>#REF!</v>
      </c>
      <c r="BA54" s="32"/>
      <c r="BB54" s="26"/>
      <c r="BC54" s="26"/>
      <c r="BD54" s="26"/>
      <c r="BE54" s="26"/>
    </row>
    <row r="55" spans="2:57" ht="12.75">
      <c r="B55">
        <v>10042</v>
      </c>
      <c r="C55" s="4" t="s">
        <v>162</v>
      </c>
      <c r="D55" s="4"/>
      <c r="E55" s="16"/>
      <c r="F55" s="5"/>
      <c r="G55" s="5"/>
      <c r="H55" s="26"/>
      <c r="I55" s="20" t="e">
        <f>'5|Revenue Current Tariff'!#REF!</f>
        <v>#REF!</v>
      </c>
      <c r="J55" s="20" t="e">
        <f>'5|Revenue Current Tariff'!#REF!</f>
        <v>#REF!</v>
      </c>
      <c r="K55" s="20" t="e">
        <f>'5|Revenue Current Tariff'!#REF!</f>
        <v>#REF!</v>
      </c>
      <c r="L55" s="6" t="e">
        <f>SUM(I55:K55)</f>
        <v>#REF!</v>
      </c>
      <c r="M55" s="16"/>
      <c r="N55" s="5"/>
      <c r="O55" s="5"/>
      <c r="P55" s="26"/>
      <c r="Q55" s="20">
        <f>'5|Revenue Current Tariff'!V52</f>
        <v>0</v>
      </c>
      <c r="R55" s="20">
        <f>'5|Revenue Current Tariff'!W52</f>
        <v>0</v>
      </c>
      <c r="S55" s="20">
        <f>'5|Revenue Current Tariff'!X52</f>
        <v>0</v>
      </c>
      <c r="T55" s="6">
        <f>SUM(Q55:S55)</f>
        <v>0</v>
      </c>
      <c r="U55" s="16"/>
      <c r="V55" s="5"/>
      <c r="W55" s="5"/>
      <c r="X55" s="26"/>
      <c r="Y55" s="20" t="e">
        <f>'5|Revenue Current Tariff'!#REF!</f>
        <v>#REF!</v>
      </c>
      <c r="Z55" s="20" t="e">
        <f>'5|Revenue Current Tariff'!#REF!</f>
        <v>#REF!</v>
      </c>
      <c r="AA55" s="20" t="e">
        <f>'5|Revenue Current Tariff'!#REF!</f>
        <v>#REF!</v>
      </c>
      <c r="AB55" s="6" t="e">
        <f>SUM(Y55:AA55)</f>
        <v>#REF!</v>
      </c>
      <c r="AC55" s="16"/>
      <c r="AD55" s="5"/>
      <c r="AE55" s="5"/>
      <c r="AF55" s="26"/>
      <c r="AG55" s="20" t="e">
        <f>'5|Revenue Current Tariff'!#REF!</f>
        <v>#REF!</v>
      </c>
      <c r="AH55" s="20" t="e">
        <f>'5|Revenue Current Tariff'!#REF!</f>
        <v>#REF!</v>
      </c>
      <c r="AI55" s="20" t="e">
        <f>'5|Revenue Current Tariff'!#REF!</f>
        <v>#REF!</v>
      </c>
      <c r="AJ55" s="6" t="e">
        <f>SUM(AG55:AI55)</f>
        <v>#REF!</v>
      </c>
      <c r="AK55" s="16"/>
      <c r="AL55" s="5"/>
      <c r="AM55" s="5"/>
      <c r="AN55" s="26"/>
      <c r="AO55" s="20" t="e">
        <f>'5|Revenue Current Tariff'!#REF!</f>
        <v>#REF!</v>
      </c>
      <c r="AP55" s="20" t="e">
        <f>'5|Revenue Current Tariff'!#REF!</f>
        <v>#REF!</v>
      </c>
      <c r="AQ55" s="20" t="e">
        <f>'5|Revenue Current Tariff'!#REF!</f>
        <v>#REF!</v>
      </c>
      <c r="AR55" s="6" t="e">
        <f>SUM(AO55:AQ55)</f>
        <v>#REF!</v>
      </c>
      <c r="AS55" s="16"/>
      <c r="AT55" s="5"/>
      <c r="AU55" s="5"/>
      <c r="AV55" s="26"/>
      <c r="AW55" s="20" t="e">
        <f>'5|Revenue Current Tariff'!#REF!</f>
        <v>#REF!</v>
      </c>
      <c r="AX55" s="20" t="e">
        <f>'5|Revenue Current Tariff'!#REF!</f>
        <v>#REF!</v>
      </c>
      <c r="AY55" s="20" t="e">
        <f>'5|Revenue Current Tariff'!#REF!</f>
        <v>#REF!</v>
      </c>
      <c r="AZ55" s="6" t="e">
        <f>SUM(AW55:AY55)</f>
        <v>#REF!</v>
      </c>
      <c r="BA55" s="32"/>
      <c r="BB55" s="26"/>
      <c r="BC55" s="26"/>
      <c r="BD55" s="26"/>
      <c r="BE55" s="26"/>
    </row>
    <row r="56" spans="2:57" ht="12.75">
      <c r="B56">
        <v>10106</v>
      </c>
      <c r="C56" s="39" t="s">
        <v>163</v>
      </c>
      <c r="D56" s="4"/>
      <c r="E56" s="16"/>
      <c r="F56" s="5"/>
      <c r="G56" s="5"/>
      <c r="H56" s="26"/>
      <c r="I56" s="20" t="e">
        <f>'5|Revenue Current Tariff'!#REF!</f>
        <v>#REF!</v>
      </c>
      <c r="J56" s="20" t="e">
        <f>'5|Revenue Current Tariff'!#REF!</f>
        <v>#REF!</v>
      </c>
      <c r="K56" s="20" t="e">
        <f>'5|Revenue Current Tariff'!#REF!</f>
        <v>#REF!</v>
      </c>
      <c r="L56" s="6" t="e">
        <f t="shared" ref="L56:L79" si="27">SUM(I56:K56)</f>
        <v>#REF!</v>
      </c>
      <c r="M56" s="16"/>
      <c r="N56" s="5"/>
      <c r="O56" s="5"/>
      <c r="P56" s="26"/>
      <c r="Q56" s="20">
        <f>'5|Revenue Current Tariff'!V53</f>
        <v>0</v>
      </c>
      <c r="R56" s="20">
        <f>'5|Revenue Current Tariff'!W53</f>
        <v>0</v>
      </c>
      <c r="S56" s="20">
        <f>'5|Revenue Current Tariff'!X53</f>
        <v>0</v>
      </c>
      <c r="T56" s="6">
        <f t="shared" ref="T56:T79" si="28">SUM(Q56:S56)</f>
        <v>0</v>
      </c>
      <c r="U56" s="16"/>
      <c r="V56" s="5"/>
      <c r="W56" s="5"/>
      <c r="X56" s="26"/>
      <c r="Y56" s="20" t="e">
        <f>'5|Revenue Current Tariff'!#REF!</f>
        <v>#REF!</v>
      </c>
      <c r="Z56" s="20" t="e">
        <f>'5|Revenue Current Tariff'!#REF!</f>
        <v>#REF!</v>
      </c>
      <c r="AA56" s="20" t="e">
        <f>'5|Revenue Current Tariff'!#REF!</f>
        <v>#REF!</v>
      </c>
      <c r="AB56" s="6" t="e">
        <f t="shared" ref="AB56:AB79" si="29">SUM(Y56:AA56)</f>
        <v>#REF!</v>
      </c>
      <c r="AC56" s="16"/>
      <c r="AD56" s="5"/>
      <c r="AE56" s="5"/>
      <c r="AF56" s="26"/>
      <c r="AG56" s="20" t="e">
        <f>'5|Revenue Current Tariff'!#REF!</f>
        <v>#REF!</v>
      </c>
      <c r="AH56" s="20" t="e">
        <f>'5|Revenue Current Tariff'!#REF!</f>
        <v>#REF!</v>
      </c>
      <c r="AI56" s="20" t="e">
        <f>'5|Revenue Current Tariff'!#REF!</f>
        <v>#REF!</v>
      </c>
      <c r="AJ56" s="6" t="e">
        <f t="shared" ref="AJ56:AJ79" si="30">SUM(AG56:AI56)</f>
        <v>#REF!</v>
      </c>
      <c r="AK56" s="16"/>
      <c r="AL56" s="5"/>
      <c r="AM56" s="5"/>
      <c r="AN56" s="26"/>
      <c r="AO56" s="20" t="e">
        <f>'5|Revenue Current Tariff'!#REF!</f>
        <v>#REF!</v>
      </c>
      <c r="AP56" s="20" t="e">
        <f>'5|Revenue Current Tariff'!#REF!</f>
        <v>#REF!</v>
      </c>
      <c r="AQ56" s="20" t="e">
        <f>'5|Revenue Current Tariff'!#REF!</f>
        <v>#REF!</v>
      </c>
      <c r="AR56" s="6" t="e">
        <f t="shared" ref="AR56:AR79" si="31">SUM(AO56:AQ56)</f>
        <v>#REF!</v>
      </c>
      <c r="AS56" s="16"/>
      <c r="AT56" s="5"/>
      <c r="AU56" s="5"/>
      <c r="AV56" s="26"/>
      <c r="AW56" s="20" t="e">
        <f>'5|Revenue Current Tariff'!#REF!</f>
        <v>#REF!</v>
      </c>
      <c r="AX56" s="20" t="e">
        <f>'5|Revenue Current Tariff'!#REF!</f>
        <v>#REF!</v>
      </c>
      <c r="AY56" s="20" t="e">
        <f>'5|Revenue Current Tariff'!#REF!</f>
        <v>#REF!</v>
      </c>
      <c r="AZ56" s="6" t="e">
        <f t="shared" ref="AZ56:AZ79" si="32">SUM(AW56:AY56)</f>
        <v>#REF!</v>
      </c>
      <c r="BA56" s="32"/>
      <c r="BB56" s="26"/>
      <c r="BC56" s="26"/>
      <c r="BD56" s="26"/>
      <c r="BE56" s="26"/>
    </row>
    <row r="57" spans="2:57" ht="12.75">
      <c r="B57">
        <v>10110</v>
      </c>
      <c r="C57" s="39" t="s">
        <v>164</v>
      </c>
      <c r="D57" s="4"/>
      <c r="E57" s="16"/>
      <c r="F57" s="5"/>
      <c r="G57" s="5"/>
      <c r="H57" s="26"/>
      <c r="I57" s="20" t="e">
        <f>'5|Revenue Current Tariff'!#REF!</f>
        <v>#REF!</v>
      </c>
      <c r="J57" s="20" t="e">
        <f>'5|Revenue Current Tariff'!#REF!</f>
        <v>#REF!</v>
      </c>
      <c r="K57" s="20" t="e">
        <f>'5|Revenue Current Tariff'!#REF!</f>
        <v>#REF!</v>
      </c>
      <c r="L57" s="6" t="e">
        <f t="shared" si="27"/>
        <v>#REF!</v>
      </c>
      <c r="M57" s="16"/>
      <c r="N57" s="5"/>
      <c r="O57" s="5"/>
      <c r="P57" s="26"/>
      <c r="Q57" s="20">
        <f>'5|Revenue Current Tariff'!V54</f>
        <v>0</v>
      </c>
      <c r="R57" s="20">
        <f>'5|Revenue Current Tariff'!W54</f>
        <v>0</v>
      </c>
      <c r="S57" s="20">
        <f>'5|Revenue Current Tariff'!X54</f>
        <v>0</v>
      </c>
      <c r="T57" s="6">
        <f t="shared" si="28"/>
        <v>0</v>
      </c>
      <c r="U57" s="16"/>
      <c r="V57" s="5"/>
      <c r="W57" s="5"/>
      <c r="X57" s="26"/>
      <c r="Y57" s="20" t="e">
        <f>'5|Revenue Current Tariff'!#REF!</f>
        <v>#REF!</v>
      </c>
      <c r="Z57" s="20" t="e">
        <f>'5|Revenue Current Tariff'!#REF!</f>
        <v>#REF!</v>
      </c>
      <c r="AA57" s="20" t="e">
        <f>'5|Revenue Current Tariff'!#REF!</f>
        <v>#REF!</v>
      </c>
      <c r="AB57" s="6" t="e">
        <f t="shared" si="29"/>
        <v>#REF!</v>
      </c>
      <c r="AC57" s="16"/>
      <c r="AD57" s="5"/>
      <c r="AE57" s="5"/>
      <c r="AF57" s="26"/>
      <c r="AG57" s="20" t="e">
        <f>'5|Revenue Current Tariff'!#REF!</f>
        <v>#REF!</v>
      </c>
      <c r="AH57" s="20" t="e">
        <f>'5|Revenue Current Tariff'!#REF!</f>
        <v>#REF!</v>
      </c>
      <c r="AI57" s="20" t="e">
        <f>'5|Revenue Current Tariff'!#REF!</f>
        <v>#REF!</v>
      </c>
      <c r="AJ57" s="6" t="e">
        <f t="shared" si="30"/>
        <v>#REF!</v>
      </c>
      <c r="AK57" s="16"/>
      <c r="AL57" s="5"/>
      <c r="AM57" s="5"/>
      <c r="AN57" s="26"/>
      <c r="AO57" s="20" t="e">
        <f>'5|Revenue Current Tariff'!#REF!</f>
        <v>#REF!</v>
      </c>
      <c r="AP57" s="20" t="e">
        <f>'5|Revenue Current Tariff'!#REF!</f>
        <v>#REF!</v>
      </c>
      <c r="AQ57" s="20" t="e">
        <f>'5|Revenue Current Tariff'!#REF!</f>
        <v>#REF!</v>
      </c>
      <c r="AR57" s="6" t="e">
        <f t="shared" si="31"/>
        <v>#REF!</v>
      </c>
      <c r="AS57" s="16"/>
      <c r="AT57" s="5"/>
      <c r="AU57" s="5"/>
      <c r="AV57" s="26"/>
      <c r="AW57" s="20" t="e">
        <f>'5|Revenue Current Tariff'!#REF!</f>
        <v>#REF!</v>
      </c>
      <c r="AX57" s="20" t="e">
        <f>'5|Revenue Current Tariff'!#REF!</f>
        <v>#REF!</v>
      </c>
      <c r="AY57" s="20" t="e">
        <f>'5|Revenue Current Tariff'!#REF!</f>
        <v>#REF!</v>
      </c>
      <c r="AZ57" s="6" t="e">
        <f t="shared" si="32"/>
        <v>#REF!</v>
      </c>
      <c r="BA57" s="32"/>
      <c r="BB57" s="26"/>
      <c r="BC57" s="26"/>
      <c r="BD57" s="26"/>
      <c r="BE57" s="26"/>
    </row>
    <row r="58" spans="2:57" ht="12.75">
      <c r="B58">
        <v>10117</v>
      </c>
      <c r="C58" s="39" t="s">
        <v>165</v>
      </c>
      <c r="D58" s="4"/>
      <c r="E58" s="16"/>
      <c r="F58" s="5"/>
      <c r="G58" s="5"/>
      <c r="H58" s="26"/>
      <c r="I58" s="20" t="e">
        <f>'5|Revenue Current Tariff'!#REF!</f>
        <v>#REF!</v>
      </c>
      <c r="J58" s="20" t="e">
        <f>'5|Revenue Current Tariff'!#REF!</f>
        <v>#REF!</v>
      </c>
      <c r="K58" s="20" t="e">
        <f>'5|Revenue Current Tariff'!#REF!</f>
        <v>#REF!</v>
      </c>
      <c r="L58" s="6" t="e">
        <f t="shared" si="27"/>
        <v>#REF!</v>
      </c>
      <c r="M58" s="16"/>
      <c r="N58" s="5"/>
      <c r="O58" s="5"/>
      <c r="P58" s="26"/>
      <c r="Q58" s="20">
        <f>'5|Revenue Current Tariff'!V55</f>
        <v>0</v>
      </c>
      <c r="R58" s="20">
        <f>'5|Revenue Current Tariff'!W55</f>
        <v>0</v>
      </c>
      <c r="S58" s="20">
        <f>'5|Revenue Current Tariff'!X55</f>
        <v>0</v>
      </c>
      <c r="T58" s="6">
        <f t="shared" si="28"/>
        <v>0</v>
      </c>
      <c r="U58" s="16"/>
      <c r="V58" s="5"/>
      <c r="W58" s="5"/>
      <c r="X58" s="26"/>
      <c r="Y58" s="20" t="e">
        <f>'5|Revenue Current Tariff'!#REF!</f>
        <v>#REF!</v>
      </c>
      <c r="Z58" s="20" t="e">
        <f>'5|Revenue Current Tariff'!#REF!</f>
        <v>#REF!</v>
      </c>
      <c r="AA58" s="20" t="e">
        <f>'5|Revenue Current Tariff'!#REF!</f>
        <v>#REF!</v>
      </c>
      <c r="AB58" s="6" t="e">
        <f t="shared" si="29"/>
        <v>#REF!</v>
      </c>
      <c r="AC58" s="16"/>
      <c r="AD58" s="5"/>
      <c r="AE58" s="5"/>
      <c r="AF58" s="26"/>
      <c r="AG58" s="20" t="e">
        <f>'5|Revenue Current Tariff'!#REF!</f>
        <v>#REF!</v>
      </c>
      <c r="AH58" s="20" t="e">
        <f>'5|Revenue Current Tariff'!#REF!</f>
        <v>#REF!</v>
      </c>
      <c r="AI58" s="20" t="e">
        <f>'5|Revenue Current Tariff'!#REF!</f>
        <v>#REF!</v>
      </c>
      <c r="AJ58" s="6" t="e">
        <f t="shared" si="30"/>
        <v>#REF!</v>
      </c>
      <c r="AK58" s="16"/>
      <c r="AL58" s="5"/>
      <c r="AM58" s="5"/>
      <c r="AN58" s="26"/>
      <c r="AO58" s="20" t="e">
        <f>'5|Revenue Current Tariff'!#REF!</f>
        <v>#REF!</v>
      </c>
      <c r="AP58" s="20" t="e">
        <f>'5|Revenue Current Tariff'!#REF!</f>
        <v>#REF!</v>
      </c>
      <c r="AQ58" s="20" t="e">
        <f>'5|Revenue Current Tariff'!#REF!</f>
        <v>#REF!</v>
      </c>
      <c r="AR58" s="6" t="e">
        <f t="shared" si="31"/>
        <v>#REF!</v>
      </c>
      <c r="AS58" s="16"/>
      <c r="AT58" s="5"/>
      <c r="AU58" s="5"/>
      <c r="AV58" s="26"/>
      <c r="AW58" s="20" t="e">
        <f>'5|Revenue Current Tariff'!#REF!</f>
        <v>#REF!</v>
      </c>
      <c r="AX58" s="20" t="e">
        <f>'5|Revenue Current Tariff'!#REF!</f>
        <v>#REF!</v>
      </c>
      <c r="AY58" s="20" t="e">
        <f>'5|Revenue Current Tariff'!#REF!</f>
        <v>#REF!</v>
      </c>
      <c r="AZ58" s="6" t="e">
        <f t="shared" si="32"/>
        <v>#REF!</v>
      </c>
      <c r="BA58" s="32"/>
      <c r="BB58" s="26"/>
      <c r="BC58" s="26"/>
      <c r="BD58" s="26"/>
      <c r="BE58" s="26"/>
    </row>
    <row r="59" spans="2:57" ht="12.75" hidden="1" outlineLevel="1">
      <c r="B59">
        <v>10146</v>
      </c>
      <c r="C59" s="40" t="s">
        <v>573</v>
      </c>
      <c r="D59" s="4"/>
      <c r="E59" s="16"/>
      <c r="F59" s="5"/>
      <c r="G59" s="5"/>
      <c r="H59" s="26"/>
      <c r="I59" s="20"/>
      <c r="J59" s="20"/>
      <c r="K59" s="20"/>
      <c r="L59" s="6">
        <f t="shared" si="27"/>
        <v>0</v>
      </c>
      <c r="M59" s="16"/>
      <c r="N59" s="5"/>
      <c r="O59" s="5"/>
      <c r="P59" s="26"/>
      <c r="Q59" s="20"/>
      <c r="R59" s="20"/>
      <c r="S59" s="20"/>
      <c r="T59" s="6">
        <f t="shared" si="28"/>
        <v>0</v>
      </c>
      <c r="U59" s="16"/>
      <c r="V59" s="5"/>
      <c r="W59" s="5"/>
      <c r="X59" s="26"/>
      <c r="Y59" s="20"/>
      <c r="Z59" s="20"/>
      <c r="AA59" s="20"/>
      <c r="AB59" s="6">
        <f t="shared" si="29"/>
        <v>0</v>
      </c>
      <c r="AC59" s="16"/>
      <c r="AD59" s="5"/>
      <c r="AE59" s="5"/>
      <c r="AF59" s="26"/>
      <c r="AG59" s="20"/>
      <c r="AH59" s="20"/>
      <c r="AI59" s="20"/>
      <c r="AJ59" s="6">
        <f t="shared" si="30"/>
        <v>0</v>
      </c>
      <c r="AK59" s="16"/>
      <c r="AL59" s="5"/>
      <c r="AM59" s="5"/>
      <c r="AN59" s="26"/>
      <c r="AO59" s="20"/>
      <c r="AP59" s="20"/>
      <c r="AQ59" s="20"/>
      <c r="AR59" s="6">
        <f t="shared" si="31"/>
        <v>0</v>
      </c>
      <c r="AS59" s="16"/>
      <c r="AT59" s="5"/>
      <c r="AU59" s="5"/>
      <c r="AV59" s="26"/>
      <c r="AW59" s="20"/>
      <c r="AX59" s="20"/>
      <c r="AY59" s="20"/>
      <c r="AZ59" s="6">
        <f t="shared" si="32"/>
        <v>0</v>
      </c>
      <c r="BA59" s="32"/>
      <c r="BB59" s="26"/>
      <c r="BC59" s="26"/>
      <c r="BD59" s="26"/>
      <c r="BE59" s="26"/>
    </row>
    <row r="60" spans="2:57" ht="12.75" hidden="1" outlineLevel="1">
      <c r="B60">
        <v>10152</v>
      </c>
      <c r="C60" s="40" t="s">
        <v>571</v>
      </c>
      <c r="D60" s="4"/>
      <c r="E60" s="16"/>
      <c r="F60" s="5"/>
      <c r="G60" s="5"/>
      <c r="H60" s="26"/>
      <c r="I60" s="20"/>
      <c r="J60" s="20"/>
      <c r="K60" s="20"/>
      <c r="L60" s="6">
        <f>SUM(I60:K60)</f>
        <v>0</v>
      </c>
      <c r="M60" s="16"/>
      <c r="N60" s="5"/>
      <c r="O60" s="5"/>
      <c r="P60" s="26"/>
      <c r="Q60" s="20"/>
      <c r="R60" s="20"/>
      <c r="S60" s="20"/>
      <c r="T60" s="6">
        <f>SUM(Q60:S60)</f>
        <v>0</v>
      </c>
      <c r="U60" s="16"/>
      <c r="V60" s="5"/>
      <c r="W60" s="5"/>
      <c r="X60" s="26"/>
      <c r="Y60" s="20"/>
      <c r="Z60" s="20"/>
      <c r="AA60" s="20"/>
      <c r="AB60" s="6">
        <f>SUM(Y60:AA60)</f>
        <v>0</v>
      </c>
      <c r="AC60" s="16"/>
      <c r="AD60" s="5"/>
      <c r="AE60" s="5"/>
      <c r="AF60" s="26"/>
      <c r="AG60" s="20"/>
      <c r="AH60" s="20"/>
      <c r="AI60" s="20"/>
      <c r="AJ60" s="6">
        <f>SUM(AG60:AI60)</f>
        <v>0</v>
      </c>
      <c r="AK60" s="16"/>
      <c r="AL60" s="5"/>
      <c r="AM60" s="5"/>
      <c r="AN60" s="26"/>
      <c r="AO60" s="20"/>
      <c r="AP60" s="20"/>
      <c r="AQ60" s="20"/>
      <c r="AR60" s="6">
        <f>SUM(AO60:AQ60)</f>
        <v>0</v>
      </c>
      <c r="AS60" s="16"/>
      <c r="AT60" s="5"/>
      <c r="AU60" s="5"/>
      <c r="AV60" s="26"/>
      <c r="AW60" s="20"/>
      <c r="AX60" s="20"/>
      <c r="AY60" s="20"/>
      <c r="AZ60" s="6">
        <f>SUM(AW60:AY60)</f>
        <v>0</v>
      </c>
      <c r="BA60" s="32"/>
      <c r="BB60" s="26"/>
      <c r="BC60" s="26"/>
      <c r="BD60" s="26"/>
      <c r="BE60" s="26"/>
    </row>
    <row r="61" spans="2:57" ht="12.75" collapsed="1">
      <c r="B61">
        <v>10119</v>
      </c>
      <c r="C61" s="37" t="s">
        <v>572</v>
      </c>
      <c r="D61" s="4"/>
      <c r="E61" s="16"/>
      <c r="F61" s="5"/>
      <c r="G61" s="5"/>
      <c r="H61" s="26"/>
      <c r="I61" s="20" t="e">
        <f>'5|Revenue Current Tariff'!#REF!</f>
        <v>#REF!</v>
      </c>
      <c r="J61" s="20" t="e">
        <f>'5|Revenue Current Tariff'!#REF!</f>
        <v>#REF!</v>
      </c>
      <c r="K61" s="20" t="e">
        <f>'5|Revenue Current Tariff'!#REF!</f>
        <v>#REF!</v>
      </c>
      <c r="L61" s="6" t="e">
        <f t="shared" si="27"/>
        <v>#REF!</v>
      </c>
      <c r="M61" s="16"/>
      <c r="N61" s="5"/>
      <c r="O61" s="5"/>
      <c r="P61" s="26"/>
      <c r="Q61" s="20">
        <f>'5|Revenue Current Tariff'!V56</f>
        <v>0</v>
      </c>
      <c r="R61" s="20">
        <f>'5|Revenue Current Tariff'!W56</f>
        <v>0</v>
      </c>
      <c r="S61" s="20">
        <f>'5|Revenue Current Tariff'!X56</f>
        <v>0</v>
      </c>
      <c r="T61" s="6">
        <f t="shared" si="28"/>
        <v>0</v>
      </c>
      <c r="U61" s="16"/>
      <c r="V61" s="5"/>
      <c r="W61" s="5"/>
      <c r="X61" s="26"/>
      <c r="Y61" s="20" t="e">
        <f>'5|Revenue Current Tariff'!#REF!</f>
        <v>#REF!</v>
      </c>
      <c r="Z61" s="20" t="e">
        <f>'5|Revenue Current Tariff'!#REF!</f>
        <v>#REF!</v>
      </c>
      <c r="AA61" s="20" t="e">
        <f>'5|Revenue Current Tariff'!#REF!</f>
        <v>#REF!</v>
      </c>
      <c r="AB61" s="6" t="e">
        <f t="shared" si="29"/>
        <v>#REF!</v>
      </c>
      <c r="AC61" s="16"/>
      <c r="AD61" s="5"/>
      <c r="AE61" s="5"/>
      <c r="AF61" s="26"/>
      <c r="AG61" s="20" t="e">
        <f>'5|Revenue Current Tariff'!#REF!</f>
        <v>#REF!</v>
      </c>
      <c r="AH61" s="20" t="e">
        <f>'5|Revenue Current Tariff'!#REF!</f>
        <v>#REF!</v>
      </c>
      <c r="AI61" s="20" t="e">
        <f>'5|Revenue Current Tariff'!#REF!</f>
        <v>#REF!</v>
      </c>
      <c r="AJ61" s="6" t="e">
        <f t="shared" si="30"/>
        <v>#REF!</v>
      </c>
      <c r="AK61" s="16"/>
      <c r="AL61" s="5"/>
      <c r="AM61" s="5"/>
      <c r="AN61" s="26"/>
      <c r="AO61" s="20" t="e">
        <f>'5|Revenue Current Tariff'!#REF!</f>
        <v>#REF!</v>
      </c>
      <c r="AP61" s="20" t="e">
        <f>'5|Revenue Current Tariff'!#REF!</f>
        <v>#REF!</v>
      </c>
      <c r="AQ61" s="20" t="e">
        <f>'5|Revenue Current Tariff'!#REF!</f>
        <v>#REF!</v>
      </c>
      <c r="AR61" s="6" t="e">
        <f t="shared" si="31"/>
        <v>#REF!</v>
      </c>
      <c r="AS61" s="16"/>
      <c r="AT61" s="5"/>
      <c r="AU61" s="5"/>
      <c r="AV61" s="26"/>
      <c r="AW61" s="20" t="e">
        <f>'5|Revenue Current Tariff'!#REF!</f>
        <v>#REF!</v>
      </c>
      <c r="AX61" s="20" t="e">
        <f>'5|Revenue Current Tariff'!#REF!</f>
        <v>#REF!</v>
      </c>
      <c r="AY61" s="20" t="e">
        <f>'5|Revenue Current Tariff'!#REF!</f>
        <v>#REF!</v>
      </c>
      <c r="AZ61" s="6" t="e">
        <f t="shared" si="32"/>
        <v>#REF!</v>
      </c>
      <c r="BA61" s="32"/>
      <c r="BB61" s="26"/>
      <c r="BC61" s="26"/>
      <c r="BD61" s="26"/>
      <c r="BE61" s="26"/>
    </row>
    <row r="62" spans="2:57" ht="12.75">
      <c r="B62">
        <v>10149</v>
      </c>
      <c r="C62" s="4" t="s">
        <v>166</v>
      </c>
      <c r="D62" s="4"/>
      <c r="E62" s="16"/>
      <c r="F62" s="5"/>
      <c r="G62" s="5"/>
      <c r="H62" s="26"/>
      <c r="I62" s="20" t="e">
        <f>'5|Revenue Current Tariff'!#REF!</f>
        <v>#REF!</v>
      </c>
      <c r="J62" s="20" t="e">
        <f>'5|Revenue Current Tariff'!#REF!</f>
        <v>#REF!</v>
      </c>
      <c r="K62" s="20" t="e">
        <f>'5|Revenue Current Tariff'!#REF!</f>
        <v>#REF!</v>
      </c>
      <c r="L62" s="6" t="e">
        <f t="shared" si="27"/>
        <v>#REF!</v>
      </c>
      <c r="M62" s="16"/>
      <c r="N62" s="5"/>
      <c r="O62" s="5"/>
      <c r="P62" s="26"/>
      <c r="Q62" s="20">
        <f>'5|Revenue Current Tariff'!V57</f>
        <v>0</v>
      </c>
      <c r="R62" s="20">
        <f>'5|Revenue Current Tariff'!W57</f>
        <v>0</v>
      </c>
      <c r="S62" s="20">
        <f>'5|Revenue Current Tariff'!X57</f>
        <v>0</v>
      </c>
      <c r="T62" s="6">
        <f t="shared" si="28"/>
        <v>0</v>
      </c>
      <c r="U62" s="16"/>
      <c r="V62" s="5"/>
      <c r="W62" s="5"/>
      <c r="X62" s="26"/>
      <c r="Y62" s="20" t="e">
        <f>'5|Revenue Current Tariff'!#REF!</f>
        <v>#REF!</v>
      </c>
      <c r="Z62" s="20" t="e">
        <f>'5|Revenue Current Tariff'!#REF!</f>
        <v>#REF!</v>
      </c>
      <c r="AA62" s="20" t="e">
        <f>'5|Revenue Current Tariff'!#REF!</f>
        <v>#REF!</v>
      </c>
      <c r="AB62" s="6" t="e">
        <f t="shared" si="29"/>
        <v>#REF!</v>
      </c>
      <c r="AC62" s="16"/>
      <c r="AD62" s="5"/>
      <c r="AE62" s="5"/>
      <c r="AF62" s="26"/>
      <c r="AG62" s="20" t="e">
        <f>'5|Revenue Current Tariff'!#REF!</f>
        <v>#REF!</v>
      </c>
      <c r="AH62" s="20" t="e">
        <f>'5|Revenue Current Tariff'!#REF!</f>
        <v>#REF!</v>
      </c>
      <c r="AI62" s="20" t="e">
        <f>'5|Revenue Current Tariff'!#REF!</f>
        <v>#REF!</v>
      </c>
      <c r="AJ62" s="6" t="e">
        <f t="shared" si="30"/>
        <v>#REF!</v>
      </c>
      <c r="AK62" s="16"/>
      <c r="AL62" s="5"/>
      <c r="AM62" s="5"/>
      <c r="AN62" s="26"/>
      <c r="AO62" s="20" t="e">
        <f>'5|Revenue Current Tariff'!#REF!</f>
        <v>#REF!</v>
      </c>
      <c r="AP62" s="20" t="e">
        <f>'5|Revenue Current Tariff'!#REF!</f>
        <v>#REF!</v>
      </c>
      <c r="AQ62" s="20" t="e">
        <f>'5|Revenue Current Tariff'!#REF!</f>
        <v>#REF!</v>
      </c>
      <c r="AR62" s="6" t="e">
        <f t="shared" si="31"/>
        <v>#REF!</v>
      </c>
      <c r="AS62" s="16"/>
      <c r="AT62" s="5"/>
      <c r="AU62" s="5"/>
      <c r="AV62" s="26"/>
      <c r="AW62" s="20" t="e">
        <f>'5|Revenue Current Tariff'!#REF!</f>
        <v>#REF!</v>
      </c>
      <c r="AX62" s="20" t="e">
        <f>'5|Revenue Current Tariff'!#REF!</f>
        <v>#REF!</v>
      </c>
      <c r="AY62" s="20" t="e">
        <f>'5|Revenue Current Tariff'!#REF!</f>
        <v>#REF!</v>
      </c>
      <c r="AZ62" s="6" t="e">
        <f t="shared" si="32"/>
        <v>#REF!</v>
      </c>
      <c r="BA62" s="32"/>
      <c r="BB62" s="26"/>
      <c r="BC62" s="26"/>
      <c r="BD62" s="26"/>
      <c r="BE62" s="26"/>
    </row>
    <row r="63" spans="2:57" ht="12.75">
      <c r="B63">
        <v>10155</v>
      </c>
      <c r="C63" s="41" t="s">
        <v>43</v>
      </c>
      <c r="D63" s="4"/>
      <c r="E63" s="16"/>
      <c r="F63" s="5"/>
      <c r="G63" s="5"/>
      <c r="H63" s="26"/>
      <c r="I63" s="20" t="e">
        <f>'5|Revenue Current Tariff'!#REF!</f>
        <v>#REF!</v>
      </c>
      <c r="J63" s="20" t="e">
        <f>'5|Revenue Current Tariff'!#REF!</f>
        <v>#REF!</v>
      </c>
      <c r="K63" s="20" t="e">
        <f>'5|Revenue Current Tariff'!#REF!</f>
        <v>#REF!</v>
      </c>
      <c r="L63" s="6" t="e">
        <f t="shared" si="27"/>
        <v>#REF!</v>
      </c>
      <c r="M63" s="16"/>
      <c r="N63" s="5"/>
      <c r="O63" s="5"/>
      <c r="P63" s="26"/>
      <c r="Q63" s="20">
        <f>'5|Revenue Current Tariff'!V59</f>
        <v>0</v>
      </c>
      <c r="R63" s="20">
        <f>'5|Revenue Current Tariff'!W59</f>
        <v>0</v>
      </c>
      <c r="S63" s="20">
        <f>'5|Revenue Current Tariff'!X59</f>
        <v>0</v>
      </c>
      <c r="T63" s="6">
        <f t="shared" si="28"/>
        <v>0</v>
      </c>
      <c r="U63" s="16"/>
      <c r="V63" s="5"/>
      <c r="W63" s="5"/>
      <c r="X63" s="26"/>
      <c r="Y63" s="20" t="e">
        <f>'5|Revenue Current Tariff'!#REF!</f>
        <v>#REF!</v>
      </c>
      <c r="Z63" s="20" t="e">
        <f>'5|Revenue Current Tariff'!#REF!</f>
        <v>#REF!</v>
      </c>
      <c r="AA63" s="20" t="e">
        <f>'5|Revenue Current Tariff'!#REF!</f>
        <v>#REF!</v>
      </c>
      <c r="AB63" s="6" t="e">
        <f t="shared" si="29"/>
        <v>#REF!</v>
      </c>
      <c r="AC63" s="16"/>
      <c r="AD63" s="5"/>
      <c r="AE63" s="5"/>
      <c r="AF63" s="26"/>
      <c r="AG63" s="20" t="e">
        <f>'5|Revenue Current Tariff'!#REF!</f>
        <v>#REF!</v>
      </c>
      <c r="AH63" s="20" t="e">
        <f>'5|Revenue Current Tariff'!#REF!</f>
        <v>#REF!</v>
      </c>
      <c r="AI63" s="20" t="e">
        <f>'5|Revenue Current Tariff'!#REF!</f>
        <v>#REF!</v>
      </c>
      <c r="AJ63" s="6" t="e">
        <f t="shared" si="30"/>
        <v>#REF!</v>
      </c>
      <c r="AK63" s="16"/>
      <c r="AL63" s="5"/>
      <c r="AM63" s="5"/>
      <c r="AN63" s="26"/>
      <c r="AO63" s="20" t="e">
        <f>'5|Revenue Current Tariff'!#REF!</f>
        <v>#REF!</v>
      </c>
      <c r="AP63" s="20" t="e">
        <f>'5|Revenue Current Tariff'!#REF!</f>
        <v>#REF!</v>
      </c>
      <c r="AQ63" s="20" t="e">
        <f>'5|Revenue Current Tariff'!#REF!</f>
        <v>#REF!</v>
      </c>
      <c r="AR63" s="6" t="e">
        <f t="shared" si="31"/>
        <v>#REF!</v>
      </c>
      <c r="AS63" s="16"/>
      <c r="AT63" s="5"/>
      <c r="AU63" s="5"/>
      <c r="AV63" s="26"/>
      <c r="AW63" s="20" t="e">
        <f>'5|Revenue Current Tariff'!#REF!</f>
        <v>#REF!</v>
      </c>
      <c r="AX63" s="20" t="e">
        <f>'5|Revenue Current Tariff'!#REF!</f>
        <v>#REF!</v>
      </c>
      <c r="AY63" s="20" t="e">
        <f>'5|Revenue Current Tariff'!#REF!</f>
        <v>#REF!</v>
      </c>
      <c r="AZ63" s="6" t="e">
        <f t="shared" si="32"/>
        <v>#REF!</v>
      </c>
      <c r="BA63" s="32"/>
      <c r="BB63" s="26"/>
      <c r="BC63" s="26"/>
      <c r="BD63" s="26"/>
      <c r="BE63" s="26"/>
    </row>
    <row r="64" spans="2:57" ht="12.75">
      <c r="B64"/>
      <c r="C64" s="44" t="s">
        <v>39</v>
      </c>
      <c r="D64" s="4"/>
      <c r="E64" s="16"/>
      <c r="F64" s="5"/>
      <c r="G64" s="5"/>
      <c r="H64" s="26"/>
      <c r="I64" s="20" t="e">
        <f>'5|Revenue Current Tariff'!#REF!</f>
        <v>#REF!</v>
      </c>
      <c r="J64" s="20" t="e">
        <f>'5|Revenue Current Tariff'!#REF!</f>
        <v>#REF!</v>
      </c>
      <c r="K64" s="20" t="e">
        <f>'5|Revenue Current Tariff'!#REF!</f>
        <v>#REF!</v>
      </c>
      <c r="L64" s="6" t="e">
        <f t="shared" si="27"/>
        <v>#REF!</v>
      </c>
      <c r="M64" s="16"/>
      <c r="N64" s="5"/>
      <c r="O64" s="5"/>
      <c r="P64" s="26"/>
      <c r="Q64" s="20">
        <f>'5|Revenue Current Tariff'!V60</f>
        <v>0</v>
      </c>
      <c r="R64" s="20">
        <f>'5|Revenue Current Tariff'!W60</f>
        <v>0</v>
      </c>
      <c r="S64" s="20">
        <f>'5|Revenue Current Tariff'!X60</f>
        <v>0</v>
      </c>
      <c r="T64" s="6">
        <f t="shared" si="28"/>
        <v>0</v>
      </c>
      <c r="U64" s="16"/>
      <c r="V64" s="5"/>
      <c r="W64" s="5"/>
      <c r="X64" s="26"/>
      <c r="Y64" s="20" t="e">
        <f>'5|Revenue Current Tariff'!#REF!</f>
        <v>#REF!</v>
      </c>
      <c r="Z64" s="20" t="e">
        <f>'5|Revenue Current Tariff'!#REF!</f>
        <v>#REF!</v>
      </c>
      <c r="AA64" s="20" t="e">
        <f>'5|Revenue Current Tariff'!#REF!</f>
        <v>#REF!</v>
      </c>
      <c r="AB64" s="6" t="e">
        <f t="shared" si="29"/>
        <v>#REF!</v>
      </c>
      <c r="AC64" s="16"/>
      <c r="AD64" s="5"/>
      <c r="AE64" s="5"/>
      <c r="AF64" s="26"/>
      <c r="AG64" s="20" t="e">
        <f>'5|Revenue Current Tariff'!#REF!</f>
        <v>#REF!</v>
      </c>
      <c r="AH64" s="20" t="e">
        <f>'5|Revenue Current Tariff'!#REF!</f>
        <v>#REF!</v>
      </c>
      <c r="AI64" s="20" t="e">
        <f>'5|Revenue Current Tariff'!#REF!</f>
        <v>#REF!</v>
      </c>
      <c r="AJ64" s="6" t="e">
        <f t="shared" si="30"/>
        <v>#REF!</v>
      </c>
      <c r="AK64" s="16"/>
      <c r="AL64" s="5"/>
      <c r="AM64" s="5"/>
      <c r="AN64" s="26"/>
      <c r="AO64" s="20" t="e">
        <f>'5|Revenue Current Tariff'!#REF!</f>
        <v>#REF!</v>
      </c>
      <c r="AP64" s="20" t="e">
        <f>'5|Revenue Current Tariff'!#REF!</f>
        <v>#REF!</v>
      </c>
      <c r="AQ64" s="20" t="e">
        <f>'5|Revenue Current Tariff'!#REF!</f>
        <v>#REF!</v>
      </c>
      <c r="AR64" s="6" t="e">
        <f t="shared" si="31"/>
        <v>#REF!</v>
      </c>
      <c r="AS64" s="16"/>
      <c r="AT64" s="5"/>
      <c r="AU64" s="5"/>
      <c r="AV64" s="26"/>
      <c r="AW64" s="20" t="e">
        <f>'5|Revenue Current Tariff'!#REF!</f>
        <v>#REF!</v>
      </c>
      <c r="AX64" s="20" t="e">
        <f>'5|Revenue Current Tariff'!#REF!</f>
        <v>#REF!</v>
      </c>
      <c r="AY64" s="20" t="e">
        <f>'5|Revenue Current Tariff'!#REF!</f>
        <v>#REF!</v>
      </c>
      <c r="AZ64" s="6" t="e">
        <f t="shared" si="32"/>
        <v>#REF!</v>
      </c>
      <c r="BA64" s="32"/>
      <c r="BB64" s="26"/>
      <c r="BC64" s="26"/>
      <c r="BD64" s="26"/>
      <c r="BE64" s="26"/>
    </row>
    <row r="65" spans="2:57" ht="12.75">
      <c r="B65"/>
      <c r="C65" s="41" t="s">
        <v>38</v>
      </c>
      <c r="D65" s="4"/>
      <c r="E65" s="16"/>
      <c r="F65" s="5"/>
      <c r="G65" s="5"/>
      <c r="H65" s="26"/>
      <c r="I65" s="20" t="e">
        <f>'5|Revenue Current Tariff'!#REF!</f>
        <v>#REF!</v>
      </c>
      <c r="J65" s="20" t="e">
        <f>'5|Revenue Current Tariff'!#REF!</f>
        <v>#REF!</v>
      </c>
      <c r="K65" s="20" t="e">
        <f>'5|Revenue Current Tariff'!#REF!</f>
        <v>#REF!</v>
      </c>
      <c r="L65" s="6" t="e">
        <f t="shared" si="27"/>
        <v>#REF!</v>
      </c>
      <c r="M65" s="16"/>
      <c r="N65" s="5"/>
      <c r="O65" s="5"/>
      <c r="P65" s="26"/>
      <c r="Q65" s="20">
        <f>'5|Revenue Current Tariff'!V61</f>
        <v>0</v>
      </c>
      <c r="R65" s="20">
        <f>'5|Revenue Current Tariff'!W61</f>
        <v>0</v>
      </c>
      <c r="S65" s="20">
        <f>'5|Revenue Current Tariff'!X61</f>
        <v>0</v>
      </c>
      <c r="T65" s="6">
        <f t="shared" si="28"/>
        <v>0</v>
      </c>
      <c r="U65" s="16"/>
      <c r="V65" s="5"/>
      <c r="W65" s="5"/>
      <c r="X65" s="26"/>
      <c r="Y65" s="20" t="e">
        <f>'5|Revenue Current Tariff'!#REF!</f>
        <v>#REF!</v>
      </c>
      <c r="Z65" s="20" t="e">
        <f>'5|Revenue Current Tariff'!#REF!</f>
        <v>#REF!</v>
      </c>
      <c r="AA65" s="20" t="e">
        <f>'5|Revenue Current Tariff'!#REF!</f>
        <v>#REF!</v>
      </c>
      <c r="AB65" s="6" t="e">
        <f t="shared" si="29"/>
        <v>#REF!</v>
      </c>
      <c r="AC65" s="16"/>
      <c r="AD65" s="5"/>
      <c r="AE65" s="5"/>
      <c r="AF65" s="26"/>
      <c r="AG65" s="20" t="e">
        <f>'5|Revenue Current Tariff'!#REF!</f>
        <v>#REF!</v>
      </c>
      <c r="AH65" s="20" t="e">
        <f>'5|Revenue Current Tariff'!#REF!</f>
        <v>#REF!</v>
      </c>
      <c r="AI65" s="20" t="e">
        <f>'5|Revenue Current Tariff'!#REF!</f>
        <v>#REF!</v>
      </c>
      <c r="AJ65" s="6" t="e">
        <f t="shared" si="30"/>
        <v>#REF!</v>
      </c>
      <c r="AK65" s="16"/>
      <c r="AL65" s="5"/>
      <c r="AM65" s="5"/>
      <c r="AN65" s="26"/>
      <c r="AO65" s="20" t="e">
        <f>'5|Revenue Current Tariff'!#REF!</f>
        <v>#REF!</v>
      </c>
      <c r="AP65" s="20" t="e">
        <f>'5|Revenue Current Tariff'!#REF!</f>
        <v>#REF!</v>
      </c>
      <c r="AQ65" s="20" t="e">
        <f>'5|Revenue Current Tariff'!#REF!</f>
        <v>#REF!</v>
      </c>
      <c r="AR65" s="6" t="e">
        <f t="shared" si="31"/>
        <v>#REF!</v>
      </c>
      <c r="AS65" s="16"/>
      <c r="AT65" s="5"/>
      <c r="AU65" s="5"/>
      <c r="AV65" s="26"/>
      <c r="AW65" s="20" t="e">
        <f>'5|Revenue Current Tariff'!#REF!</f>
        <v>#REF!</v>
      </c>
      <c r="AX65" s="20" t="e">
        <f>'5|Revenue Current Tariff'!#REF!</f>
        <v>#REF!</v>
      </c>
      <c r="AY65" s="20" t="e">
        <f>'5|Revenue Current Tariff'!#REF!</f>
        <v>#REF!</v>
      </c>
      <c r="AZ65" s="6" t="e">
        <f t="shared" si="32"/>
        <v>#REF!</v>
      </c>
      <c r="BA65" s="32"/>
      <c r="BB65" s="26"/>
      <c r="BC65" s="26"/>
      <c r="BD65" s="26"/>
      <c r="BE65" s="26"/>
    </row>
    <row r="66" spans="2:57" ht="12.75">
      <c r="B66"/>
      <c r="C66" s="44" t="s">
        <v>40</v>
      </c>
      <c r="D66" s="4"/>
      <c r="E66" s="16"/>
      <c r="F66" s="5"/>
      <c r="G66" s="5"/>
      <c r="H66" s="26"/>
      <c r="I66" s="20" t="e">
        <f>'5|Revenue Current Tariff'!#REF!</f>
        <v>#REF!</v>
      </c>
      <c r="J66" s="20" t="e">
        <f>'5|Revenue Current Tariff'!#REF!</f>
        <v>#REF!</v>
      </c>
      <c r="K66" s="20" t="e">
        <f>'5|Revenue Current Tariff'!#REF!</f>
        <v>#REF!</v>
      </c>
      <c r="L66" s="6" t="e">
        <f t="shared" si="27"/>
        <v>#REF!</v>
      </c>
      <c r="M66" s="16"/>
      <c r="N66" s="5"/>
      <c r="O66" s="5"/>
      <c r="P66" s="26"/>
      <c r="Q66" s="20">
        <f>'5|Revenue Current Tariff'!V62</f>
        <v>0</v>
      </c>
      <c r="R66" s="20">
        <f>'5|Revenue Current Tariff'!W62</f>
        <v>0</v>
      </c>
      <c r="S66" s="20">
        <f>'5|Revenue Current Tariff'!X62</f>
        <v>0</v>
      </c>
      <c r="T66" s="6">
        <f t="shared" si="28"/>
        <v>0</v>
      </c>
      <c r="U66" s="16"/>
      <c r="V66" s="5"/>
      <c r="W66" s="5"/>
      <c r="X66" s="26"/>
      <c r="Y66" s="20" t="e">
        <f>'5|Revenue Current Tariff'!#REF!</f>
        <v>#REF!</v>
      </c>
      <c r="Z66" s="20" t="e">
        <f>'5|Revenue Current Tariff'!#REF!</f>
        <v>#REF!</v>
      </c>
      <c r="AA66" s="20" t="e">
        <f>'5|Revenue Current Tariff'!#REF!</f>
        <v>#REF!</v>
      </c>
      <c r="AB66" s="6" t="e">
        <f t="shared" si="29"/>
        <v>#REF!</v>
      </c>
      <c r="AC66" s="16"/>
      <c r="AD66" s="5"/>
      <c r="AE66" s="5"/>
      <c r="AF66" s="26"/>
      <c r="AG66" s="20" t="e">
        <f>'5|Revenue Current Tariff'!#REF!</f>
        <v>#REF!</v>
      </c>
      <c r="AH66" s="20" t="e">
        <f>'5|Revenue Current Tariff'!#REF!</f>
        <v>#REF!</v>
      </c>
      <c r="AI66" s="20" t="e">
        <f>'5|Revenue Current Tariff'!#REF!</f>
        <v>#REF!</v>
      </c>
      <c r="AJ66" s="6" t="e">
        <f t="shared" si="30"/>
        <v>#REF!</v>
      </c>
      <c r="AK66" s="16"/>
      <c r="AL66" s="5"/>
      <c r="AM66" s="5"/>
      <c r="AN66" s="26"/>
      <c r="AO66" s="20" t="e">
        <f>'5|Revenue Current Tariff'!#REF!</f>
        <v>#REF!</v>
      </c>
      <c r="AP66" s="20" t="e">
        <f>'5|Revenue Current Tariff'!#REF!</f>
        <v>#REF!</v>
      </c>
      <c r="AQ66" s="20" t="e">
        <f>'5|Revenue Current Tariff'!#REF!</f>
        <v>#REF!</v>
      </c>
      <c r="AR66" s="6" t="e">
        <f t="shared" si="31"/>
        <v>#REF!</v>
      </c>
      <c r="AS66" s="16"/>
      <c r="AT66" s="5"/>
      <c r="AU66" s="5"/>
      <c r="AV66" s="26"/>
      <c r="AW66" s="20" t="e">
        <f>'5|Revenue Current Tariff'!#REF!</f>
        <v>#REF!</v>
      </c>
      <c r="AX66" s="20" t="e">
        <f>'5|Revenue Current Tariff'!#REF!</f>
        <v>#REF!</v>
      </c>
      <c r="AY66" s="20" t="e">
        <f>'5|Revenue Current Tariff'!#REF!</f>
        <v>#REF!</v>
      </c>
      <c r="AZ66" s="6" t="e">
        <f t="shared" si="32"/>
        <v>#REF!</v>
      </c>
      <c r="BA66" s="32"/>
      <c r="BB66" s="26"/>
      <c r="BC66" s="26"/>
      <c r="BD66" s="26"/>
      <c r="BE66" s="26"/>
    </row>
    <row r="67" spans="2:57" ht="12.75">
      <c r="B67">
        <v>10158</v>
      </c>
      <c r="C67" s="4" t="s">
        <v>348</v>
      </c>
      <c r="D67" s="4"/>
      <c r="E67" s="16"/>
      <c r="F67" s="5"/>
      <c r="G67" s="5"/>
      <c r="H67" s="26"/>
      <c r="I67" s="20" t="e">
        <f>'5|Revenue Current Tariff'!#REF!</f>
        <v>#REF!</v>
      </c>
      <c r="J67" s="20" t="e">
        <f>'5|Revenue Current Tariff'!#REF!</f>
        <v>#REF!</v>
      </c>
      <c r="K67" s="20" t="e">
        <f>'5|Revenue Current Tariff'!#REF!</f>
        <v>#REF!</v>
      </c>
      <c r="L67" s="6" t="e">
        <f t="shared" si="27"/>
        <v>#REF!</v>
      </c>
      <c r="M67" s="16"/>
      <c r="N67" s="5"/>
      <c r="O67" s="5"/>
      <c r="P67" s="26"/>
      <c r="Q67" s="20">
        <f>'5|Revenue Current Tariff'!V63</f>
        <v>0</v>
      </c>
      <c r="R67" s="20">
        <f>'5|Revenue Current Tariff'!W63</f>
        <v>0</v>
      </c>
      <c r="S67" s="20">
        <f>'5|Revenue Current Tariff'!X63</f>
        <v>0</v>
      </c>
      <c r="T67" s="6">
        <f t="shared" si="28"/>
        <v>0</v>
      </c>
      <c r="U67" s="16"/>
      <c r="V67" s="5"/>
      <c r="W67" s="5"/>
      <c r="X67" s="26"/>
      <c r="Y67" s="20" t="e">
        <f>'5|Revenue Current Tariff'!#REF!</f>
        <v>#REF!</v>
      </c>
      <c r="Z67" s="20" t="e">
        <f>'5|Revenue Current Tariff'!#REF!</f>
        <v>#REF!</v>
      </c>
      <c r="AA67" s="20" t="e">
        <f>'5|Revenue Current Tariff'!#REF!</f>
        <v>#REF!</v>
      </c>
      <c r="AB67" s="6" t="e">
        <f t="shared" si="29"/>
        <v>#REF!</v>
      </c>
      <c r="AC67" s="16"/>
      <c r="AD67" s="5"/>
      <c r="AE67" s="5"/>
      <c r="AF67" s="26"/>
      <c r="AG67" s="20" t="e">
        <f>'5|Revenue Current Tariff'!#REF!</f>
        <v>#REF!</v>
      </c>
      <c r="AH67" s="20" t="e">
        <f>'5|Revenue Current Tariff'!#REF!</f>
        <v>#REF!</v>
      </c>
      <c r="AI67" s="20" t="e">
        <f>'5|Revenue Current Tariff'!#REF!</f>
        <v>#REF!</v>
      </c>
      <c r="AJ67" s="6" t="e">
        <f t="shared" si="30"/>
        <v>#REF!</v>
      </c>
      <c r="AK67" s="16"/>
      <c r="AL67" s="5"/>
      <c r="AM67" s="5"/>
      <c r="AN67" s="26"/>
      <c r="AO67" s="20" t="e">
        <f>'5|Revenue Current Tariff'!#REF!</f>
        <v>#REF!</v>
      </c>
      <c r="AP67" s="20" t="e">
        <f>'5|Revenue Current Tariff'!#REF!</f>
        <v>#REF!</v>
      </c>
      <c r="AQ67" s="20" t="e">
        <f>'5|Revenue Current Tariff'!#REF!</f>
        <v>#REF!</v>
      </c>
      <c r="AR67" s="6" t="e">
        <f t="shared" si="31"/>
        <v>#REF!</v>
      </c>
      <c r="AS67" s="16"/>
      <c r="AT67" s="5"/>
      <c r="AU67" s="5"/>
      <c r="AV67" s="26"/>
      <c r="AW67" s="20" t="e">
        <f>'5|Revenue Current Tariff'!#REF!</f>
        <v>#REF!</v>
      </c>
      <c r="AX67" s="20" t="e">
        <f>'5|Revenue Current Tariff'!#REF!</f>
        <v>#REF!</v>
      </c>
      <c r="AY67" s="20" t="e">
        <f>'5|Revenue Current Tariff'!#REF!</f>
        <v>#REF!</v>
      </c>
      <c r="AZ67" s="6" t="e">
        <f t="shared" si="32"/>
        <v>#REF!</v>
      </c>
      <c r="BA67" s="32"/>
      <c r="BB67" s="26"/>
      <c r="BC67" s="26"/>
      <c r="BD67" s="26"/>
      <c r="BE67" s="26"/>
    </row>
    <row r="68" spans="2:57" ht="12.75">
      <c r="B68">
        <v>10161</v>
      </c>
      <c r="C68" s="4" t="s">
        <v>347</v>
      </c>
      <c r="D68" s="4"/>
      <c r="E68" s="16"/>
      <c r="F68" s="5"/>
      <c r="G68" s="5"/>
      <c r="H68" s="26"/>
      <c r="I68" s="20" t="e">
        <f>'5|Revenue Current Tariff'!#REF!</f>
        <v>#REF!</v>
      </c>
      <c r="J68" s="20" t="e">
        <f>'5|Revenue Current Tariff'!#REF!</f>
        <v>#REF!</v>
      </c>
      <c r="K68" s="20" t="e">
        <f>'5|Revenue Current Tariff'!#REF!</f>
        <v>#REF!</v>
      </c>
      <c r="L68" s="6" t="e">
        <f t="shared" si="27"/>
        <v>#REF!</v>
      </c>
      <c r="M68" s="16"/>
      <c r="N68" s="5"/>
      <c r="O68" s="5"/>
      <c r="P68" s="26"/>
      <c r="Q68" s="20">
        <f>'5|Revenue Current Tariff'!V66</f>
        <v>0</v>
      </c>
      <c r="R68" s="20">
        <f>'5|Revenue Current Tariff'!W66</f>
        <v>0</v>
      </c>
      <c r="S68" s="20">
        <f>'5|Revenue Current Tariff'!X66</f>
        <v>0</v>
      </c>
      <c r="T68" s="6">
        <f t="shared" si="28"/>
        <v>0</v>
      </c>
      <c r="U68" s="16"/>
      <c r="V68" s="5"/>
      <c r="W68" s="5"/>
      <c r="X68" s="26"/>
      <c r="Y68" s="20" t="e">
        <f>'5|Revenue Current Tariff'!#REF!</f>
        <v>#REF!</v>
      </c>
      <c r="Z68" s="20" t="e">
        <f>'5|Revenue Current Tariff'!#REF!</f>
        <v>#REF!</v>
      </c>
      <c r="AA68" s="20" t="e">
        <f>'5|Revenue Current Tariff'!#REF!</f>
        <v>#REF!</v>
      </c>
      <c r="AB68" s="6" t="e">
        <f t="shared" si="29"/>
        <v>#REF!</v>
      </c>
      <c r="AC68" s="16"/>
      <c r="AD68" s="5"/>
      <c r="AE68" s="5"/>
      <c r="AF68" s="26"/>
      <c r="AG68" s="20" t="e">
        <f>'5|Revenue Current Tariff'!#REF!</f>
        <v>#REF!</v>
      </c>
      <c r="AH68" s="20" t="e">
        <f>'5|Revenue Current Tariff'!#REF!</f>
        <v>#REF!</v>
      </c>
      <c r="AI68" s="20" t="e">
        <f>'5|Revenue Current Tariff'!#REF!</f>
        <v>#REF!</v>
      </c>
      <c r="AJ68" s="6" t="e">
        <f t="shared" si="30"/>
        <v>#REF!</v>
      </c>
      <c r="AK68" s="16"/>
      <c r="AL68" s="5"/>
      <c r="AM68" s="5"/>
      <c r="AN68" s="26"/>
      <c r="AO68" s="20" t="e">
        <f>'5|Revenue Current Tariff'!#REF!</f>
        <v>#REF!</v>
      </c>
      <c r="AP68" s="20" t="e">
        <f>'5|Revenue Current Tariff'!#REF!</f>
        <v>#REF!</v>
      </c>
      <c r="AQ68" s="20" t="e">
        <f>'5|Revenue Current Tariff'!#REF!</f>
        <v>#REF!</v>
      </c>
      <c r="AR68" s="6" t="e">
        <f t="shared" si="31"/>
        <v>#REF!</v>
      </c>
      <c r="AS68" s="16"/>
      <c r="AT68" s="5"/>
      <c r="AU68" s="5"/>
      <c r="AV68" s="26"/>
      <c r="AW68" s="20" t="e">
        <f>'5|Revenue Current Tariff'!#REF!</f>
        <v>#REF!</v>
      </c>
      <c r="AX68" s="20" t="e">
        <f>'5|Revenue Current Tariff'!#REF!</f>
        <v>#REF!</v>
      </c>
      <c r="AY68" s="20" t="e">
        <f>'5|Revenue Current Tariff'!#REF!</f>
        <v>#REF!</v>
      </c>
      <c r="AZ68" s="6" t="e">
        <f t="shared" si="32"/>
        <v>#REF!</v>
      </c>
      <c r="BA68" s="32"/>
      <c r="BB68" s="26"/>
      <c r="BC68" s="26"/>
      <c r="BD68" s="26"/>
      <c r="BE68" s="26"/>
    </row>
    <row r="69" spans="2:57" ht="12.75">
      <c r="B69"/>
      <c r="C69" s="14" t="s">
        <v>44</v>
      </c>
      <c r="D69" s="4"/>
      <c r="E69" s="16"/>
      <c r="F69" s="5"/>
      <c r="G69" s="5"/>
      <c r="H69" s="26"/>
      <c r="I69" s="20" t="e">
        <f>'5|Revenue Current Tariff'!#REF!</f>
        <v>#REF!</v>
      </c>
      <c r="J69" s="20" t="e">
        <f>'5|Revenue Current Tariff'!#REF!</f>
        <v>#REF!</v>
      </c>
      <c r="K69" s="20" t="e">
        <f>'5|Revenue Current Tariff'!#REF!</f>
        <v>#REF!</v>
      </c>
      <c r="L69" s="6" t="e">
        <f t="shared" si="27"/>
        <v>#REF!</v>
      </c>
      <c r="M69" s="16"/>
      <c r="N69" s="5"/>
      <c r="O69" s="5"/>
      <c r="P69" s="26"/>
      <c r="Q69" s="20">
        <f>'5|Revenue Current Tariff'!V67</f>
        <v>0</v>
      </c>
      <c r="R69" s="20">
        <f>'5|Revenue Current Tariff'!W67</f>
        <v>0</v>
      </c>
      <c r="S69" s="20">
        <f>'5|Revenue Current Tariff'!X67</f>
        <v>0</v>
      </c>
      <c r="T69" s="6">
        <f t="shared" si="28"/>
        <v>0</v>
      </c>
      <c r="U69" s="16"/>
      <c r="V69" s="5"/>
      <c r="W69" s="5"/>
      <c r="X69" s="26"/>
      <c r="Y69" s="20" t="e">
        <f>'5|Revenue Current Tariff'!#REF!</f>
        <v>#REF!</v>
      </c>
      <c r="Z69" s="20" t="e">
        <f>'5|Revenue Current Tariff'!#REF!</f>
        <v>#REF!</v>
      </c>
      <c r="AA69" s="20" t="e">
        <f>'5|Revenue Current Tariff'!#REF!</f>
        <v>#REF!</v>
      </c>
      <c r="AB69" s="6" t="e">
        <f t="shared" si="29"/>
        <v>#REF!</v>
      </c>
      <c r="AC69" s="16"/>
      <c r="AD69" s="5"/>
      <c r="AE69" s="5"/>
      <c r="AF69" s="26"/>
      <c r="AG69" s="20" t="e">
        <f>'5|Revenue Current Tariff'!#REF!</f>
        <v>#REF!</v>
      </c>
      <c r="AH69" s="20" t="e">
        <f>'5|Revenue Current Tariff'!#REF!</f>
        <v>#REF!</v>
      </c>
      <c r="AI69" s="20" t="e">
        <f>'5|Revenue Current Tariff'!#REF!</f>
        <v>#REF!</v>
      </c>
      <c r="AJ69" s="6" t="e">
        <f t="shared" si="30"/>
        <v>#REF!</v>
      </c>
      <c r="AK69" s="16"/>
      <c r="AL69" s="5"/>
      <c r="AM69" s="5"/>
      <c r="AN69" s="26"/>
      <c r="AO69" s="20" t="e">
        <f>'5|Revenue Current Tariff'!#REF!</f>
        <v>#REF!</v>
      </c>
      <c r="AP69" s="20" t="e">
        <f>'5|Revenue Current Tariff'!#REF!</f>
        <v>#REF!</v>
      </c>
      <c r="AQ69" s="20" t="e">
        <f>'5|Revenue Current Tariff'!#REF!</f>
        <v>#REF!</v>
      </c>
      <c r="AR69" s="6" t="e">
        <f t="shared" si="31"/>
        <v>#REF!</v>
      </c>
      <c r="AS69" s="16"/>
      <c r="AT69" s="5"/>
      <c r="AU69" s="5"/>
      <c r="AV69" s="26"/>
      <c r="AW69" s="20" t="e">
        <f>'5|Revenue Current Tariff'!#REF!</f>
        <v>#REF!</v>
      </c>
      <c r="AX69" s="20" t="e">
        <f>'5|Revenue Current Tariff'!#REF!</f>
        <v>#REF!</v>
      </c>
      <c r="AY69" s="20" t="e">
        <f>'5|Revenue Current Tariff'!#REF!</f>
        <v>#REF!</v>
      </c>
      <c r="AZ69" s="6" t="e">
        <f t="shared" si="32"/>
        <v>#REF!</v>
      </c>
      <c r="BA69" s="32"/>
      <c r="BB69" s="26"/>
      <c r="BC69" s="26"/>
      <c r="BD69" s="26"/>
      <c r="BE69" s="26"/>
    </row>
    <row r="70" spans="2:57" ht="12.75">
      <c r="B70"/>
      <c r="C70" s="4" t="s">
        <v>349</v>
      </c>
      <c r="D70" s="4"/>
      <c r="E70" s="16"/>
      <c r="F70" s="5"/>
      <c r="G70" s="5"/>
      <c r="H70" s="26"/>
      <c r="I70" s="20" t="e">
        <f>'5|Revenue Current Tariff'!#REF!</f>
        <v>#REF!</v>
      </c>
      <c r="J70" s="20" t="e">
        <f>'5|Revenue Current Tariff'!#REF!</f>
        <v>#REF!</v>
      </c>
      <c r="K70" s="20" t="e">
        <f>'5|Revenue Current Tariff'!#REF!</f>
        <v>#REF!</v>
      </c>
      <c r="L70" s="6" t="e">
        <f t="shared" si="27"/>
        <v>#REF!</v>
      </c>
      <c r="M70" s="16"/>
      <c r="N70" s="5"/>
      <c r="O70" s="5"/>
      <c r="P70" s="26"/>
      <c r="Q70" s="20">
        <f>'5|Revenue Current Tariff'!V68</f>
        <v>0</v>
      </c>
      <c r="R70" s="20">
        <f>'5|Revenue Current Tariff'!W68</f>
        <v>0</v>
      </c>
      <c r="S70" s="20">
        <f>'5|Revenue Current Tariff'!X68</f>
        <v>0</v>
      </c>
      <c r="T70" s="6">
        <f t="shared" si="28"/>
        <v>0</v>
      </c>
      <c r="U70" s="16"/>
      <c r="V70" s="5"/>
      <c r="W70" s="5"/>
      <c r="X70" s="26"/>
      <c r="Y70" s="20" t="e">
        <f>'5|Revenue Current Tariff'!#REF!</f>
        <v>#REF!</v>
      </c>
      <c r="Z70" s="20" t="e">
        <f>'5|Revenue Current Tariff'!#REF!</f>
        <v>#REF!</v>
      </c>
      <c r="AA70" s="20" t="e">
        <f>'5|Revenue Current Tariff'!#REF!</f>
        <v>#REF!</v>
      </c>
      <c r="AB70" s="6" t="e">
        <f t="shared" si="29"/>
        <v>#REF!</v>
      </c>
      <c r="AC70" s="16"/>
      <c r="AD70" s="5"/>
      <c r="AE70" s="5"/>
      <c r="AF70" s="26"/>
      <c r="AG70" s="20" t="e">
        <f>'5|Revenue Current Tariff'!#REF!</f>
        <v>#REF!</v>
      </c>
      <c r="AH70" s="20" t="e">
        <f>'5|Revenue Current Tariff'!#REF!</f>
        <v>#REF!</v>
      </c>
      <c r="AI70" s="20" t="e">
        <f>'5|Revenue Current Tariff'!#REF!</f>
        <v>#REF!</v>
      </c>
      <c r="AJ70" s="6" t="e">
        <f t="shared" si="30"/>
        <v>#REF!</v>
      </c>
      <c r="AK70" s="16"/>
      <c r="AL70" s="5"/>
      <c r="AM70" s="5"/>
      <c r="AN70" s="26"/>
      <c r="AO70" s="20" t="e">
        <f>'5|Revenue Current Tariff'!#REF!</f>
        <v>#REF!</v>
      </c>
      <c r="AP70" s="20" t="e">
        <f>'5|Revenue Current Tariff'!#REF!</f>
        <v>#REF!</v>
      </c>
      <c r="AQ70" s="20" t="e">
        <f>'5|Revenue Current Tariff'!#REF!</f>
        <v>#REF!</v>
      </c>
      <c r="AR70" s="6" t="e">
        <f t="shared" si="31"/>
        <v>#REF!</v>
      </c>
      <c r="AS70" s="16"/>
      <c r="AT70" s="5"/>
      <c r="AU70" s="5"/>
      <c r="AV70" s="26"/>
      <c r="AW70" s="20" t="e">
        <f>'5|Revenue Current Tariff'!#REF!</f>
        <v>#REF!</v>
      </c>
      <c r="AX70" s="20" t="e">
        <f>'5|Revenue Current Tariff'!#REF!</f>
        <v>#REF!</v>
      </c>
      <c r="AY70" s="20" t="e">
        <f>'5|Revenue Current Tariff'!#REF!</f>
        <v>#REF!</v>
      </c>
      <c r="AZ70" s="6" t="e">
        <f t="shared" si="32"/>
        <v>#REF!</v>
      </c>
      <c r="BA70" s="32"/>
      <c r="BB70" s="26"/>
      <c r="BC70" s="26"/>
      <c r="BD70" s="26"/>
      <c r="BE70" s="26"/>
    </row>
    <row r="71" spans="2:57" ht="12.75">
      <c r="B71"/>
      <c r="C71" s="4" t="s">
        <v>19</v>
      </c>
      <c r="D71" s="4"/>
      <c r="E71" s="16"/>
      <c r="F71" s="5"/>
      <c r="G71" s="5"/>
      <c r="H71" s="26"/>
      <c r="I71" s="20" t="e">
        <f>'5|Revenue Current Tariff'!#REF!</f>
        <v>#REF!</v>
      </c>
      <c r="J71" s="20" t="e">
        <f>'5|Revenue Current Tariff'!#REF!</f>
        <v>#REF!</v>
      </c>
      <c r="K71" s="20" t="e">
        <f>'5|Revenue Current Tariff'!#REF!</f>
        <v>#REF!</v>
      </c>
      <c r="L71" s="6" t="e">
        <f t="shared" si="27"/>
        <v>#REF!</v>
      </c>
      <c r="M71" s="16"/>
      <c r="N71" s="5"/>
      <c r="O71" s="5"/>
      <c r="P71" s="26"/>
      <c r="Q71" s="20" t="e">
        <f>'5|Revenue Current Tariff'!#REF!</f>
        <v>#REF!</v>
      </c>
      <c r="R71" s="20" t="e">
        <f>'5|Revenue Current Tariff'!#REF!</f>
        <v>#REF!</v>
      </c>
      <c r="S71" s="20" t="e">
        <f>'5|Revenue Current Tariff'!#REF!</f>
        <v>#REF!</v>
      </c>
      <c r="T71" s="6" t="e">
        <f t="shared" si="28"/>
        <v>#REF!</v>
      </c>
      <c r="U71" s="16"/>
      <c r="V71" s="5"/>
      <c r="W71" s="5"/>
      <c r="X71" s="26"/>
      <c r="Y71" s="20" t="e">
        <f>'5|Revenue Current Tariff'!#REF!</f>
        <v>#REF!</v>
      </c>
      <c r="Z71" s="20" t="e">
        <f>'5|Revenue Current Tariff'!#REF!</f>
        <v>#REF!</v>
      </c>
      <c r="AA71" s="20" t="e">
        <f>'5|Revenue Current Tariff'!#REF!</f>
        <v>#REF!</v>
      </c>
      <c r="AB71" s="6" t="e">
        <f t="shared" si="29"/>
        <v>#REF!</v>
      </c>
      <c r="AC71" s="16"/>
      <c r="AD71" s="5"/>
      <c r="AE71" s="5"/>
      <c r="AF71" s="26"/>
      <c r="AG71" s="20" t="e">
        <f>'5|Revenue Current Tariff'!#REF!</f>
        <v>#REF!</v>
      </c>
      <c r="AH71" s="20" t="e">
        <f>'5|Revenue Current Tariff'!#REF!</f>
        <v>#REF!</v>
      </c>
      <c r="AI71" s="20" t="e">
        <f>'5|Revenue Current Tariff'!#REF!</f>
        <v>#REF!</v>
      </c>
      <c r="AJ71" s="6" t="e">
        <f t="shared" si="30"/>
        <v>#REF!</v>
      </c>
      <c r="AK71" s="16"/>
      <c r="AL71" s="5"/>
      <c r="AM71" s="5"/>
      <c r="AN71" s="26"/>
      <c r="AO71" s="20" t="e">
        <f>'5|Revenue Current Tariff'!#REF!</f>
        <v>#REF!</v>
      </c>
      <c r="AP71" s="20" t="e">
        <f>'5|Revenue Current Tariff'!#REF!</f>
        <v>#REF!</v>
      </c>
      <c r="AQ71" s="20" t="e">
        <f>'5|Revenue Current Tariff'!#REF!</f>
        <v>#REF!</v>
      </c>
      <c r="AR71" s="6" t="e">
        <f t="shared" si="31"/>
        <v>#REF!</v>
      </c>
      <c r="AS71" s="16"/>
      <c r="AT71" s="5"/>
      <c r="AU71" s="5"/>
      <c r="AV71" s="26"/>
      <c r="AW71" s="20" t="e">
        <f>'5|Revenue Current Tariff'!#REF!</f>
        <v>#REF!</v>
      </c>
      <c r="AX71" s="20" t="e">
        <f>'5|Revenue Current Tariff'!#REF!</f>
        <v>#REF!</v>
      </c>
      <c r="AY71" s="20" t="e">
        <f>'5|Revenue Current Tariff'!#REF!</f>
        <v>#REF!</v>
      </c>
      <c r="AZ71" s="6" t="e">
        <f t="shared" si="32"/>
        <v>#REF!</v>
      </c>
      <c r="BA71" s="32"/>
      <c r="BB71" s="26"/>
      <c r="BC71" s="26"/>
      <c r="BD71" s="26"/>
      <c r="BE71" s="26"/>
    </row>
    <row r="72" spans="2:57" ht="12.75">
      <c r="B72"/>
      <c r="C72" s="4" t="s">
        <v>41</v>
      </c>
      <c r="D72" s="4"/>
      <c r="E72" s="16"/>
      <c r="F72" s="5"/>
      <c r="G72" s="5"/>
      <c r="H72" s="26"/>
      <c r="I72" s="20" t="e">
        <f>'5|Revenue Current Tariff'!#REF!</f>
        <v>#REF!</v>
      </c>
      <c r="J72" s="20" t="e">
        <f>'5|Revenue Current Tariff'!#REF!</f>
        <v>#REF!</v>
      </c>
      <c r="K72" s="20" t="e">
        <f>'5|Revenue Current Tariff'!#REF!</f>
        <v>#REF!</v>
      </c>
      <c r="L72" s="6" t="e">
        <f t="shared" si="27"/>
        <v>#REF!</v>
      </c>
      <c r="M72" s="16"/>
      <c r="N72" s="5"/>
      <c r="O72" s="5"/>
      <c r="P72" s="26"/>
      <c r="Q72" s="20">
        <f>'5|Revenue Current Tariff'!V70</f>
        <v>0</v>
      </c>
      <c r="R72" s="20">
        <f>'5|Revenue Current Tariff'!W70</f>
        <v>0</v>
      </c>
      <c r="S72" s="20">
        <f>'5|Revenue Current Tariff'!X70</f>
        <v>0</v>
      </c>
      <c r="T72" s="6">
        <f t="shared" si="28"/>
        <v>0</v>
      </c>
      <c r="U72" s="16"/>
      <c r="V72" s="5"/>
      <c r="W72" s="5"/>
      <c r="X72" s="26"/>
      <c r="Y72" s="20" t="e">
        <f>'5|Revenue Current Tariff'!#REF!</f>
        <v>#REF!</v>
      </c>
      <c r="Z72" s="20" t="e">
        <f>'5|Revenue Current Tariff'!#REF!</f>
        <v>#REF!</v>
      </c>
      <c r="AA72" s="20" t="e">
        <f>'5|Revenue Current Tariff'!#REF!</f>
        <v>#REF!</v>
      </c>
      <c r="AB72" s="6" t="e">
        <f t="shared" si="29"/>
        <v>#REF!</v>
      </c>
      <c r="AC72" s="16"/>
      <c r="AD72" s="5"/>
      <c r="AE72" s="5"/>
      <c r="AF72" s="26"/>
      <c r="AG72" s="20" t="e">
        <f>'5|Revenue Current Tariff'!#REF!</f>
        <v>#REF!</v>
      </c>
      <c r="AH72" s="20" t="e">
        <f>'5|Revenue Current Tariff'!#REF!</f>
        <v>#REF!</v>
      </c>
      <c r="AI72" s="20" t="e">
        <f>'5|Revenue Current Tariff'!#REF!</f>
        <v>#REF!</v>
      </c>
      <c r="AJ72" s="6" t="e">
        <f t="shared" si="30"/>
        <v>#REF!</v>
      </c>
      <c r="AK72" s="16"/>
      <c r="AL72" s="5"/>
      <c r="AM72" s="5"/>
      <c r="AN72" s="26"/>
      <c r="AO72" s="20" t="e">
        <f>'5|Revenue Current Tariff'!#REF!</f>
        <v>#REF!</v>
      </c>
      <c r="AP72" s="20" t="e">
        <f>'5|Revenue Current Tariff'!#REF!</f>
        <v>#REF!</v>
      </c>
      <c r="AQ72" s="20" t="e">
        <f>'5|Revenue Current Tariff'!#REF!</f>
        <v>#REF!</v>
      </c>
      <c r="AR72" s="6" t="e">
        <f t="shared" si="31"/>
        <v>#REF!</v>
      </c>
      <c r="AS72" s="16"/>
      <c r="AT72" s="5"/>
      <c r="AU72" s="5"/>
      <c r="AV72" s="26"/>
      <c r="AW72" s="20" t="e">
        <f>'5|Revenue Current Tariff'!#REF!</f>
        <v>#REF!</v>
      </c>
      <c r="AX72" s="20" t="e">
        <f>'5|Revenue Current Tariff'!#REF!</f>
        <v>#REF!</v>
      </c>
      <c r="AY72" s="20" t="e">
        <f>'5|Revenue Current Tariff'!#REF!</f>
        <v>#REF!</v>
      </c>
      <c r="AZ72" s="6" t="e">
        <f t="shared" si="32"/>
        <v>#REF!</v>
      </c>
      <c r="BA72" s="32"/>
      <c r="BB72" s="26"/>
      <c r="BC72" s="26"/>
      <c r="BD72" s="26"/>
      <c r="BE72" s="26"/>
    </row>
    <row r="73" spans="2:57" ht="12.75">
      <c r="B73"/>
      <c r="C73" s="4" t="s">
        <v>42</v>
      </c>
      <c r="D73" s="4"/>
      <c r="E73" s="16"/>
      <c r="F73" s="5"/>
      <c r="G73" s="5"/>
      <c r="H73" s="26"/>
      <c r="I73" s="20" t="e">
        <f>'5|Revenue Current Tariff'!#REF!</f>
        <v>#REF!</v>
      </c>
      <c r="J73" s="20" t="e">
        <f>'5|Revenue Current Tariff'!#REF!</f>
        <v>#REF!</v>
      </c>
      <c r="K73" s="20" t="e">
        <f>'5|Revenue Current Tariff'!#REF!</f>
        <v>#REF!</v>
      </c>
      <c r="L73" s="6" t="e">
        <f t="shared" si="27"/>
        <v>#REF!</v>
      </c>
      <c r="M73" s="16"/>
      <c r="N73" s="5"/>
      <c r="O73" s="5"/>
      <c r="P73" s="26"/>
      <c r="Q73" s="20">
        <f>'5|Revenue Current Tariff'!V69</f>
        <v>0</v>
      </c>
      <c r="R73" s="20">
        <f>'5|Revenue Current Tariff'!W69</f>
        <v>0</v>
      </c>
      <c r="S73" s="20">
        <f>'5|Revenue Current Tariff'!X69</f>
        <v>0</v>
      </c>
      <c r="T73" s="6">
        <f t="shared" si="28"/>
        <v>0</v>
      </c>
      <c r="U73" s="16"/>
      <c r="V73" s="5"/>
      <c r="W73" s="5"/>
      <c r="X73" s="26"/>
      <c r="Y73" s="20" t="e">
        <f>'5|Revenue Current Tariff'!#REF!</f>
        <v>#REF!</v>
      </c>
      <c r="Z73" s="20" t="e">
        <f>'5|Revenue Current Tariff'!#REF!</f>
        <v>#REF!</v>
      </c>
      <c r="AA73" s="20" t="e">
        <f>'5|Revenue Current Tariff'!#REF!</f>
        <v>#REF!</v>
      </c>
      <c r="AB73" s="6" t="e">
        <f t="shared" si="29"/>
        <v>#REF!</v>
      </c>
      <c r="AC73" s="16"/>
      <c r="AD73" s="5"/>
      <c r="AE73" s="5"/>
      <c r="AF73" s="26"/>
      <c r="AG73" s="20" t="e">
        <f>'5|Revenue Current Tariff'!#REF!</f>
        <v>#REF!</v>
      </c>
      <c r="AH73" s="20" t="e">
        <f>'5|Revenue Current Tariff'!#REF!</f>
        <v>#REF!</v>
      </c>
      <c r="AI73" s="20" t="e">
        <f>'5|Revenue Current Tariff'!#REF!</f>
        <v>#REF!</v>
      </c>
      <c r="AJ73" s="6" t="e">
        <f t="shared" si="30"/>
        <v>#REF!</v>
      </c>
      <c r="AK73" s="16"/>
      <c r="AL73" s="5"/>
      <c r="AM73" s="5"/>
      <c r="AN73" s="26"/>
      <c r="AO73" s="20" t="e">
        <f>'5|Revenue Current Tariff'!#REF!</f>
        <v>#REF!</v>
      </c>
      <c r="AP73" s="20" t="e">
        <f>'5|Revenue Current Tariff'!#REF!</f>
        <v>#REF!</v>
      </c>
      <c r="AQ73" s="20" t="e">
        <f>'5|Revenue Current Tariff'!#REF!</f>
        <v>#REF!</v>
      </c>
      <c r="AR73" s="6" t="e">
        <f t="shared" si="31"/>
        <v>#REF!</v>
      </c>
      <c r="AS73" s="16"/>
      <c r="AT73" s="5"/>
      <c r="AU73" s="5"/>
      <c r="AV73" s="26"/>
      <c r="AW73" s="20" t="e">
        <f>'5|Revenue Current Tariff'!#REF!</f>
        <v>#REF!</v>
      </c>
      <c r="AX73" s="20" t="e">
        <f>'5|Revenue Current Tariff'!#REF!</f>
        <v>#REF!</v>
      </c>
      <c r="AY73" s="20" t="e">
        <f>'5|Revenue Current Tariff'!#REF!</f>
        <v>#REF!</v>
      </c>
      <c r="AZ73" s="6" t="e">
        <f t="shared" si="32"/>
        <v>#REF!</v>
      </c>
      <c r="BA73" s="32"/>
      <c r="BB73" s="26"/>
      <c r="BC73" s="26"/>
      <c r="BD73" s="26"/>
      <c r="BE73" s="26"/>
    </row>
    <row r="74" spans="2:57" ht="12.75">
      <c r="B74"/>
      <c r="C74" s="14" t="e">
        <f>#REF!</f>
        <v>#REF!</v>
      </c>
      <c r="D74" s="4"/>
      <c r="E74" s="16"/>
      <c r="F74" s="5"/>
      <c r="G74" s="5"/>
      <c r="H74" s="26"/>
      <c r="I74" s="20" t="e">
        <f>'5|Revenue Current Tariff'!#REF!</f>
        <v>#REF!</v>
      </c>
      <c r="J74" s="20" t="e">
        <f>'5|Revenue Current Tariff'!#REF!</f>
        <v>#REF!</v>
      </c>
      <c r="K74" s="20" t="e">
        <f>'5|Revenue Current Tariff'!#REF!</f>
        <v>#REF!</v>
      </c>
      <c r="L74" s="6" t="e">
        <f t="shared" si="27"/>
        <v>#REF!</v>
      </c>
      <c r="M74" s="16"/>
      <c r="N74" s="5"/>
      <c r="O74" s="5"/>
      <c r="P74" s="26"/>
      <c r="Q74" s="20">
        <f>'5|Revenue Current Tariff'!V71</f>
        <v>0</v>
      </c>
      <c r="R74" s="20">
        <f>'5|Revenue Current Tariff'!W71</f>
        <v>0</v>
      </c>
      <c r="S74" s="20">
        <f>'5|Revenue Current Tariff'!X71</f>
        <v>0</v>
      </c>
      <c r="T74" s="6">
        <f t="shared" si="28"/>
        <v>0</v>
      </c>
      <c r="U74" s="16"/>
      <c r="V74" s="5"/>
      <c r="W74" s="5"/>
      <c r="X74" s="26"/>
      <c r="Y74" s="20" t="e">
        <f>'5|Revenue Current Tariff'!#REF!</f>
        <v>#REF!</v>
      </c>
      <c r="Z74" s="20" t="e">
        <f>'5|Revenue Current Tariff'!#REF!</f>
        <v>#REF!</v>
      </c>
      <c r="AA74" s="20" t="e">
        <f>'5|Revenue Current Tariff'!#REF!</f>
        <v>#REF!</v>
      </c>
      <c r="AB74" s="6" t="e">
        <f t="shared" si="29"/>
        <v>#REF!</v>
      </c>
      <c r="AC74" s="16"/>
      <c r="AD74" s="5"/>
      <c r="AE74" s="5"/>
      <c r="AF74" s="26"/>
      <c r="AG74" s="20" t="e">
        <f>'5|Revenue Current Tariff'!#REF!</f>
        <v>#REF!</v>
      </c>
      <c r="AH74" s="20" t="e">
        <f>'5|Revenue Current Tariff'!#REF!</f>
        <v>#REF!</v>
      </c>
      <c r="AI74" s="20" t="e">
        <f>'5|Revenue Current Tariff'!#REF!</f>
        <v>#REF!</v>
      </c>
      <c r="AJ74" s="6" t="e">
        <f t="shared" si="30"/>
        <v>#REF!</v>
      </c>
      <c r="AK74" s="16"/>
      <c r="AL74" s="5"/>
      <c r="AM74" s="5"/>
      <c r="AN74" s="26"/>
      <c r="AO74" s="20" t="e">
        <f>'5|Revenue Current Tariff'!#REF!</f>
        <v>#REF!</v>
      </c>
      <c r="AP74" s="20" t="e">
        <f>'5|Revenue Current Tariff'!#REF!</f>
        <v>#REF!</v>
      </c>
      <c r="AQ74" s="20" t="e">
        <f>'5|Revenue Current Tariff'!#REF!</f>
        <v>#REF!</v>
      </c>
      <c r="AR74" s="6" t="e">
        <f t="shared" si="31"/>
        <v>#REF!</v>
      </c>
      <c r="AS74" s="16"/>
      <c r="AT74" s="5"/>
      <c r="AU74" s="5"/>
      <c r="AV74" s="26"/>
      <c r="AW74" s="20" t="e">
        <f>'5|Revenue Current Tariff'!#REF!</f>
        <v>#REF!</v>
      </c>
      <c r="AX74" s="20" t="e">
        <f>'5|Revenue Current Tariff'!#REF!</f>
        <v>#REF!</v>
      </c>
      <c r="AY74" s="20" t="e">
        <f>'5|Revenue Current Tariff'!#REF!</f>
        <v>#REF!</v>
      </c>
      <c r="AZ74" s="6" t="e">
        <f t="shared" si="32"/>
        <v>#REF!</v>
      </c>
      <c r="BA74" s="32"/>
      <c r="BB74" s="26"/>
      <c r="BC74" s="26"/>
      <c r="BD74" s="26"/>
      <c r="BE74" s="26"/>
    </row>
    <row r="75" spans="2:57" ht="12.75">
      <c r="B75"/>
      <c r="C75" s="14" t="e">
        <f>#REF!</f>
        <v>#REF!</v>
      </c>
      <c r="D75" s="4"/>
      <c r="E75" s="16"/>
      <c r="F75" s="5"/>
      <c r="G75" s="5"/>
      <c r="H75" s="26"/>
      <c r="I75" s="20" t="e">
        <f>'5|Revenue Current Tariff'!#REF!</f>
        <v>#REF!</v>
      </c>
      <c r="J75" s="20" t="e">
        <f>'5|Revenue Current Tariff'!#REF!</f>
        <v>#REF!</v>
      </c>
      <c r="K75" s="20" t="e">
        <f>'5|Revenue Current Tariff'!#REF!</f>
        <v>#REF!</v>
      </c>
      <c r="L75" s="6" t="e">
        <f t="shared" si="27"/>
        <v>#REF!</v>
      </c>
      <c r="M75" s="16"/>
      <c r="N75" s="5"/>
      <c r="O75" s="5"/>
      <c r="P75" s="26"/>
      <c r="Q75" s="20">
        <f>'5|Revenue Current Tariff'!V72</f>
        <v>0</v>
      </c>
      <c r="R75" s="20">
        <f>'5|Revenue Current Tariff'!W72</f>
        <v>0</v>
      </c>
      <c r="S75" s="20">
        <f>'5|Revenue Current Tariff'!X72</f>
        <v>0</v>
      </c>
      <c r="T75" s="6">
        <f t="shared" si="28"/>
        <v>0</v>
      </c>
      <c r="U75" s="16"/>
      <c r="V75" s="5"/>
      <c r="W75" s="5"/>
      <c r="X75" s="26"/>
      <c r="Y75" s="20" t="e">
        <f>'5|Revenue Current Tariff'!#REF!</f>
        <v>#REF!</v>
      </c>
      <c r="Z75" s="20" t="e">
        <f>'5|Revenue Current Tariff'!#REF!</f>
        <v>#REF!</v>
      </c>
      <c r="AA75" s="20" t="e">
        <f>'5|Revenue Current Tariff'!#REF!</f>
        <v>#REF!</v>
      </c>
      <c r="AB75" s="6" t="e">
        <f t="shared" si="29"/>
        <v>#REF!</v>
      </c>
      <c r="AC75" s="16"/>
      <c r="AD75" s="5"/>
      <c r="AE75" s="5"/>
      <c r="AF75" s="26"/>
      <c r="AG75" s="20" t="e">
        <f>'5|Revenue Current Tariff'!#REF!</f>
        <v>#REF!</v>
      </c>
      <c r="AH75" s="20" t="e">
        <f>'5|Revenue Current Tariff'!#REF!</f>
        <v>#REF!</v>
      </c>
      <c r="AI75" s="20" t="e">
        <f>'5|Revenue Current Tariff'!#REF!</f>
        <v>#REF!</v>
      </c>
      <c r="AJ75" s="6" t="e">
        <f t="shared" si="30"/>
        <v>#REF!</v>
      </c>
      <c r="AK75" s="16"/>
      <c r="AL75" s="5"/>
      <c r="AM75" s="5"/>
      <c r="AN75" s="26"/>
      <c r="AO75" s="20" t="e">
        <f>'5|Revenue Current Tariff'!#REF!</f>
        <v>#REF!</v>
      </c>
      <c r="AP75" s="20" t="e">
        <f>'5|Revenue Current Tariff'!#REF!</f>
        <v>#REF!</v>
      </c>
      <c r="AQ75" s="20" t="e">
        <f>'5|Revenue Current Tariff'!#REF!</f>
        <v>#REF!</v>
      </c>
      <c r="AR75" s="6" t="e">
        <f t="shared" si="31"/>
        <v>#REF!</v>
      </c>
      <c r="AS75" s="16"/>
      <c r="AT75" s="5"/>
      <c r="AU75" s="5"/>
      <c r="AV75" s="26"/>
      <c r="AW75" s="20" t="e">
        <f>'5|Revenue Current Tariff'!#REF!</f>
        <v>#REF!</v>
      </c>
      <c r="AX75" s="20" t="e">
        <f>'5|Revenue Current Tariff'!#REF!</f>
        <v>#REF!</v>
      </c>
      <c r="AY75" s="20" t="e">
        <f>'5|Revenue Current Tariff'!#REF!</f>
        <v>#REF!</v>
      </c>
      <c r="AZ75" s="6" t="e">
        <f t="shared" si="32"/>
        <v>#REF!</v>
      </c>
      <c r="BA75" s="32"/>
      <c r="BB75" s="26"/>
      <c r="BC75" s="26"/>
      <c r="BD75" s="26"/>
      <c r="BE75" s="26"/>
    </row>
    <row r="76" spans="2:57" ht="12.75">
      <c r="B76"/>
      <c r="C76" s="14" t="e">
        <f>#REF!</f>
        <v>#REF!</v>
      </c>
      <c r="D76" s="4"/>
      <c r="E76" s="16"/>
      <c r="F76" s="5"/>
      <c r="G76" s="5"/>
      <c r="H76" s="26"/>
      <c r="I76" s="20" t="e">
        <f>'5|Revenue Current Tariff'!#REF!</f>
        <v>#REF!</v>
      </c>
      <c r="J76" s="20" t="e">
        <f>'5|Revenue Current Tariff'!#REF!</f>
        <v>#REF!</v>
      </c>
      <c r="K76" s="20" t="e">
        <f>'5|Revenue Current Tariff'!#REF!</f>
        <v>#REF!</v>
      </c>
      <c r="L76" s="6" t="e">
        <f t="shared" si="27"/>
        <v>#REF!</v>
      </c>
      <c r="M76" s="16"/>
      <c r="N76" s="5"/>
      <c r="O76" s="5"/>
      <c r="P76" s="26"/>
      <c r="Q76" s="20">
        <f>'5|Revenue Current Tariff'!V73</f>
        <v>0</v>
      </c>
      <c r="R76" s="20">
        <f>'5|Revenue Current Tariff'!W73</f>
        <v>0</v>
      </c>
      <c r="S76" s="20">
        <f>'5|Revenue Current Tariff'!X73</f>
        <v>0</v>
      </c>
      <c r="T76" s="6">
        <f t="shared" si="28"/>
        <v>0</v>
      </c>
      <c r="U76" s="16"/>
      <c r="V76" s="5"/>
      <c r="W76" s="5"/>
      <c r="X76" s="26"/>
      <c r="Y76" s="20" t="e">
        <f>'5|Revenue Current Tariff'!#REF!</f>
        <v>#REF!</v>
      </c>
      <c r="Z76" s="20" t="e">
        <f>'5|Revenue Current Tariff'!#REF!</f>
        <v>#REF!</v>
      </c>
      <c r="AA76" s="20" t="e">
        <f>'5|Revenue Current Tariff'!#REF!</f>
        <v>#REF!</v>
      </c>
      <c r="AB76" s="6" t="e">
        <f t="shared" si="29"/>
        <v>#REF!</v>
      </c>
      <c r="AC76" s="16"/>
      <c r="AD76" s="5"/>
      <c r="AE76" s="5"/>
      <c r="AF76" s="26"/>
      <c r="AG76" s="20" t="e">
        <f>'5|Revenue Current Tariff'!#REF!</f>
        <v>#REF!</v>
      </c>
      <c r="AH76" s="20" t="e">
        <f>'5|Revenue Current Tariff'!#REF!</f>
        <v>#REF!</v>
      </c>
      <c r="AI76" s="20" t="e">
        <f>'5|Revenue Current Tariff'!#REF!</f>
        <v>#REF!</v>
      </c>
      <c r="AJ76" s="6" t="e">
        <f t="shared" si="30"/>
        <v>#REF!</v>
      </c>
      <c r="AK76" s="16"/>
      <c r="AL76" s="5"/>
      <c r="AM76" s="5"/>
      <c r="AN76" s="26"/>
      <c r="AO76" s="20" t="e">
        <f>'5|Revenue Current Tariff'!#REF!</f>
        <v>#REF!</v>
      </c>
      <c r="AP76" s="20" t="e">
        <f>'5|Revenue Current Tariff'!#REF!</f>
        <v>#REF!</v>
      </c>
      <c r="AQ76" s="20" t="e">
        <f>'5|Revenue Current Tariff'!#REF!</f>
        <v>#REF!</v>
      </c>
      <c r="AR76" s="6" t="e">
        <f t="shared" si="31"/>
        <v>#REF!</v>
      </c>
      <c r="AS76" s="16"/>
      <c r="AT76" s="5"/>
      <c r="AU76" s="5"/>
      <c r="AV76" s="26"/>
      <c r="AW76" s="20" t="e">
        <f>'5|Revenue Current Tariff'!#REF!</f>
        <v>#REF!</v>
      </c>
      <c r="AX76" s="20" t="e">
        <f>'5|Revenue Current Tariff'!#REF!</f>
        <v>#REF!</v>
      </c>
      <c r="AY76" s="20" t="e">
        <f>'5|Revenue Current Tariff'!#REF!</f>
        <v>#REF!</v>
      </c>
      <c r="AZ76" s="6" t="e">
        <f t="shared" si="32"/>
        <v>#REF!</v>
      </c>
      <c r="BA76" s="32"/>
      <c r="BB76" s="26"/>
      <c r="BC76" s="26"/>
      <c r="BD76" s="26"/>
      <c r="BE76" s="26"/>
    </row>
    <row r="77" spans="2:57" ht="12.75">
      <c r="B77"/>
      <c r="C77" s="14" t="e">
        <f>#REF!</f>
        <v>#REF!</v>
      </c>
      <c r="D77" s="4"/>
      <c r="E77" s="16"/>
      <c r="F77" s="5"/>
      <c r="G77" s="5"/>
      <c r="H77" s="26"/>
      <c r="I77" s="20" t="e">
        <f>'5|Revenue Current Tariff'!#REF!</f>
        <v>#REF!</v>
      </c>
      <c r="J77" s="20" t="e">
        <f>'5|Revenue Current Tariff'!#REF!</f>
        <v>#REF!</v>
      </c>
      <c r="K77" s="20" t="e">
        <f>'5|Revenue Current Tariff'!#REF!</f>
        <v>#REF!</v>
      </c>
      <c r="L77" s="6" t="e">
        <f t="shared" si="27"/>
        <v>#REF!</v>
      </c>
      <c r="M77" s="16"/>
      <c r="N77" s="5"/>
      <c r="O77" s="5"/>
      <c r="P77" s="26"/>
      <c r="Q77" s="20">
        <f>'5|Revenue Current Tariff'!V74</f>
        <v>0</v>
      </c>
      <c r="R77" s="20">
        <f>'5|Revenue Current Tariff'!W74</f>
        <v>0</v>
      </c>
      <c r="S77" s="20">
        <f>'5|Revenue Current Tariff'!X74</f>
        <v>0</v>
      </c>
      <c r="T77" s="6">
        <f t="shared" si="28"/>
        <v>0</v>
      </c>
      <c r="U77" s="16"/>
      <c r="V77" s="5"/>
      <c r="W77" s="5"/>
      <c r="X77" s="26"/>
      <c r="Y77" s="20" t="e">
        <f>'5|Revenue Current Tariff'!#REF!</f>
        <v>#REF!</v>
      </c>
      <c r="Z77" s="20" t="e">
        <f>'5|Revenue Current Tariff'!#REF!</f>
        <v>#REF!</v>
      </c>
      <c r="AA77" s="20" t="e">
        <f>'5|Revenue Current Tariff'!#REF!</f>
        <v>#REF!</v>
      </c>
      <c r="AB77" s="6" t="e">
        <f t="shared" si="29"/>
        <v>#REF!</v>
      </c>
      <c r="AC77" s="16"/>
      <c r="AD77" s="5"/>
      <c r="AE77" s="5"/>
      <c r="AF77" s="26"/>
      <c r="AG77" s="20" t="e">
        <f>'5|Revenue Current Tariff'!#REF!</f>
        <v>#REF!</v>
      </c>
      <c r="AH77" s="20" t="e">
        <f>'5|Revenue Current Tariff'!#REF!</f>
        <v>#REF!</v>
      </c>
      <c r="AI77" s="20" t="e">
        <f>'5|Revenue Current Tariff'!#REF!</f>
        <v>#REF!</v>
      </c>
      <c r="AJ77" s="6" t="e">
        <f t="shared" si="30"/>
        <v>#REF!</v>
      </c>
      <c r="AK77" s="16"/>
      <c r="AL77" s="5"/>
      <c r="AM77" s="5"/>
      <c r="AN77" s="26"/>
      <c r="AO77" s="20" t="e">
        <f>'5|Revenue Current Tariff'!#REF!</f>
        <v>#REF!</v>
      </c>
      <c r="AP77" s="20" t="e">
        <f>'5|Revenue Current Tariff'!#REF!</f>
        <v>#REF!</v>
      </c>
      <c r="AQ77" s="20" t="e">
        <f>'5|Revenue Current Tariff'!#REF!</f>
        <v>#REF!</v>
      </c>
      <c r="AR77" s="6" t="e">
        <f t="shared" si="31"/>
        <v>#REF!</v>
      </c>
      <c r="AS77" s="16"/>
      <c r="AT77" s="5"/>
      <c r="AU77" s="5"/>
      <c r="AV77" s="26"/>
      <c r="AW77" s="20" t="e">
        <f>'5|Revenue Current Tariff'!#REF!</f>
        <v>#REF!</v>
      </c>
      <c r="AX77" s="20" t="e">
        <f>'5|Revenue Current Tariff'!#REF!</f>
        <v>#REF!</v>
      </c>
      <c r="AY77" s="20" t="e">
        <f>'5|Revenue Current Tariff'!#REF!</f>
        <v>#REF!</v>
      </c>
      <c r="AZ77" s="6" t="e">
        <f t="shared" si="32"/>
        <v>#REF!</v>
      </c>
      <c r="BA77" s="32"/>
      <c r="BB77" s="26"/>
      <c r="BC77" s="26"/>
      <c r="BD77" s="26"/>
      <c r="BE77" s="26"/>
    </row>
    <row r="78" spans="2:57" ht="12.75">
      <c r="B78"/>
      <c r="C78" s="14" t="e">
        <f>#REF!</f>
        <v>#REF!</v>
      </c>
      <c r="D78" s="4"/>
      <c r="E78" s="16"/>
      <c r="F78" s="5"/>
      <c r="G78" s="5"/>
      <c r="H78" s="26"/>
      <c r="I78" s="20" t="e">
        <f>'5|Revenue Current Tariff'!#REF!</f>
        <v>#REF!</v>
      </c>
      <c r="J78" s="20" t="e">
        <f>'5|Revenue Current Tariff'!#REF!</f>
        <v>#REF!</v>
      </c>
      <c r="K78" s="20" t="e">
        <f>'5|Revenue Current Tariff'!#REF!</f>
        <v>#REF!</v>
      </c>
      <c r="L78" s="6" t="e">
        <f t="shared" si="27"/>
        <v>#REF!</v>
      </c>
      <c r="M78" s="16"/>
      <c r="N78" s="5"/>
      <c r="O78" s="5"/>
      <c r="P78" s="26"/>
      <c r="Q78" s="20" t="e">
        <f>'5|Revenue Current Tariff'!#REF!</f>
        <v>#REF!</v>
      </c>
      <c r="R78" s="20" t="e">
        <f>'5|Revenue Current Tariff'!#REF!</f>
        <v>#REF!</v>
      </c>
      <c r="S78" s="20" t="e">
        <f>'5|Revenue Current Tariff'!#REF!</f>
        <v>#REF!</v>
      </c>
      <c r="T78" s="6" t="e">
        <f t="shared" si="28"/>
        <v>#REF!</v>
      </c>
      <c r="U78" s="16"/>
      <c r="V78" s="5"/>
      <c r="W78" s="5"/>
      <c r="X78" s="26"/>
      <c r="Y78" s="20" t="e">
        <f>'5|Revenue Current Tariff'!#REF!</f>
        <v>#REF!</v>
      </c>
      <c r="Z78" s="20" t="e">
        <f>'5|Revenue Current Tariff'!#REF!</f>
        <v>#REF!</v>
      </c>
      <c r="AA78" s="20" t="e">
        <f>'5|Revenue Current Tariff'!#REF!</f>
        <v>#REF!</v>
      </c>
      <c r="AB78" s="6" t="e">
        <f t="shared" si="29"/>
        <v>#REF!</v>
      </c>
      <c r="AC78" s="16"/>
      <c r="AD78" s="5"/>
      <c r="AE78" s="5"/>
      <c r="AF78" s="26"/>
      <c r="AG78" s="20" t="e">
        <f>'5|Revenue Current Tariff'!#REF!</f>
        <v>#REF!</v>
      </c>
      <c r="AH78" s="20" t="e">
        <f>'5|Revenue Current Tariff'!#REF!</f>
        <v>#REF!</v>
      </c>
      <c r="AI78" s="20" t="e">
        <f>'5|Revenue Current Tariff'!#REF!</f>
        <v>#REF!</v>
      </c>
      <c r="AJ78" s="6" t="e">
        <f t="shared" si="30"/>
        <v>#REF!</v>
      </c>
      <c r="AK78" s="16"/>
      <c r="AL78" s="5"/>
      <c r="AM78" s="5"/>
      <c r="AN78" s="26"/>
      <c r="AO78" s="20" t="e">
        <f>'5|Revenue Current Tariff'!#REF!</f>
        <v>#REF!</v>
      </c>
      <c r="AP78" s="20" t="e">
        <f>'5|Revenue Current Tariff'!#REF!</f>
        <v>#REF!</v>
      </c>
      <c r="AQ78" s="20" t="e">
        <f>'5|Revenue Current Tariff'!#REF!</f>
        <v>#REF!</v>
      </c>
      <c r="AR78" s="6" t="e">
        <f t="shared" si="31"/>
        <v>#REF!</v>
      </c>
      <c r="AS78" s="16"/>
      <c r="AT78" s="5"/>
      <c r="AU78" s="5"/>
      <c r="AV78" s="26"/>
      <c r="AW78" s="20" t="e">
        <f>'5|Revenue Current Tariff'!#REF!</f>
        <v>#REF!</v>
      </c>
      <c r="AX78" s="20" t="e">
        <f>'5|Revenue Current Tariff'!#REF!</f>
        <v>#REF!</v>
      </c>
      <c r="AY78" s="20" t="e">
        <f>'5|Revenue Current Tariff'!#REF!</f>
        <v>#REF!</v>
      </c>
      <c r="AZ78" s="6" t="e">
        <f t="shared" si="32"/>
        <v>#REF!</v>
      </c>
      <c r="BA78" s="32"/>
      <c r="BB78" s="26"/>
      <c r="BC78" s="26"/>
      <c r="BD78" s="26"/>
      <c r="BE78" s="26"/>
    </row>
    <row r="79" spans="2:57" ht="12.75">
      <c r="B79"/>
      <c r="C79" s="14" t="e">
        <f>#REF!</f>
        <v>#REF!</v>
      </c>
      <c r="D79" s="4"/>
      <c r="E79" s="16"/>
      <c r="F79" s="5"/>
      <c r="G79" s="5"/>
      <c r="H79" s="26"/>
      <c r="I79" s="20" t="e">
        <f>'5|Revenue Current Tariff'!#REF!</f>
        <v>#REF!</v>
      </c>
      <c r="J79" s="20" t="e">
        <f>'5|Revenue Current Tariff'!#REF!</f>
        <v>#REF!</v>
      </c>
      <c r="K79" s="20" t="e">
        <f>'5|Revenue Current Tariff'!#REF!</f>
        <v>#REF!</v>
      </c>
      <c r="L79" s="6" t="e">
        <f t="shared" si="27"/>
        <v>#REF!</v>
      </c>
      <c r="M79" s="16"/>
      <c r="N79" s="5"/>
      <c r="O79" s="5"/>
      <c r="P79" s="26"/>
      <c r="Q79" s="20">
        <f>'5|Revenue Current Tariff'!V92</f>
        <v>0</v>
      </c>
      <c r="R79" s="20">
        <f>'5|Revenue Current Tariff'!W92</f>
        <v>0</v>
      </c>
      <c r="S79" s="20">
        <f>'5|Revenue Current Tariff'!X92</f>
        <v>0</v>
      </c>
      <c r="T79" s="6">
        <f t="shared" si="28"/>
        <v>0</v>
      </c>
      <c r="U79" s="16"/>
      <c r="V79" s="5"/>
      <c r="W79" s="5"/>
      <c r="X79" s="26"/>
      <c r="Y79" s="20" t="e">
        <f>'5|Revenue Current Tariff'!#REF!</f>
        <v>#REF!</v>
      </c>
      <c r="Z79" s="20" t="e">
        <f>'5|Revenue Current Tariff'!#REF!</f>
        <v>#REF!</v>
      </c>
      <c r="AA79" s="20" t="e">
        <f>'5|Revenue Current Tariff'!#REF!</f>
        <v>#REF!</v>
      </c>
      <c r="AB79" s="6" t="e">
        <f t="shared" si="29"/>
        <v>#REF!</v>
      </c>
      <c r="AC79" s="16"/>
      <c r="AD79" s="5"/>
      <c r="AE79" s="5"/>
      <c r="AF79" s="26"/>
      <c r="AG79" s="20" t="e">
        <f>'5|Revenue Current Tariff'!#REF!</f>
        <v>#REF!</v>
      </c>
      <c r="AH79" s="20" t="e">
        <f>'5|Revenue Current Tariff'!#REF!</f>
        <v>#REF!</v>
      </c>
      <c r="AI79" s="20" t="e">
        <f>'5|Revenue Current Tariff'!#REF!</f>
        <v>#REF!</v>
      </c>
      <c r="AJ79" s="6" t="e">
        <f t="shared" si="30"/>
        <v>#REF!</v>
      </c>
      <c r="AK79" s="16"/>
      <c r="AL79" s="5"/>
      <c r="AM79" s="5"/>
      <c r="AN79" s="26"/>
      <c r="AO79" s="20" t="e">
        <f>'5|Revenue Current Tariff'!#REF!</f>
        <v>#REF!</v>
      </c>
      <c r="AP79" s="20" t="e">
        <f>'5|Revenue Current Tariff'!#REF!</f>
        <v>#REF!</v>
      </c>
      <c r="AQ79" s="20" t="e">
        <f>'5|Revenue Current Tariff'!#REF!</f>
        <v>#REF!</v>
      </c>
      <c r="AR79" s="6" t="e">
        <f t="shared" si="31"/>
        <v>#REF!</v>
      </c>
      <c r="AS79" s="16"/>
      <c r="AT79" s="5"/>
      <c r="AU79" s="5"/>
      <c r="AV79" s="26"/>
      <c r="AW79" s="20" t="e">
        <f>'5|Revenue Current Tariff'!#REF!</f>
        <v>#REF!</v>
      </c>
      <c r="AX79" s="20" t="e">
        <f>'5|Revenue Current Tariff'!#REF!</f>
        <v>#REF!</v>
      </c>
      <c r="AY79" s="20" t="e">
        <f>'5|Revenue Current Tariff'!#REF!</f>
        <v>#REF!</v>
      </c>
      <c r="AZ79" s="6" t="e">
        <f t="shared" si="32"/>
        <v>#REF!</v>
      </c>
      <c r="BA79" s="32"/>
      <c r="BB79" s="26"/>
      <c r="BC79" s="26"/>
      <c r="BD79" s="26"/>
      <c r="BE79" s="26"/>
    </row>
    <row r="80" spans="2:57" ht="12" customHeight="1">
      <c r="B80">
        <v>10073</v>
      </c>
      <c r="C80" s="11" t="s">
        <v>170</v>
      </c>
      <c r="D80" s="21"/>
      <c r="E80" s="17">
        <f t="shared" ref="E80:L80" si="33">SUM(E81:E106)</f>
        <v>0</v>
      </c>
      <c r="F80" s="12">
        <f>SUM(F81:F106)</f>
        <v>0</v>
      </c>
      <c r="G80" s="12">
        <f>SUM(G81:G106)</f>
        <v>0</v>
      </c>
      <c r="H80" s="26"/>
      <c r="I80" s="12" t="e">
        <f t="shared" si="33"/>
        <v>#REF!</v>
      </c>
      <c r="J80" s="12" t="e">
        <f t="shared" si="33"/>
        <v>#REF!</v>
      </c>
      <c r="K80" s="12" t="e">
        <f t="shared" si="33"/>
        <v>#REF!</v>
      </c>
      <c r="L80" s="12" t="e">
        <f t="shared" si="33"/>
        <v>#REF!</v>
      </c>
      <c r="M80" s="17">
        <f>SUM(M81:M106)</f>
        <v>0</v>
      </c>
      <c r="N80" s="12">
        <f>SUM(N81:N106)</f>
        <v>0</v>
      </c>
      <c r="O80" s="12">
        <f>SUM(O81:O106)</f>
        <v>0</v>
      </c>
      <c r="P80" s="26"/>
      <c r="Q80" s="12" t="e">
        <f t="shared" ref="Q80:W80" si="34">SUM(Q81:Q106)</f>
        <v>#REF!</v>
      </c>
      <c r="R80" s="12" t="e">
        <f t="shared" si="34"/>
        <v>#REF!</v>
      </c>
      <c r="S80" s="12" t="e">
        <f t="shared" si="34"/>
        <v>#REF!</v>
      </c>
      <c r="T80" s="12" t="e">
        <f t="shared" si="34"/>
        <v>#REF!</v>
      </c>
      <c r="U80" s="17">
        <f t="shared" si="34"/>
        <v>0</v>
      </c>
      <c r="V80" s="12">
        <f t="shared" si="34"/>
        <v>0</v>
      </c>
      <c r="W80" s="12">
        <f t="shared" si="34"/>
        <v>0</v>
      </c>
      <c r="X80" s="26"/>
      <c r="Y80" s="12" t="e">
        <f t="shared" ref="Y80:AE80" si="35">SUM(Y81:Y106)</f>
        <v>#REF!</v>
      </c>
      <c r="Z80" s="12" t="e">
        <f t="shared" si="35"/>
        <v>#REF!</v>
      </c>
      <c r="AA80" s="12" t="e">
        <f t="shared" si="35"/>
        <v>#REF!</v>
      </c>
      <c r="AB80" s="12" t="e">
        <f t="shared" si="35"/>
        <v>#REF!</v>
      </c>
      <c r="AC80" s="17">
        <f t="shared" si="35"/>
        <v>0</v>
      </c>
      <c r="AD80" s="12">
        <f t="shared" si="35"/>
        <v>0</v>
      </c>
      <c r="AE80" s="12">
        <f t="shared" si="35"/>
        <v>0</v>
      </c>
      <c r="AF80" s="26"/>
      <c r="AG80" s="12" t="e">
        <f t="shared" ref="AG80:AM80" si="36">SUM(AG81:AG106)</f>
        <v>#REF!</v>
      </c>
      <c r="AH80" s="12" t="e">
        <f t="shared" si="36"/>
        <v>#REF!</v>
      </c>
      <c r="AI80" s="12" t="e">
        <f t="shared" si="36"/>
        <v>#REF!</v>
      </c>
      <c r="AJ80" s="12" t="e">
        <f t="shared" si="36"/>
        <v>#REF!</v>
      </c>
      <c r="AK80" s="17">
        <f t="shared" si="36"/>
        <v>0</v>
      </c>
      <c r="AL80" s="12">
        <f t="shared" si="36"/>
        <v>0</v>
      </c>
      <c r="AM80" s="12">
        <f t="shared" si="36"/>
        <v>0</v>
      </c>
      <c r="AN80" s="26"/>
      <c r="AO80" s="12" t="e">
        <f t="shared" ref="AO80:AU80" si="37">SUM(AO81:AO106)</f>
        <v>#REF!</v>
      </c>
      <c r="AP80" s="12" t="e">
        <f t="shared" si="37"/>
        <v>#REF!</v>
      </c>
      <c r="AQ80" s="12" t="e">
        <f t="shared" si="37"/>
        <v>#REF!</v>
      </c>
      <c r="AR80" s="12" t="e">
        <f t="shared" si="37"/>
        <v>#REF!</v>
      </c>
      <c r="AS80" s="17">
        <f t="shared" si="37"/>
        <v>0</v>
      </c>
      <c r="AT80" s="12">
        <f t="shared" si="37"/>
        <v>0</v>
      </c>
      <c r="AU80" s="12">
        <f t="shared" si="37"/>
        <v>0</v>
      </c>
      <c r="AV80" s="26"/>
      <c r="AW80" s="12" t="e">
        <f>SUM(AW81:AW106)</f>
        <v>#REF!</v>
      </c>
      <c r="AX80" s="12" t="e">
        <f>SUM(AX81:AX106)</f>
        <v>#REF!</v>
      </c>
      <c r="AY80" s="12" t="e">
        <f>SUM(AY81:AY106)</f>
        <v>#REF!</v>
      </c>
      <c r="AZ80" s="12" t="e">
        <f>SUM(AZ81:AZ106)</f>
        <v>#REF!</v>
      </c>
      <c r="BA80" s="32"/>
      <c r="BB80" s="26"/>
      <c r="BC80" s="26"/>
      <c r="BD80" s="26"/>
      <c r="BE80" s="26"/>
    </row>
    <row r="81" spans="2:57" ht="12.75">
      <c r="B81">
        <v>10041</v>
      </c>
      <c r="C81" s="4" t="s">
        <v>162</v>
      </c>
      <c r="D81" s="4"/>
      <c r="E81" s="16"/>
      <c r="F81" s="5"/>
      <c r="G81" s="5"/>
      <c r="H81" s="26"/>
      <c r="I81" s="20" t="e">
        <f>'5|Revenue Current Tariff'!#REF!</f>
        <v>#REF!</v>
      </c>
      <c r="J81" s="20" t="e">
        <f>'5|Revenue Current Tariff'!#REF!</f>
        <v>#REF!</v>
      </c>
      <c r="K81" s="20" t="e">
        <f>'5|Revenue Current Tariff'!#REF!</f>
        <v>#REF!</v>
      </c>
      <c r="L81" s="6" t="e">
        <f>SUM(I81:K81)</f>
        <v>#REF!</v>
      </c>
      <c r="M81" s="16"/>
      <c r="N81" s="5"/>
      <c r="O81" s="5"/>
      <c r="P81" s="26"/>
      <c r="Q81" s="20" t="e">
        <f>'5|Revenue Current Tariff'!#REF!</f>
        <v>#REF!</v>
      </c>
      <c r="R81" s="20" t="e">
        <f>'5|Revenue Current Tariff'!#REF!</f>
        <v>#REF!</v>
      </c>
      <c r="S81" s="20" t="e">
        <f>'5|Revenue Current Tariff'!#REF!</f>
        <v>#REF!</v>
      </c>
      <c r="T81" s="6" t="e">
        <f>SUM(Q81:S81)</f>
        <v>#REF!</v>
      </c>
      <c r="U81" s="16"/>
      <c r="V81" s="5"/>
      <c r="W81" s="5"/>
      <c r="X81" s="26"/>
      <c r="Y81" s="20" t="e">
        <f>'5|Revenue Current Tariff'!#REF!</f>
        <v>#REF!</v>
      </c>
      <c r="Z81" s="20" t="e">
        <f>'5|Revenue Current Tariff'!#REF!</f>
        <v>#REF!</v>
      </c>
      <c r="AA81" s="20" t="e">
        <f>'5|Revenue Current Tariff'!#REF!</f>
        <v>#REF!</v>
      </c>
      <c r="AB81" s="6" t="e">
        <f>SUM(Y81:AA81)</f>
        <v>#REF!</v>
      </c>
      <c r="AC81" s="16"/>
      <c r="AD81" s="5"/>
      <c r="AE81" s="5"/>
      <c r="AF81" s="26"/>
      <c r="AG81" s="20" t="e">
        <f>'5|Revenue Current Tariff'!#REF!</f>
        <v>#REF!</v>
      </c>
      <c r="AH81" s="20" t="e">
        <f>'5|Revenue Current Tariff'!#REF!</f>
        <v>#REF!</v>
      </c>
      <c r="AI81" s="20" t="e">
        <f>'5|Revenue Current Tariff'!#REF!</f>
        <v>#REF!</v>
      </c>
      <c r="AJ81" s="6" t="e">
        <f>SUM(AG81:AI81)</f>
        <v>#REF!</v>
      </c>
      <c r="AK81" s="16"/>
      <c r="AL81" s="5"/>
      <c r="AM81" s="5"/>
      <c r="AN81" s="26"/>
      <c r="AO81" s="20" t="e">
        <f>'5|Revenue Current Tariff'!#REF!</f>
        <v>#REF!</v>
      </c>
      <c r="AP81" s="20" t="e">
        <f>'5|Revenue Current Tariff'!#REF!</f>
        <v>#REF!</v>
      </c>
      <c r="AQ81" s="20" t="e">
        <f>'5|Revenue Current Tariff'!#REF!</f>
        <v>#REF!</v>
      </c>
      <c r="AR81" s="6" t="e">
        <f>SUM(AO81:AQ81)</f>
        <v>#REF!</v>
      </c>
      <c r="AS81" s="16"/>
      <c r="AT81" s="5"/>
      <c r="AU81" s="5"/>
      <c r="AV81" s="26"/>
      <c r="AW81" s="20" t="e">
        <f>'5|Revenue Current Tariff'!#REF!</f>
        <v>#REF!</v>
      </c>
      <c r="AX81" s="20" t="e">
        <f>'5|Revenue Current Tariff'!#REF!</f>
        <v>#REF!</v>
      </c>
      <c r="AY81" s="20" t="e">
        <f>'5|Revenue Current Tariff'!#REF!</f>
        <v>#REF!</v>
      </c>
      <c r="AZ81" s="6" t="e">
        <f>SUM(AW81:AY81)</f>
        <v>#REF!</v>
      </c>
      <c r="BA81" s="32"/>
      <c r="BB81" s="26"/>
      <c r="BC81" s="26"/>
      <c r="BD81" s="26"/>
      <c r="BE81" s="26"/>
    </row>
    <row r="82" spans="2:57" ht="12.75">
      <c r="B82">
        <v>10105</v>
      </c>
      <c r="C82" s="13" t="s">
        <v>163</v>
      </c>
      <c r="D82" s="4"/>
      <c r="E82" s="16"/>
      <c r="F82" s="5"/>
      <c r="G82" s="5"/>
      <c r="H82" s="26"/>
      <c r="I82" s="20" t="e">
        <f>'5|Revenue Current Tariff'!#REF!</f>
        <v>#REF!</v>
      </c>
      <c r="J82" s="20" t="e">
        <f>'5|Revenue Current Tariff'!#REF!</f>
        <v>#REF!</v>
      </c>
      <c r="K82" s="20" t="e">
        <f>'5|Revenue Current Tariff'!#REF!</f>
        <v>#REF!</v>
      </c>
      <c r="L82" s="6" t="e">
        <f t="shared" ref="L82:L106" si="38">SUM(I82:K82)</f>
        <v>#REF!</v>
      </c>
      <c r="M82" s="16"/>
      <c r="N82" s="5"/>
      <c r="O82" s="5"/>
      <c r="P82" s="26"/>
      <c r="Q82" s="20">
        <f>'5|Revenue Current Tariff'!V95</f>
        <v>0</v>
      </c>
      <c r="R82" s="20">
        <f>'5|Revenue Current Tariff'!W95</f>
        <v>0</v>
      </c>
      <c r="S82" s="20">
        <f>'5|Revenue Current Tariff'!X95</f>
        <v>0</v>
      </c>
      <c r="T82" s="6">
        <f t="shared" ref="T82:T106" si="39">SUM(Q82:S82)</f>
        <v>0</v>
      </c>
      <c r="U82" s="16"/>
      <c r="V82" s="5"/>
      <c r="W82" s="5"/>
      <c r="X82" s="26"/>
      <c r="Y82" s="20" t="e">
        <f>'5|Revenue Current Tariff'!#REF!</f>
        <v>#REF!</v>
      </c>
      <c r="Z82" s="20" t="e">
        <f>'5|Revenue Current Tariff'!#REF!</f>
        <v>#REF!</v>
      </c>
      <c r="AA82" s="20" t="e">
        <f>'5|Revenue Current Tariff'!#REF!</f>
        <v>#REF!</v>
      </c>
      <c r="AB82" s="6" t="e">
        <f t="shared" ref="AB82:AB106" si="40">SUM(Y82:AA82)</f>
        <v>#REF!</v>
      </c>
      <c r="AC82" s="16"/>
      <c r="AD82" s="5"/>
      <c r="AE82" s="5"/>
      <c r="AF82" s="26"/>
      <c r="AG82" s="20" t="e">
        <f>'5|Revenue Current Tariff'!#REF!</f>
        <v>#REF!</v>
      </c>
      <c r="AH82" s="20" t="e">
        <f>'5|Revenue Current Tariff'!#REF!</f>
        <v>#REF!</v>
      </c>
      <c r="AI82" s="20" t="e">
        <f>'5|Revenue Current Tariff'!#REF!</f>
        <v>#REF!</v>
      </c>
      <c r="AJ82" s="6" t="e">
        <f t="shared" ref="AJ82:AJ106" si="41">SUM(AG82:AI82)</f>
        <v>#REF!</v>
      </c>
      <c r="AK82" s="16"/>
      <c r="AL82" s="5"/>
      <c r="AM82" s="5"/>
      <c r="AN82" s="26"/>
      <c r="AO82" s="20" t="e">
        <f>'5|Revenue Current Tariff'!#REF!</f>
        <v>#REF!</v>
      </c>
      <c r="AP82" s="20" t="e">
        <f>'5|Revenue Current Tariff'!#REF!</f>
        <v>#REF!</v>
      </c>
      <c r="AQ82" s="20" t="e">
        <f>'5|Revenue Current Tariff'!#REF!</f>
        <v>#REF!</v>
      </c>
      <c r="AR82" s="6" t="e">
        <f t="shared" ref="AR82:AR106" si="42">SUM(AO82:AQ82)</f>
        <v>#REF!</v>
      </c>
      <c r="AS82" s="16"/>
      <c r="AT82" s="5"/>
      <c r="AU82" s="5"/>
      <c r="AV82" s="26"/>
      <c r="AW82" s="20" t="e">
        <f>'5|Revenue Current Tariff'!#REF!</f>
        <v>#REF!</v>
      </c>
      <c r="AX82" s="20" t="e">
        <f>'5|Revenue Current Tariff'!#REF!</f>
        <v>#REF!</v>
      </c>
      <c r="AY82" s="20" t="e">
        <f>'5|Revenue Current Tariff'!#REF!</f>
        <v>#REF!</v>
      </c>
      <c r="AZ82" s="6" t="e">
        <f t="shared" ref="AZ82:AZ106" si="43">SUM(AW82:AY82)</f>
        <v>#REF!</v>
      </c>
      <c r="BA82" s="32"/>
      <c r="BB82" s="26"/>
      <c r="BC82" s="26"/>
      <c r="BD82" s="26"/>
      <c r="BE82" s="26"/>
    </row>
    <row r="83" spans="2:57" ht="12.75">
      <c r="B83">
        <v>10109</v>
      </c>
      <c r="C83" s="13" t="s">
        <v>164</v>
      </c>
      <c r="D83" s="4"/>
      <c r="E83" s="16"/>
      <c r="F83" s="5"/>
      <c r="G83" s="5"/>
      <c r="H83" s="26"/>
      <c r="I83" s="20" t="e">
        <f>'5|Revenue Current Tariff'!#REF!</f>
        <v>#REF!</v>
      </c>
      <c r="J83" s="20" t="e">
        <f>'5|Revenue Current Tariff'!#REF!</f>
        <v>#REF!</v>
      </c>
      <c r="K83" s="20" t="e">
        <f>'5|Revenue Current Tariff'!#REF!</f>
        <v>#REF!</v>
      </c>
      <c r="L83" s="6" t="e">
        <f t="shared" si="38"/>
        <v>#REF!</v>
      </c>
      <c r="M83" s="16"/>
      <c r="N83" s="5"/>
      <c r="O83" s="5"/>
      <c r="P83" s="26"/>
      <c r="Q83" s="20" t="e">
        <f>'5|Revenue Current Tariff'!#REF!</f>
        <v>#REF!</v>
      </c>
      <c r="R83" s="20" t="e">
        <f>'5|Revenue Current Tariff'!#REF!</f>
        <v>#REF!</v>
      </c>
      <c r="S83" s="20" t="e">
        <f>'5|Revenue Current Tariff'!#REF!</f>
        <v>#REF!</v>
      </c>
      <c r="T83" s="6" t="e">
        <f t="shared" si="39"/>
        <v>#REF!</v>
      </c>
      <c r="U83" s="16"/>
      <c r="V83" s="5"/>
      <c r="W83" s="5"/>
      <c r="X83" s="26"/>
      <c r="Y83" s="20" t="e">
        <f>'5|Revenue Current Tariff'!#REF!</f>
        <v>#REF!</v>
      </c>
      <c r="Z83" s="20" t="e">
        <f>'5|Revenue Current Tariff'!#REF!</f>
        <v>#REF!</v>
      </c>
      <c r="AA83" s="20" t="e">
        <f>'5|Revenue Current Tariff'!#REF!</f>
        <v>#REF!</v>
      </c>
      <c r="AB83" s="6" t="e">
        <f t="shared" si="40"/>
        <v>#REF!</v>
      </c>
      <c r="AC83" s="16"/>
      <c r="AD83" s="5"/>
      <c r="AE83" s="5"/>
      <c r="AF83" s="26"/>
      <c r="AG83" s="20" t="e">
        <f>'5|Revenue Current Tariff'!#REF!</f>
        <v>#REF!</v>
      </c>
      <c r="AH83" s="20" t="e">
        <f>'5|Revenue Current Tariff'!#REF!</f>
        <v>#REF!</v>
      </c>
      <c r="AI83" s="20" t="e">
        <f>'5|Revenue Current Tariff'!#REF!</f>
        <v>#REF!</v>
      </c>
      <c r="AJ83" s="6" t="e">
        <f t="shared" si="41"/>
        <v>#REF!</v>
      </c>
      <c r="AK83" s="16"/>
      <c r="AL83" s="5"/>
      <c r="AM83" s="5"/>
      <c r="AN83" s="26"/>
      <c r="AO83" s="20" t="e">
        <f>'5|Revenue Current Tariff'!#REF!</f>
        <v>#REF!</v>
      </c>
      <c r="AP83" s="20" t="e">
        <f>'5|Revenue Current Tariff'!#REF!</f>
        <v>#REF!</v>
      </c>
      <c r="AQ83" s="20" t="e">
        <f>'5|Revenue Current Tariff'!#REF!</f>
        <v>#REF!</v>
      </c>
      <c r="AR83" s="6" t="e">
        <f t="shared" si="42"/>
        <v>#REF!</v>
      </c>
      <c r="AS83" s="16"/>
      <c r="AT83" s="5"/>
      <c r="AU83" s="5"/>
      <c r="AV83" s="26"/>
      <c r="AW83" s="20" t="e">
        <f>'5|Revenue Current Tariff'!#REF!</f>
        <v>#REF!</v>
      </c>
      <c r="AX83" s="20" t="e">
        <f>'5|Revenue Current Tariff'!#REF!</f>
        <v>#REF!</v>
      </c>
      <c r="AY83" s="20" t="e">
        <f>'5|Revenue Current Tariff'!#REF!</f>
        <v>#REF!</v>
      </c>
      <c r="AZ83" s="6" t="e">
        <f t="shared" si="43"/>
        <v>#REF!</v>
      </c>
      <c r="BA83" s="32"/>
      <c r="BB83" s="26"/>
      <c r="BC83" s="26"/>
      <c r="BD83" s="26"/>
      <c r="BE83" s="26"/>
    </row>
    <row r="84" spans="2:57" ht="12.75">
      <c r="B84">
        <v>10116</v>
      </c>
      <c r="C84" s="13" t="s">
        <v>165</v>
      </c>
      <c r="D84" s="4"/>
      <c r="E84" s="16"/>
      <c r="F84" s="5"/>
      <c r="G84" s="5"/>
      <c r="H84" s="26"/>
      <c r="I84" s="20" t="e">
        <f>'5|Revenue Current Tariff'!#REF!</f>
        <v>#REF!</v>
      </c>
      <c r="J84" s="20" t="e">
        <f>'5|Revenue Current Tariff'!#REF!</f>
        <v>#REF!</v>
      </c>
      <c r="K84" s="20" t="e">
        <f>'5|Revenue Current Tariff'!#REF!</f>
        <v>#REF!</v>
      </c>
      <c r="L84" s="6" t="e">
        <f t="shared" si="38"/>
        <v>#REF!</v>
      </c>
      <c r="M84" s="16"/>
      <c r="N84" s="5"/>
      <c r="O84" s="5"/>
      <c r="P84" s="26"/>
      <c r="Q84" s="20">
        <f>'5|Revenue Current Tariff'!V122</f>
        <v>0</v>
      </c>
      <c r="R84" s="20">
        <f>'5|Revenue Current Tariff'!W122</f>
        <v>0</v>
      </c>
      <c r="S84" s="20">
        <f>'5|Revenue Current Tariff'!X122</f>
        <v>0</v>
      </c>
      <c r="T84" s="6">
        <f t="shared" si="39"/>
        <v>0</v>
      </c>
      <c r="U84" s="16"/>
      <c r="V84" s="5"/>
      <c r="W84" s="5"/>
      <c r="X84" s="26"/>
      <c r="Y84" s="20" t="e">
        <f>'5|Revenue Current Tariff'!#REF!</f>
        <v>#REF!</v>
      </c>
      <c r="Z84" s="20" t="e">
        <f>'5|Revenue Current Tariff'!#REF!</f>
        <v>#REF!</v>
      </c>
      <c r="AA84" s="20" t="e">
        <f>'5|Revenue Current Tariff'!#REF!</f>
        <v>#REF!</v>
      </c>
      <c r="AB84" s="6" t="e">
        <f t="shared" si="40"/>
        <v>#REF!</v>
      </c>
      <c r="AC84" s="16"/>
      <c r="AD84" s="5"/>
      <c r="AE84" s="5"/>
      <c r="AF84" s="26"/>
      <c r="AG84" s="20" t="e">
        <f>'5|Revenue Current Tariff'!#REF!</f>
        <v>#REF!</v>
      </c>
      <c r="AH84" s="20" t="e">
        <f>'5|Revenue Current Tariff'!#REF!</f>
        <v>#REF!</v>
      </c>
      <c r="AI84" s="20" t="e">
        <f>'5|Revenue Current Tariff'!#REF!</f>
        <v>#REF!</v>
      </c>
      <c r="AJ84" s="6" t="e">
        <f t="shared" si="41"/>
        <v>#REF!</v>
      </c>
      <c r="AK84" s="16"/>
      <c r="AL84" s="5"/>
      <c r="AM84" s="5"/>
      <c r="AN84" s="26"/>
      <c r="AO84" s="20" t="e">
        <f>'5|Revenue Current Tariff'!#REF!</f>
        <v>#REF!</v>
      </c>
      <c r="AP84" s="20" t="e">
        <f>'5|Revenue Current Tariff'!#REF!</f>
        <v>#REF!</v>
      </c>
      <c r="AQ84" s="20" t="e">
        <f>'5|Revenue Current Tariff'!#REF!</f>
        <v>#REF!</v>
      </c>
      <c r="AR84" s="6" t="e">
        <f t="shared" si="42"/>
        <v>#REF!</v>
      </c>
      <c r="AS84" s="16"/>
      <c r="AT84" s="5"/>
      <c r="AU84" s="5"/>
      <c r="AV84" s="26"/>
      <c r="AW84" s="20" t="e">
        <f>'5|Revenue Current Tariff'!#REF!</f>
        <v>#REF!</v>
      </c>
      <c r="AX84" s="20" t="e">
        <f>'5|Revenue Current Tariff'!#REF!</f>
        <v>#REF!</v>
      </c>
      <c r="AY84" s="20" t="e">
        <f>'5|Revenue Current Tariff'!#REF!</f>
        <v>#REF!</v>
      </c>
      <c r="AZ84" s="6" t="e">
        <f t="shared" si="43"/>
        <v>#REF!</v>
      </c>
      <c r="BA84" s="32"/>
      <c r="BB84" s="26"/>
      <c r="BC84" s="26"/>
      <c r="BD84" s="26"/>
      <c r="BE84" s="26"/>
    </row>
    <row r="85" spans="2:57" ht="12.75" hidden="1" outlineLevel="1">
      <c r="B85">
        <v>10151</v>
      </c>
      <c r="C85" s="14" t="s">
        <v>573</v>
      </c>
      <c r="D85" s="4"/>
      <c r="E85" s="16"/>
      <c r="F85" s="5"/>
      <c r="G85" s="5"/>
      <c r="H85" s="26"/>
      <c r="I85" s="20"/>
      <c r="J85" s="20"/>
      <c r="K85" s="20"/>
      <c r="L85" s="6">
        <f>SUM(I85:K85)</f>
        <v>0</v>
      </c>
      <c r="M85" s="16"/>
      <c r="N85" s="5"/>
      <c r="O85" s="5"/>
      <c r="P85" s="26"/>
      <c r="Q85" s="20"/>
      <c r="R85" s="20"/>
      <c r="S85" s="20"/>
      <c r="T85" s="6">
        <f>SUM(Q85:S85)</f>
        <v>0</v>
      </c>
      <c r="U85" s="16"/>
      <c r="V85" s="5"/>
      <c r="W85" s="5"/>
      <c r="X85" s="26"/>
      <c r="Y85" s="20"/>
      <c r="Z85" s="20"/>
      <c r="AA85" s="20"/>
      <c r="AB85" s="6">
        <f>SUM(Y85:AA85)</f>
        <v>0</v>
      </c>
      <c r="AC85" s="16"/>
      <c r="AD85" s="5"/>
      <c r="AE85" s="5"/>
      <c r="AF85" s="26"/>
      <c r="AG85" s="20"/>
      <c r="AH85" s="20"/>
      <c r="AI85" s="20"/>
      <c r="AJ85" s="6">
        <f>SUM(AG85:AI85)</f>
        <v>0</v>
      </c>
      <c r="AK85" s="16"/>
      <c r="AL85" s="5"/>
      <c r="AM85" s="5"/>
      <c r="AN85" s="26"/>
      <c r="AO85" s="20"/>
      <c r="AP85" s="20"/>
      <c r="AQ85" s="20"/>
      <c r="AR85" s="6">
        <f>SUM(AO85:AQ85)</f>
        <v>0</v>
      </c>
      <c r="AS85" s="16"/>
      <c r="AT85" s="5"/>
      <c r="AU85" s="5"/>
      <c r="AV85" s="26"/>
      <c r="AW85" s="20"/>
      <c r="AX85" s="20"/>
      <c r="AY85" s="20"/>
      <c r="AZ85" s="6">
        <f>SUM(AW85:AY85)</f>
        <v>0</v>
      </c>
      <c r="BA85" s="32"/>
      <c r="BB85" s="26"/>
      <c r="BC85" s="26"/>
      <c r="BD85" s="26"/>
      <c r="BE85" s="26"/>
    </row>
    <row r="86" spans="2:57" ht="12.75" hidden="1" outlineLevel="1">
      <c r="B86">
        <v>10045</v>
      </c>
      <c r="C86" s="14" t="s">
        <v>571</v>
      </c>
      <c r="D86" s="4"/>
      <c r="E86" s="16"/>
      <c r="F86" s="5"/>
      <c r="G86" s="5"/>
      <c r="H86" s="26"/>
      <c r="I86" s="20"/>
      <c r="J86" s="20"/>
      <c r="K86" s="20"/>
      <c r="L86" s="6">
        <f t="shared" si="38"/>
        <v>0</v>
      </c>
      <c r="M86" s="16"/>
      <c r="N86" s="5"/>
      <c r="O86" s="5"/>
      <c r="P86" s="26"/>
      <c r="Q86" s="20"/>
      <c r="R86" s="20"/>
      <c r="S86" s="20"/>
      <c r="T86" s="6">
        <f t="shared" si="39"/>
        <v>0</v>
      </c>
      <c r="U86" s="16"/>
      <c r="V86" s="5"/>
      <c r="W86" s="5"/>
      <c r="X86" s="26"/>
      <c r="Y86" s="20"/>
      <c r="Z86" s="20"/>
      <c r="AA86" s="20"/>
      <c r="AB86" s="6">
        <f t="shared" si="40"/>
        <v>0</v>
      </c>
      <c r="AC86" s="16"/>
      <c r="AD86" s="5"/>
      <c r="AE86" s="5"/>
      <c r="AF86" s="26"/>
      <c r="AG86" s="20"/>
      <c r="AH86" s="20"/>
      <c r="AI86" s="20"/>
      <c r="AJ86" s="6">
        <f t="shared" si="41"/>
        <v>0</v>
      </c>
      <c r="AK86" s="16"/>
      <c r="AL86" s="5"/>
      <c r="AM86" s="5"/>
      <c r="AN86" s="26"/>
      <c r="AO86" s="20"/>
      <c r="AP86" s="20"/>
      <c r="AQ86" s="20"/>
      <c r="AR86" s="6">
        <f t="shared" si="42"/>
        <v>0</v>
      </c>
      <c r="AS86" s="16"/>
      <c r="AT86" s="5"/>
      <c r="AU86" s="5"/>
      <c r="AV86" s="26"/>
      <c r="AW86" s="20"/>
      <c r="AX86" s="20"/>
      <c r="AY86" s="20"/>
      <c r="AZ86" s="6">
        <f t="shared" si="43"/>
        <v>0</v>
      </c>
      <c r="BA86" s="32"/>
      <c r="BB86" s="26"/>
      <c r="BC86" s="26"/>
      <c r="BD86" s="26"/>
      <c r="BE86" s="26"/>
    </row>
    <row r="87" spans="2:57" ht="12.75" collapsed="1">
      <c r="B87">
        <v>10148</v>
      </c>
      <c r="C87" s="14" t="s">
        <v>572</v>
      </c>
      <c r="D87" s="4"/>
      <c r="E87" s="16"/>
      <c r="F87" s="5"/>
      <c r="G87" s="5"/>
      <c r="H87" s="26"/>
      <c r="I87" s="20" t="e">
        <f>'5|Revenue Current Tariff'!#REF!</f>
        <v>#REF!</v>
      </c>
      <c r="J87" s="20" t="e">
        <f>'5|Revenue Current Tariff'!#REF!</f>
        <v>#REF!</v>
      </c>
      <c r="K87" s="20" t="e">
        <f>'5|Revenue Current Tariff'!#REF!</f>
        <v>#REF!</v>
      </c>
      <c r="L87" s="6" t="e">
        <f t="shared" si="38"/>
        <v>#REF!</v>
      </c>
      <c r="M87" s="16"/>
      <c r="N87" s="5"/>
      <c r="O87" s="5"/>
      <c r="P87" s="26"/>
      <c r="Q87" s="20" t="e">
        <f>'5|Revenue Current Tariff'!#REF!</f>
        <v>#REF!</v>
      </c>
      <c r="R87" s="20" t="e">
        <f>'5|Revenue Current Tariff'!#REF!</f>
        <v>#REF!</v>
      </c>
      <c r="S87" s="20" t="e">
        <f>'5|Revenue Current Tariff'!#REF!</f>
        <v>#REF!</v>
      </c>
      <c r="T87" s="6" t="e">
        <f t="shared" si="39"/>
        <v>#REF!</v>
      </c>
      <c r="U87" s="16"/>
      <c r="V87" s="5"/>
      <c r="W87" s="5"/>
      <c r="X87" s="26"/>
      <c r="Y87" s="20" t="e">
        <f>'5|Revenue Current Tariff'!#REF!</f>
        <v>#REF!</v>
      </c>
      <c r="Z87" s="20" t="e">
        <f>'5|Revenue Current Tariff'!#REF!</f>
        <v>#REF!</v>
      </c>
      <c r="AA87" s="20" t="e">
        <f>'5|Revenue Current Tariff'!#REF!</f>
        <v>#REF!</v>
      </c>
      <c r="AB87" s="6" t="e">
        <f t="shared" si="40"/>
        <v>#REF!</v>
      </c>
      <c r="AC87" s="16"/>
      <c r="AD87" s="5"/>
      <c r="AE87" s="5"/>
      <c r="AF87" s="26"/>
      <c r="AG87" s="20" t="e">
        <f>'5|Revenue Current Tariff'!#REF!</f>
        <v>#REF!</v>
      </c>
      <c r="AH87" s="20" t="e">
        <f>'5|Revenue Current Tariff'!#REF!</f>
        <v>#REF!</v>
      </c>
      <c r="AI87" s="20" t="e">
        <f>'5|Revenue Current Tariff'!#REF!</f>
        <v>#REF!</v>
      </c>
      <c r="AJ87" s="6" t="e">
        <f t="shared" si="41"/>
        <v>#REF!</v>
      </c>
      <c r="AK87" s="16"/>
      <c r="AL87" s="5"/>
      <c r="AM87" s="5"/>
      <c r="AN87" s="26"/>
      <c r="AO87" s="20" t="e">
        <f>'5|Revenue Current Tariff'!#REF!</f>
        <v>#REF!</v>
      </c>
      <c r="AP87" s="20" t="e">
        <f>'5|Revenue Current Tariff'!#REF!</f>
        <v>#REF!</v>
      </c>
      <c r="AQ87" s="20" t="e">
        <f>'5|Revenue Current Tariff'!#REF!</f>
        <v>#REF!</v>
      </c>
      <c r="AR87" s="6" t="e">
        <f t="shared" si="42"/>
        <v>#REF!</v>
      </c>
      <c r="AS87" s="16"/>
      <c r="AT87" s="5"/>
      <c r="AU87" s="5"/>
      <c r="AV87" s="26"/>
      <c r="AW87" s="20" t="e">
        <f>'5|Revenue Current Tariff'!#REF!</f>
        <v>#REF!</v>
      </c>
      <c r="AX87" s="20" t="e">
        <f>'5|Revenue Current Tariff'!#REF!</f>
        <v>#REF!</v>
      </c>
      <c r="AY87" s="20" t="e">
        <f>'5|Revenue Current Tariff'!#REF!</f>
        <v>#REF!</v>
      </c>
      <c r="AZ87" s="6" t="e">
        <f t="shared" si="43"/>
        <v>#REF!</v>
      </c>
      <c r="BA87" s="32"/>
      <c r="BB87" s="26"/>
      <c r="BC87" s="26"/>
      <c r="BD87" s="26"/>
      <c r="BE87" s="26"/>
    </row>
    <row r="88" spans="2:57" ht="12.75">
      <c r="B88">
        <v>10145</v>
      </c>
      <c r="C88" s="4" t="s">
        <v>166</v>
      </c>
      <c r="D88" s="4"/>
      <c r="E88" s="16"/>
      <c r="F88" s="5"/>
      <c r="G88" s="5"/>
      <c r="H88" s="26"/>
      <c r="I88" s="20" t="e">
        <f>'5|Revenue Current Tariff'!#REF!</f>
        <v>#REF!</v>
      </c>
      <c r="J88" s="20" t="e">
        <f>'5|Revenue Current Tariff'!#REF!</f>
        <v>#REF!</v>
      </c>
      <c r="K88" s="20" t="e">
        <f>'5|Revenue Current Tariff'!#REF!</f>
        <v>#REF!</v>
      </c>
      <c r="L88" s="6" t="e">
        <f>SUM(I88:K88)</f>
        <v>#REF!</v>
      </c>
      <c r="M88" s="16"/>
      <c r="N88" s="5"/>
      <c r="O88" s="5"/>
      <c r="P88" s="26"/>
      <c r="Q88" s="20" t="e">
        <f>'5|Revenue Current Tariff'!#REF!</f>
        <v>#REF!</v>
      </c>
      <c r="R88" s="20" t="e">
        <f>'5|Revenue Current Tariff'!#REF!</f>
        <v>#REF!</v>
      </c>
      <c r="S88" s="20" t="e">
        <f>'5|Revenue Current Tariff'!#REF!</f>
        <v>#REF!</v>
      </c>
      <c r="T88" s="6" t="e">
        <f>SUM(Q88:S88)</f>
        <v>#REF!</v>
      </c>
      <c r="U88" s="16"/>
      <c r="V88" s="5"/>
      <c r="W88" s="5"/>
      <c r="X88" s="26"/>
      <c r="Y88" s="20" t="e">
        <f>'5|Revenue Current Tariff'!#REF!</f>
        <v>#REF!</v>
      </c>
      <c r="Z88" s="20" t="e">
        <f>'5|Revenue Current Tariff'!#REF!</f>
        <v>#REF!</v>
      </c>
      <c r="AA88" s="20" t="e">
        <f>'5|Revenue Current Tariff'!#REF!</f>
        <v>#REF!</v>
      </c>
      <c r="AB88" s="6" t="e">
        <f>SUM(Y88:AA88)</f>
        <v>#REF!</v>
      </c>
      <c r="AC88" s="16"/>
      <c r="AD88" s="5"/>
      <c r="AE88" s="5"/>
      <c r="AF88" s="26"/>
      <c r="AG88" s="20" t="e">
        <f>'5|Revenue Current Tariff'!#REF!</f>
        <v>#REF!</v>
      </c>
      <c r="AH88" s="20" t="e">
        <f>'5|Revenue Current Tariff'!#REF!</f>
        <v>#REF!</v>
      </c>
      <c r="AI88" s="20" t="e">
        <f>'5|Revenue Current Tariff'!#REF!</f>
        <v>#REF!</v>
      </c>
      <c r="AJ88" s="6" t="e">
        <f>SUM(AG88:AI88)</f>
        <v>#REF!</v>
      </c>
      <c r="AK88" s="16"/>
      <c r="AL88" s="5"/>
      <c r="AM88" s="5"/>
      <c r="AN88" s="26"/>
      <c r="AO88" s="20" t="e">
        <f>'5|Revenue Current Tariff'!#REF!</f>
        <v>#REF!</v>
      </c>
      <c r="AP88" s="20" t="e">
        <f>'5|Revenue Current Tariff'!#REF!</f>
        <v>#REF!</v>
      </c>
      <c r="AQ88" s="20" t="e">
        <f>'5|Revenue Current Tariff'!#REF!</f>
        <v>#REF!</v>
      </c>
      <c r="AR88" s="6" t="e">
        <f>SUM(AO88:AQ88)</f>
        <v>#REF!</v>
      </c>
      <c r="AS88" s="16"/>
      <c r="AT88" s="5"/>
      <c r="AU88" s="5"/>
      <c r="AV88" s="26"/>
      <c r="AW88" s="20" t="e">
        <f>'5|Revenue Current Tariff'!#REF!</f>
        <v>#REF!</v>
      </c>
      <c r="AX88" s="20" t="e">
        <f>'5|Revenue Current Tariff'!#REF!</f>
        <v>#REF!</v>
      </c>
      <c r="AY88" s="20" t="e">
        <f>'5|Revenue Current Tariff'!#REF!</f>
        <v>#REF!</v>
      </c>
      <c r="AZ88" s="6" t="e">
        <f>SUM(AW88:AY88)</f>
        <v>#REF!</v>
      </c>
      <c r="BA88" s="32"/>
      <c r="BB88" s="26"/>
      <c r="BC88" s="26"/>
      <c r="BD88" s="26"/>
      <c r="BE88" s="26"/>
    </row>
    <row r="89" spans="2:57" ht="12.75">
      <c r="B89">
        <v>10068</v>
      </c>
      <c r="C89" s="4" t="s">
        <v>43</v>
      </c>
      <c r="D89" s="4"/>
      <c r="E89" s="16"/>
      <c r="F89" s="5"/>
      <c r="G89" s="5"/>
      <c r="H89" s="26"/>
      <c r="I89" s="20" t="e">
        <f>'5|Revenue Current Tariff'!#REF!</f>
        <v>#REF!</v>
      </c>
      <c r="J89" s="20" t="e">
        <f>'5|Revenue Current Tariff'!#REF!</f>
        <v>#REF!</v>
      </c>
      <c r="K89" s="20" t="e">
        <f>'5|Revenue Current Tariff'!#REF!</f>
        <v>#REF!</v>
      </c>
      <c r="L89" s="6" t="e">
        <f t="shared" si="38"/>
        <v>#REF!</v>
      </c>
      <c r="M89" s="16"/>
      <c r="N89" s="5"/>
      <c r="O89" s="5"/>
      <c r="P89" s="26"/>
      <c r="Q89" s="20" t="e">
        <f>'5|Revenue Current Tariff'!#REF!</f>
        <v>#REF!</v>
      </c>
      <c r="R89" s="20" t="e">
        <f>'5|Revenue Current Tariff'!#REF!</f>
        <v>#REF!</v>
      </c>
      <c r="S89" s="20" t="e">
        <f>'5|Revenue Current Tariff'!#REF!</f>
        <v>#REF!</v>
      </c>
      <c r="T89" s="6" t="e">
        <f t="shared" si="39"/>
        <v>#REF!</v>
      </c>
      <c r="U89" s="16"/>
      <c r="V89" s="5"/>
      <c r="W89" s="5"/>
      <c r="X89" s="26"/>
      <c r="Y89" s="20" t="e">
        <f>'5|Revenue Current Tariff'!#REF!</f>
        <v>#REF!</v>
      </c>
      <c r="Z89" s="20" t="e">
        <f>'5|Revenue Current Tariff'!#REF!</f>
        <v>#REF!</v>
      </c>
      <c r="AA89" s="20" t="e">
        <f>'5|Revenue Current Tariff'!#REF!</f>
        <v>#REF!</v>
      </c>
      <c r="AB89" s="6" t="e">
        <f t="shared" si="40"/>
        <v>#REF!</v>
      </c>
      <c r="AC89" s="16"/>
      <c r="AD89" s="5"/>
      <c r="AE89" s="5"/>
      <c r="AF89" s="26"/>
      <c r="AG89" s="20" t="e">
        <f>'5|Revenue Current Tariff'!#REF!</f>
        <v>#REF!</v>
      </c>
      <c r="AH89" s="20" t="e">
        <f>'5|Revenue Current Tariff'!#REF!</f>
        <v>#REF!</v>
      </c>
      <c r="AI89" s="20" t="e">
        <f>'5|Revenue Current Tariff'!#REF!</f>
        <v>#REF!</v>
      </c>
      <c r="AJ89" s="6" t="e">
        <f t="shared" si="41"/>
        <v>#REF!</v>
      </c>
      <c r="AK89" s="16"/>
      <c r="AL89" s="5"/>
      <c r="AM89" s="5"/>
      <c r="AN89" s="26"/>
      <c r="AO89" s="20" t="e">
        <f>'5|Revenue Current Tariff'!#REF!</f>
        <v>#REF!</v>
      </c>
      <c r="AP89" s="20" t="e">
        <f>'5|Revenue Current Tariff'!#REF!</f>
        <v>#REF!</v>
      </c>
      <c r="AQ89" s="20" t="e">
        <f>'5|Revenue Current Tariff'!#REF!</f>
        <v>#REF!</v>
      </c>
      <c r="AR89" s="6" t="e">
        <f t="shared" si="42"/>
        <v>#REF!</v>
      </c>
      <c r="AS89" s="16"/>
      <c r="AT89" s="5"/>
      <c r="AU89" s="5"/>
      <c r="AV89" s="26"/>
      <c r="AW89" s="20" t="e">
        <f>'5|Revenue Current Tariff'!#REF!</f>
        <v>#REF!</v>
      </c>
      <c r="AX89" s="20" t="e">
        <f>'5|Revenue Current Tariff'!#REF!</f>
        <v>#REF!</v>
      </c>
      <c r="AY89" s="20" t="e">
        <f>'5|Revenue Current Tariff'!#REF!</f>
        <v>#REF!</v>
      </c>
      <c r="AZ89" s="6" t="e">
        <f t="shared" si="43"/>
        <v>#REF!</v>
      </c>
      <c r="BA89" s="32"/>
      <c r="BB89" s="26"/>
      <c r="BC89" s="26"/>
      <c r="BD89" s="26"/>
      <c r="BE89" s="26"/>
    </row>
    <row r="90" spans="2:57" ht="12.75">
      <c r="B90"/>
      <c r="C90" s="43" t="s">
        <v>39</v>
      </c>
      <c r="D90" s="4"/>
      <c r="E90" s="16"/>
      <c r="F90" s="5"/>
      <c r="G90" s="5"/>
      <c r="H90" s="26"/>
      <c r="I90" s="20" t="e">
        <f>'5|Revenue Current Tariff'!#REF!</f>
        <v>#REF!</v>
      </c>
      <c r="J90" s="20" t="e">
        <f>'5|Revenue Current Tariff'!#REF!</f>
        <v>#REF!</v>
      </c>
      <c r="K90" s="20" t="e">
        <f>'5|Revenue Current Tariff'!#REF!</f>
        <v>#REF!</v>
      </c>
      <c r="L90" s="6" t="e">
        <f t="shared" si="38"/>
        <v>#REF!</v>
      </c>
      <c r="M90" s="16"/>
      <c r="N90" s="5"/>
      <c r="O90" s="5"/>
      <c r="P90" s="26"/>
      <c r="Q90" s="20" t="e">
        <f>'5|Revenue Current Tariff'!#REF!</f>
        <v>#REF!</v>
      </c>
      <c r="R90" s="20" t="e">
        <f>'5|Revenue Current Tariff'!#REF!</f>
        <v>#REF!</v>
      </c>
      <c r="S90" s="20" t="e">
        <f>'5|Revenue Current Tariff'!#REF!</f>
        <v>#REF!</v>
      </c>
      <c r="T90" s="6" t="e">
        <f t="shared" si="39"/>
        <v>#REF!</v>
      </c>
      <c r="U90" s="16"/>
      <c r="V90" s="5"/>
      <c r="W90" s="5"/>
      <c r="X90" s="26"/>
      <c r="Y90" s="20" t="e">
        <f>'5|Revenue Current Tariff'!#REF!</f>
        <v>#REF!</v>
      </c>
      <c r="Z90" s="20" t="e">
        <f>'5|Revenue Current Tariff'!#REF!</f>
        <v>#REF!</v>
      </c>
      <c r="AA90" s="20" t="e">
        <f>'5|Revenue Current Tariff'!#REF!</f>
        <v>#REF!</v>
      </c>
      <c r="AB90" s="6" t="e">
        <f t="shared" si="40"/>
        <v>#REF!</v>
      </c>
      <c r="AC90" s="16"/>
      <c r="AD90" s="5"/>
      <c r="AE90" s="5"/>
      <c r="AF90" s="26"/>
      <c r="AG90" s="20" t="e">
        <f>'5|Revenue Current Tariff'!#REF!</f>
        <v>#REF!</v>
      </c>
      <c r="AH90" s="20" t="e">
        <f>'5|Revenue Current Tariff'!#REF!</f>
        <v>#REF!</v>
      </c>
      <c r="AI90" s="20" t="e">
        <f>'5|Revenue Current Tariff'!#REF!</f>
        <v>#REF!</v>
      </c>
      <c r="AJ90" s="6" t="e">
        <f t="shared" si="41"/>
        <v>#REF!</v>
      </c>
      <c r="AK90" s="16"/>
      <c r="AL90" s="5"/>
      <c r="AM90" s="5"/>
      <c r="AN90" s="26"/>
      <c r="AO90" s="20" t="e">
        <f>'5|Revenue Current Tariff'!#REF!</f>
        <v>#REF!</v>
      </c>
      <c r="AP90" s="20" t="e">
        <f>'5|Revenue Current Tariff'!#REF!</f>
        <v>#REF!</v>
      </c>
      <c r="AQ90" s="20" t="e">
        <f>'5|Revenue Current Tariff'!#REF!</f>
        <v>#REF!</v>
      </c>
      <c r="AR90" s="6" t="e">
        <f t="shared" si="42"/>
        <v>#REF!</v>
      </c>
      <c r="AS90" s="16"/>
      <c r="AT90" s="5"/>
      <c r="AU90" s="5"/>
      <c r="AV90" s="26"/>
      <c r="AW90" s="20" t="e">
        <f>'5|Revenue Current Tariff'!#REF!</f>
        <v>#REF!</v>
      </c>
      <c r="AX90" s="20" t="e">
        <f>'5|Revenue Current Tariff'!#REF!</f>
        <v>#REF!</v>
      </c>
      <c r="AY90" s="20" t="e">
        <f>'5|Revenue Current Tariff'!#REF!</f>
        <v>#REF!</v>
      </c>
      <c r="AZ90" s="6" t="e">
        <f t="shared" si="43"/>
        <v>#REF!</v>
      </c>
      <c r="BA90" s="32"/>
      <c r="BB90" s="26"/>
      <c r="BC90" s="26"/>
      <c r="BD90" s="26"/>
      <c r="BE90" s="26"/>
    </row>
    <row r="91" spans="2:57" ht="12.75">
      <c r="B91"/>
      <c r="C91" s="41" t="s">
        <v>38</v>
      </c>
      <c r="D91" s="4"/>
      <c r="E91" s="16"/>
      <c r="F91" s="5"/>
      <c r="G91" s="5"/>
      <c r="H91" s="26"/>
      <c r="I91" s="20" t="e">
        <f>'5|Revenue Current Tariff'!#REF!</f>
        <v>#REF!</v>
      </c>
      <c r="J91" s="20" t="e">
        <f>'5|Revenue Current Tariff'!#REF!</f>
        <v>#REF!</v>
      </c>
      <c r="K91" s="20" t="e">
        <f>'5|Revenue Current Tariff'!#REF!</f>
        <v>#REF!</v>
      </c>
      <c r="L91" s="6" t="e">
        <f t="shared" si="38"/>
        <v>#REF!</v>
      </c>
      <c r="M91" s="16"/>
      <c r="N91" s="5"/>
      <c r="O91" s="5"/>
      <c r="P91" s="26"/>
      <c r="Q91" s="20" t="e">
        <f>'5|Revenue Current Tariff'!#REF!</f>
        <v>#REF!</v>
      </c>
      <c r="R91" s="20" t="e">
        <f>'5|Revenue Current Tariff'!#REF!</f>
        <v>#REF!</v>
      </c>
      <c r="S91" s="20" t="e">
        <f>'5|Revenue Current Tariff'!#REF!</f>
        <v>#REF!</v>
      </c>
      <c r="T91" s="6" t="e">
        <f t="shared" si="39"/>
        <v>#REF!</v>
      </c>
      <c r="U91" s="16"/>
      <c r="V91" s="5"/>
      <c r="W91" s="5"/>
      <c r="X91" s="26"/>
      <c r="Y91" s="20" t="e">
        <f>'5|Revenue Current Tariff'!#REF!</f>
        <v>#REF!</v>
      </c>
      <c r="Z91" s="20" t="e">
        <f>'5|Revenue Current Tariff'!#REF!</f>
        <v>#REF!</v>
      </c>
      <c r="AA91" s="20" t="e">
        <f>'5|Revenue Current Tariff'!#REF!</f>
        <v>#REF!</v>
      </c>
      <c r="AB91" s="6" t="e">
        <f t="shared" si="40"/>
        <v>#REF!</v>
      </c>
      <c r="AC91" s="16"/>
      <c r="AD91" s="5"/>
      <c r="AE91" s="5"/>
      <c r="AF91" s="26"/>
      <c r="AG91" s="20" t="e">
        <f>'5|Revenue Current Tariff'!#REF!</f>
        <v>#REF!</v>
      </c>
      <c r="AH91" s="20" t="e">
        <f>'5|Revenue Current Tariff'!#REF!</f>
        <v>#REF!</v>
      </c>
      <c r="AI91" s="20" t="e">
        <f>'5|Revenue Current Tariff'!#REF!</f>
        <v>#REF!</v>
      </c>
      <c r="AJ91" s="6" t="e">
        <f t="shared" si="41"/>
        <v>#REF!</v>
      </c>
      <c r="AK91" s="16"/>
      <c r="AL91" s="5"/>
      <c r="AM91" s="5"/>
      <c r="AN91" s="26"/>
      <c r="AO91" s="20" t="e">
        <f>'5|Revenue Current Tariff'!#REF!</f>
        <v>#REF!</v>
      </c>
      <c r="AP91" s="20" t="e">
        <f>'5|Revenue Current Tariff'!#REF!</f>
        <v>#REF!</v>
      </c>
      <c r="AQ91" s="20" t="e">
        <f>'5|Revenue Current Tariff'!#REF!</f>
        <v>#REF!</v>
      </c>
      <c r="AR91" s="6" t="e">
        <f t="shared" si="42"/>
        <v>#REF!</v>
      </c>
      <c r="AS91" s="16"/>
      <c r="AT91" s="5"/>
      <c r="AU91" s="5"/>
      <c r="AV91" s="26"/>
      <c r="AW91" s="20" t="e">
        <f>'5|Revenue Current Tariff'!#REF!</f>
        <v>#REF!</v>
      </c>
      <c r="AX91" s="20" t="e">
        <f>'5|Revenue Current Tariff'!#REF!</f>
        <v>#REF!</v>
      </c>
      <c r="AY91" s="20" t="e">
        <f>'5|Revenue Current Tariff'!#REF!</f>
        <v>#REF!</v>
      </c>
      <c r="AZ91" s="6" t="e">
        <f t="shared" si="43"/>
        <v>#REF!</v>
      </c>
      <c r="BA91" s="32"/>
      <c r="BB91" s="26"/>
      <c r="BC91" s="26"/>
      <c r="BD91" s="26"/>
      <c r="BE91" s="26"/>
    </row>
    <row r="92" spans="2:57" ht="12.75">
      <c r="B92"/>
      <c r="C92" s="43" t="s">
        <v>40</v>
      </c>
      <c r="D92" s="4"/>
      <c r="E92" s="16"/>
      <c r="F92" s="5"/>
      <c r="G92" s="5"/>
      <c r="H92" s="26"/>
      <c r="I92" s="20" t="e">
        <f>'5|Revenue Current Tariff'!#REF!</f>
        <v>#REF!</v>
      </c>
      <c r="J92" s="20" t="e">
        <f>'5|Revenue Current Tariff'!#REF!</f>
        <v>#REF!</v>
      </c>
      <c r="K92" s="20" t="e">
        <f>'5|Revenue Current Tariff'!#REF!</f>
        <v>#REF!</v>
      </c>
      <c r="L92" s="6" t="e">
        <f t="shared" si="38"/>
        <v>#REF!</v>
      </c>
      <c r="M92" s="16"/>
      <c r="N92" s="5"/>
      <c r="O92" s="5"/>
      <c r="P92" s="26"/>
      <c r="Q92" s="20" t="e">
        <f>'5|Revenue Current Tariff'!#REF!</f>
        <v>#REF!</v>
      </c>
      <c r="R92" s="20" t="e">
        <f>'5|Revenue Current Tariff'!#REF!</f>
        <v>#REF!</v>
      </c>
      <c r="S92" s="20" t="e">
        <f>'5|Revenue Current Tariff'!#REF!</f>
        <v>#REF!</v>
      </c>
      <c r="T92" s="6" t="e">
        <f t="shared" si="39"/>
        <v>#REF!</v>
      </c>
      <c r="U92" s="16"/>
      <c r="V92" s="5"/>
      <c r="W92" s="5"/>
      <c r="X92" s="26"/>
      <c r="Y92" s="20" t="e">
        <f>'5|Revenue Current Tariff'!#REF!</f>
        <v>#REF!</v>
      </c>
      <c r="Z92" s="20" t="e">
        <f>'5|Revenue Current Tariff'!#REF!</f>
        <v>#REF!</v>
      </c>
      <c r="AA92" s="20" t="e">
        <f>'5|Revenue Current Tariff'!#REF!</f>
        <v>#REF!</v>
      </c>
      <c r="AB92" s="6" t="e">
        <f t="shared" si="40"/>
        <v>#REF!</v>
      </c>
      <c r="AC92" s="16"/>
      <c r="AD92" s="5"/>
      <c r="AE92" s="5"/>
      <c r="AF92" s="26"/>
      <c r="AG92" s="20" t="e">
        <f>'5|Revenue Current Tariff'!#REF!</f>
        <v>#REF!</v>
      </c>
      <c r="AH92" s="20" t="e">
        <f>'5|Revenue Current Tariff'!#REF!</f>
        <v>#REF!</v>
      </c>
      <c r="AI92" s="20" t="e">
        <f>'5|Revenue Current Tariff'!#REF!</f>
        <v>#REF!</v>
      </c>
      <c r="AJ92" s="6" t="e">
        <f t="shared" si="41"/>
        <v>#REF!</v>
      </c>
      <c r="AK92" s="16"/>
      <c r="AL92" s="5"/>
      <c r="AM92" s="5"/>
      <c r="AN92" s="26"/>
      <c r="AO92" s="20" t="e">
        <f>'5|Revenue Current Tariff'!#REF!</f>
        <v>#REF!</v>
      </c>
      <c r="AP92" s="20" t="e">
        <f>'5|Revenue Current Tariff'!#REF!</f>
        <v>#REF!</v>
      </c>
      <c r="AQ92" s="20" t="e">
        <f>'5|Revenue Current Tariff'!#REF!</f>
        <v>#REF!</v>
      </c>
      <c r="AR92" s="6" t="e">
        <f t="shared" si="42"/>
        <v>#REF!</v>
      </c>
      <c r="AS92" s="16"/>
      <c r="AT92" s="5"/>
      <c r="AU92" s="5"/>
      <c r="AV92" s="26"/>
      <c r="AW92" s="20" t="e">
        <f>'5|Revenue Current Tariff'!#REF!</f>
        <v>#REF!</v>
      </c>
      <c r="AX92" s="20" t="e">
        <f>'5|Revenue Current Tariff'!#REF!</f>
        <v>#REF!</v>
      </c>
      <c r="AY92" s="20" t="e">
        <f>'5|Revenue Current Tariff'!#REF!</f>
        <v>#REF!</v>
      </c>
      <c r="AZ92" s="6" t="e">
        <f t="shared" si="43"/>
        <v>#REF!</v>
      </c>
      <c r="BA92" s="32"/>
      <c r="BB92" s="26"/>
      <c r="BC92" s="26"/>
      <c r="BD92" s="26"/>
      <c r="BE92" s="26"/>
    </row>
    <row r="93" spans="2:57" ht="12.75">
      <c r="B93">
        <v>10154</v>
      </c>
      <c r="C93" s="4" t="s">
        <v>348</v>
      </c>
      <c r="D93" s="4"/>
      <c r="E93" s="16"/>
      <c r="F93" s="5"/>
      <c r="G93" s="5"/>
      <c r="H93" s="26"/>
      <c r="I93" s="20" t="e">
        <f>'5|Revenue Current Tariff'!#REF!</f>
        <v>#REF!</v>
      </c>
      <c r="J93" s="20" t="e">
        <f>'5|Revenue Current Tariff'!#REF!</f>
        <v>#REF!</v>
      </c>
      <c r="K93" s="20" t="e">
        <f>'5|Revenue Current Tariff'!#REF!</f>
        <v>#REF!</v>
      </c>
      <c r="L93" s="6" t="e">
        <f t="shared" si="38"/>
        <v>#REF!</v>
      </c>
      <c r="M93" s="16"/>
      <c r="N93" s="5"/>
      <c r="O93" s="5"/>
      <c r="P93" s="26"/>
      <c r="Q93" s="20" t="e">
        <f>'5|Revenue Current Tariff'!#REF!</f>
        <v>#REF!</v>
      </c>
      <c r="R93" s="20" t="e">
        <f>'5|Revenue Current Tariff'!#REF!</f>
        <v>#REF!</v>
      </c>
      <c r="S93" s="20" t="e">
        <f>'5|Revenue Current Tariff'!#REF!</f>
        <v>#REF!</v>
      </c>
      <c r="T93" s="6" t="e">
        <f t="shared" si="39"/>
        <v>#REF!</v>
      </c>
      <c r="U93" s="16"/>
      <c r="V93" s="5"/>
      <c r="W93" s="5"/>
      <c r="X93" s="26"/>
      <c r="Y93" s="20" t="e">
        <f>'5|Revenue Current Tariff'!#REF!</f>
        <v>#REF!</v>
      </c>
      <c r="Z93" s="20" t="e">
        <f>'5|Revenue Current Tariff'!#REF!</f>
        <v>#REF!</v>
      </c>
      <c r="AA93" s="20" t="e">
        <f>'5|Revenue Current Tariff'!#REF!</f>
        <v>#REF!</v>
      </c>
      <c r="AB93" s="6" t="e">
        <f t="shared" si="40"/>
        <v>#REF!</v>
      </c>
      <c r="AC93" s="16"/>
      <c r="AD93" s="5"/>
      <c r="AE93" s="5"/>
      <c r="AF93" s="26"/>
      <c r="AG93" s="20" t="e">
        <f>'5|Revenue Current Tariff'!#REF!</f>
        <v>#REF!</v>
      </c>
      <c r="AH93" s="20" t="e">
        <f>'5|Revenue Current Tariff'!#REF!</f>
        <v>#REF!</v>
      </c>
      <c r="AI93" s="20" t="e">
        <f>'5|Revenue Current Tariff'!#REF!</f>
        <v>#REF!</v>
      </c>
      <c r="AJ93" s="6" t="e">
        <f t="shared" si="41"/>
        <v>#REF!</v>
      </c>
      <c r="AK93" s="16"/>
      <c r="AL93" s="5"/>
      <c r="AM93" s="5"/>
      <c r="AN93" s="26"/>
      <c r="AO93" s="20" t="e">
        <f>'5|Revenue Current Tariff'!#REF!</f>
        <v>#REF!</v>
      </c>
      <c r="AP93" s="20" t="e">
        <f>'5|Revenue Current Tariff'!#REF!</f>
        <v>#REF!</v>
      </c>
      <c r="AQ93" s="20" t="e">
        <f>'5|Revenue Current Tariff'!#REF!</f>
        <v>#REF!</v>
      </c>
      <c r="AR93" s="6" t="e">
        <f t="shared" si="42"/>
        <v>#REF!</v>
      </c>
      <c r="AS93" s="16"/>
      <c r="AT93" s="5"/>
      <c r="AU93" s="5"/>
      <c r="AV93" s="26"/>
      <c r="AW93" s="20" t="e">
        <f>'5|Revenue Current Tariff'!#REF!</f>
        <v>#REF!</v>
      </c>
      <c r="AX93" s="20" t="e">
        <f>'5|Revenue Current Tariff'!#REF!</f>
        <v>#REF!</v>
      </c>
      <c r="AY93" s="20" t="e">
        <f>'5|Revenue Current Tariff'!#REF!</f>
        <v>#REF!</v>
      </c>
      <c r="AZ93" s="6" t="e">
        <f t="shared" si="43"/>
        <v>#REF!</v>
      </c>
      <c r="BA93" s="32"/>
      <c r="BB93" s="26"/>
      <c r="BC93" s="26"/>
      <c r="BD93" s="26"/>
      <c r="BE93" s="26"/>
    </row>
    <row r="94" spans="2:57" ht="12.75">
      <c r="B94">
        <v>10157</v>
      </c>
      <c r="C94" s="4" t="s">
        <v>347</v>
      </c>
      <c r="D94" s="4"/>
      <c r="E94" s="16"/>
      <c r="F94" s="5"/>
      <c r="G94" s="5"/>
      <c r="H94" s="26"/>
      <c r="I94" s="20" t="e">
        <f>'5|Revenue Current Tariff'!#REF!</f>
        <v>#REF!</v>
      </c>
      <c r="J94" s="20" t="e">
        <f>'5|Revenue Current Tariff'!#REF!</f>
        <v>#REF!</v>
      </c>
      <c r="K94" s="20" t="e">
        <f>'5|Revenue Current Tariff'!#REF!</f>
        <v>#REF!</v>
      </c>
      <c r="L94" s="6" t="e">
        <f t="shared" si="38"/>
        <v>#REF!</v>
      </c>
      <c r="M94" s="16"/>
      <c r="N94" s="5"/>
      <c r="O94" s="5"/>
      <c r="P94" s="26"/>
      <c r="Q94" s="20" t="e">
        <f>'5|Revenue Current Tariff'!#REF!</f>
        <v>#REF!</v>
      </c>
      <c r="R94" s="20" t="e">
        <f>'5|Revenue Current Tariff'!#REF!</f>
        <v>#REF!</v>
      </c>
      <c r="S94" s="20" t="e">
        <f>'5|Revenue Current Tariff'!#REF!</f>
        <v>#REF!</v>
      </c>
      <c r="T94" s="6" t="e">
        <f t="shared" si="39"/>
        <v>#REF!</v>
      </c>
      <c r="U94" s="16"/>
      <c r="V94" s="5"/>
      <c r="W94" s="5"/>
      <c r="X94" s="26"/>
      <c r="Y94" s="20" t="e">
        <f>'5|Revenue Current Tariff'!#REF!</f>
        <v>#REF!</v>
      </c>
      <c r="Z94" s="20" t="e">
        <f>'5|Revenue Current Tariff'!#REF!</f>
        <v>#REF!</v>
      </c>
      <c r="AA94" s="20" t="e">
        <f>'5|Revenue Current Tariff'!#REF!</f>
        <v>#REF!</v>
      </c>
      <c r="AB94" s="6" t="e">
        <f t="shared" si="40"/>
        <v>#REF!</v>
      </c>
      <c r="AC94" s="16"/>
      <c r="AD94" s="5"/>
      <c r="AE94" s="5"/>
      <c r="AF94" s="26"/>
      <c r="AG94" s="20" t="e">
        <f>'5|Revenue Current Tariff'!#REF!</f>
        <v>#REF!</v>
      </c>
      <c r="AH94" s="20" t="e">
        <f>'5|Revenue Current Tariff'!#REF!</f>
        <v>#REF!</v>
      </c>
      <c r="AI94" s="20" t="e">
        <f>'5|Revenue Current Tariff'!#REF!</f>
        <v>#REF!</v>
      </c>
      <c r="AJ94" s="6" t="e">
        <f t="shared" si="41"/>
        <v>#REF!</v>
      </c>
      <c r="AK94" s="16"/>
      <c r="AL94" s="5"/>
      <c r="AM94" s="5"/>
      <c r="AN94" s="26"/>
      <c r="AO94" s="20" t="e">
        <f>'5|Revenue Current Tariff'!#REF!</f>
        <v>#REF!</v>
      </c>
      <c r="AP94" s="20" t="e">
        <f>'5|Revenue Current Tariff'!#REF!</f>
        <v>#REF!</v>
      </c>
      <c r="AQ94" s="20" t="e">
        <f>'5|Revenue Current Tariff'!#REF!</f>
        <v>#REF!</v>
      </c>
      <c r="AR94" s="6" t="e">
        <f t="shared" si="42"/>
        <v>#REF!</v>
      </c>
      <c r="AS94" s="16"/>
      <c r="AT94" s="5"/>
      <c r="AU94" s="5"/>
      <c r="AV94" s="26"/>
      <c r="AW94" s="20" t="e">
        <f>'5|Revenue Current Tariff'!#REF!</f>
        <v>#REF!</v>
      </c>
      <c r="AX94" s="20" t="e">
        <f>'5|Revenue Current Tariff'!#REF!</f>
        <v>#REF!</v>
      </c>
      <c r="AY94" s="20" t="e">
        <f>'5|Revenue Current Tariff'!#REF!</f>
        <v>#REF!</v>
      </c>
      <c r="AZ94" s="6" t="e">
        <f t="shared" si="43"/>
        <v>#REF!</v>
      </c>
      <c r="BA94" s="32"/>
      <c r="BB94" s="26"/>
      <c r="BC94" s="26"/>
      <c r="BD94" s="26"/>
      <c r="BE94" s="26"/>
    </row>
    <row r="95" spans="2:57" ht="12.75">
      <c r="B95">
        <v>10160</v>
      </c>
      <c r="C95" s="42" t="s">
        <v>32</v>
      </c>
      <c r="D95" s="4"/>
      <c r="E95" s="16"/>
      <c r="F95" s="5"/>
      <c r="G95" s="5"/>
      <c r="H95" s="26"/>
      <c r="I95" s="20" t="e">
        <f>'5|Revenue Current Tariff'!#REF!</f>
        <v>#REF!</v>
      </c>
      <c r="J95" s="20" t="e">
        <f>'5|Revenue Current Tariff'!#REF!</f>
        <v>#REF!</v>
      </c>
      <c r="K95" s="20" t="e">
        <f>'5|Revenue Current Tariff'!#REF!</f>
        <v>#REF!</v>
      </c>
      <c r="L95" s="6" t="e">
        <f t="shared" si="38"/>
        <v>#REF!</v>
      </c>
      <c r="M95" s="16"/>
      <c r="N95" s="5"/>
      <c r="O95" s="5"/>
      <c r="P95" s="26"/>
      <c r="Q95" s="20" t="e">
        <f>'5|Revenue Current Tariff'!#REF!</f>
        <v>#REF!</v>
      </c>
      <c r="R95" s="20" t="e">
        <f>'5|Revenue Current Tariff'!#REF!</f>
        <v>#REF!</v>
      </c>
      <c r="S95" s="20" t="e">
        <f>'5|Revenue Current Tariff'!#REF!</f>
        <v>#REF!</v>
      </c>
      <c r="T95" s="6" t="e">
        <f t="shared" si="39"/>
        <v>#REF!</v>
      </c>
      <c r="U95" s="16"/>
      <c r="V95" s="5"/>
      <c r="W95" s="5"/>
      <c r="X95" s="26"/>
      <c r="Y95" s="20" t="e">
        <f>'5|Revenue Current Tariff'!#REF!</f>
        <v>#REF!</v>
      </c>
      <c r="Z95" s="20" t="e">
        <f>'5|Revenue Current Tariff'!#REF!</f>
        <v>#REF!</v>
      </c>
      <c r="AA95" s="20" t="e">
        <f>'5|Revenue Current Tariff'!#REF!</f>
        <v>#REF!</v>
      </c>
      <c r="AB95" s="6" t="e">
        <f t="shared" si="40"/>
        <v>#REF!</v>
      </c>
      <c r="AC95" s="16"/>
      <c r="AD95" s="5"/>
      <c r="AE95" s="5"/>
      <c r="AF95" s="26"/>
      <c r="AG95" s="20" t="e">
        <f>'5|Revenue Current Tariff'!#REF!</f>
        <v>#REF!</v>
      </c>
      <c r="AH95" s="20" t="e">
        <f>'5|Revenue Current Tariff'!#REF!</f>
        <v>#REF!</v>
      </c>
      <c r="AI95" s="20" t="e">
        <f>'5|Revenue Current Tariff'!#REF!</f>
        <v>#REF!</v>
      </c>
      <c r="AJ95" s="6" t="e">
        <f t="shared" si="41"/>
        <v>#REF!</v>
      </c>
      <c r="AK95" s="16"/>
      <c r="AL95" s="5"/>
      <c r="AM95" s="5"/>
      <c r="AN95" s="26"/>
      <c r="AO95" s="20" t="e">
        <f>'5|Revenue Current Tariff'!#REF!</f>
        <v>#REF!</v>
      </c>
      <c r="AP95" s="20" t="e">
        <f>'5|Revenue Current Tariff'!#REF!</f>
        <v>#REF!</v>
      </c>
      <c r="AQ95" s="20" t="e">
        <f>'5|Revenue Current Tariff'!#REF!</f>
        <v>#REF!</v>
      </c>
      <c r="AR95" s="6" t="e">
        <f t="shared" si="42"/>
        <v>#REF!</v>
      </c>
      <c r="AS95" s="16"/>
      <c r="AT95" s="5"/>
      <c r="AU95" s="5"/>
      <c r="AV95" s="26"/>
      <c r="AW95" s="20" t="e">
        <f>'5|Revenue Current Tariff'!#REF!</f>
        <v>#REF!</v>
      </c>
      <c r="AX95" s="20" t="e">
        <f>'5|Revenue Current Tariff'!#REF!</f>
        <v>#REF!</v>
      </c>
      <c r="AY95" s="20" t="e">
        <f>'5|Revenue Current Tariff'!#REF!</f>
        <v>#REF!</v>
      </c>
      <c r="AZ95" s="6" t="e">
        <f t="shared" si="43"/>
        <v>#REF!</v>
      </c>
      <c r="BA95" s="32"/>
      <c r="BB95" s="26"/>
      <c r="BC95" s="26"/>
      <c r="BD95" s="26"/>
      <c r="BE95" s="26"/>
    </row>
    <row r="96" spans="2:57" ht="12.75">
      <c r="B96"/>
      <c r="C96" s="4" t="s">
        <v>167</v>
      </c>
      <c r="D96" s="4"/>
      <c r="E96" s="16"/>
      <c r="F96" s="5"/>
      <c r="G96" s="5"/>
      <c r="H96" s="26"/>
      <c r="I96" s="20" t="e">
        <f>'5|Revenue Current Tariff'!#REF!</f>
        <v>#REF!</v>
      </c>
      <c r="J96" s="20" t="e">
        <f>'5|Revenue Current Tariff'!#REF!</f>
        <v>#REF!</v>
      </c>
      <c r="K96" s="20" t="e">
        <f>'5|Revenue Current Tariff'!#REF!</f>
        <v>#REF!</v>
      </c>
      <c r="L96" s="6" t="e">
        <f t="shared" si="38"/>
        <v>#REF!</v>
      </c>
      <c r="M96" s="16"/>
      <c r="N96" s="5"/>
      <c r="O96" s="5"/>
      <c r="P96" s="26"/>
      <c r="Q96" s="20" t="e">
        <f>'5|Revenue Current Tariff'!#REF!</f>
        <v>#REF!</v>
      </c>
      <c r="R96" s="20" t="e">
        <f>'5|Revenue Current Tariff'!#REF!</f>
        <v>#REF!</v>
      </c>
      <c r="S96" s="20" t="e">
        <f>'5|Revenue Current Tariff'!#REF!</f>
        <v>#REF!</v>
      </c>
      <c r="T96" s="6" t="e">
        <f t="shared" si="39"/>
        <v>#REF!</v>
      </c>
      <c r="U96" s="16"/>
      <c r="V96" s="5"/>
      <c r="W96" s="5"/>
      <c r="X96" s="26"/>
      <c r="Y96" s="20" t="e">
        <f>'5|Revenue Current Tariff'!#REF!</f>
        <v>#REF!</v>
      </c>
      <c r="Z96" s="20" t="e">
        <f>'5|Revenue Current Tariff'!#REF!</f>
        <v>#REF!</v>
      </c>
      <c r="AA96" s="20" t="e">
        <f>'5|Revenue Current Tariff'!#REF!</f>
        <v>#REF!</v>
      </c>
      <c r="AB96" s="6" t="e">
        <f t="shared" si="40"/>
        <v>#REF!</v>
      </c>
      <c r="AC96" s="16"/>
      <c r="AD96" s="5"/>
      <c r="AE96" s="5"/>
      <c r="AF96" s="26"/>
      <c r="AG96" s="20" t="e">
        <f>'5|Revenue Current Tariff'!#REF!</f>
        <v>#REF!</v>
      </c>
      <c r="AH96" s="20" t="e">
        <f>'5|Revenue Current Tariff'!#REF!</f>
        <v>#REF!</v>
      </c>
      <c r="AI96" s="20" t="e">
        <f>'5|Revenue Current Tariff'!#REF!</f>
        <v>#REF!</v>
      </c>
      <c r="AJ96" s="6" t="e">
        <f t="shared" si="41"/>
        <v>#REF!</v>
      </c>
      <c r="AK96" s="16"/>
      <c r="AL96" s="5"/>
      <c r="AM96" s="5"/>
      <c r="AN96" s="26"/>
      <c r="AO96" s="20" t="e">
        <f>'5|Revenue Current Tariff'!#REF!</f>
        <v>#REF!</v>
      </c>
      <c r="AP96" s="20" t="e">
        <f>'5|Revenue Current Tariff'!#REF!</f>
        <v>#REF!</v>
      </c>
      <c r="AQ96" s="20" t="e">
        <f>'5|Revenue Current Tariff'!#REF!</f>
        <v>#REF!</v>
      </c>
      <c r="AR96" s="6" t="e">
        <f t="shared" si="42"/>
        <v>#REF!</v>
      </c>
      <c r="AS96" s="16"/>
      <c r="AT96" s="5"/>
      <c r="AU96" s="5"/>
      <c r="AV96" s="26"/>
      <c r="AW96" s="20" t="e">
        <f>'5|Revenue Current Tariff'!#REF!</f>
        <v>#REF!</v>
      </c>
      <c r="AX96" s="20" t="e">
        <f>'5|Revenue Current Tariff'!#REF!</f>
        <v>#REF!</v>
      </c>
      <c r="AY96" s="20" t="e">
        <f>'5|Revenue Current Tariff'!#REF!</f>
        <v>#REF!</v>
      </c>
      <c r="AZ96" s="6" t="e">
        <f t="shared" si="43"/>
        <v>#REF!</v>
      </c>
      <c r="BA96" s="32"/>
      <c r="BB96" s="26"/>
      <c r="BC96" s="26"/>
      <c r="BD96" s="26"/>
      <c r="BE96" s="26"/>
    </row>
    <row r="97" spans="2:57" ht="12.75">
      <c r="B97"/>
      <c r="C97" s="4" t="s">
        <v>349</v>
      </c>
      <c r="D97" s="4"/>
      <c r="E97" s="16"/>
      <c r="F97" s="5"/>
      <c r="G97" s="5"/>
      <c r="H97" s="26"/>
      <c r="I97" s="20" t="e">
        <f>'5|Revenue Current Tariff'!#REF!</f>
        <v>#REF!</v>
      </c>
      <c r="J97" s="20" t="e">
        <f>'5|Revenue Current Tariff'!#REF!</f>
        <v>#REF!</v>
      </c>
      <c r="K97" s="20" t="e">
        <f>'5|Revenue Current Tariff'!#REF!</f>
        <v>#REF!</v>
      </c>
      <c r="L97" s="6" t="e">
        <f t="shared" si="38"/>
        <v>#REF!</v>
      </c>
      <c r="M97" s="16"/>
      <c r="N97" s="5"/>
      <c r="O97" s="5"/>
      <c r="P97" s="26"/>
      <c r="Q97" s="20" t="e">
        <f>'5|Revenue Current Tariff'!#REF!</f>
        <v>#REF!</v>
      </c>
      <c r="R97" s="20" t="e">
        <f>'5|Revenue Current Tariff'!#REF!</f>
        <v>#REF!</v>
      </c>
      <c r="S97" s="20" t="e">
        <f>'5|Revenue Current Tariff'!#REF!</f>
        <v>#REF!</v>
      </c>
      <c r="T97" s="6" t="e">
        <f t="shared" si="39"/>
        <v>#REF!</v>
      </c>
      <c r="U97" s="16"/>
      <c r="V97" s="5"/>
      <c r="W97" s="5"/>
      <c r="X97" s="26"/>
      <c r="Y97" s="20" t="e">
        <f>'5|Revenue Current Tariff'!#REF!</f>
        <v>#REF!</v>
      </c>
      <c r="Z97" s="20" t="e">
        <f>'5|Revenue Current Tariff'!#REF!</f>
        <v>#REF!</v>
      </c>
      <c r="AA97" s="20" t="e">
        <f>'5|Revenue Current Tariff'!#REF!</f>
        <v>#REF!</v>
      </c>
      <c r="AB97" s="6" t="e">
        <f t="shared" si="40"/>
        <v>#REF!</v>
      </c>
      <c r="AC97" s="16"/>
      <c r="AD97" s="5"/>
      <c r="AE97" s="5"/>
      <c r="AF97" s="26"/>
      <c r="AG97" s="20" t="e">
        <f>'5|Revenue Current Tariff'!#REF!</f>
        <v>#REF!</v>
      </c>
      <c r="AH97" s="20" t="e">
        <f>'5|Revenue Current Tariff'!#REF!</f>
        <v>#REF!</v>
      </c>
      <c r="AI97" s="20" t="e">
        <f>'5|Revenue Current Tariff'!#REF!</f>
        <v>#REF!</v>
      </c>
      <c r="AJ97" s="6" t="e">
        <f t="shared" si="41"/>
        <v>#REF!</v>
      </c>
      <c r="AK97" s="16"/>
      <c r="AL97" s="5"/>
      <c r="AM97" s="5"/>
      <c r="AN97" s="26"/>
      <c r="AO97" s="20" t="e">
        <f>'5|Revenue Current Tariff'!#REF!</f>
        <v>#REF!</v>
      </c>
      <c r="AP97" s="20" t="e">
        <f>'5|Revenue Current Tariff'!#REF!</f>
        <v>#REF!</v>
      </c>
      <c r="AQ97" s="20" t="e">
        <f>'5|Revenue Current Tariff'!#REF!</f>
        <v>#REF!</v>
      </c>
      <c r="AR97" s="6" t="e">
        <f t="shared" si="42"/>
        <v>#REF!</v>
      </c>
      <c r="AS97" s="16"/>
      <c r="AT97" s="5"/>
      <c r="AU97" s="5"/>
      <c r="AV97" s="26"/>
      <c r="AW97" s="20" t="e">
        <f>'5|Revenue Current Tariff'!#REF!</f>
        <v>#REF!</v>
      </c>
      <c r="AX97" s="20" t="e">
        <f>'5|Revenue Current Tariff'!#REF!</f>
        <v>#REF!</v>
      </c>
      <c r="AY97" s="20" t="e">
        <f>'5|Revenue Current Tariff'!#REF!</f>
        <v>#REF!</v>
      </c>
      <c r="AZ97" s="6" t="e">
        <f t="shared" si="43"/>
        <v>#REF!</v>
      </c>
      <c r="BA97" s="32"/>
      <c r="BB97" s="26"/>
      <c r="BC97" s="26"/>
      <c r="BD97" s="26"/>
      <c r="BE97" s="26"/>
    </row>
    <row r="98" spans="2:57" ht="12.75">
      <c r="B98"/>
      <c r="C98" s="4" t="s">
        <v>19</v>
      </c>
      <c r="D98" s="4"/>
      <c r="E98" s="16"/>
      <c r="F98" s="5"/>
      <c r="G98" s="5"/>
      <c r="H98" s="26"/>
      <c r="I98" s="20" t="e">
        <f>'5|Revenue Current Tariff'!#REF!</f>
        <v>#REF!</v>
      </c>
      <c r="J98" s="20" t="e">
        <f>'5|Revenue Current Tariff'!#REF!</f>
        <v>#REF!</v>
      </c>
      <c r="K98" s="20" t="e">
        <f>'5|Revenue Current Tariff'!#REF!</f>
        <v>#REF!</v>
      </c>
      <c r="L98" s="6" t="e">
        <f t="shared" si="38"/>
        <v>#REF!</v>
      </c>
      <c r="M98" s="16"/>
      <c r="N98" s="5"/>
      <c r="O98" s="5"/>
      <c r="P98" s="26"/>
      <c r="Q98" s="20" t="e">
        <f>'5|Revenue Current Tariff'!#REF!</f>
        <v>#REF!</v>
      </c>
      <c r="R98" s="20" t="e">
        <f>'5|Revenue Current Tariff'!#REF!</f>
        <v>#REF!</v>
      </c>
      <c r="S98" s="20" t="e">
        <f>'5|Revenue Current Tariff'!#REF!</f>
        <v>#REF!</v>
      </c>
      <c r="T98" s="6" t="e">
        <f t="shared" si="39"/>
        <v>#REF!</v>
      </c>
      <c r="U98" s="16"/>
      <c r="V98" s="5"/>
      <c r="W98" s="5"/>
      <c r="X98" s="26"/>
      <c r="Y98" s="20" t="e">
        <f>'5|Revenue Current Tariff'!#REF!</f>
        <v>#REF!</v>
      </c>
      <c r="Z98" s="20" t="e">
        <f>'5|Revenue Current Tariff'!#REF!</f>
        <v>#REF!</v>
      </c>
      <c r="AA98" s="20" t="e">
        <f>'5|Revenue Current Tariff'!#REF!</f>
        <v>#REF!</v>
      </c>
      <c r="AB98" s="6" t="e">
        <f t="shared" si="40"/>
        <v>#REF!</v>
      </c>
      <c r="AC98" s="16"/>
      <c r="AD98" s="5"/>
      <c r="AE98" s="5"/>
      <c r="AF98" s="26"/>
      <c r="AG98" s="20" t="e">
        <f>'5|Revenue Current Tariff'!#REF!</f>
        <v>#REF!</v>
      </c>
      <c r="AH98" s="20" t="e">
        <f>'5|Revenue Current Tariff'!#REF!</f>
        <v>#REF!</v>
      </c>
      <c r="AI98" s="20" t="e">
        <f>'5|Revenue Current Tariff'!#REF!</f>
        <v>#REF!</v>
      </c>
      <c r="AJ98" s="6" t="e">
        <f t="shared" si="41"/>
        <v>#REF!</v>
      </c>
      <c r="AK98" s="16"/>
      <c r="AL98" s="5"/>
      <c r="AM98" s="5"/>
      <c r="AN98" s="26"/>
      <c r="AO98" s="20" t="e">
        <f>'5|Revenue Current Tariff'!#REF!</f>
        <v>#REF!</v>
      </c>
      <c r="AP98" s="20" t="e">
        <f>'5|Revenue Current Tariff'!#REF!</f>
        <v>#REF!</v>
      </c>
      <c r="AQ98" s="20" t="e">
        <f>'5|Revenue Current Tariff'!#REF!</f>
        <v>#REF!</v>
      </c>
      <c r="AR98" s="6" t="e">
        <f t="shared" si="42"/>
        <v>#REF!</v>
      </c>
      <c r="AS98" s="16"/>
      <c r="AT98" s="5"/>
      <c r="AU98" s="5"/>
      <c r="AV98" s="26"/>
      <c r="AW98" s="20" t="e">
        <f>'5|Revenue Current Tariff'!#REF!</f>
        <v>#REF!</v>
      </c>
      <c r="AX98" s="20" t="e">
        <f>'5|Revenue Current Tariff'!#REF!</f>
        <v>#REF!</v>
      </c>
      <c r="AY98" s="20" t="e">
        <f>'5|Revenue Current Tariff'!#REF!</f>
        <v>#REF!</v>
      </c>
      <c r="AZ98" s="6" t="e">
        <f t="shared" si="43"/>
        <v>#REF!</v>
      </c>
      <c r="BA98" s="32"/>
      <c r="BB98" s="26"/>
      <c r="BC98" s="26"/>
      <c r="BD98" s="26"/>
      <c r="BE98" s="26"/>
    </row>
    <row r="99" spans="2:57" ht="12.75">
      <c r="B99"/>
      <c r="C99" s="4" t="s">
        <v>41</v>
      </c>
      <c r="D99" s="4"/>
      <c r="E99" s="16"/>
      <c r="F99" s="5"/>
      <c r="G99" s="5"/>
      <c r="H99" s="26"/>
      <c r="I99" s="20" t="e">
        <f>'5|Revenue Current Tariff'!#REF!</f>
        <v>#REF!</v>
      </c>
      <c r="J99" s="20" t="e">
        <f>'5|Revenue Current Tariff'!#REF!</f>
        <v>#REF!</v>
      </c>
      <c r="K99" s="20" t="e">
        <f>'5|Revenue Current Tariff'!#REF!</f>
        <v>#REF!</v>
      </c>
      <c r="L99" s="6" t="e">
        <f t="shared" si="38"/>
        <v>#REF!</v>
      </c>
      <c r="M99" s="16"/>
      <c r="N99" s="5"/>
      <c r="O99" s="5"/>
      <c r="P99" s="26"/>
      <c r="Q99" s="20" t="e">
        <f>'5|Revenue Current Tariff'!#REF!</f>
        <v>#REF!</v>
      </c>
      <c r="R99" s="20" t="e">
        <f>'5|Revenue Current Tariff'!#REF!</f>
        <v>#REF!</v>
      </c>
      <c r="S99" s="20" t="e">
        <f>'5|Revenue Current Tariff'!#REF!</f>
        <v>#REF!</v>
      </c>
      <c r="T99" s="6" t="e">
        <f t="shared" si="39"/>
        <v>#REF!</v>
      </c>
      <c r="U99" s="16"/>
      <c r="V99" s="5"/>
      <c r="W99" s="5"/>
      <c r="X99" s="26"/>
      <c r="Y99" s="20" t="e">
        <f>'5|Revenue Current Tariff'!#REF!</f>
        <v>#REF!</v>
      </c>
      <c r="Z99" s="20" t="e">
        <f>'5|Revenue Current Tariff'!#REF!</f>
        <v>#REF!</v>
      </c>
      <c r="AA99" s="20" t="e">
        <f>'5|Revenue Current Tariff'!#REF!</f>
        <v>#REF!</v>
      </c>
      <c r="AB99" s="6" t="e">
        <f t="shared" si="40"/>
        <v>#REF!</v>
      </c>
      <c r="AC99" s="16"/>
      <c r="AD99" s="5"/>
      <c r="AE99" s="5"/>
      <c r="AF99" s="26"/>
      <c r="AG99" s="20" t="e">
        <f>'5|Revenue Current Tariff'!#REF!</f>
        <v>#REF!</v>
      </c>
      <c r="AH99" s="20" t="e">
        <f>'5|Revenue Current Tariff'!#REF!</f>
        <v>#REF!</v>
      </c>
      <c r="AI99" s="20" t="e">
        <f>'5|Revenue Current Tariff'!#REF!</f>
        <v>#REF!</v>
      </c>
      <c r="AJ99" s="6" t="e">
        <f t="shared" si="41"/>
        <v>#REF!</v>
      </c>
      <c r="AK99" s="16"/>
      <c r="AL99" s="5"/>
      <c r="AM99" s="5"/>
      <c r="AN99" s="26"/>
      <c r="AO99" s="20" t="e">
        <f>'5|Revenue Current Tariff'!#REF!</f>
        <v>#REF!</v>
      </c>
      <c r="AP99" s="20" t="e">
        <f>'5|Revenue Current Tariff'!#REF!</f>
        <v>#REF!</v>
      </c>
      <c r="AQ99" s="20" t="e">
        <f>'5|Revenue Current Tariff'!#REF!</f>
        <v>#REF!</v>
      </c>
      <c r="AR99" s="6" t="e">
        <f t="shared" si="42"/>
        <v>#REF!</v>
      </c>
      <c r="AS99" s="16"/>
      <c r="AT99" s="5"/>
      <c r="AU99" s="5"/>
      <c r="AV99" s="26"/>
      <c r="AW99" s="20" t="e">
        <f>'5|Revenue Current Tariff'!#REF!</f>
        <v>#REF!</v>
      </c>
      <c r="AX99" s="20" t="e">
        <f>'5|Revenue Current Tariff'!#REF!</f>
        <v>#REF!</v>
      </c>
      <c r="AY99" s="20" t="e">
        <f>'5|Revenue Current Tariff'!#REF!</f>
        <v>#REF!</v>
      </c>
      <c r="AZ99" s="6" t="e">
        <f t="shared" si="43"/>
        <v>#REF!</v>
      </c>
      <c r="BA99" s="32"/>
      <c r="BB99" s="26"/>
      <c r="BC99" s="26"/>
      <c r="BD99" s="26"/>
      <c r="BE99" s="26"/>
    </row>
    <row r="100" spans="2:57" ht="12.75">
      <c r="B100"/>
      <c r="C100" s="4" t="s">
        <v>42</v>
      </c>
      <c r="D100" s="4"/>
      <c r="E100" s="16"/>
      <c r="F100" s="5"/>
      <c r="G100" s="5"/>
      <c r="H100" s="26"/>
      <c r="I100" s="20" t="e">
        <f>'5|Revenue Current Tariff'!#REF!</f>
        <v>#REF!</v>
      </c>
      <c r="J100" s="20" t="e">
        <f>'5|Revenue Current Tariff'!#REF!</f>
        <v>#REF!</v>
      </c>
      <c r="K100" s="20" t="e">
        <f>'5|Revenue Current Tariff'!#REF!</f>
        <v>#REF!</v>
      </c>
      <c r="L100" s="6" t="e">
        <f t="shared" si="38"/>
        <v>#REF!</v>
      </c>
      <c r="M100" s="16"/>
      <c r="N100" s="5"/>
      <c r="O100" s="5"/>
      <c r="P100" s="26"/>
      <c r="Q100" s="20" t="e">
        <f>'5|Revenue Current Tariff'!#REF!</f>
        <v>#REF!</v>
      </c>
      <c r="R100" s="20" t="e">
        <f>'5|Revenue Current Tariff'!#REF!</f>
        <v>#REF!</v>
      </c>
      <c r="S100" s="20" t="e">
        <f>'5|Revenue Current Tariff'!#REF!</f>
        <v>#REF!</v>
      </c>
      <c r="T100" s="6" t="e">
        <f t="shared" si="39"/>
        <v>#REF!</v>
      </c>
      <c r="U100" s="16"/>
      <c r="V100" s="5"/>
      <c r="W100" s="5"/>
      <c r="X100" s="26"/>
      <c r="Y100" s="20" t="e">
        <f>'5|Revenue Current Tariff'!#REF!</f>
        <v>#REF!</v>
      </c>
      <c r="Z100" s="20" t="e">
        <f>'5|Revenue Current Tariff'!#REF!</f>
        <v>#REF!</v>
      </c>
      <c r="AA100" s="20" t="e">
        <f>'5|Revenue Current Tariff'!#REF!</f>
        <v>#REF!</v>
      </c>
      <c r="AB100" s="6" t="e">
        <f t="shared" si="40"/>
        <v>#REF!</v>
      </c>
      <c r="AC100" s="16"/>
      <c r="AD100" s="5"/>
      <c r="AE100" s="5"/>
      <c r="AF100" s="26"/>
      <c r="AG100" s="20" t="e">
        <f>'5|Revenue Current Tariff'!#REF!</f>
        <v>#REF!</v>
      </c>
      <c r="AH100" s="20" t="e">
        <f>'5|Revenue Current Tariff'!#REF!</f>
        <v>#REF!</v>
      </c>
      <c r="AI100" s="20" t="e">
        <f>'5|Revenue Current Tariff'!#REF!</f>
        <v>#REF!</v>
      </c>
      <c r="AJ100" s="6" t="e">
        <f t="shared" si="41"/>
        <v>#REF!</v>
      </c>
      <c r="AK100" s="16"/>
      <c r="AL100" s="5"/>
      <c r="AM100" s="5"/>
      <c r="AN100" s="26"/>
      <c r="AO100" s="20" t="e">
        <f>'5|Revenue Current Tariff'!#REF!</f>
        <v>#REF!</v>
      </c>
      <c r="AP100" s="20" t="e">
        <f>'5|Revenue Current Tariff'!#REF!</f>
        <v>#REF!</v>
      </c>
      <c r="AQ100" s="20" t="e">
        <f>'5|Revenue Current Tariff'!#REF!</f>
        <v>#REF!</v>
      </c>
      <c r="AR100" s="6" t="e">
        <f t="shared" si="42"/>
        <v>#REF!</v>
      </c>
      <c r="AS100" s="16"/>
      <c r="AT100" s="5"/>
      <c r="AU100" s="5"/>
      <c r="AV100" s="26"/>
      <c r="AW100" s="20" t="e">
        <f>'5|Revenue Current Tariff'!#REF!</f>
        <v>#REF!</v>
      </c>
      <c r="AX100" s="20" t="e">
        <f>'5|Revenue Current Tariff'!#REF!</f>
        <v>#REF!</v>
      </c>
      <c r="AY100" s="20" t="e">
        <f>'5|Revenue Current Tariff'!#REF!</f>
        <v>#REF!</v>
      </c>
      <c r="AZ100" s="6" t="e">
        <f t="shared" si="43"/>
        <v>#REF!</v>
      </c>
      <c r="BA100" s="32"/>
      <c r="BB100" s="26"/>
      <c r="BC100" s="26"/>
      <c r="BD100" s="26"/>
      <c r="BE100" s="26"/>
    </row>
    <row r="101" spans="2:57" ht="12.75">
      <c r="B101"/>
      <c r="C101" s="14" t="e">
        <f>#REF!</f>
        <v>#REF!</v>
      </c>
      <c r="D101" s="4"/>
      <c r="E101" s="16"/>
      <c r="F101" s="5"/>
      <c r="G101" s="5"/>
      <c r="H101" s="26"/>
      <c r="I101" s="20" t="e">
        <f>'5|Revenue Current Tariff'!#REF!</f>
        <v>#REF!</v>
      </c>
      <c r="J101" s="20" t="e">
        <f>'5|Revenue Current Tariff'!#REF!</f>
        <v>#REF!</v>
      </c>
      <c r="K101" s="20" t="e">
        <f>'5|Revenue Current Tariff'!#REF!</f>
        <v>#REF!</v>
      </c>
      <c r="L101" s="6" t="e">
        <f t="shared" si="38"/>
        <v>#REF!</v>
      </c>
      <c r="M101" s="16"/>
      <c r="N101" s="5"/>
      <c r="O101" s="5"/>
      <c r="P101" s="26"/>
      <c r="Q101" s="20" t="e">
        <f>'5|Revenue Current Tariff'!#REF!</f>
        <v>#REF!</v>
      </c>
      <c r="R101" s="20" t="e">
        <f>'5|Revenue Current Tariff'!#REF!</f>
        <v>#REF!</v>
      </c>
      <c r="S101" s="20" t="e">
        <f>'5|Revenue Current Tariff'!#REF!</f>
        <v>#REF!</v>
      </c>
      <c r="T101" s="6" t="e">
        <f t="shared" si="39"/>
        <v>#REF!</v>
      </c>
      <c r="U101" s="16"/>
      <c r="V101" s="5"/>
      <c r="W101" s="5"/>
      <c r="X101" s="26"/>
      <c r="Y101" s="20" t="e">
        <f>'5|Revenue Current Tariff'!#REF!</f>
        <v>#REF!</v>
      </c>
      <c r="Z101" s="20" t="e">
        <f>'5|Revenue Current Tariff'!#REF!</f>
        <v>#REF!</v>
      </c>
      <c r="AA101" s="20" t="e">
        <f>'5|Revenue Current Tariff'!#REF!</f>
        <v>#REF!</v>
      </c>
      <c r="AB101" s="6" t="e">
        <f t="shared" si="40"/>
        <v>#REF!</v>
      </c>
      <c r="AC101" s="16"/>
      <c r="AD101" s="5"/>
      <c r="AE101" s="5"/>
      <c r="AF101" s="26"/>
      <c r="AG101" s="20" t="e">
        <f>'5|Revenue Current Tariff'!#REF!</f>
        <v>#REF!</v>
      </c>
      <c r="AH101" s="20" t="e">
        <f>'5|Revenue Current Tariff'!#REF!</f>
        <v>#REF!</v>
      </c>
      <c r="AI101" s="20" t="e">
        <f>'5|Revenue Current Tariff'!#REF!</f>
        <v>#REF!</v>
      </c>
      <c r="AJ101" s="6" t="e">
        <f t="shared" si="41"/>
        <v>#REF!</v>
      </c>
      <c r="AK101" s="16"/>
      <c r="AL101" s="5"/>
      <c r="AM101" s="5"/>
      <c r="AN101" s="26"/>
      <c r="AO101" s="20" t="e">
        <f>'5|Revenue Current Tariff'!#REF!</f>
        <v>#REF!</v>
      </c>
      <c r="AP101" s="20" t="e">
        <f>'5|Revenue Current Tariff'!#REF!</f>
        <v>#REF!</v>
      </c>
      <c r="AQ101" s="20" t="e">
        <f>'5|Revenue Current Tariff'!#REF!</f>
        <v>#REF!</v>
      </c>
      <c r="AR101" s="6" t="e">
        <f t="shared" si="42"/>
        <v>#REF!</v>
      </c>
      <c r="AS101" s="16"/>
      <c r="AT101" s="5"/>
      <c r="AU101" s="5"/>
      <c r="AV101" s="26"/>
      <c r="AW101" s="20" t="e">
        <f>'5|Revenue Current Tariff'!#REF!</f>
        <v>#REF!</v>
      </c>
      <c r="AX101" s="20" t="e">
        <f>'5|Revenue Current Tariff'!#REF!</f>
        <v>#REF!</v>
      </c>
      <c r="AY101" s="20" t="e">
        <f>'5|Revenue Current Tariff'!#REF!</f>
        <v>#REF!</v>
      </c>
      <c r="AZ101" s="6" t="e">
        <f t="shared" si="43"/>
        <v>#REF!</v>
      </c>
      <c r="BA101" s="32"/>
      <c r="BB101" s="26"/>
      <c r="BC101" s="26"/>
      <c r="BD101" s="26"/>
      <c r="BE101" s="26"/>
    </row>
    <row r="102" spans="2:57" ht="12.75">
      <c r="B102"/>
      <c r="C102" s="14" t="e">
        <f>#REF!</f>
        <v>#REF!</v>
      </c>
      <c r="D102" s="4"/>
      <c r="E102" s="16"/>
      <c r="F102" s="5"/>
      <c r="G102" s="5"/>
      <c r="H102" s="26"/>
      <c r="I102" s="20" t="e">
        <f>'5|Revenue Current Tariff'!#REF!</f>
        <v>#REF!</v>
      </c>
      <c r="J102" s="20" t="e">
        <f>'5|Revenue Current Tariff'!#REF!</f>
        <v>#REF!</v>
      </c>
      <c r="K102" s="20" t="e">
        <f>'5|Revenue Current Tariff'!#REF!</f>
        <v>#REF!</v>
      </c>
      <c r="L102" s="6" t="e">
        <f t="shared" si="38"/>
        <v>#REF!</v>
      </c>
      <c r="M102" s="16"/>
      <c r="N102" s="5"/>
      <c r="O102" s="5"/>
      <c r="P102" s="26"/>
      <c r="Q102" s="20" t="e">
        <f>'5|Revenue Current Tariff'!#REF!</f>
        <v>#REF!</v>
      </c>
      <c r="R102" s="20" t="e">
        <f>'5|Revenue Current Tariff'!#REF!</f>
        <v>#REF!</v>
      </c>
      <c r="S102" s="20" t="e">
        <f>'5|Revenue Current Tariff'!#REF!</f>
        <v>#REF!</v>
      </c>
      <c r="T102" s="6" t="e">
        <f t="shared" si="39"/>
        <v>#REF!</v>
      </c>
      <c r="U102" s="16"/>
      <c r="V102" s="5"/>
      <c r="W102" s="5"/>
      <c r="X102" s="26"/>
      <c r="Y102" s="20" t="e">
        <f>'5|Revenue Current Tariff'!#REF!</f>
        <v>#REF!</v>
      </c>
      <c r="Z102" s="20" t="e">
        <f>'5|Revenue Current Tariff'!#REF!</f>
        <v>#REF!</v>
      </c>
      <c r="AA102" s="20" t="e">
        <f>'5|Revenue Current Tariff'!#REF!</f>
        <v>#REF!</v>
      </c>
      <c r="AB102" s="6" t="e">
        <f t="shared" si="40"/>
        <v>#REF!</v>
      </c>
      <c r="AC102" s="16"/>
      <c r="AD102" s="5"/>
      <c r="AE102" s="5"/>
      <c r="AF102" s="26"/>
      <c r="AG102" s="20" t="e">
        <f>'5|Revenue Current Tariff'!#REF!</f>
        <v>#REF!</v>
      </c>
      <c r="AH102" s="20" t="e">
        <f>'5|Revenue Current Tariff'!#REF!</f>
        <v>#REF!</v>
      </c>
      <c r="AI102" s="20" t="e">
        <f>'5|Revenue Current Tariff'!#REF!</f>
        <v>#REF!</v>
      </c>
      <c r="AJ102" s="6" t="e">
        <f t="shared" si="41"/>
        <v>#REF!</v>
      </c>
      <c r="AK102" s="16"/>
      <c r="AL102" s="5"/>
      <c r="AM102" s="5"/>
      <c r="AN102" s="26"/>
      <c r="AO102" s="20" t="e">
        <f>'5|Revenue Current Tariff'!#REF!</f>
        <v>#REF!</v>
      </c>
      <c r="AP102" s="20" t="e">
        <f>'5|Revenue Current Tariff'!#REF!</f>
        <v>#REF!</v>
      </c>
      <c r="AQ102" s="20" t="e">
        <f>'5|Revenue Current Tariff'!#REF!</f>
        <v>#REF!</v>
      </c>
      <c r="AR102" s="6" t="e">
        <f t="shared" si="42"/>
        <v>#REF!</v>
      </c>
      <c r="AS102" s="16"/>
      <c r="AT102" s="5"/>
      <c r="AU102" s="5"/>
      <c r="AV102" s="26"/>
      <c r="AW102" s="20" t="e">
        <f>'5|Revenue Current Tariff'!#REF!</f>
        <v>#REF!</v>
      </c>
      <c r="AX102" s="20" t="e">
        <f>'5|Revenue Current Tariff'!#REF!</f>
        <v>#REF!</v>
      </c>
      <c r="AY102" s="20" t="e">
        <f>'5|Revenue Current Tariff'!#REF!</f>
        <v>#REF!</v>
      </c>
      <c r="AZ102" s="6" t="e">
        <f t="shared" si="43"/>
        <v>#REF!</v>
      </c>
      <c r="BA102" s="32"/>
      <c r="BB102" s="26"/>
      <c r="BC102" s="26"/>
      <c r="BD102" s="26"/>
      <c r="BE102" s="26"/>
    </row>
    <row r="103" spans="2:57" ht="12.75">
      <c r="B103"/>
      <c r="C103" s="14" t="e">
        <f>#REF!</f>
        <v>#REF!</v>
      </c>
      <c r="D103" s="4"/>
      <c r="E103" s="16"/>
      <c r="F103" s="5"/>
      <c r="G103" s="5"/>
      <c r="H103" s="26"/>
      <c r="I103" s="20" t="e">
        <f>'5|Revenue Current Tariff'!#REF!</f>
        <v>#REF!</v>
      </c>
      <c r="J103" s="20" t="e">
        <f>'5|Revenue Current Tariff'!#REF!</f>
        <v>#REF!</v>
      </c>
      <c r="K103" s="20" t="e">
        <f>'5|Revenue Current Tariff'!#REF!</f>
        <v>#REF!</v>
      </c>
      <c r="L103" s="6" t="e">
        <f t="shared" si="38"/>
        <v>#REF!</v>
      </c>
      <c r="M103" s="16"/>
      <c r="N103" s="5"/>
      <c r="O103" s="5"/>
      <c r="P103" s="26"/>
      <c r="Q103" s="20" t="e">
        <f>'5|Revenue Current Tariff'!#REF!</f>
        <v>#REF!</v>
      </c>
      <c r="R103" s="20" t="e">
        <f>'5|Revenue Current Tariff'!#REF!</f>
        <v>#REF!</v>
      </c>
      <c r="S103" s="20" t="e">
        <f>'5|Revenue Current Tariff'!#REF!</f>
        <v>#REF!</v>
      </c>
      <c r="T103" s="6" t="e">
        <f t="shared" si="39"/>
        <v>#REF!</v>
      </c>
      <c r="U103" s="16"/>
      <c r="V103" s="5"/>
      <c r="W103" s="5"/>
      <c r="X103" s="26"/>
      <c r="Y103" s="20" t="e">
        <f>'5|Revenue Current Tariff'!#REF!</f>
        <v>#REF!</v>
      </c>
      <c r="Z103" s="20" t="e">
        <f>'5|Revenue Current Tariff'!#REF!</f>
        <v>#REF!</v>
      </c>
      <c r="AA103" s="20" t="e">
        <f>'5|Revenue Current Tariff'!#REF!</f>
        <v>#REF!</v>
      </c>
      <c r="AB103" s="6" t="e">
        <f t="shared" si="40"/>
        <v>#REF!</v>
      </c>
      <c r="AC103" s="16"/>
      <c r="AD103" s="5"/>
      <c r="AE103" s="5"/>
      <c r="AF103" s="26"/>
      <c r="AG103" s="20" t="e">
        <f>'5|Revenue Current Tariff'!#REF!</f>
        <v>#REF!</v>
      </c>
      <c r="AH103" s="20" t="e">
        <f>'5|Revenue Current Tariff'!#REF!</f>
        <v>#REF!</v>
      </c>
      <c r="AI103" s="20" t="e">
        <f>'5|Revenue Current Tariff'!#REF!</f>
        <v>#REF!</v>
      </c>
      <c r="AJ103" s="6" t="e">
        <f t="shared" si="41"/>
        <v>#REF!</v>
      </c>
      <c r="AK103" s="16"/>
      <c r="AL103" s="5"/>
      <c r="AM103" s="5"/>
      <c r="AN103" s="26"/>
      <c r="AO103" s="20" t="e">
        <f>'5|Revenue Current Tariff'!#REF!</f>
        <v>#REF!</v>
      </c>
      <c r="AP103" s="20" t="e">
        <f>'5|Revenue Current Tariff'!#REF!</f>
        <v>#REF!</v>
      </c>
      <c r="AQ103" s="20" t="e">
        <f>'5|Revenue Current Tariff'!#REF!</f>
        <v>#REF!</v>
      </c>
      <c r="AR103" s="6" t="e">
        <f t="shared" si="42"/>
        <v>#REF!</v>
      </c>
      <c r="AS103" s="16"/>
      <c r="AT103" s="5"/>
      <c r="AU103" s="5"/>
      <c r="AV103" s="26"/>
      <c r="AW103" s="20" t="e">
        <f>'5|Revenue Current Tariff'!#REF!</f>
        <v>#REF!</v>
      </c>
      <c r="AX103" s="20" t="e">
        <f>'5|Revenue Current Tariff'!#REF!</f>
        <v>#REF!</v>
      </c>
      <c r="AY103" s="20" t="e">
        <f>'5|Revenue Current Tariff'!#REF!</f>
        <v>#REF!</v>
      </c>
      <c r="AZ103" s="6" t="e">
        <f t="shared" si="43"/>
        <v>#REF!</v>
      </c>
      <c r="BA103" s="32"/>
      <c r="BB103" s="26"/>
      <c r="BC103" s="26"/>
      <c r="BD103" s="26"/>
      <c r="BE103" s="26"/>
    </row>
    <row r="104" spans="2:57" ht="12.75">
      <c r="B104"/>
      <c r="C104" s="14" t="e">
        <f>#REF!</f>
        <v>#REF!</v>
      </c>
      <c r="D104" s="4"/>
      <c r="E104" s="16"/>
      <c r="F104" s="5"/>
      <c r="G104" s="5"/>
      <c r="H104" s="26"/>
      <c r="I104" s="20" t="e">
        <f>'5|Revenue Current Tariff'!#REF!</f>
        <v>#REF!</v>
      </c>
      <c r="J104" s="20" t="e">
        <f>'5|Revenue Current Tariff'!#REF!</f>
        <v>#REF!</v>
      </c>
      <c r="K104" s="20" t="e">
        <f>'5|Revenue Current Tariff'!#REF!</f>
        <v>#REF!</v>
      </c>
      <c r="L104" s="6" t="e">
        <f t="shared" si="38"/>
        <v>#REF!</v>
      </c>
      <c r="M104" s="16"/>
      <c r="N104" s="5"/>
      <c r="O104" s="5"/>
      <c r="P104" s="26"/>
      <c r="Q104" s="20" t="e">
        <f>'5|Revenue Current Tariff'!#REF!</f>
        <v>#REF!</v>
      </c>
      <c r="R104" s="20" t="e">
        <f>'5|Revenue Current Tariff'!#REF!</f>
        <v>#REF!</v>
      </c>
      <c r="S104" s="20" t="e">
        <f>'5|Revenue Current Tariff'!#REF!</f>
        <v>#REF!</v>
      </c>
      <c r="T104" s="6" t="e">
        <f t="shared" si="39"/>
        <v>#REF!</v>
      </c>
      <c r="U104" s="16"/>
      <c r="V104" s="5"/>
      <c r="W104" s="5"/>
      <c r="X104" s="26"/>
      <c r="Y104" s="20" t="e">
        <f>'5|Revenue Current Tariff'!#REF!</f>
        <v>#REF!</v>
      </c>
      <c r="Z104" s="20" t="e">
        <f>'5|Revenue Current Tariff'!#REF!</f>
        <v>#REF!</v>
      </c>
      <c r="AA104" s="20" t="e">
        <f>'5|Revenue Current Tariff'!#REF!</f>
        <v>#REF!</v>
      </c>
      <c r="AB104" s="6" t="e">
        <f t="shared" si="40"/>
        <v>#REF!</v>
      </c>
      <c r="AC104" s="16"/>
      <c r="AD104" s="5"/>
      <c r="AE104" s="5"/>
      <c r="AF104" s="26"/>
      <c r="AG104" s="20" t="e">
        <f>'5|Revenue Current Tariff'!#REF!</f>
        <v>#REF!</v>
      </c>
      <c r="AH104" s="20" t="e">
        <f>'5|Revenue Current Tariff'!#REF!</f>
        <v>#REF!</v>
      </c>
      <c r="AI104" s="20" t="e">
        <f>'5|Revenue Current Tariff'!#REF!</f>
        <v>#REF!</v>
      </c>
      <c r="AJ104" s="6" t="e">
        <f t="shared" si="41"/>
        <v>#REF!</v>
      </c>
      <c r="AK104" s="16"/>
      <c r="AL104" s="5"/>
      <c r="AM104" s="5"/>
      <c r="AN104" s="26"/>
      <c r="AO104" s="20" t="e">
        <f>'5|Revenue Current Tariff'!#REF!</f>
        <v>#REF!</v>
      </c>
      <c r="AP104" s="20" t="e">
        <f>'5|Revenue Current Tariff'!#REF!</f>
        <v>#REF!</v>
      </c>
      <c r="AQ104" s="20" t="e">
        <f>'5|Revenue Current Tariff'!#REF!</f>
        <v>#REF!</v>
      </c>
      <c r="AR104" s="6" t="e">
        <f t="shared" si="42"/>
        <v>#REF!</v>
      </c>
      <c r="AS104" s="16"/>
      <c r="AT104" s="5"/>
      <c r="AU104" s="5"/>
      <c r="AV104" s="26"/>
      <c r="AW104" s="20" t="e">
        <f>'5|Revenue Current Tariff'!#REF!</f>
        <v>#REF!</v>
      </c>
      <c r="AX104" s="20" t="e">
        <f>'5|Revenue Current Tariff'!#REF!</f>
        <v>#REF!</v>
      </c>
      <c r="AY104" s="20" t="e">
        <f>'5|Revenue Current Tariff'!#REF!</f>
        <v>#REF!</v>
      </c>
      <c r="AZ104" s="6" t="e">
        <f t="shared" si="43"/>
        <v>#REF!</v>
      </c>
      <c r="BA104" s="32"/>
      <c r="BB104" s="26"/>
      <c r="BC104" s="26"/>
      <c r="BD104" s="26"/>
      <c r="BE104" s="26"/>
    </row>
    <row r="105" spans="2:57" ht="12.75">
      <c r="B105"/>
      <c r="C105" s="14" t="e">
        <f>#REF!</f>
        <v>#REF!</v>
      </c>
      <c r="D105" s="4"/>
      <c r="E105" s="16"/>
      <c r="F105" s="5"/>
      <c r="G105" s="5"/>
      <c r="H105" s="26"/>
      <c r="I105" s="20" t="e">
        <f>'5|Revenue Current Tariff'!#REF!</f>
        <v>#REF!</v>
      </c>
      <c r="J105" s="20" t="e">
        <f>'5|Revenue Current Tariff'!#REF!</f>
        <v>#REF!</v>
      </c>
      <c r="K105" s="20" t="e">
        <f>'5|Revenue Current Tariff'!#REF!</f>
        <v>#REF!</v>
      </c>
      <c r="L105" s="6" t="e">
        <f t="shared" si="38"/>
        <v>#REF!</v>
      </c>
      <c r="M105" s="16"/>
      <c r="N105" s="5"/>
      <c r="O105" s="5"/>
      <c r="P105" s="26"/>
      <c r="Q105" s="20" t="e">
        <f>'5|Revenue Current Tariff'!#REF!</f>
        <v>#REF!</v>
      </c>
      <c r="R105" s="20" t="e">
        <f>'5|Revenue Current Tariff'!#REF!</f>
        <v>#REF!</v>
      </c>
      <c r="S105" s="20" t="e">
        <f>'5|Revenue Current Tariff'!#REF!</f>
        <v>#REF!</v>
      </c>
      <c r="T105" s="6" t="e">
        <f t="shared" si="39"/>
        <v>#REF!</v>
      </c>
      <c r="U105" s="16"/>
      <c r="V105" s="5"/>
      <c r="W105" s="5"/>
      <c r="X105" s="26"/>
      <c r="Y105" s="20" t="e">
        <f>'5|Revenue Current Tariff'!#REF!</f>
        <v>#REF!</v>
      </c>
      <c r="Z105" s="20" t="e">
        <f>'5|Revenue Current Tariff'!#REF!</f>
        <v>#REF!</v>
      </c>
      <c r="AA105" s="20" t="e">
        <f>'5|Revenue Current Tariff'!#REF!</f>
        <v>#REF!</v>
      </c>
      <c r="AB105" s="6" t="e">
        <f t="shared" si="40"/>
        <v>#REF!</v>
      </c>
      <c r="AC105" s="16"/>
      <c r="AD105" s="5"/>
      <c r="AE105" s="5"/>
      <c r="AF105" s="26"/>
      <c r="AG105" s="20" t="e">
        <f>'5|Revenue Current Tariff'!#REF!</f>
        <v>#REF!</v>
      </c>
      <c r="AH105" s="20" t="e">
        <f>'5|Revenue Current Tariff'!#REF!</f>
        <v>#REF!</v>
      </c>
      <c r="AI105" s="20" t="e">
        <f>'5|Revenue Current Tariff'!#REF!</f>
        <v>#REF!</v>
      </c>
      <c r="AJ105" s="6" t="e">
        <f t="shared" si="41"/>
        <v>#REF!</v>
      </c>
      <c r="AK105" s="16"/>
      <c r="AL105" s="5"/>
      <c r="AM105" s="5"/>
      <c r="AN105" s="26"/>
      <c r="AO105" s="20" t="e">
        <f>'5|Revenue Current Tariff'!#REF!</f>
        <v>#REF!</v>
      </c>
      <c r="AP105" s="20" t="e">
        <f>'5|Revenue Current Tariff'!#REF!</f>
        <v>#REF!</v>
      </c>
      <c r="AQ105" s="20" t="e">
        <f>'5|Revenue Current Tariff'!#REF!</f>
        <v>#REF!</v>
      </c>
      <c r="AR105" s="6" t="e">
        <f t="shared" si="42"/>
        <v>#REF!</v>
      </c>
      <c r="AS105" s="16"/>
      <c r="AT105" s="5"/>
      <c r="AU105" s="5"/>
      <c r="AV105" s="26"/>
      <c r="AW105" s="20" t="e">
        <f>'5|Revenue Current Tariff'!#REF!</f>
        <v>#REF!</v>
      </c>
      <c r="AX105" s="20" t="e">
        <f>'5|Revenue Current Tariff'!#REF!</f>
        <v>#REF!</v>
      </c>
      <c r="AY105" s="20" t="e">
        <f>'5|Revenue Current Tariff'!#REF!</f>
        <v>#REF!</v>
      </c>
      <c r="AZ105" s="6" t="e">
        <f t="shared" si="43"/>
        <v>#REF!</v>
      </c>
      <c r="BA105" s="32"/>
      <c r="BB105" s="26"/>
      <c r="BC105" s="26"/>
      <c r="BD105" s="26"/>
      <c r="BE105" s="26"/>
    </row>
    <row r="106" spans="2:57" ht="12.75">
      <c r="B106"/>
      <c r="C106" s="14" t="e">
        <f>#REF!</f>
        <v>#REF!</v>
      </c>
      <c r="D106" s="4"/>
      <c r="E106" s="16"/>
      <c r="F106" s="5"/>
      <c r="G106" s="5"/>
      <c r="H106" s="26"/>
      <c r="I106" s="20" t="e">
        <f>'5|Revenue Current Tariff'!#REF!</f>
        <v>#REF!</v>
      </c>
      <c r="J106" s="20" t="e">
        <f>'5|Revenue Current Tariff'!#REF!</f>
        <v>#REF!</v>
      </c>
      <c r="K106" s="20" t="e">
        <f>'5|Revenue Current Tariff'!#REF!</f>
        <v>#REF!</v>
      </c>
      <c r="L106" s="6" t="e">
        <f t="shared" si="38"/>
        <v>#REF!</v>
      </c>
      <c r="M106" s="16"/>
      <c r="N106" s="5"/>
      <c r="O106" s="5"/>
      <c r="P106" s="26"/>
      <c r="Q106" s="20" t="e">
        <f>'5|Revenue Current Tariff'!#REF!</f>
        <v>#REF!</v>
      </c>
      <c r="R106" s="20" t="e">
        <f>'5|Revenue Current Tariff'!#REF!</f>
        <v>#REF!</v>
      </c>
      <c r="S106" s="20" t="e">
        <f>'5|Revenue Current Tariff'!#REF!</f>
        <v>#REF!</v>
      </c>
      <c r="T106" s="6" t="e">
        <f t="shared" si="39"/>
        <v>#REF!</v>
      </c>
      <c r="U106" s="16"/>
      <c r="V106" s="5"/>
      <c r="W106" s="5"/>
      <c r="X106" s="26"/>
      <c r="Y106" s="20" t="e">
        <f>'5|Revenue Current Tariff'!#REF!</f>
        <v>#REF!</v>
      </c>
      <c r="Z106" s="20" t="e">
        <f>'5|Revenue Current Tariff'!#REF!</f>
        <v>#REF!</v>
      </c>
      <c r="AA106" s="20" t="e">
        <f>'5|Revenue Current Tariff'!#REF!</f>
        <v>#REF!</v>
      </c>
      <c r="AB106" s="6" t="e">
        <f t="shared" si="40"/>
        <v>#REF!</v>
      </c>
      <c r="AC106" s="16"/>
      <c r="AD106" s="5"/>
      <c r="AE106" s="5"/>
      <c r="AF106" s="26"/>
      <c r="AG106" s="20" t="e">
        <f>'5|Revenue Current Tariff'!#REF!</f>
        <v>#REF!</v>
      </c>
      <c r="AH106" s="20" t="e">
        <f>'5|Revenue Current Tariff'!#REF!</f>
        <v>#REF!</v>
      </c>
      <c r="AI106" s="20" t="e">
        <f>'5|Revenue Current Tariff'!#REF!</f>
        <v>#REF!</v>
      </c>
      <c r="AJ106" s="6" t="e">
        <f t="shared" si="41"/>
        <v>#REF!</v>
      </c>
      <c r="AK106" s="16"/>
      <c r="AL106" s="5"/>
      <c r="AM106" s="5"/>
      <c r="AN106" s="26"/>
      <c r="AO106" s="20" t="e">
        <f>'5|Revenue Current Tariff'!#REF!</f>
        <v>#REF!</v>
      </c>
      <c r="AP106" s="20" t="e">
        <f>'5|Revenue Current Tariff'!#REF!</f>
        <v>#REF!</v>
      </c>
      <c r="AQ106" s="20" t="e">
        <f>'5|Revenue Current Tariff'!#REF!</f>
        <v>#REF!</v>
      </c>
      <c r="AR106" s="6" t="e">
        <f t="shared" si="42"/>
        <v>#REF!</v>
      </c>
      <c r="AS106" s="16"/>
      <c r="AT106" s="5"/>
      <c r="AU106" s="5"/>
      <c r="AV106" s="26"/>
      <c r="AW106" s="20" t="e">
        <f>'5|Revenue Current Tariff'!#REF!</f>
        <v>#REF!</v>
      </c>
      <c r="AX106" s="20" t="e">
        <f>'5|Revenue Current Tariff'!#REF!</f>
        <v>#REF!</v>
      </c>
      <c r="AY106" s="20" t="e">
        <f>'5|Revenue Current Tariff'!#REF!</f>
        <v>#REF!</v>
      </c>
      <c r="AZ106" s="6" t="e">
        <f t="shared" si="43"/>
        <v>#REF!</v>
      </c>
      <c r="BA106" s="32"/>
      <c r="BB106" s="26"/>
      <c r="BC106" s="26"/>
      <c r="BD106" s="26"/>
      <c r="BE106" s="26"/>
    </row>
    <row r="107" spans="2:57" ht="12.75">
      <c r="B107">
        <v>10076</v>
      </c>
      <c r="C107" s="15" t="s">
        <v>98</v>
      </c>
      <c r="D107" s="18"/>
      <c r="E107" s="19">
        <f>SUM(E80,E54,E31,E10)</f>
        <v>0</v>
      </c>
      <c r="F107" s="7">
        <f>SUM(F80,F54,F31,F10)</f>
        <v>0</v>
      </c>
      <c r="G107" s="7">
        <f>SUM(G80,G54,G31,G10)</f>
        <v>0</v>
      </c>
      <c r="H107" s="26"/>
      <c r="I107" s="7" t="e">
        <f t="shared" ref="I107:O107" si="44">SUM(I80,I54,I31,I10)</f>
        <v>#REF!</v>
      </c>
      <c r="J107" s="7" t="e">
        <f t="shared" si="44"/>
        <v>#REF!</v>
      </c>
      <c r="K107" s="7" t="e">
        <f t="shared" si="44"/>
        <v>#REF!</v>
      </c>
      <c r="L107" s="7" t="e">
        <f t="shared" si="44"/>
        <v>#REF!</v>
      </c>
      <c r="M107" s="19">
        <f t="shared" si="44"/>
        <v>0</v>
      </c>
      <c r="N107" s="7">
        <f t="shared" si="44"/>
        <v>0</v>
      </c>
      <c r="O107" s="7">
        <f t="shared" si="44"/>
        <v>0</v>
      </c>
      <c r="P107" s="26"/>
      <c r="Q107" s="7" t="e">
        <f t="shared" ref="Q107:W107" si="45">SUM(Q80,Q54,Q31,Q10)</f>
        <v>#REF!</v>
      </c>
      <c r="R107" s="7" t="e">
        <f t="shared" si="45"/>
        <v>#REF!</v>
      </c>
      <c r="S107" s="7" t="e">
        <f t="shared" si="45"/>
        <v>#REF!</v>
      </c>
      <c r="T107" s="7" t="e">
        <f t="shared" si="45"/>
        <v>#REF!</v>
      </c>
      <c r="U107" s="19">
        <f t="shared" si="45"/>
        <v>0</v>
      </c>
      <c r="V107" s="7">
        <f t="shared" si="45"/>
        <v>0</v>
      </c>
      <c r="W107" s="7">
        <f t="shared" si="45"/>
        <v>0</v>
      </c>
      <c r="X107" s="26"/>
      <c r="Y107" s="7" t="e">
        <f t="shared" ref="Y107:AE107" si="46">SUM(Y80,Y54,Y31,Y10)</f>
        <v>#REF!</v>
      </c>
      <c r="Z107" s="7" t="e">
        <f t="shared" si="46"/>
        <v>#REF!</v>
      </c>
      <c r="AA107" s="7" t="e">
        <f t="shared" si="46"/>
        <v>#REF!</v>
      </c>
      <c r="AB107" s="7" t="e">
        <f t="shared" si="46"/>
        <v>#REF!</v>
      </c>
      <c r="AC107" s="19">
        <f t="shared" si="46"/>
        <v>0</v>
      </c>
      <c r="AD107" s="7">
        <f t="shared" si="46"/>
        <v>0</v>
      </c>
      <c r="AE107" s="7">
        <f t="shared" si="46"/>
        <v>0</v>
      </c>
      <c r="AF107" s="26"/>
      <c r="AG107" s="7" t="e">
        <f t="shared" ref="AG107:AM107" si="47">SUM(AG80,AG54,AG31,AG10)</f>
        <v>#REF!</v>
      </c>
      <c r="AH107" s="7" t="e">
        <f t="shared" si="47"/>
        <v>#REF!</v>
      </c>
      <c r="AI107" s="7" t="e">
        <f t="shared" si="47"/>
        <v>#REF!</v>
      </c>
      <c r="AJ107" s="7" t="e">
        <f t="shared" si="47"/>
        <v>#REF!</v>
      </c>
      <c r="AK107" s="19">
        <f t="shared" si="47"/>
        <v>0</v>
      </c>
      <c r="AL107" s="7">
        <f t="shared" si="47"/>
        <v>0</v>
      </c>
      <c r="AM107" s="7">
        <f t="shared" si="47"/>
        <v>0</v>
      </c>
      <c r="AN107" s="26"/>
      <c r="AO107" s="7" t="e">
        <f t="shared" ref="AO107:AU107" si="48">SUM(AO80,AO54,AO31,AO10)</f>
        <v>#REF!</v>
      </c>
      <c r="AP107" s="7" t="e">
        <f t="shared" si="48"/>
        <v>#REF!</v>
      </c>
      <c r="AQ107" s="7" t="e">
        <f t="shared" si="48"/>
        <v>#REF!</v>
      </c>
      <c r="AR107" s="7" t="e">
        <f t="shared" si="48"/>
        <v>#REF!</v>
      </c>
      <c r="AS107" s="19">
        <f t="shared" si="48"/>
        <v>0</v>
      </c>
      <c r="AT107" s="7">
        <f t="shared" si="48"/>
        <v>0</v>
      </c>
      <c r="AU107" s="7">
        <f t="shared" si="48"/>
        <v>0</v>
      </c>
      <c r="AV107" s="26"/>
      <c r="AW107" s="7" t="e">
        <f>SUM(AW80,AW54,AW31,AW10)</f>
        <v>#REF!</v>
      </c>
      <c r="AX107" s="7" t="e">
        <f>SUM(AX80,AX54,AX31,AX10)</f>
        <v>#REF!</v>
      </c>
      <c r="AY107" s="7" t="e">
        <f>SUM(AY80,AY54,AY31,AY10)</f>
        <v>#REF!</v>
      </c>
      <c r="AZ107" s="7" t="e">
        <f>SUM(AZ80,AZ54,AZ31,AZ10)</f>
        <v>#REF!</v>
      </c>
      <c r="BA107" s="32"/>
      <c r="BB107" s="26"/>
      <c r="BC107" s="26"/>
      <c r="BD107" s="26"/>
      <c r="BE107" s="26"/>
    </row>
  </sheetData>
  <sheetProtection password="C89E" sheet="1" objects="1" scenarios="1"/>
  <mergeCells count="9">
    <mergeCell ref="D3:L3"/>
    <mergeCell ref="E8:L8"/>
    <mergeCell ref="C5:J5"/>
    <mergeCell ref="BB8:BE8"/>
    <mergeCell ref="M8:T8"/>
    <mergeCell ref="U8:AB8"/>
    <mergeCell ref="AS8:AZ8"/>
    <mergeCell ref="AK8:AR8"/>
    <mergeCell ref="AC8:AJ8"/>
  </mergeCells>
  <phoneticPr fontId="11" type="noConversion"/>
  <dataValidations count="1">
    <dataValidation type="decimal" allowBlank="1" showInputMessage="1" showErrorMessage="1" sqref="AC108:AR65536 AC89:AE107 AG9:AM107 AS89:AU65536 E1:G7 I1:O7 AO9:AQ107 Q1:W7 Y1:AU7 AW1:AZ7 Y9:AA65536 AW9:AZ65536 Q9:W65536 E9:G65536 AR9:AU88 AR89:AR107 AB9:AE88 AB89:AB65536 I9:O65536">
      <formula1>-9.99999999999999E+23</formula1>
      <formula2>9.99999999999999E+31</formula2>
    </dataValidation>
  </dataValidations>
  <hyperlinks>
    <hyperlink ref="A1" location="Index!A1" display="Index sheet"/>
    <hyperlink ref="D11" location="'Form 5'!A1" display="Form 5"/>
  </hyperlinks>
  <printOptions horizontalCentered="1"/>
  <pageMargins left="0.23622047244094491" right="0.27559055118110237" top="0.39370078740157483" bottom="0.27559055118110237" header="0.19685039370078741" footer="0.23622047244094491"/>
  <pageSetup paperSize="9" scale="60" orientation="landscape" r:id="rId1"/>
  <headerFooter alignWithMargins="0"/>
  <rowBreaks count="1" manualBreakCount="1">
    <brk id="79" min="3" max="51" man="1"/>
  </rowBreaks>
  <colBreaks count="2" manualBreakCount="2">
    <brk id="20" min="9" max="95" man="1"/>
    <brk id="36" min="9" max="95" man="1"/>
  </colBreaks>
</worksheet>
</file>

<file path=xl/worksheets/sheet32.xml><?xml version="1.0" encoding="utf-8"?>
<worksheet xmlns="http://schemas.openxmlformats.org/spreadsheetml/2006/main" xmlns:r="http://schemas.openxmlformats.org/officeDocument/2006/relationships">
  <sheetPr codeName="Sheet29">
    <pageSetUpPr fitToPage="1"/>
  </sheetPr>
  <dimension ref="A1:AF237"/>
  <sheetViews>
    <sheetView view="pageBreakPreview" zoomScaleSheetLayoutView="100" workbookViewId="0">
      <selection activeCell="C18" sqref="C18:G18"/>
    </sheetView>
  </sheetViews>
  <sheetFormatPr defaultColWidth="12.42578125" defaultRowHeight="15.75" customHeight="1"/>
  <cols>
    <col min="1" max="1" width="3.85546875" style="384" customWidth="1"/>
    <col min="2" max="2" width="6.7109375" style="384" hidden="1" customWidth="1"/>
    <col min="3" max="3" width="60" style="384" customWidth="1"/>
    <col min="4" max="4" width="7.140625" style="384" customWidth="1"/>
    <col min="5" max="5" width="11.28515625" style="384" customWidth="1"/>
    <col min="6" max="6" width="7.7109375" style="384" bestFit="1" customWidth="1"/>
    <col min="7" max="7" width="12.42578125" style="384" customWidth="1"/>
    <col min="8" max="8" width="10.28515625" style="384" customWidth="1"/>
    <col min="9" max="9" width="10.42578125" style="384" customWidth="1"/>
    <col min="10" max="10" width="7.7109375" style="384" bestFit="1" customWidth="1"/>
    <col min="11" max="11" width="10.140625" style="384" bestFit="1" customWidth="1"/>
    <col min="12" max="12" width="9.85546875" style="384" customWidth="1"/>
    <col min="13" max="13" width="11.140625" style="384" customWidth="1"/>
    <col min="14" max="14" width="7.7109375" style="384" bestFit="1" customWidth="1"/>
    <col min="15" max="15" width="12.42578125" style="384" customWidth="1"/>
    <col min="16" max="16" width="10.42578125" style="384" customWidth="1"/>
    <col min="17" max="30" width="12.42578125" style="384" customWidth="1"/>
    <col min="31" max="31" width="6.28515625" style="384" customWidth="1"/>
    <col min="32" max="32" width="8.140625" style="384" customWidth="1"/>
    <col min="33" max="16384" width="12.42578125" style="384"/>
  </cols>
  <sheetData>
    <row r="1" spans="1:16" ht="11.25" customHeight="1">
      <c r="A1" s="383" t="s">
        <v>397</v>
      </c>
      <c r="E1" s="384" t="s">
        <v>106</v>
      </c>
    </row>
    <row r="2" spans="1:16" ht="11.25" customHeight="1"/>
    <row r="3" spans="1:16" ht="24" customHeight="1">
      <c r="C3" s="385" t="s">
        <v>423</v>
      </c>
      <c r="D3" s="386" t="s">
        <v>431</v>
      </c>
      <c r="E3" s="385"/>
      <c r="F3" s="385"/>
      <c r="G3" s="385"/>
      <c r="H3" s="385"/>
      <c r="I3" s="385"/>
      <c r="J3" s="385"/>
      <c r="K3" s="385"/>
      <c r="L3" s="385"/>
      <c r="M3" s="387"/>
      <c r="N3" s="387"/>
      <c r="P3" s="387"/>
    </row>
    <row r="4" spans="1:16" ht="20.25" customHeight="1">
      <c r="C4" s="1911" t="s">
        <v>560</v>
      </c>
      <c r="D4" s="1841"/>
      <c r="E4" s="1841"/>
      <c r="F4" s="1841"/>
      <c r="G4" s="1841"/>
      <c r="H4" s="1841"/>
      <c r="I4" s="1841"/>
      <c r="J4" s="1842"/>
      <c r="L4" s="388"/>
      <c r="M4" s="387"/>
      <c r="N4" s="387"/>
      <c r="P4" s="387"/>
    </row>
    <row r="5" spans="1:16" ht="31.5" customHeight="1">
      <c r="C5" s="1912" t="s">
        <v>561</v>
      </c>
      <c r="D5" s="1913"/>
      <c r="E5" s="1913"/>
      <c r="F5" s="1913"/>
      <c r="G5" s="1913"/>
      <c r="H5" s="1913"/>
      <c r="I5" s="1913"/>
      <c r="J5" s="1914"/>
      <c r="L5" s="388"/>
      <c r="M5" s="387"/>
      <c r="N5" s="387"/>
      <c r="P5" s="387"/>
    </row>
    <row r="6" spans="1:16" ht="15.75" customHeight="1" thickBot="1">
      <c r="C6" s="385" t="s">
        <v>255</v>
      </c>
    </row>
    <row r="7" spans="1:16" s="1519" customFormat="1" ht="15.75" customHeight="1">
      <c r="C7" s="1465"/>
      <c r="D7" s="1466"/>
      <c r="E7" s="1825" t="s">
        <v>424</v>
      </c>
      <c r="F7" s="1825"/>
      <c r="G7" s="1825"/>
      <c r="H7" s="1825"/>
      <c r="I7" s="1825" t="s">
        <v>425</v>
      </c>
      <c r="J7" s="1825"/>
      <c r="K7" s="1825"/>
      <c r="L7" s="1825"/>
      <c r="M7" s="1825" t="s">
        <v>426</v>
      </c>
      <c r="N7" s="1825"/>
      <c r="O7" s="1825"/>
      <c r="P7" s="1760"/>
    </row>
    <row r="8" spans="1:16" s="1519" customFormat="1" ht="15" customHeight="1">
      <c r="C8" s="1467"/>
      <c r="D8" s="1468"/>
      <c r="E8" s="1469" t="s">
        <v>427</v>
      </c>
      <c r="F8" s="1909" t="s">
        <v>899</v>
      </c>
      <c r="G8" s="1909"/>
      <c r="H8" s="1909"/>
      <c r="I8" s="1469" t="s">
        <v>427</v>
      </c>
      <c r="J8" s="1909" t="s">
        <v>900</v>
      </c>
      <c r="K8" s="1909"/>
      <c r="L8" s="1909"/>
      <c r="M8" s="1469" t="s">
        <v>427</v>
      </c>
      <c r="N8" s="1909" t="s">
        <v>901</v>
      </c>
      <c r="O8" s="1909"/>
      <c r="P8" s="1910"/>
    </row>
    <row r="9" spans="1:16" s="1519" customFormat="1" ht="33" customHeight="1">
      <c r="C9" s="1505" t="s">
        <v>175</v>
      </c>
      <c r="D9" s="1508" t="s">
        <v>140</v>
      </c>
      <c r="E9" s="1507" t="s">
        <v>432</v>
      </c>
      <c r="F9" s="1507" t="s">
        <v>375</v>
      </c>
      <c r="G9" s="1507" t="s">
        <v>374</v>
      </c>
      <c r="H9" s="1507" t="s">
        <v>373</v>
      </c>
      <c r="I9" s="1507" t="s">
        <v>432</v>
      </c>
      <c r="J9" s="1507" t="s">
        <v>375</v>
      </c>
      <c r="K9" s="1507" t="s">
        <v>374</v>
      </c>
      <c r="L9" s="1507" t="s">
        <v>373</v>
      </c>
      <c r="M9" s="1507" t="s">
        <v>432</v>
      </c>
      <c r="N9" s="1507" t="s">
        <v>375</v>
      </c>
      <c r="O9" s="1507" t="s">
        <v>374</v>
      </c>
      <c r="P9" s="1506" t="s">
        <v>373</v>
      </c>
    </row>
    <row r="10" spans="1:16" ht="15" customHeight="1">
      <c r="C10" s="1322" t="s">
        <v>598</v>
      </c>
      <c r="D10" s="1323"/>
      <c r="E10" s="1324"/>
      <c r="F10" s="1323"/>
      <c r="G10" s="1323"/>
      <c r="H10" s="1323"/>
      <c r="I10" s="1324"/>
      <c r="J10" s="1324"/>
      <c r="K10" s="1323"/>
      <c r="L10" s="1323"/>
      <c r="M10" s="1324"/>
      <c r="N10" s="1323"/>
      <c r="O10" s="1323"/>
      <c r="P10" s="1325"/>
    </row>
    <row r="11" spans="1:16" ht="15" customHeight="1">
      <c r="C11" s="1326" t="s">
        <v>591</v>
      </c>
      <c r="D11" s="401"/>
      <c r="E11" s="1327"/>
      <c r="F11" s="1328"/>
      <c r="G11" s="1329"/>
      <c r="H11" s="1329"/>
      <c r="I11" s="1327"/>
      <c r="J11" s="1327"/>
      <c r="K11" s="1328"/>
      <c r="L11" s="1328"/>
      <c r="M11" s="1327"/>
      <c r="N11" s="1328"/>
      <c r="O11" s="1329"/>
      <c r="P11" s="1330"/>
    </row>
    <row r="12" spans="1:16" ht="15" customHeight="1">
      <c r="C12" s="1326" t="s">
        <v>599</v>
      </c>
      <c r="D12" s="401"/>
      <c r="E12" s="1327"/>
      <c r="F12" s="1328"/>
      <c r="G12" s="1329"/>
      <c r="H12" s="1329"/>
      <c r="I12" s="1327"/>
      <c r="J12" s="1327"/>
      <c r="K12" s="1328"/>
      <c r="L12" s="1328"/>
      <c r="M12" s="1327"/>
      <c r="N12" s="1328"/>
      <c r="O12" s="1329"/>
      <c r="P12" s="1330"/>
    </row>
    <row r="13" spans="1:16" ht="15" customHeight="1">
      <c r="C13" s="1326" t="s">
        <v>596</v>
      </c>
      <c r="D13" s="401"/>
      <c r="E13" s="1327"/>
      <c r="F13" s="1328"/>
      <c r="G13" s="1329"/>
      <c r="H13" s="1329"/>
      <c r="I13" s="1327"/>
      <c r="J13" s="1327"/>
      <c r="K13" s="1328"/>
      <c r="L13" s="1328"/>
      <c r="M13" s="1327"/>
      <c r="N13" s="1328"/>
      <c r="O13" s="1329"/>
      <c r="P13" s="1330"/>
    </row>
    <row r="14" spans="1:16" ht="15" customHeight="1">
      <c r="C14" s="1326" t="s">
        <v>632</v>
      </c>
      <c r="D14" s="401"/>
      <c r="E14" s="1327"/>
      <c r="F14" s="1328"/>
      <c r="G14" s="1329"/>
      <c r="H14" s="1329"/>
      <c r="I14" s="1327"/>
      <c r="J14" s="1327"/>
      <c r="K14" s="1328"/>
      <c r="L14" s="1328"/>
      <c r="M14" s="1327"/>
      <c r="N14" s="1328"/>
      <c r="O14" s="1329"/>
      <c r="P14" s="1330"/>
    </row>
    <row r="15" spans="1:16" ht="15" customHeight="1">
      <c r="C15" s="1326" t="s">
        <v>597</v>
      </c>
      <c r="D15" s="401"/>
      <c r="E15" s="1327"/>
      <c r="F15" s="1328"/>
      <c r="G15" s="1329"/>
      <c r="H15" s="1329"/>
      <c r="I15" s="1327"/>
      <c r="J15" s="1327"/>
      <c r="K15" s="1328"/>
      <c r="L15" s="1328"/>
      <c r="M15" s="1327"/>
      <c r="N15" s="1328"/>
      <c r="O15" s="1329"/>
      <c r="P15" s="1330"/>
    </row>
    <row r="16" spans="1:16" ht="15" customHeight="1">
      <c r="C16" s="1331" t="s">
        <v>600</v>
      </c>
      <c r="D16" s="1332"/>
      <c r="E16" s="1332">
        <f>E11+E12+E13</f>
        <v>0</v>
      </c>
      <c r="F16" s="1332">
        <f t="shared" ref="F16:P16" si="0">F11+F12+F13</f>
        <v>0</v>
      </c>
      <c r="G16" s="1332">
        <f t="shared" si="0"/>
        <v>0</v>
      </c>
      <c r="H16" s="1332">
        <f t="shared" si="0"/>
        <v>0</v>
      </c>
      <c r="I16" s="1332">
        <f t="shared" si="0"/>
        <v>0</v>
      </c>
      <c r="J16" s="1332">
        <f t="shared" si="0"/>
        <v>0</v>
      </c>
      <c r="K16" s="1332">
        <f t="shared" si="0"/>
        <v>0</v>
      </c>
      <c r="L16" s="1332">
        <f t="shared" si="0"/>
        <v>0</v>
      </c>
      <c r="M16" s="1332">
        <f t="shared" si="0"/>
        <v>0</v>
      </c>
      <c r="N16" s="1332">
        <f t="shared" si="0"/>
        <v>0</v>
      </c>
      <c r="O16" s="1332">
        <f t="shared" si="0"/>
        <v>0</v>
      </c>
      <c r="P16" s="1333">
        <f t="shared" si="0"/>
        <v>0</v>
      </c>
    </row>
    <row r="17" spans="3:16" ht="6" customHeight="1">
      <c r="C17" s="392"/>
      <c r="D17" s="401"/>
      <c r="E17" s="1327"/>
      <c r="F17" s="1328"/>
      <c r="G17" s="1329"/>
      <c r="H17" s="1329"/>
      <c r="I17" s="1327"/>
      <c r="J17" s="1327"/>
      <c r="K17" s="1328"/>
      <c r="L17" s="1328"/>
      <c r="M17" s="1327"/>
      <c r="N17" s="1328"/>
      <c r="O17" s="1329"/>
      <c r="P17" s="1330"/>
    </row>
    <row r="18" spans="3:16" ht="15" customHeight="1">
      <c r="C18" s="1334" t="s">
        <v>601</v>
      </c>
      <c r="D18" s="1335"/>
      <c r="E18" s="1336"/>
      <c r="F18" s="1337"/>
      <c r="G18" s="1335"/>
      <c r="H18" s="1335"/>
      <c r="I18" s="1336"/>
      <c r="J18" s="1336"/>
      <c r="K18" s="1337"/>
      <c r="L18" s="1337"/>
      <c r="M18" s="1336"/>
      <c r="N18" s="1337"/>
      <c r="O18" s="1335"/>
      <c r="P18" s="1338"/>
    </row>
    <row r="19" spans="3:16" ht="15" customHeight="1">
      <c r="C19" s="1339" t="s">
        <v>602</v>
      </c>
      <c r="D19" s="1470"/>
      <c r="E19" s="1471">
        <f t="shared" ref="E19:P19" si="1">E20+E21+E28+E35+E40+E43</f>
        <v>8</v>
      </c>
      <c r="F19" s="1470">
        <f t="shared" si="1"/>
        <v>2.661403</v>
      </c>
      <c r="G19" s="1470">
        <f t="shared" si="1"/>
        <v>3.91</v>
      </c>
      <c r="H19" s="1470">
        <f t="shared" si="1"/>
        <v>0.56628836100000002</v>
      </c>
      <c r="I19" s="1471">
        <f t="shared" si="1"/>
        <v>1</v>
      </c>
      <c r="J19" s="1470">
        <f t="shared" si="1"/>
        <v>8.8109999999999994E-3</v>
      </c>
      <c r="K19" s="1470">
        <f t="shared" si="1"/>
        <v>1.71</v>
      </c>
      <c r="L19" s="1470">
        <f t="shared" si="1"/>
        <v>1.5066809999999997E-3</v>
      </c>
      <c r="M19" s="1471">
        <f t="shared" si="1"/>
        <v>0</v>
      </c>
      <c r="N19" s="1470">
        <f t="shared" si="1"/>
        <v>0</v>
      </c>
      <c r="O19" s="1470">
        <f t="shared" si="1"/>
        <v>0</v>
      </c>
      <c r="P19" s="1472">
        <f t="shared" si="1"/>
        <v>0</v>
      </c>
    </row>
    <row r="20" spans="3:16" ht="15" customHeight="1">
      <c r="C20" s="1342" t="s">
        <v>694</v>
      </c>
      <c r="D20" s="1473"/>
      <c r="E20" s="1474"/>
      <c r="F20" s="1473"/>
      <c r="G20" s="1473"/>
      <c r="H20" s="1473"/>
      <c r="I20" s="1474"/>
      <c r="J20" s="1473">
        <v>0</v>
      </c>
      <c r="K20" s="1473"/>
      <c r="L20" s="1473">
        <f>J20*K20/10</f>
        <v>0</v>
      </c>
      <c r="M20" s="1474"/>
      <c r="N20" s="1473">
        <v>0</v>
      </c>
      <c r="O20" s="1473"/>
      <c r="P20" s="1475">
        <f>N20*O20/10</f>
        <v>0</v>
      </c>
    </row>
    <row r="21" spans="3:16" ht="15" customHeight="1">
      <c r="C21" s="1342" t="s">
        <v>695</v>
      </c>
      <c r="D21" s="1473"/>
      <c r="E21" s="1474">
        <f>SUM(E22:E27)</f>
        <v>4</v>
      </c>
      <c r="F21" s="1476">
        <f t="shared" ref="F21:P21" si="2">SUM(F22:F27)</f>
        <v>2.2691520000000001</v>
      </c>
      <c r="G21" s="1476">
        <f t="shared" si="2"/>
        <v>2.2000000000000002</v>
      </c>
      <c r="H21" s="1476">
        <f t="shared" si="2"/>
        <v>0.49921344000000001</v>
      </c>
      <c r="I21" s="1474">
        <f t="shared" si="2"/>
        <v>0</v>
      </c>
      <c r="J21" s="1473">
        <f t="shared" si="2"/>
        <v>0</v>
      </c>
      <c r="K21" s="1473">
        <f t="shared" si="2"/>
        <v>0</v>
      </c>
      <c r="L21" s="1473">
        <f t="shared" si="2"/>
        <v>0</v>
      </c>
      <c r="M21" s="1474">
        <f t="shared" si="2"/>
        <v>0</v>
      </c>
      <c r="N21" s="1473">
        <f t="shared" si="2"/>
        <v>0</v>
      </c>
      <c r="O21" s="1473">
        <f t="shared" si="2"/>
        <v>0</v>
      </c>
      <c r="P21" s="1475">
        <f t="shared" si="2"/>
        <v>0</v>
      </c>
    </row>
    <row r="22" spans="3:16" ht="15" customHeight="1">
      <c r="C22" s="396" t="s">
        <v>696</v>
      </c>
      <c r="D22" s="1477"/>
      <c r="E22" s="1478">
        <v>4</v>
      </c>
      <c r="F22" s="1477">
        <f>2269152/10^6</f>
        <v>2.2691520000000001</v>
      </c>
      <c r="G22" s="1477">
        <v>2.2000000000000002</v>
      </c>
      <c r="H22" s="1477">
        <f t="shared" ref="H22" si="3">F22*G22/10</f>
        <v>0.49921344000000001</v>
      </c>
      <c r="I22" s="1478"/>
      <c r="J22" s="1477"/>
      <c r="K22" s="1477"/>
      <c r="L22" s="1477"/>
      <c r="M22" s="1478"/>
      <c r="N22" s="1477"/>
      <c r="O22" s="1477"/>
      <c r="P22" s="1479"/>
    </row>
    <row r="23" spans="3:16" ht="15" customHeight="1">
      <c r="C23" s="396" t="s">
        <v>697</v>
      </c>
      <c r="D23" s="1477"/>
      <c r="E23" s="1478"/>
      <c r="F23" s="1477"/>
      <c r="G23" s="1477"/>
      <c r="H23" s="1477"/>
      <c r="I23" s="1478"/>
      <c r="J23" s="1477"/>
      <c r="K23" s="1477"/>
      <c r="L23" s="1477"/>
      <c r="M23" s="1478"/>
      <c r="N23" s="1477"/>
      <c r="O23" s="1477"/>
      <c r="P23" s="1479"/>
    </row>
    <row r="24" spans="3:16" ht="15" customHeight="1">
      <c r="C24" s="396" t="s">
        <v>682</v>
      </c>
      <c r="D24" s="1477"/>
      <c r="E24" s="1478"/>
      <c r="F24" s="1477"/>
      <c r="G24" s="1477"/>
      <c r="H24" s="1477"/>
      <c r="I24" s="1478"/>
      <c r="J24" s="1477"/>
      <c r="K24" s="1477"/>
      <c r="L24" s="1477"/>
      <c r="M24" s="1478"/>
      <c r="N24" s="1477"/>
      <c r="O24" s="1477"/>
      <c r="P24" s="1479"/>
    </row>
    <row r="25" spans="3:16" ht="15" customHeight="1">
      <c r="C25" s="396" t="s">
        <v>683</v>
      </c>
      <c r="D25" s="1477"/>
      <c r="E25" s="1478"/>
      <c r="F25" s="1477"/>
      <c r="G25" s="1477"/>
      <c r="H25" s="1477"/>
      <c r="I25" s="1478"/>
      <c r="J25" s="1477"/>
      <c r="K25" s="1477"/>
      <c r="L25" s="1477"/>
      <c r="M25" s="1478"/>
      <c r="N25" s="1477"/>
      <c r="O25" s="1477"/>
      <c r="P25" s="1479"/>
    </row>
    <row r="26" spans="3:16" ht="15" customHeight="1">
      <c r="C26" s="396" t="s">
        <v>684</v>
      </c>
      <c r="D26" s="1477"/>
      <c r="E26" s="1478"/>
      <c r="F26" s="1477"/>
      <c r="G26" s="1477"/>
      <c r="H26" s="1477"/>
      <c r="I26" s="1478"/>
      <c r="J26" s="1477"/>
      <c r="K26" s="1477"/>
      <c r="L26" s="1477"/>
      <c r="M26" s="1478"/>
      <c r="N26" s="1477"/>
      <c r="O26" s="1477"/>
      <c r="P26" s="1479"/>
    </row>
    <row r="27" spans="3:16" ht="15" customHeight="1">
      <c r="C27" s="396" t="s">
        <v>685</v>
      </c>
      <c r="D27" s="1477"/>
      <c r="E27" s="1478"/>
      <c r="F27" s="1477"/>
      <c r="G27" s="1477"/>
      <c r="H27" s="1477"/>
      <c r="I27" s="1478"/>
      <c r="J27" s="1477"/>
      <c r="K27" s="1477"/>
      <c r="L27" s="1477"/>
      <c r="M27" s="1478"/>
      <c r="N27" s="1477"/>
      <c r="O27" s="1477"/>
      <c r="P27" s="1479"/>
    </row>
    <row r="28" spans="3:16" ht="15" customHeight="1">
      <c r="C28" s="1342" t="s">
        <v>698</v>
      </c>
      <c r="D28" s="1473"/>
      <c r="E28" s="1474">
        <f>SUM(E29:E34)</f>
        <v>4</v>
      </c>
      <c r="F28" s="1473">
        <f t="shared" ref="F28:P28" si="4">SUM(F29:F34)</f>
        <v>0.39225100000000002</v>
      </c>
      <c r="G28" s="1473">
        <f t="shared" si="4"/>
        <v>1.71</v>
      </c>
      <c r="H28" s="1473">
        <f t="shared" si="4"/>
        <v>6.7074920999999996E-2</v>
      </c>
      <c r="I28" s="1474">
        <f t="shared" si="4"/>
        <v>1</v>
      </c>
      <c r="J28" s="1473">
        <f t="shared" si="4"/>
        <v>8.8109999999999994E-3</v>
      </c>
      <c r="K28" s="1473">
        <f t="shared" si="4"/>
        <v>1.71</v>
      </c>
      <c r="L28" s="1473">
        <f t="shared" si="4"/>
        <v>1.5066809999999997E-3</v>
      </c>
      <c r="M28" s="1474">
        <f t="shared" si="4"/>
        <v>0</v>
      </c>
      <c r="N28" s="1473">
        <f t="shared" si="4"/>
        <v>0</v>
      </c>
      <c r="O28" s="1473">
        <f t="shared" si="4"/>
        <v>0</v>
      </c>
      <c r="P28" s="1475">
        <f t="shared" si="4"/>
        <v>0</v>
      </c>
    </row>
    <row r="29" spans="3:16" ht="15" customHeight="1">
      <c r="C29" s="396" t="s">
        <v>699</v>
      </c>
      <c r="D29" s="1477"/>
      <c r="E29" s="1480">
        <v>4</v>
      </c>
      <c r="F29" s="1481">
        <f>392251/10^6</f>
        <v>0.39225100000000002</v>
      </c>
      <c r="G29" s="1290">
        <v>1.71</v>
      </c>
      <c r="H29" s="1477">
        <f t="shared" ref="H29" si="5">F29*G29/10</f>
        <v>6.7074920999999996E-2</v>
      </c>
      <c r="I29" s="1480">
        <v>1</v>
      </c>
      <c r="J29" s="1481">
        <f>8811/10^6</f>
        <v>8.8109999999999994E-3</v>
      </c>
      <c r="K29" s="1481">
        <v>1.71</v>
      </c>
      <c r="L29" s="1477">
        <f t="shared" ref="L29" si="6">J29*K29/10</f>
        <v>1.5066809999999997E-3</v>
      </c>
      <c r="M29" s="1480"/>
      <c r="N29" s="1477"/>
      <c r="O29" s="1480"/>
      <c r="P29" s="1479"/>
    </row>
    <row r="30" spans="3:16" ht="15" customHeight="1">
      <c r="C30" s="396" t="s">
        <v>700</v>
      </c>
      <c r="D30" s="1477"/>
      <c r="E30" s="1480"/>
      <c r="F30" s="1481"/>
      <c r="G30" s="1480"/>
      <c r="H30" s="1477"/>
      <c r="I30" s="1480"/>
      <c r="J30" s="1477"/>
      <c r="K30" s="1481"/>
      <c r="L30" s="1477"/>
      <c r="M30" s="1482"/>
      <c r="N30" s="1477"/>
      <c r="O30" s="1480"/>
      <c r="P30" s="1479"/>
    </row>
    <row r="31" spans="3:16" ht="15" customHeight="1">
      <c r="C31" s="396" t="s">
        <v>701</v>
      </c>
      <c r="D31" s="1477"/>
      <c r="E31" s="1480"/>
      <c r="F31" s="1481"/>
      <c r="G31" s="1480"/>
      <c r="H31" s="1477"/>
      <c r="I31" s="1480"/>
      <c r="J31" s="1477"/>
      <c r="K31" s="1481"/>
      <c r="L31" s="1477"/>
      <c r="M31" s="1480"/>
      <c r="N31" s="1477"/>
      <c r="O31" s="1480"/>
      <c r="P31" s="1479"/>
    </row>
    <row r="32" spans="3:16" ht="15" customHeight="1">
      <c r="C32" s="396" t="s">
        <v>592</v>
      </c>
      <c r="D32" s="1477"/>
      <c r="E32" s="1478"/>
      <c r="F32" s="1477"/>
      <c r="G32" s="1477"/>
      <c r="H32" s="1477"/>
      <c r="I32" s="1478"/>
      <c r="J32" s="1477"/>
      <c r="K32" s="1477"/>
      <c r="L32" s="1477"/>
      <c r="M32" s="1478"/>
      <c r="N32" s="1477"/>
      <c r="O32" s="1477"/>
      <c r="P32" s="1479"/>
    </row>
    <row r="33" spans="3:32" ht="15" customHeight="1">
      <c r="C33" s="396" t="s">
        <v>702</v>
      </c>
      <c r="D33" s="1477"/>
      <c r="E33" s="1478"/>
      <c r="F33" s="1477"/>
      <c r="G33" s="1477"/>
      <c r="H33" s="1477"/>
      <c r="I33" s="1478"/>
      <c r="J33" s="1477"/>
      <c r="K33" s="1477"/>
      <c r="L33" s="1477"/>
      <c r="M33" s="1478"/>
      <c r="N33" s="1477"/>
      <c r="O33" s="1477"/>
      <c r="P33" s="1479"/>
    </row>
    <row r="34" spans="3:32" ht="15" customHeight="1">
      <c r="C34" s="396" t="s">
        <v>703</v>
      </c>
      <c r="D34" s="1477"/>
      <c r="E34" s="1478"/>
      <c r="F34" s="1477"/>
      <c r="G34" s="1477"/>
      <c r="H34" s="1477"/>
      <c r="I34" s="1478"/>
      <c r="J34" s="1477"/>
      <c r="K34" s="1477"/>
      <c r="L34" s="1477"/>
      <c r="M34" s="1478"/>
      <c r="N34" s="1477"/>
      <c r="O34" s="1477"/>
      <c r="P34" s="1479"/>
    </row>
    <row r="35" spans="3:32" ht="15" customHeight="1">
      <c r="C35" s="1342" t="s">
        <v>636</v>
      </c>
      <c r="D35" s="1473"/>
      <c r="E35" s="1474">
        <f>SUM(E36:E39)</f>
        <v>0</v>
      </c>
      <c r="F35" s="1474">
        <f t="shared" ref="F35:P35" si="7">SUM(F36:F39)</f>
        <v>0</v>
      </c>
      <c r="G35" s="1474">
        <f t="shared" si="7"/>
        <v>0</v>
      </c>
      <c r="H35" s="1474">
        <f t="shared" si="7"/>
        <v>0</v>
      </c>
      <c r="I35" s="1474">
        <f t="shared" si="7"/>
        <v>0</v>
      </c>
      <c r="J35" s="1474">
        <f t="shared" si="7"/>
        <v>0</v>
      </c>
      <c r="K35" s="1474">
        <f t="shared" si="7"/>
        <v>0</v>
      </c>
      <c r="L35" s="1474">
        <f t="shared" si="7"/>
        <v>0</v>
      </c>
      <c r="M35" s="1474">
        <f t="shared" si="7"/>
        <v>0</v>
      </c>
      <c r="N35" s="1474">
        <f t="shared" si="7"/>
        <v>0</v>
      </c>
      <c r="O35" s="1474">
        <f t="shared" si="7"/>
        <v>0</v>
      </c>
      <c r="P35" s="1483">
        <f t="shared" si="7"/>
        <v>0</v>
      </c>
    </row>
    <row r="36" spans="3:32" ht="15" customHeight="1">
      <c r="C36" s="1353" t="s">
        <v>686</v>
      </c>
      <c r="D36" s="1484"/>
      <c r="E36" s="1485"/>
      <c r="F36" s="1486"/>
      <c r="G36" s="1484"/>
      <c r="H36" s="1486"/>
      <c r="I36" s="1485"/>
      <c r="J36" s="1486"/>
      <c r="K36" s="1486"/>
      <c r="L36" s="1486"/>
      <c r="M36" s="1485"/>
      <c r="N36" s="1486"/>
      <c r="O36" s="1484"/>
      <c r="P36" s="1487"/>
    </row>
    <row r="37" spans="3:32" ht="15" customHeight="1">
      <c r="C37" s="1353" t="s">
        <v>687</v>
      </c>
      <c r="D37" s="1484"/>
      <c r="E37" s="1485"/>
      <c r="F37" s="1486"/>
      <c r="G37" s="1484"/>
      <c r="H37" s="1486"/>
      <c r="I37" s="1485"/>
      <c r="J37" s="1486"/>
      <c r="K37" s="1486"/>
      <c r="L37" s="1486"/>
      <c r="M37" s="1485"/>
      <c r="N37" s="1486"/>
      <c r="O37" s="1484"/>
      <c r="P37" s="1487"/>
    </row>
    <row r="38" spans="3:32" ht="15" customHeight="1">
      <c r="C38" s="1353" t="s">
        <v>688</v>
      </c>
      <c r="D38" s="1484"/>
      <c r="E38" s="1485"/>
      <c r="F38" s="1486"/>
      <c r="G38" s="1484"/>
      <c r="H38" s="1486"/>
      <c r="I38" s="1485"/>
      <c r="J38" s="1486"/>
      <c r="K38" s="1486"/>
      <c r="L38" s="1486"/>
      <c r="M38" s="1485"/>
      <c r="N38" s="1486"/>
      <c r="O38" s="1484"/>
      <c r="P38" s="1487"/>
    </row>
    <row r="39" spans="3:32" ht="15" customHeight="1">
      <c r="C39" s="1353" t="s">
        <v>704</v>
      </c>
      <c r="D39" s="1484"/>
      <c r="E39" s="1485"/>
      <c r="F39" s="1486"/>
      <c r="G39" s="1484"/>
      <c r="H39" s="1486"/>
      <c r="I39" s="1485"/>
      <c r="J39" s="1486"/>
      <c r="K39" s="1486"/>
      <c r="L39" s="1486"/>
      <c r="M39" s="1485"/>
      <c r="N39" s="1486"/>
      <c r="O39" s="1484"/>
      <c r="P39" s="1487"/>
    </row>
    <row r="40" spans="3:32" ht="15" customHeight="1">
      <c r="C40" s="1342" t="s">
        <v>639</v>
      </c>
      <c r="D40" s="1473"/>
      <c r="E40" s="1474">
        <f t="shared" ref="E40:P40" si="8">SUM(E41:E42)</f>
        <v>0</v>
      </c>
      <c r="F40" s="1474">
        <f t="shared" si="8"/>
        <v>0</v>
      </c>
      <c r="G40" s="1474">
        <f t="shared" si="8"/>
        <v>0</v>
      </c>
      <c r="H40" s="1474">
        <f t="shared" si="8"/>
        <v>0</v>
      </c>
      <c r="I40" s="1474">
        <f t="shared" si="8"/>
        <v>0</v>
      </c>
      <c r="J40" s="1474">
        <f t="shared" si="8"/>
        <v>0</v>
      </c>
      <c r="K40" s="1474">
        <f t="shared" si="8"/>
        <v>0</v>
      </c>
      <c r="L40" s="1474">
        <f t="shared" si="8"/>
        <v>0</v>
      </c>
      <c r="M40" s="1474">
        <f t="shared" si="8"/>
        <v>0</v>
      </c>
      <c r="N40" s="1474">
        <f t="shared" si="8"/>
        <v>0</v>
      </c>
      <c r="O40" s="1474">
        <f t="shared" si="8"/>
        <v>0</v>
      </c>
      <c r="P40" s="1483">
        <f t="shared" si="8"/>
        <v>0</v>
      </c>
    </row>
    <row r="41" spans="3:32" ht="15" customHeight="1">
      <c r="C41" s="396" t="s">
        <v>692</v>
      </c>
      <c r="D41" s="1477"/>
      <c r="E41" s="1478"/>
      <c r="F41" s="1477"/>
      <c r="G41" s="1477"/>
      <c r="H41" s="1477"/>
      <c r="I41" s="1478"/>
      <c r="J41" s="1477"/>
      <c r="K41" s="1477"/>
      <c r="L41" s="1477"/>
      <c r="M41" s="1478"/>
      <c r="N41" s="1477"/>
      <c r="O41" s="1477"/>
      <c r="P41" s="1479"/>
    </row>
    <row r="42" spans="3:32" ht="15" customHeight="1">
      <c r="C42" s="396" t="s">
        <v>707</v>
      </c>
      <c r="D42" s="1477"/>
      <c r="E42" s="1478"/>
      <c r="F42" s="1477"/>
      <c r="G42" s="1477"/>
      <c r="H42" s="1477"/>
      <c r="I42" s="1478"/>
      <c r="J42" s="1477"/>
      <c r="K42" s="1477"/>
      <c r="L42" s="1477"/>
      <c r="M42" s="1478"/>
      <c r="N42" s="1477"/>
      <c r="O42" s="1477"/>
      <c r="P42" s="1479"/>
    </row>
    <row r="43" spans="3:32" ht="15" hidden="1" customHeight="1">
      <c r="C43" s="1342"/>
      <c r="D43" s="1473"/>
      <c r="E43" s="1474"/>
      <c r="F43" s="1473"/>
      <c r="G43" s="1473"/>
      <c r="H43" s="1473"/>
      <c r="I43" s="1474"/>
      <c r="J43" s="1473">
        <v>0</v>
      </c>
      <c r="K43" s="1473"/>
      <c r="L43" s="1473">
        <f t="shared" ref="L43" si="9">J43*K43/10</f>
        <v>0</v>
      </c>
      <c r="M43" s="1474"/>
      <c r="N43" s="1473">
        <v>0</v>
      </c>
      <c r="O43" s="1473"/>
      <c r="P43" s="1475">
        <f t="shared" ref="P43" si="10">N43*O43/10</f>
        <v>0</v>
      </c>
    </row>
    <row r="44" spans="3:32" ht="15" hidden="1" customHeight="1">
      <c r="C44" s="397"/>
      <c r="D44" s="1488"/>
      <c r="E44" s="1489"/>
      <c r="F44" s="1488"/>
      <c r="G44" s="1488"/>
      <c r="H44" s="1488"/>
      <c r="I44" s="1489"/>
      <c r="J44" s="1488"/>
      <c r="K44" s="1488"/>
      <c r="L44" s="1488"/>
      <c r="M44" s="1489"/>
      <c r="N44" s="1488"/>
      <c r="O44" s="1488"/>
      <c r="P44" s="1490"/>
    </row>
    <row r="45" spans="3:32" ht="15" customHeight="1">
      <c r="C45" s="1339" t="s">
        <v>603</v>
      </c>
      <c r="D45" s="1470"/>
      <c r="E45" s="1471">
        <f>E46+E47+E54+E61+E66</f>
        <v>12</v>
      </c>
      <c r="F45" s="1470">
        <f t="shared" ref="F45:P45" si="11">F46+F47+F54+F61+F66</f>
        <v>20.134211999999998</v>
      </c>
      <c r="G45" s="1470">
        <f t="shared" si="11"/>
        <v>3.38</v>
      </c>
      <c r="H45" s="1470">
        <f t="shared" si="11"/>
        <v>2.9985000719999997</v>
      </c>
      <c r="I45" s="1471">
        <f t="shared" si="11"/>
        <v>34</v>
      </c>
      <c r="J45" s="1470">
        <f t="shared" si="11"/>
        <v>93.314537999999999</v>
      </c>
      <c r="K45" s="1470">
        <f t="shared" si="11"/>
        <v>2.6399999999999997</v>
      </c>
      <c r="L45" s="1470">
        <f t="shared" si="11"/>
        <v>13.682056266</v>
      </c>
      <c r="M45" s="1471">
        <f t="shared" si="11"/>
        <v>0</v>
      </c>
      <c r="N45" s="1470">
        <f t="shared" si="11"/>
        <v>0</v>
      </c>
      <c r="O45" s="1470">
        <f t="shared" si="11"/>
        <v>0</v>
      </c>
      <c r="P45" s="1472">
        <f t="shared" si="11"/>
        <v>0</v>
      </c>
    </row>
    <row r="46" spans="3:32" ht="15" customHeight="1">
      <c r="C46" s="1342" t="s">
        <v>694</v>
      </c>
      <c r="D46" s="1473"/>
      <c r="E46" s="1474"/>
      <c r="F46" s="1473"/>
      <c r="G46" s="1473"/>
      <c r="H46" s="1473"/>
      <c r="I46" s="1474"/>
      <c r="J46" s="1473">
        <v>0</v>
      </c>
      <c r="K46" s="1473"/>
      <c r="L46" s="1473">
        <f t="shared" ref="L46" si="12">J46*K46/10</f>
        <v>0</v>
      </c>
      <c r="M46" s="1474"/>
      <c r="N46" s="1473">
        <v>0</v>
      </c>
      <c r="O46" s="1473"/>
      <c r="P46" s="1475">
        <f t="shared" ref="P46" si="13">N46*O46/10</f>
        <v>0</v>
      </c>
    </row>
    <row r="47" spans="3:32" ht="15" customHeight="1">
      <c r="C47" s="1342" t="s">
        <v>695</v>
      </c>
      <c r="D47" s="1473"/>
      <c r="E47" s="1474">
        <f>SUM(E48:E53)</f>
        <v>1</v>
      </c>
      <c r="F47" s="1473">
        <f t="shared" ref="F47:P47" si="14">SUM(F48:F53)</f>
        <v>0.88115699999999997</v>
      </c>
      <c r="G47" s="1473">
        <f t="shared" si="14"/>
        <v>1.91</v>
      </c>
      <c r="H47" s="1473">
        <f t="shared" si="14"/>
        <v>0.16830098699999999</v>
      </c>
      <c r="I47" s="1474">
        <f t="shared" si="14"/>
        <v>0</v>
      </c>
      <c r="J47" s="1473">
        <f t="shared" si="14"/>
        <v>0</v>
      </c>
      <c r="K47" s="1473">
        <f t="shared" si="14"/>
        <v>0</v>
      </c>
      <c r="L47" s="1473">
        <f t="shared" si="14"/>
        <v>0</v>
      </c>
      <c r="M47" s="1474">
        <f t="shared" si="14"/>
        <v>0</v>
      </c>
      <c r="N47" s="1473">
        <f t="shared" si="14"/>
        <v>0</v>
      </c>
      <c r="O47" s="1473">
        <f t="shared" si="14"/>
        <v>0</v>
      </c>
      <c r="P47" s="1475">
        <f t="shared" si="14"/>
        <v>0</v>
      </c>
    </row>
    <row r="48" spans="3:32" ht="15" customHeight="1">
      <c r="C48" s="396" t="s">
        <v>696</v>
      </c>
      <c r="D48" s="1477"/>
      <c r="E48" s="1478">
        <v>1</v>
      </c>
      <c r="F48" s="1477">
        <f>881157/10^6</f>
        <v>0.88115699999999997</v>
      </c>
      <c r="G48" s="1477">
        <v>1.91</v>
      </c>
      <c r="H48" s="1477">
        <f t="shared" ref="H48" si="15">F48*G48/10</f>
        <v>0.16830098699999999</v>
      </c>
      <c r="I48" s="1478"/>
      <c r="J48" s="1477"/>
      <c r="K48" s="1477"/>
      <c r="L48" s="1477"/>
      <c r="M48" s="1478"/>
      <c r="N48" s="1477"/>
      <c r="O48" s="1477"/>
      <c r="P48" s="1479"/>
      <c r="Q48" s="394">
        <f t="shared" ref="Q48:AF48" si="16">Q49+Q50+Q57+Q64+Q69</f>
        <v>0</v>
      </c>
      <c r="R48" s="394">
        <f t="shared" si="16"/>
        <v>0</v>
      </c>
      <c r="S48" s="394">
        <f t="shared" si="16"/>
        <v>0</v>
      </c>
      <c r="T48" s="394">
        <f t="shared" si="16"/>
        <v>0</v>
      </c>
      <c r="U48" s="394">
        <f t="shared" si="16"/>
        <v>0</v>
      </c>
      <c r="V48" s="394">
        <f t="shared" si="16"/>
        <v>0</v>
      </c>
      <c r="W48" s="394">
        <f t="shared" si="16"/>
        <v>0</v>
      </c>
      <c r="X48" s="394">
        <f t="shared" si="16"/>
        <v>0</v>
      </c>
      <c r="Y48" s="394">
        <f t="shared" si="16"/>
        <v>0</v>
      </c>
      <c r="Z48" s="394">
        <f t="shared" si="16"/>
        <v>0</v>
      </c>
      <c r="AA48" s="394">
        <f t="shared" si="16"/>
        <v>0</v>
      </c>
      <c r="AB48" s="394">
        <f t="shared" si="16"/>
        <v>0</v>
      </c>
      <c r="AC48" s="394">
        <f t="shared" si="16"/>
        <v>0</v>
      </c>
      <c r="AD48" s="394">
        <f t="shared" si="16"/>
        <v>0</v>
      </c>
      <c r="AE48" s="394">
        <f t="shared" si="16"/>
        <v>0</v>
      </c>
      <c r="AF48" s="394">
        <f t="shared" si="16"/>
        <v>0</v>
      </c>
    </row>
    <row r="49" spans="3:16" ht="15" customHeight="1">
      <c r="C49" s="396" t="s">
        <v>697</v>
      </c>
      <c r="D49" s="1477"/>
      <c r="E49" s="1478"/>
      <c r="F49" s="1477"/>
      <c r="G49" s="1477"/>
      <c r="H49" s="1477"/>
      <c r="I49" s="1478"/>
      <c r="J49" s="1477"/>
      <c r="K49" s="1477"/>
      <c r="L49" s="1477"/>
      <c r="M49" s="1478"/>
      <c r="N49" s="1477"/>
      <c r="O49" s="1477"/>
      <c r="P49" s="1479"/>
    </row>
    <row r="50" spans="3:16" ht="15" customHeight="1">
      <c r="C50" s="396" t="s">
        <v>682</v>
      </c>
      <c r="D50" s="1477"/>
      <c r="E50" s="1478"/>
      <c r="F50" s="1477"/>
      <c r="G50" s="1477"/>
      <c r="H50" s="1477"/>
      <c r="I50" s="1478"/>
      <c r="J50" s="1477"/>
      <c r="K50" s="1477"/>
      <c r="L50" s="1477"/>
      <c r="M50" s="1478"/>
      <c r="N50" s="1477"/>
      <c r="O50" s="1477"/>
      <c r="P50" s="1479"/>
    </row>
    <row r="51" spans="3:16" ht="15" customHeight="1">
      <c r="C51" s="396" t="s">
        <v>683</v>
      </c>
      <c r="D51" s="1477"/>
      <c r="E51" s="1478"/>
      <c r="F51" s="1477"/>
      <c r="G51" s="1477"/>
      <c r="H51" s="1477"/>
      <c r="I51" s="1478"/>
      <c r="J51" s="1477"/>
      <c r="K51" s="1477"/>
      <c r="L51" s="1477"/>
      <c r="M51" s="1478"/>
      <c r="N51" s="1477"/>
      <c r="O51" s="1477"/>
      <c r="P51" s="1479"/>
    </row>
    <row r="52" spans="3:16" ht="15" customHeight="1">
      <c r="C52" s="396" t="s">
        <v>684</v>
      </c>
      <c r="D52" s="1477"/>
      <c r="E52" s="1478"/>
      <c r="F52" s="1477"/>
      <c r="G52" s="1477"/>
      <c r="H52" s="1477"/>
      <c r="I52" s="1478"/>
      <c r="J52" s="1477"/>
      <c r="K52" s="1477"/>
      <c r="L52" s="1477"/>
      <c r="M52" s="1478"/>
      <c r="N52" s="1477"/>
      <c r="O52" s="1477"/>
      <c r="P52" s="1479"/>
    </row>
    <row r="53" spans="3:16" ht="15" customHeight="1">
      <c r="C53" s="396" t="s">
        <v>685</v>
      </c>
      <c r="D53" s="1477"/>
      <c r="E53" s="1478"/>
      <c r="F53" s="1477"/>
      <c r="G53" s="1477"/>
      <c r="H53" s="1477"/>
      <c r="I53" s="1478"/>
      <c r="J53" s="1477"/>
      <c r="K53" s="1477"/>
      <c r="L53" s="1477"/>
      <c r="M53" s="1478"/>
      <c r="N53" s="1477"/>
      <c r="O53" s="1477"/>
      <c r="P53" s="1479"/>
    </row>
    <row r="54" spans="3:16" ht="15" customHeight="1">
      <c r="C54" s="1342" t="s">
        <v>635</v>
      </c>
      <c r="D54" s="1473"/>
      <c r="E54" s="1474">
        <f>SUM(E55:E60)</f>
        <v>11</v>
      </c>
      <c r="F54" s="1473">
        <f t="shared" ref="F54:P54" si="17">SUM(F55:F60)</f>
        <v>19.253055</v>
      </c>
      <c r="G54" s="1473">
        <f t="shared" si="17"/>
        <v>1.47</v>
      </c>
      <c r="H54" s="1473">
        <f t="shared" si="17"/>
        <v>2.8301990849999998</v>
      </c>
      <c r="I54" s="1474">
        <f t="shared" si="17"/>
        <v>34</v>
      </c>
      <c r="J54" s="1473">
        <f t="shared" si="17"/>
        <v>93.314537999999999</v>
      </c>
      <c r="K54" s="1473">
        <f t="shared" si="17"/>
        <v>2.6399999999999997</v>
      </c>
      <c r="L54" s="1473">
        <f t="shared" si="17"/>
        <v>13.682056266</v>
      </c>
      <c r="M54" s="1474">
        <f t="shared" si="17"/>
        <v>0</v>
      </c>
      <c r="N54" s="1473">
        <f t="shared" si="17"/>
        <v>0</v>
      </c>
      <c r="O54" s="1473">
        <f t="shared" si="17"/>
        <v>0</v>
      </c>
      <c r="P54" s="1475">
        <f t="shared" si="17"/>
        <v>0</v>
      </c>
    </row>
    <row r="55" spans="3:16" ht="15" customHeight="1">
      <c r="C55" s="396" t="s">
        <v>699</v>
      </c>
      <c r="D55" s="1477"/>
      <c r="E55" s="1478">
        <v>11</v>
      </c>
      <c r="F55" s="1477">
        <f>19253055/10^6</f>
        <v>19.253055</v>
      </c>
      <c r="G55" s="1501">
        <v>1.47</v>
      </c>
      <c r="H55" s="1477">
        <f t="shared" ref="H55" si="18">F55*G55/10</f>
        <v>2.8301990849999998</v>
      </c>
      <c r="I55" s="1478">
        <v>33</v>
      </c>
      <c r="J55" s="1477">
        <f>92141844/10^6</f>
        <v>92.141844000000006</v>
      </c>
      <c r="K55" s="1501">
        <v>1.47</v>
      </c>
      <c r="L55" s="1477">
        <f t="shared" ref="L55" si="19">J55*K55/10</f>
        <v>13.544851068</v>
      </c>
      <c r="M55" s="1478"/>
      <c r="N55" s="1477"/>
      <c r="O55" s="1477"/>
      <c r="P55" s="1479"/>
    </row>
    <row r="56" spans="3:16" ht="15" customHeight="1">
      <c r="C56" s="396" t="s">
        <v>700</v>
      </c>
      <c r="D56" s="1477"/>
      <c r="E56" s="1478"/>
      <c r="F56" s="1477"/>
      <c r="G56" s="1477"/>
      <c r="H56" s="1477"/>
      <c r="I56" s="1478"/>
      <c r="J56" s="1477"/>
      <c r="K56" s="1477"/>
      <c r="L56" s="1477"/>
      <c r="M56" s="1478"/>
      <c r="N56" s="1477"/>
      <c r="O56" s="1477"/>
      <c r="P56" s="1479"/>
    </row>
    <row r="57" spans="3:16" ht="15" customHeight="1">
      <c r="C57" s="396" t="s">
        <v>701</v>
      </c>
      <c r="D57" s="1477"/>
      <c r="E57" s="1478"/>
      <c r="F57" s="1477"/>
      <c r="G57" s="1477"/>
      <c r="H57" s="1477"/>
      <c r="I57" s="1478"/>
      <c r="J57" s="1477"/>
      <c r="K57" s="1477"/>
      <c r="L57" s="1477"/>
      <c r="M57" s="1478"/>
      <c r="N57" s="1477"/>
      <c r="O57" s="1477"/>
      <c r="P57" s="1479"/>
    </row>
    <row r="58" spans="3:16" ht="15" customHeight="1">
      <c r="C58" s="396" t="s">
        <v>592</v>
      </c>
      <c r="D58" s="1477"/>
      <c r="E58" s="1478"/>
      <c r="F58" s="1477"/>
      <c r="G58" s="1477"/>
      <c r="H58" s="1477"/>
      <c r="I58" s="1478"/>
      <c r="J58" s="1477"/>
      <c r="K58" s="1477"/>
      <c r="L58" s="1477"/>
      <c r="M58" s="1478"/>
      <c r="N58" s="1477"/>
      <c r="O58" s="1477"/>
      <c r="P58" s="1479"/>
    </row>
    <row r="59" spans="3:16" ht="15" customHeight="1">
      <c r="C59" s="396" t="s">
        <v>702</v>
      </c>
      <c r="D59" s="1477"/>
      <c r="E59" s="1478"/>
      <c r="F59" s="1477"/>
      <c r="G59" s="1477"/>
      <c r="H59" s="1477"/>
      <c r="I59" s="1478"/>
      <c r="J59" s="1477"/>
      <c r="K59" s="1477"/>
      <c r="L59" s="1477"/>
      <c r="M59" s="1478"/>
      <c r="N59" s="1477"/>
      <c r="O59" s="1477"/>
      <c r="P59" s="1479"/>
    </row>
    <row r="60" spans="3:16" ht="15" customHeight="1">
      <c r="C60" s="396" t="s">
        <v>703</v>
      </c>
      <c r="D60" s="1477"/>
      <c r="E60" s="1478"/>
      <c r="F60" s="1477"/>
      <c r="G60" s="1477"/>
      <c r="H60" s="1477"/>
      <c r="I60" s="1478">
        <v>1</v>
      </c>
      <c r="J60" s="1477">
        <f>1172694/10^6</f>
        <v>1.1726939999999999</v>
      </c>
      <c r="K60" s="1502">
        <v>1.17</v>
      </c>
      <c r="L60" s="1477">
        <f t="shared" ref="L60" si="20">J60*K60/10</f>
        <v>0.13720519799999997</v>
      </c>
      <c r="M60" s="1478"/>
      <c r="N60" s="1477"/>
      <c r="O60" s="1477"/>
      <c r="P60" s="1479"/>
    </row>
    <row r="61" spans="3:16" ht="15" customHeight="1">
      <c r="C61" s="1342" t="s">
        <v>636</v>
      </c>
      <c r="D61" s="1473"/>
      <c r="E61" s="1474">
        <f>SUM(E62:E65)</f>
        <v>0</v>
      </c>
      <c r="F61" s="1474">
        <f t="shared" ref="F61:P61" si="21">SUM(F62:F65)</f>
        <v>0</v>
      </c>
      <c r="G61" s="1474">
        <f t="shared" si="21"/>
        <v>0</v>
      </c>
      <c r="H61" s="1474">
        <f t="shared" si="21"/>
        <v>0</v>
      </c>
      <c r="I61" s="1474">
        <f t="shared" si="21"/>
        <v>0</v>
      </c>
      <c r="J61" s="1474">
        <f t="shared" si="21"/>
        <v>0</v>
      </c>
      <c r="K61" s="1474">
        <f t="shared" si="21"/>
        <v>0</v>
      </c>
      <c r="L61" s="1474">
        <f t="shared" si="21"/>
        <v>0</v>
      </c>
      <c r="M61" s="1474">
        <f t="shared" si="21"/>
        <v>0</v>
      </c>
      <c r="N61" s="1474">
        <f t="shared" si="21"/>
        <v>0</v>
      </c>
      <c r="O61" s="1474">
        <f t="shared" si="21"/>
        <v>0</v>
      </c>
      <c r="P61" s="1483">
        <f t="shared" si="21"/>
        <v>0</v>
      </c>
    </row>
    <row r="62" spans="3:16" ht="15" customHeight="1">
      <c r="C62" s="396" t="s">
        <v>708</v>
      </c>
      <c r="D62" s="1477"/>
      <c r="E62" s="1478"/>
      <c r="F62" s="1477"/>
      <c r="G62" s="1477"/>
      <c r="H62" s="1477"/>
      <c r="I62" s="1478"/>
      <c r="J62" s="1477"/>
      <c r="K62" s="1477"/>
      <c r="L62" s="1477"/>
      <c r="M62" s="1478"/>
      <c r="N62" s="1477"/>
      <c r="O62" s="1477"/>
      <c r="P62" s="1479"/>
    </row>
    <row r="63" spans="3:16" ht="15" customHeight="1">
      <c r="C63" s="396" t="s">
        <v>687</v>
      </c>
      <c r="D63" s="1477"/>
      <c r="E63" s="1478"/>
      <c r="F63" s="1477"/>
      <c r="G63" s="1477"/>
      <c r="H63" s="1477"/>
      <c r="I63" s="1478"/>
      <c r="J63" s="1477"/>
      <c r="K63" s="1477"/>
      <c r="L63" s="1477"/>
      <c r="M63" s="1478"/>
      <c r="N63" s="1477"/>
      <c r="O63" s="1477"/>
      <c r="P63" s="1479"/>
    </row>
    <row r="64" spans="3:16" ht="15" customHeight="1">
      <c r="C64" s="396" t="s">
        <v>688</v>
      </c>
      <c r="D64" s="1477"/>
      <c r="E64" s="1478"/>
      <c r="F64" s="1477"/>
      <c r="G64" s="1477"/>
      <c r="H64" s="1477"/>
      <c r="I64" s="1478"/>
      <c r="J64" s="1477"/>
      <c r="K64" s="1477"/>
      <c r="L64" s="1477"/>
      <c r="M64" s="1478"/>
      <c r="N64" s="1477"/>
      <c r="O64" s="1477"/>
      <c r="P64" s="1479"/>
    </row>
    <row r="65" spans="3:32" ht="15" customHeight="1">
      <c r="C65" s="396" t="s">
        <v>704</v>
      </c>
      <c r="D65" s="1477"/>
      <c r="E65" s="1478"/>
      <c r="F65" s="1477"/>
      <c r="G65" s="1477"/>
      <c r="H65" s="1477"/>
      <c r="I65" s="1478"/>
      <c r="J65" s="1477"/>
      <c r="K65" s="1477"/>
      <c r="L65" s="1477"/>
      <c r="M65" s="1478"/>
      <c r="N65" s="1477"/>
      <c r="O65" s="1477"/>
      <c r="P65" s="1479"/>
    </row>
    <row r="66" spans="3:32" ht="15" customHeight="1">
      <c r="C66" s="1342" t="s">
        <v>639</v>
      </c>
      <c r="D66" s="1473"/>
      <c r="E66" s="1474">
        <f>SUM(E67:E68)</f>
        <v>0</v>
      </c>
      <c r="F66" s="1474">
        <f t="shared" ref="F66:P66" si="22">SUM(F67:F67)</f>
        <v>0</v>
      </c>
      <c r="G66" s="1474">
        <f t="shared" si="22"/>
        <v>0</v>
      </c>
      <c r="H66" s="1474">
        <f t="shared" si="22"/>
        <v>0</v>
      </c>
      <c r="I66" s="1474">
        <f t="shared" si="22"/>
        <v>0</v>
      </c>
      <c r="J66" s="1474">
        <f t="shared" si="22"/>
        <v>0</v>
      </c>
      <c r="K66" s="1474">
        <f t="shared" si="22"/>
        <v>0</v>
      </c>
      <c r="L66" s="1474">
        <f t="shared" si="22"/>
        <v>0</v>
      </c>
      <c r="M66" s="1474">
        <f t="shared" si="22"/>
        <v>0</v>
      </c>
      <c r="N66" s="1474">
        <f t="shared" si="22"/>
        <v>0</v>
      </c>
      <c r="O66" s="1474">
        <f t="shared" si="22"/>
        <v>0</v>
      </c>
      <c r="P66" s="1483">
        <f t="shared" si="22"/>
        <v>0</v>
      </c>
    </row>
    <row r="67" spans="3:32" ht="15" customHeight="1">
      <c r="C67" s="396" t="s">
        <v>692</v>
      </c>
      <c r="D67" s="1477"/>
      <c r="E67" s="1478"/>
      <c r="F67" s="1477"/>
      <c r="G67" s="1477"/>
      <c r="H67" s="1477"/>
      <c r="I67" s="1478"/>
      <c r="J67" s="1477"/>
      <c r="K67" s="1477"/>
      <c r="L67" s="1477"/>
      <c r="M67" s="1478"/>
      <c r="N67" s="1477"/>
      <c r="O67" s="1477"/>
      <c r="P67" s="1479"/>
    </row>
    <row r="68" spans="3:32" ht="15" customHeight="1">
      <c r="C68" s="396" t="s">
        <v>707</v>
      </c>
      <c r="D68" s="1477"/>
      <c r="E68" s="1478"/>
      <c r="F68" s="1477"/>
      <c r="G68" s="1477"/>
      <c r="H68" s="1477"/>
      <c r="I68" s="1478"/>
      <c r="J68" s="1477"/>
      <c r="K68" s="1477"/>
      <c r="L68" s="1477"/>
      <c r="M68" s="1478"/>
      <c r="N68" s="1477"/>
      <c r="O68" s="1477"/>
      <c r="P68" s="1479"/>
    </row>
    <row r="69" spans="3:32" ht="15" customHeight="1">
      <c r="C69" s="1339" t="s">
        <v>604</v>
      </c>
      <c r="D69" s="1470"/>
      <c r="E69" s="1471">
        <f>E70+E71+E78+E85+E90</f>
        <v>1</v>
      </c>
      <c r="F69" s="1470">
        <f t="shared" ref="F69:H69" si="23">F70+F71+F78+F85+F90</f>
        <v>0.68891899999999995</v>
      </c>
      <c r="G69" s="1470">
        <f t="shared" si="23"/>
        <v>1.01</v>
      </c>
      <c r="H69" s="1470">
        <f t="shared" si="23"/>
        <v>6.9580818999999988E-2</v>
      </c>
      <c r="I69" s="1471">
        <f>I70+I71+I78+I85+I90</f>
        <v>14</v>
      </c>
      <c r="J69" s="1470">
        <f t="shared" ref="J69:L69" si="24">J70+J71+J78+J85+J90</f>
        <v>39.580050999999997</v>
      </c>
      <c r="K69" s="1470">
        <f t="shared" si="24"/>
        <v>4</v>
      </c>
      <c r="L69" s="1470">
        <f t="shared" si="24"/>
        <v>5.145084389</v>
      </c>
      <c r="M69" s="1471">
        <f>M70+M71+M78+M85+M90</f>
        <v>1</v>
      </c>
      <c r="N69" s="1470">
        <f t="shared" ref="N69:P69" si="25">N70+N71+N78+N85+N90</f>
        <v>9.0147820000000003</v>
      </c>
      <c r="O69" s="1470">
        <f t="shared" si="25"/>
        <v>1.37</v>
      </c>
      <c r="P69" s="1472">
        <f t="shared" si="25"/>
        <v>1.2350251340000002</v>
      </c>
    </row>
    <row r="70" spans="3:32" ht="15" customHeight="1">
      <c r="C70" s="1342" t="s">
        <v>694</v>
      </c>
      <c r="D70" s="1473"/>
      <c r="E70" s="1474"/>
      <c r="F70" s="1473"/>
      <c r="G70" s="1473"/>
      <c r="H70" s="1473"/>
      <c r="I70" s="1474"/>
      <c r="J70" s="1473">
        <v>0</v>
      </c>
      <c r="K70" s="1473"/>
      <c r="L70" s="1473">
        <f t="shared" ref="L70" si="26">J70*K70/10</f>
        <v>0</v>
      </c>
      <c r="M70" s="1474"/>
      <c r="N70" s="1473">
        <v>0</v>
      </c>
      <c r="O70" s="1473"/>
      <c r="P70" s="1475">
        <f t="shared" ref="P70" si="27">N70*O70/10</f>
        <v>0</v>
      </c>
    </row>
    <row r="71" spans="3:32" ht="15" customHeight="1">
      <c r="C71" s="1342" t="s">
        <v>695</v>
      </c>
      <c r="D71" s="1473"/>
      <c r="E71" s="1474">
        <f>SUM(E72:E77)</f>
        <v>0</v>
      </c>
      <c r="F71" s="1476">
        <f t="shared" ref="F71:P71" si="28">SUM(F72:F77)</f>
        <v>0</v>
      </c>
      <c r="G71" s="1476">
        <f t="shared" si="28"/>
        <v>0</v>
      </c>
      <c r="H71" s="1476">
        <f t="shared" si="28"/>
        <v>0</v>
      </c>
      <c r="I71" s="1474">
        <f t="shared" si="28"/>
        <v>1</v>
      </c>
      <c r="J71" s="1473">
        <f t="shared" si="28"/>
        <v>2.003574</v>
      </c>
      <c r="K71" s="1473">
        <f t="shared" si="28"/>
        <v>1.62</v>
      </c>
      <c r="L71" s="1473">
        <f t="shared" si="28"/>
        <v>0.32457898800000001</v>
      </c>
      <c r="M71" s="1474">
        <f t="shared" si="28"/>
        <v>0</v>
      </c>
      <c r="N71" s="1473">
        <f t="shared" si="28"/>
        <v>0</v>
      </c>
      <c r="O71" s="1473">
        <f t="shared" si="28"/>
        <v>0</v>
      </c>
      <c r="P71" s="1475">
        <f t="shared" si="28"/>
        <v>0</v>
      </c>
    </row>
    <row r="72" spans="3:32" ht="15" customHeight="1">
      <c r="C72" s="396" t="s">
        <v>696</v>
      </c>
      <c r="D72" s="1477"/>
      <c r="E72" s="1478"/>
      <c r="F72" s="1477"/>
      <c r="G72" s="1477"/>
      <c r="H72" s="1477"/>
      <c r="I72" s="1478">
        <v>1</v>
      </c>
      <c r="J72" s="1477">
        <f>2003574/10^6</f>
        <v>2.003574</v>
      </c>
      <c r="K72" s="1477">
        <v>1.62</v>
      </c>
      <c r="L72" s="1477">
        <f t="shared" ref="L72" si="29">J72*K72/10</f>
        <v>0.32457898800000001</v>
      </c>
      <c r="M72" s="1478"/>
      <c r="N72" s="1477"/>
      <c r="O72" s="1477"/>
      <c r="P72" s="1477">
        <f t="shared" ref="P72" si="30">N72*O72/10</f>
        <v>0</v>
      </c>
    </row>
    <row r="73" spans="3:32" ht="15" customHeight="1">
      <c r="C73" s="396" t="s">
        <v>697</v>
      </c>
      <c r="D73" s="1477"/>
      <c r="E73" s="1478"/>
      <c r="F73" s="1477"/>
      <c r="G73" s="1477"/>
      <c r="H73" s="1477"/>
      <c r="I73" s="1478"/>
      <c r="J73" s="1477"/>
      <c r="K73" s="1477"/>
      <c r="L73" s="1477"/>
      <c r="M73" s="1478"/>
      <c r="N73" s="1477"/>
      <c r="O73" s="1477"/>
      <c r="P73" s="1479"/>
    </row>
    <row r="74" spans="3:32" ht="15" customHeight="1">
      <c r="C74" s="396" t="s">
        <v>682</v>
      </c>
      <c r="D74" s="1477"/>
      <c r="E74" s="1478"/>
      <c r="F74" s="1477"/>
      <c r="G74" s="1477"/>
      <c r="H74" s="1477"/>
      <c r="I74" s="1478"/>
      <c r="J74" s="1477"/>
      <c r="K74" s="1477"/>
      <c r="L74" s="1477"/>
      <c r="M74" s="1478"/>
      <c r="N74" s="1477"/>
      <c r="O74" s="1477"/>
      <c r="P74" s="1479"/>
    </row>
    <row r="75" spans="3:32" ht="15" customHeight="1">
      <c r="C75" s="396" t="s">
        <v>683</v>
      </c>
      <c r="D75" s="1477"/>
      <c r="E75" s="1478"/>
      <c r="F75" s="1477"/>
      <c r="G75" s="1477"/>
      <c r="H75" s="1477"/>
      <c r="I75" s="1478"/>
      <c r="J75" s="1477"/>
      <c r="K75" s="1477"/>
      <c r="L75" s="1477"/>
      <c r="M75" s="1478"/>
      <c r="N75" s="1477"/>
      <c r="O75" s="1477"/>
      <c r="P75" s="1479"/>
      <c r="Q75" s="394">
        <f t="shared" ref="Q75:AF75" si="31">Q76+Q77+Q84+Q91+Q96</f>
        <v>0</v>
      </c>
      <c r="R75" s="394">
        <f t="shared" si="31"/>
        <v>0</v>
      </c>
      <c r="S75" s="394">
        <f t="shared" si="31"/>
        <v>0</v>
      </c>
      <c r="T75" s="394">
        <f t="shared" si="31"/>
        <v>0</v>
      </c>
      <c r="U75" s="394">
        <f t="shared" si="31"/>
        <v>0</v>
      </c>
      <c r="V75" s="394">
        <f t="shared" si="31"/>
        <v>0</v>
      </c>
      <c r="W75" s="394">
        <f t="shared" si="31"/>
        <v>0</v>
      </c>
      <c r="X75" s="394">
        <f t="shared" si="31"/>
        <v>0</v>
      </c>
      <c r="Y75" s="394">
        <f t="shared" si="31"/>
        <v>0</v>
      </c>
      <c r="Z75" s="394">
        <f t="shared" si="31"/>
        <v>0</v>
      </c>
      <c r="AA75" s="394">
        <f t="shared" si="31"/>
        <v>0</v>
      </c>
      <c r="AB75" s="394">
        <f t="shared" si="31"/>
        <v>0</v>
      </c>
      <c r="AC75" s="394">
        <f t="shared" si="31"/>
        <v>0</v>
      </c>
      <c r="AD75" s="394">
        <f t="shared" si="31"/>
        <v>0</v>
      </c>
      <c r="AE75" s="394">
        <f t="shared" si="31"/>
        <v>0</v>
      </c>
      <c r="AF75" s="394">
        <f t="shared" si="31"/>
        <v>0</v>
      </c>
    </row>
    <row r="76" spans="3:32" ht="15" customHeight="1">
      <c r="C76" s="396" t="s">
        <v>684</v>
      </c>
      <c r="D76" s="1477"/>
      <c r="E76" s="1478"/>
      <c r="F76" s="1477"/>
      <c r="G76" s="1477"/>
      <c r="H76" s="1477"/>
      <c r="I76" s="1478"/>
      <c r="J76" s="1477"/>
      <c r="K76" s="1477"/>
      <c r="L76" s="1477"/>
      <c r="M76" s="1478"/>
      <c r="N76" s="1477"/>
      <c r="O76" s="1477"/>
      <c r="P76" s="1479"/>
    </row>
    <row r="77" spans="3:32" ht="15" customHeight="1">
      <c r="C77" s="396" t="s">
        <v>685</v>
      </c>
      <c r="D77" s="1477"/>
      <c r="E77" s="1478"/>
      <c r="F77" s="1477"/>
      <c r="G77" s="1477"/>
      <c r="H77" s="1477"/>
      <c r="I77" s="1478"/>
      <c r="J77" s="1477"/>
      <c r="K77" s="1477"/>
      <c r="L77" s="1477"/>
      <c r="M77" s="1478"/>
      <c r="N77" s="1477"/>
      <c r="O77" s="1477"/>
      <c r="P77" s="1479"/>
    </row>
    <row r="78" spans="3:32" ht="15" customHeight="1">
      <c r="C78" s="1342" t="s">
        <v>635</v>
      </c>
      <c r="D78" s="1473"/>
      <c r="E78" s="1474">
        <f>SUM(E79:E84)</f>
        <v>1</v>
      </c>
      <c r="F78" s="1476">
        <f t="shared" ref="F78:P78" si="32">SUM(F79:F84)</f>
        <v>0.68891899999999995</v>
      </c>
      <c r="G78" s="1476">
        <f t="shared" si="32"/>
        <v>1.01</v>
      </c>
      <c r="H78" s="1476">
        <f t="shared" si="32"/>
        <v>6.9580818999999988E-2</v>
      </c>
      <c r="I78" s="1474">
        <f t="shared" si="32"/>
        <v>13</v>
      </c>
      <c r="J78" s="1473">
        <f t="shared" si="32"/>
        <v>37.576476999999997</v>
      </c>
      <c r="K78" s="1473">
        <f t="shared" si="32"/>
        <v>2.38</v>
      </c>
      <c r="L78" s="1473">
        <f t="shared" si="32"/>
        <v>4.8205054010000001</v>
      </c>
      <c r="M78" s="1474">
        <f t="shared" si="32"/>
        <v>1</v>
      </c>
      <c r="N78" s="1473">
        <f t="shared" si="32"/>
        <v>9.0147820000000003</v>
      </c>
      <c r="O78" s="1473">
        <f t="shared" si="32"/>
        <v>1.37</v>
      </c>
      <c r="P78" s="1475">
        <f t="shared" si="32"/>
        <v>1.2350251340000002</v>
      </c>
    </row>
    <row r="79" spans="3:32" ht="15" customHeight="1">
      <c r="C79" s="396" t="s">
        <v>699</v>
      </c>
      <c r="D79" s="1477"/>
      <c r="E79" s="1478"/>
      <c r="F79" s="1477"/>
      <c r="G79" s="1477"/>
      <c r="H79" s="1477"/>
      <c r="I79" s="1478">
        <v>9</v>
      </c>
      <c r="J79" s="1477">
        <f>28480034/10^6</f>
        <v>28.480034</v>
      </c>
      <c r="K79" s="1502">
        <v>1.37</v>
      </c>
      <c r="L79" s="1477">
        <f t="shared" ref="L79" si="33">J79*K79/10</f>
        <v>3.9017646580000003</v>
      </c>
      <c r="M79" s="1478">
        <v>1</v>
      </c>
      <c r="N79" s="1477">
        <v>9.0147820000000003</v>
      </c>
      <c r="O79" s="1502">
        <v>1.37</v>
      </c>
      <c r="P79" s="1477">
        <f t="shared" ref="P79" si="34">N79*O79/10</f>
        <v>1.2350251340000002</v>
      </c>
    </row>
    <row r="80" spans="3:32" ht="15" customHeight="1">
      <c r="C80" s="396" t="s">
        <v>700</v>
      </c>
      <c r="D80" s="1477"/>
      <c r="E80" s="1478"/>
      <c r="F80" s="1477"/>
      <c r="G80" s="1477"/>
      <c r="H80" s="1477"/>
      <c r="I80" s="1478"/>
      <c r="J80" s="1477"/>
      <c r="K80" s="1477"/>
      <c r="L80" s="1477"/>
      <c r="M80" s="1478"/>
      <c r="N80" s="1477"/>
      <c r="O80" s="1477"/>
      <c r="P80" s="1479"/>
    </row>
    <row r="81" spans="3:32" ht="15" customHeight="1">
      <c r="C81" s="396" t="s">
        <v>701</v>
      </c>
      <c r="D81" s="1477"/>
      <c r="E81" s="1478"/>
      <c r="F81" s="1477"/>
      <c r="G81" s="1477"/>
      <c r="H81" s="1477"/>
      <c r="I81" s="1478"/>
      <c r="J81" s="1477"/>
      <c r="K81" s="1477"/>
      <c r="L81" s="1477"/>
      <c r="M81" s="1478"/>
      <c r="N81" s="1477"/>
      <c r="O81" s="1477"/>
      <c r="P81" s="1479"/>
    </row>
    <row r="82" spans="3:32" ht="15" customHeight="1">
      <c r="C82" s="396" t="s">
        <v>592</v>
      </c>
      <c r="D82" s="1477"/>
      <c r="E82" s="1478"/>
      <c r="F82" s="1477"/>
      <c r="G82" s="1477"/>
      <c r="H82" s="1477"/>
      <c r="I82" s="1478"/>
      <c r="J82" s="1477"/>
      <c r="K82" s="1477"/>
      <c r="L82" s="1477"/>
      <c r="M82" s="1478"/>
      <c r="N82" s="1477"/>
      <c r="O82" s="1477"/>
      <c r="P82" s="1479"/>
    </row>
    <row r="83" spans="3:32" ht="15" customHeight="1">
      <c r="C83" s="396" t="s">
        <v>702</v>
      </c>
      <c r="D83" s="1477"/>
      <c r="E83" s="1478"/>
      <c r="F83" s="1477"/>
      <c r="G83" s="1477"/>
      <c r="H83" s="1477"/>
      <c r="I83" s="1478"/>
      <c r="J83" s="1477"/>
      <c r="K83" s="1477"/>
      <c r="L83" s="1477"/>
      <c r="M83" s="1478"/>
      <c r="N83" s="1477"/>
      <c r="O83" s="1477"/>
      <c r="P83" s="1479"/>
    </row>
    <row r="84" spans="3:32" ht="15" customHeight="1">
      <c r="C84" s="396" t="s">
        <v>703</v>
      </c>
      <c r="D84" s="1477"/>
      <c r="E84" s="1478">
        <v>1</v>
      </c>
      <c r="F84" s="1477">
        <f>688919/10^6</f>
        <v>0.68891899999999995</v>
      </c>
      <c r="G84" s="1502">
        <v>1.01</v>
      </c>
      <c r="H84" s="1477">
        <f t="shared" ref="H84" si="35">F84*G84/10</f>
        <v>6.9580818999999988E-2</v>
      </c>
      <c r="I84" s="1491">
        <v>4</v>
      </c>
      <c r="J84" s="1492">
        <f>9096443/10^6</f>
        <v>9.0964430000000007</v>
      </c>
      <c r="K84" s="1502">
        <v>1.01</v>
      </c>
      <c r="L84" s="1477">
        <f t="shared" ref="L84" si="36">J84*K84/10</f>
        <v>0.91874074300000008</v>
      </c>
      <c r="M84" s="1478"/>
      <c r="N84" s="1477"/>
      <c r="O84" s="1477"/>
      <c r="P84" s="1479"/>
    </row>
    <row r="85" spans="3:32" ht="15" customHeight="1">
      <c r="C85" s="1342" t="s">
        <v>636</v>
      </c>
      <c r="D85" s="1473"/>
      <c r="E85" s="1474">
        <f>SUM(E86:E89)</f>
        <v>0</v>
      </c>
      <c r="F85" s="1474">
        <f t="shared" ref="F85:P85" si="37">SUM(F86:F89)</f>
        <v>0</v>
      </c>
      <c r="G85" s="1474">
        <f t="shared" si="37"/>
        <v>0</v>
      </c>
      <c r="H85" s="1474">
        <f t="shared" si="37"/>
        <v>0</v>
      </c>
      <c r="I85" s="1474">
        <f t="shared" si="37"/>
        <v>0</v>
      </c>
      <c r="J85" s="1474">
        <f t="shared" si="37"/>
        <v>0</v>
      </c>
      <c r="K85" s="1474">
        <f t="shared" si="37"/>
        <v>0</v>
      </c>
      <c r="L85" s="1474">
        <f t="shared" si="37"/>
        <v>0</v>
      </c>
      <c r="M85" s="1474">
        <f t="shared" si="37"/>
        <v>0</v>
      </c>
      <c r="N85" s="1474">
        <f t="shared" si="37"/>
        <v>0</v>
      </c>
      <c r="O85" s="1474">
        <f t="shared" si="37"/>
        <v>0</v>
      </c>
      <c r="P85" s="1483">
        <f t="shared" si="37"/>
        <v>0</v>
      </c>
    </row>
    <row r="86" spans="3:32" ht="15" customHeight="1">
      <c r="C86" s="396" t="s">
        <v>708</v>
      </c>
      <c r="D86" s="1477"/>
      <c r="E86" s="1478"/>
      <c r="F86" s="1477"/>
      <c r="G86" s="1477"/>
      <c r="H86" s="1477"/>
      <c r="I86" s="1478"/>
      <c r="J86" s="1477"/>
      <c r="K86" s="1477"/>
      <c r="L86" s="1477"/>
      <c r="M86" s="1478"/>
      <c r="N86" s="1477"/>
      <c r="O86" s="1477"/>
      <c r="P86" s="1479"/>
    </row>
    <row r="87" spans="3:32" ht="15" customHeight="1">
      <c r="C87" s="396" t="s">
        <v>687</v>
      </c>
      <c r="D87" s="1477"/>
      <c r="E87" s="1478"/>
      <c r="F87" s="1477"/>
      <c r="G87" s="1477"/>
      <c r="H87" s="1477"/>
      <c r="I87" s="1478"/>
      <c r="J87" s="1477"/>
      <c r="K87" s="1477"/>
      <c r="L87" s="1477"/>
      <c r="M87" s="1478"/>
      <c r="N87" s="1477"/>
      <c r="O87" s="1477"/>
      <c r="P87" s="1479"/>
    </row>
    <row r="88" spans="3:32" ht="15" customHeight="1">
      <c r="C88" s="396" t="s">
        <v>688</v>
      </c>
      <c r="D88" s="1477"/>
      <c r="E88" s="1478"/>
      <c r="F88" s="1477"/>
      <c r="G88" s="1477"/>
      <c r="H88" s="1477"/>
      <c r="I88" s="1478"/>
      <c r="J88" s="1477"/>
      <c r="K88" s="1477"/>
      <c r="L88" s="1477"/>
      <c r="M88" s="1478"/>
      <c r="N88" s="1477"/>
      <c r="O88" s="1477"/>
      <c r="P88" s="1479"/>
    </row>
    <row r="89" spans="3:32" ht="15" customHeight="1">
      <c r="C89" s="396" t="s">
        <v>704</v>
      </c>
      <c r="D89" s="1477"/>
      <c r="E89" s="1478"/>
      <c r="F89" s="1477"/>
      <c r="G89" s="1477"/>
      <c r="H89" s="1477"/>
      <c r="I89" s="1478"/>
      <c r="J89" s="1477"/>
      <c r="K89" s="1477"/>
      <c r="L89" s="1477"/>
      <c r="M89" s="1478"/>
      <c r="N89" s="1477"/>
      <c r="O89" s="1477"/>
      <c r="P89" s="1479"/>
    </row>
    <row r="90" spans="3:32" ht="15" customHeight="1">
      <c r="C90" s="1342" t="s">
        <v>639</v>
      </c>
      <c r="D90" s="1473"/>
      <c r="E90" s="1474">
        <f t="shared" ref="E90:P90" si="38">SUM(E91:E92)</f>
        <v>0</v>
      </c>
      <c r="F90" s="1474">
        <f t="shared" si="38"/>
        <v>0</v>
      </c>
      <c r="G90" s="1474">
        <f t="shared" si="38"/>
        <v>0</v>
      </c>
      <c r="H90" s="1474">
        <f t="shared" si="38"/>
        <v>0</v>
      </c>
      <c r="I90" s="1474">
        <f t="shared" si="38"/>
        <v>0</v>
      </c>
      <c r="J90" s="1474">
        <f t="shared" si="38"/>
        <v>0</v>
      </c>
      <c r="K90" s="1474">
        <f t="shared" si="38"/>
        <v>0</v>
      </c>
      <c r="L90" s="1474">
        <f t="shared" si="38"/>
        <v>0</v>
      </c>
      <c r="M90" s="1474">
        <f t="shared" si="38"/>
        <v>0</v>
      </c>
      <c r="N90" s="1474">
        <f t="shared" si="38"/>
        <v>0</v>
      </c>
      <c r="O90" s="1474">
        <f t="shared" si="38"/>
        <v>0</v>
      </c>
      <c r="P90" s="1483">
        <f t="shared" si="38"/>
        <v>0</v>
      </c>
    </row>
    <row r="91" spans="3:32" ht="15" customHeight="1">
      <c r="C91" s="396" t="s">
        <v>692</v>
      </c>
      <c r="D91" s="1477"/>
      <c r="E91" s="1478"/>
      <c r="F91" s="1477"/>
      <c r="G91" s="1477"/>
      <c r="H91" s="1477"/>
      <c r="I91" s="1478"/>
      <c r="J91" s="1477"/>
      <c r="K91" s="1477"/>
      <c r="L91" s="1477"/>
      <c r="M91" s="1478"/>
      <c r="N91" s="1477"/>
      <c r="O91" s="1477"/>
      <c r="P91" s="1479"/>
      <c r="Q91" s="395">
        <f t="shared" ref="Q91:AF91" si="39">SUM(Q92:Q95)</f>
        <v>0</v>
      </c>
      <c r="R91" s="395">
        <f t="shared" si="39"/>
        <v>0</v>
      </c>
      <c r="S91" s="395">
        <f t="shared" si="39"/>
        <v>0</v>
      </c>
      <c r="T91" s="395">
        <f t="shared" si="39"/>
        <v>0</v>
      </c>
      <c r="U91" s="395">
        <f t="shared" si="39"/>
        <v>0</v>
      </c>
      <c r="V91" s="395">
        <f t="shared" si="39"/>
        <v>0</v>
      </c>
      <c r="W91" s="395">
        <f t="shared" si="39"/>
        <v>0</v>
      </c>
      <c r="X91" s="395">
        <f t="shared" si="39"/>
        <v>0</v>
      </c>
      <c r="Y91" s="395">
        <f t="shared" si="39"/>
        <v>0</v>
      </c>
      <c r="Z91" s="395">
        <f t="shared" si="39"/>
        <v>0</v>
      </c>
      <c r="AA91" s="395">
        <f t="shared" si="39"/>
        <v>0</v>
      </c>
      <c r="AB91" s="395">
        <f t="shared" si="39"/>
        <v>0</v>
      </c>
      <c r="AC91" s="395">
        <f t="shared" si="39"/>
        <v>0</v>
      </c>
      <c r="AD91" s="395">
        <f t="shared" si="39"/>
        <v>0</v>
      </c>
      <c r="AE91" s="395">
        <f t="shared" si="39"/>
        <v>0</v>
      </c>
      <c r="AF91" s="395">
        <f t="shared" si="39"/>
        <v>0</v>
      </c>
    </row>
    <row r="92" spans="3:32" ht="15" customHeight="1">
      <c r="C92" s="396" t="s">
        <v>707</v>
      </c>
      <c r="D92" s="1477"/>
      <c r="E92" s="1478"/>
      <c r="F92" s="1477"/>
      <c r="G92" s="1477"/>
      <c r="H92" s="1477"/>
      <c r="I92" s="1478"/>
      <c r="J92" s="1477"/>
      <c r="K92" s="1477"/>
      <c r="L92" s="1477"/>
      <c r="M92" s="1478"/>
      <c r="N92" s="1477"/>
      <c r="O92" s="1477"/>
      <c r="P92" s="1479"/>
    </row>
    <row r="93" spans="3:32" ht="15" customHeight="1">
      <c r="C93" s="1339" t="s">
        <v>919</v>
      </c>
      <c r="D93" s="1470"/>
      <c r="E93" s="1471">
        <f>E94+E95+E102+E109+E114</f>
        <v>0</v>
      </c>
      <c r="F93" s="1470">
        <f t="shared" ref="F93:H93" si="40">F94+F95+F102+F109+F114</f>
        <v>0</v>
      </c>
      <c r="G93" s="1470">
        <f t="shared" si="40"/>
        <v>0</v>
      </c>
      <c r="H93" s="1470">
        <f t="shared" si="40"/>
        <v>0</v>
      </c>
      <c r="I93" s="1471">
        <f>I94+I95+I102+I109+I114</f>
        <v>0</v>
      </c>
      <c r="J93" s="1470">
        <f t="shared" ref="J93:L93" si="41">J94+J95+J102+J109+J114</f>
        <v>0</v>
      </c>
      <c r="K93" s="1470">
        <f t="shared" si="41"/>
        <v>0</v>
      </c>
      <c r="L93" s="1470">
        <f t="shared" si="41"/>
        <v>0</v>
      </c>
      <c r="M93" s="1471">
        <f>M94+M95+M102+M109+M114</f>
        <v>0</v>
      </c>
      <c r="N93" s="1470">
        <f t="shared" ref="N93:P93" si="42">N94+N95+N102+N109+N114</f>
        <v>0</v>
      </c>
      <c r="O93" s="1470">
        <f t="shared" si="42"/>
        <v>0</v>
      </c>
      <c r="P93" s="1472">
        <f t="shared" si="42"/>
        <v>0</v>
      </c>
    </row>
    <row r="94" spans="3:32" ht="15" customHeight="1">
      <c r="C94" s="1342" t="s">
        <v>694</v>
      </c>
      <c r="D94" s="1473"/>
      <c r="E94" s="1474"/>
      <c r="F94" s="1473"/>
      <c r="G94" s="1473"/>
      <c r="H94" s="1473"/>
      <c r="I94" s="1474"/>
      <c r="J94" s="1473">
        <v>0</v>
      </c>
      <c r="K94" s="1473"/>
      <c r="L94" s="1473">
        <f t="shared" ref="L94" si="43">J94*K94/10</f>
        <v>0</v>
      </c>
      <c r="M94" s="1474"/>
      <c r="N94" s="1473">
        <v>0</v>
      </c>
      <c r="O94" s="1473"/>
      <c r="P94" s="1475">
        <f t="shared" ref="P94" si="44">N94*O94/10</f>
        <v>0</v>
      </c>
    </row>
    <row r="95" spans="3:32" ht="15" customHeight="1">
      <c r="C95" s="1342" t="s">
        <v>695</v>
      </c>
      <c r="D95" s="1473"/>
      <c r="E95" s="1474">
        <f>SUM(E96:E101)</f>
        <v>0</v>
      </c>
      <c r="F95" s="1476">
        <f t="shared" ref="F95:P95" si="45">SUM(F96:F101)</f>
        <v>0</v>
      </c>
      <c r="G95" s="1476">
        <f t="shared" si="45"/>
        <v>0</v>
      </c>
      <c r="H95" s="1476">
        <f t="shared" si="45"/>
        <v>0</v>
      </c>
      <c r="I95" s="1474">
        <f t="shared" si="45"/>
        <v>0</v>
      </c>
      <c r="J95" s="1473">
        <f t="shared" si="45"/>
        <v>0</v>
      </c>
      <c r="K95" s="1473">
        <f t="shared" si="45"/>
        <v>0</v>
      </c>
      <c r="L95" s="1473">
        <f t="shared" si="45"/>
        <v>0</v>
      </c>
      <c r="M95" s="1474">
        <f t="shared" si="45"/>
        <v>0</v>
      </c>
      <c r="N95" s="1473">
        <f t="shared" si="45"/>
        <v>0</v>
      </c>
      <c r="O95" s="1473">
        <f t="shared" si="45"/>
        <v>0</v>
      </c>
      <c r="P95" s="1475">
        <f t="shared" si="45"/>
        <v>0</v>
      </c>
    </row>
    <row r="96" spans="3:32" ht="15" customHeight="1">
      <c r="C96" s="396" t="s">
        <v>696</v>
      </c>
      <c r="D96" s="1477"/>
      <c r="E96" s="1478"/>
      <c r="F96" s="1477"/>
      <c r="G96" s="1477"/>
      <c r="H96" s="1477"/>
      <c r="I96" s="1478"/>
      <c r="J96" s="1477"/>
      <c r="K96" s="1477"/>
      <c r="L96" s="1477"/>
      <c r="M96" s="1478"/>
      <c r="N96" s="1477"/>
      <c r="O96" s="1477"/>
      <c r="P96" s="1477"/>
    </row>
    <row r="97" spans="3:32" ht="15" customHeight="1">
      <c r="C97" s="396" t="s">
        <v>697</v>
      </c>
      <c r="D97" s="1477"/>
      <c r="E97" s="1478"/>
      <c r="F97" s="1477"/>
      <c r="G97" s="1477"/>
      <c r="H97" s="1477"/>
      <c r="I97" s="1478"/>
      <c r="J97" s="1477"/>
      <c r="K97" s="1477"/>
      <c r="L97" s="1477"/>
      <c r="M97" s="1478"/>
      <c r="N97" s="1477"/>
      <c r="O97" s="1477"/>
      <c r="P97" s="1479"/>
    </row>
    <row r="98" spans="3:32" ht="15" customHeight="1">
      <c r="C98" s="396" t="s">
        <v>682</v>
      </c>
      <c r="D98" s="1477"/>
      <c r="E98" s="1478"/>
      <c r="F98" s="1477"/>
      <c r="G98" s="1477"/>
      <c r="H98" s="1477"/>
      <c r="I98" s="1478"/>
      <c r="J98" s="1477"/>
      <c r="K98" s="1477"/>
      <c r="L98" s="1477"/>
      <c r="M98" s="1478"/>
      <c r="N98" s="1477"/>
      <c r="O98" s="1477"/>
      <c r="P98" s="1479"/>
    </row>
    <row r="99" spans="3:32" ht="15" customHeight="1">
      <c r="C99" s="396" t="s">
        <v>683</v>
      </c>
      <c r="D99" s="1477"/>
      <c r="E99" s="1478"/>
      <c r="F99" s="1477"/>
      <c r="G99" s="1477"/>
      <c r="H99" s="1477"/>
      <c r="I99" s="1478"/>
      <c r="J99" s="1477"/>
      <c r="K99" s="1477"/>
      <c r="L99" s="1477"/>
      <c r="M99" s="1478"/>
      <c r="N99" s="1477"/>
      <c r="O99" s="1477"/>
      <c r="P99" s="1479"/>
    </row>
    <row r="100" spans="3:32" ht="15" customHeight="1">
      <c r="C100" s="396" t="s">
        <v>684</v>
      </c>
      <c r="D100" s="1477"/>
      <c r="E100" s="1478"/>
      <c r="F100" s="1477"/>
      <c r="G100" s="1477"/>
      <c r="H100" s="1477"/>
      <c r="I100" s="1478"/>
      <c r="J100" s="1477"/>
      <c r="K100" s="1477"/>
      <c r="L100" s="1477"/>
      <c r="M100" s="1478"/>
      <c r="N100" s="1477"/>
      <c r="O100" s="1477"/>
      <c r="P100" s="1479"/>
    </row>
    <row r="101" spans="3:32" ht="15" customHeight="1">
      <c r="C101" s="396" t="s">
        <v>685</v>
      </c>
      <c r="D101" s="1477"/>
      <c r="E101" s="1478"/>
      <c r="F101" s="1477"/>
      <c r="G101" s="1477"/>
      <c r="H101" s="1477"/>
      <c r="I101" s="1478"/>
      <c r="J101" s="1477"/>
      <c r="K101" s="1477"/>
      <c r="L101" s="1477"/>
      <c r="M101" s="1478"/>
      <c r="N101" s="1477"/>
      <c r="O101" s="1477"/>
      <c r="P101" s="1479"/>
    </row>
    <row r="102" spans="3:32" ht="15" customHeight="1">
      <c r="C102" s="1342" t="s">
        <v>635</v>
      </c>
      <c r="D102" s="1473"/>
      <c r="E102" s="1474">
        <f>SUM(E103:E108)</f>
        <v>0</v>
      </c>
      <c r="F102" s="1476">
        <f t="shared" ref="F102:P102" si="46">SUM(F103:F108)</f>
        <v>0</v>
      </c>
      <c r="G102" s="1476">
        <f t="shared" si="46"/>
        <v>0</v>
      </c>
      <c r="H102" s="1476">
        <f t="shared" si="46"/>
        <v>0</v>
      </c>
      <c r="I102" s="1474">
        <f t="shared" si="46"/>
        <v>0</v>
      </c>
      <c r="J102" s="1473">
        <f t="shared" si="46"/>
        <v>0</v>
      </c>
      <c r="K102" s="1473">
        <f t="shared" si="46"/>
        <v>0</v>
      </c>
      <c r="L102" s="1473">
        <f t="shared" si="46"/>
        <v>0</v>
      </c>
      <c r="M102" s="1474">
        <f t="shared" si="46"/>
        <v>0</v>
      </c>
      <c r="N102" s="1473">
        <f t="shared" si="46"/>
        <v>0</v>
      </c>
      <c r="O102" s="1473">
        <f t="shared" si="46"/>
        <v>0</v>
      </c>
      <c r="P102" s="1475">
        <f t="shared" si="46"/>
        <v>0</v>
      </c>
    </row>
    <row r="103" spans="3:32" ht="15" customHeight="1" thickBot="1">
      <c r="C103" s="396" t="s">
        <v>699</v>
      </c>
      <c r="D103" s="1477"/>
      <c r="E103" s="1478"/>
      <c r="F103" s="1477"/>
      <c r="G103" s="1477"/>
      <c r="H103" s="1477"/>
      <c r="I103" s="1478"/>
      <c r="J103" s="1477"/>
      <c r="K103" s="1477"/>
      <c r="L103" s="1477"/>
      <c r="M103" s="1478"/>
      <c r="N103" s="1477"/>
      <c r="O103" s="1477"/>
      <c r="P103" s="1479"/>
      <c r="Q103" s="398">
        <f t="shared" ref="Q103:AF103" si="47">Q16+Q102</f>
        <v>0</v>
      </c>
      <c r="R103" s="398">
        <f t="shared" si="47"/>
        <v>0</v>
      </c>
      <c r="S103" s="398">
        <f t="shared" si="47"/>
        <v>0</v>
      </c>
      <c r="T103" s="398">
        <f t="shared" si="47"/>
        <v>0</v>
      </c>
      <c r="U103" s="398">
        <f t="shared" si="47"/>
        <v>0</v>
      </c>
      <c r="V103" s="398">
        <f t="shared" si="47"/>
        <v>0</v>
      </c>
      <c r="W103" s="398">
        <f t="shared" si="47"/>
        <v>0</v>
      </c>
      <c r="X103" s="398">
        <f t="shared" si="47"/>
        <v>0</v>
      </c>
      <c r="Y103" s="398">
        <f t="shared" si="47"/>
        <v>0</v>
      </c>
      <c r="Z103" s="398">
        <f t="shared" si="47"/>
        <v>0</v>
      </c>
      <c r="AA103" s="398">
        <f t="shared" si="47"/>
        <v>0</v>
      </c>
      <c r="AB103" s="398">
        <f t="shared" si="47"/>
        <v>0</v>
      </c>
      <c r="AC103" s="398">
        <f t="shared" si="47"/>
        <v>0</v>
      </c>
      <c r="AD103" s="398">
        <f t="shared" si="47"/>
        <v>0</v>
      </c>
      <c r="AE103" s="398">
        <f t="shared" si="47"/>
        <v>0</v>
      </c>
      <c r="AF103" s="398">
        <f t="shared" si="47"/>
        <v>0</v>
      </c>
    </row>
    <row r="104" spans="3:32" ht="15" customHeight="1">
      <c r="C104" s="396" t="s">
        <v>700</v>
      </c>
      <c r="D104" s="1477"/>
      <c r="E104" s="1478"/>
      <c r="F104" s="1477"/>
      <c r="G104" s="1477"/>
      <c r="H104" s="1477"/>
      <c r="I104" s="1478"/>
      <c r="J104" s="1477"/>
      <c r="K104" s="1477"/>
      <c r="L104" s="1477"/>
      <c r="M104" s="1478"/>
      <c r="N104" s="1477"/>
      <c r="O104" s="1477"/>
      <c r="P104" s="1479"/>
      <c r="Q104" s="399"/>
      <c r="R104" s="399"/>
      <c r="S104" s="399"/>
      <c r="T104" s="399"/>
      <c r="U104" s="399"/>
      <c r="V104" s="399"/>
      <c r="W104" s="399"/>
      <c r="X104" s="399"/>
      <c r="Y104" s="399"/>
      <c r="Z104" s="399"/>
      <c r="AA104" s="399"/>
      <c r="AB104" s="399"/>
      <c r="AC104" s="399"/>
      <c r="AD104" s="399"/>
      <c r="AE104" s="399"/>
      <c r="AF104" s="399"/>
    </row>
    <row r="105" spans="3:32" ht="15" customHeight="1">
      <c r="C105" s="396" t="s">
        <v>701</v>
      </c>
      <c r="D105" s="1477"/>
      <c r="E105" s="1478"/>
      <c r="F105" s="1477"/>
      <c r="G105" s="1477"/>
      <c r="H105" s="1477"/>
      <c r="I105" s="1478"/>
      <c r="J105" s="1477"/>
      <c r="K105" s="1477"/>
      <c r="L105" s="1477"/>
      <c r="M105" s="1478"/>
      <c r="N105" s="1477"/>
      <c r="O105" s="1477"/>
      <c r="P105" s="1479"/>
      <c r="Q105" s="399"/>
      <c r="R105" s="399"/>
      <c r="S105" s="399"/>
      <c r="T105" s="399"/>
      <c r="U105" s="399"/>
      <c r="V105" s="399"/>
      <c r="W105" s="399"/>
      <c r="X105" s="399"/>
      <c r="Y105" s="399"/>
      <c r="Z105" s="399"/>
      <c r="AA105" s="399"/>
      <c r="AB105" s="399"/>
      <c r="AC105" s="399"/>
      <c r="AD105" s="399"/>
      <c r="AE105" s="399"/>
      <c r="AF105" s="399"/>
    </row>
    <row r="106" spans="3:32" ht="15" customHeight="1">
      <c r="C106" s="396" t="s">
        <v>592</v>
      </c>
      <c r="D106" s="1477"/>
      <c r="E106" s="1478"/>
      <c r="F106" s="1477"/>
      <c r="G106" s="1477"/>
      <c r="H106" s="1477"/>
      <c r="I106" s="1478"/>
      <c r="J106" s="1477"/>
      <c r="K106" s="1477"/>
      <c r="L106" s="1477"/>
      <c r="M106" s="1478"/>
      <c r="N106" s="1477"/>
      <c r="O106" s="1477"/>
      <c r="P106" s="1479"/>
    </row>
    <row r="107" spans="3:32" ht="15" customHeight="1">
      <c r="C107" s="396" t="s">
        <v>702</v>
      </c>
      <c r="D107" s="1477"/>
      <c r="E107" s="1478"/>
      <c r="F107" s="1477"/>
      <c r="G107" s="1477"/>
      <c r="H107" s="1477"/>
      <c r="I107" s="1478"/>
      <c r="J107" s="1477"/>
      <c r="K107" s="1477"/>
      <c r="L107" s="1477"/>
      <c r="M107" s="1478"/>
      <c r="N107" s="1477"/>
      <c r="O107" s="1477"/>
      <c r="P107" s="1479"/>
    </row>
    <row r="108" spans="3:32" ht="15" customHeight="1">
      <c r="C108" s="396" t="s">
        <v>703</v>
      </c>
      <c r="D108" s="1477"/>
      <c r="E108" s="1478"/>
      <c r="F108" s="1477"/>
      <c r="G108" s="1477"/>
      <c r="H108" s="1477"/>
      <c r="I108" s="1478"/>
      <c r="J108" s="1477"/>
      <c r="K108" s="1477"/>
      <c r="L108" s="1477"/>
      <c r="M108" s="1478"/>
      <c r="N108" s="1477"/>
      <c r="O108" s="1477"/>
      <c r="P108" s="1479"/>
    </row>
    <row r="109" spans="3:32" ht="15" customHeight="1">
      <c r="C109" s="1342" t="s">
        <v>636</v>
      </c>
      <c r="D109" s="1473"/>
      <c r="E109" s="1474">
        <f>SUM(E110:E113)</f>
        <v>0</v>
      </c>
      <c r="F109" s="1474">
        <f t="shared" ref="F109:P109" si="48">SUM(F110:F113)</f>
        <v>0</v>
      </c>
      <c r="G109" s="1474">
        <f t="shared" si="48"/>
        <v>0</v>
      </c>
      <c r="H109" s="1474">
        <f t="shared" si="48"/>
        <v>0</v>
      </c>
      <c r="I109" s="1474">
        <f t="shared" si="48"/>
        <v>0</v>
      </c>
      <c r="J109" s="1474">
        <f t="shared" si="48"/>
        <v>0</v>
      </c>
      <c r="K109" s="1474">
        <f t="shared" si="48"/>
        <v>0</v>
      </c>
      <c r="L109" s="1474">
        <f t="shared" si="48"/>
        <v>0</v>
      </c>
      <c r="M109" s="1474">
        <f t="shared" si="48"/>
        <v>0</v>
      </c>
      <c r="N109" s="1474">
        <f t="shared" si="48"/>
        <v>0</v>
      </c>
      <c r="O109" s="1474">
        <f t="shared" si="48"/>
        <v>0</v>
      </c>
      <c r="P109" s="1483">
        <f t="shared" si="48"/>
        <v>0</v>
      </c>
    </row>
    <row r="110" spans="3:32" ht="15" customHeight="1">
      <c r="C110" s="396" t="s">
        <v>708</v>
      </c>
      <c r="D110" s="1477"/>
      <c r="E110" s="1478"/>
      <c r="F110" s="1477"/>
      <c r="G110" s="1477"/>
      <c r="H110" s="1477"/>
      <c r="I110" s="1478"/>
      <c r="J110" s="1477"/>
      <c r="K110" s="1477"/>
      <c r="L110" s="1477"/>
      <c r="M110" s="1478"/>
      <c r="N110" s="1477"/>
      <c r="O110" s="1477"/>
      <c r="P110" s="1479"/>
    </row>
    <row r="111" spans="3:32" ht="15" customHeight="1">
      <c r="C111" s="396" t="s">
        <v>687</v>
      </c>
      <c r="D111" s="1477"/>
      <c r="E111" s="1478"/>
      <c r="F111" s="1477"/>
      <c r="G111" s="1477"/>
      <c r="H111" s="1477"/>
      <c r="I111" s="1478"/>
      <c r="J111" s="1477"/>
      <c r="K111" s="1477"/>
      <c r="L111" s="1477"/>
      <c r="M111" s="1478"/>
      <c r="N111" s="1477"/>
      <c r="O111" s="1477"/>
      <c r="P111" s="1479"/>
    </row>
    <row r="112" spans="3:32" ht="15" customHeight="1">
      <c r="C112" s="396" t="s">
        <v>688</v>
      </c>
      <c r="D112" s="1477"/>
      <c r="E112" s="1478"/>
      <c r="F112" s="1477"/>
      <c r="G112" s="1477"/>
      <c r="H112" s="1477"/>
      <c r="I112" s="1478"/>
      <c r="J112" s="1477"/>
      <c r="K112" s="1477"/>
      <c r="L112" s="1477"/>
      <c r="M112" s="1478"/>
      <c r="N112" s="1477"/>
      <c r="O112" s="1477"/>
      <c r="P112" s="1479"/>
    </row>
    <row r="113" spans="3:16" ht="15" customHeight="1">
      <c r="C113" s="396" t="s">
        <v>704</v>
      </c>
      <c r="D113" s="1477"/>
      <c r="E113" s="1478"/>
      <c r="F113" s="1477"/>
      <c r="G113" s="1477"/>
      <c r="H113" s="1477"/>
      <c r="I113" s="1478"/>
      <c r="J113" s="1477"/>
      <c r="K113" s="1477"/>
      <c r="L113" s="1477"/>
      <c r="M113" s="1478"/>
      <c r="N113" s="1477"/>
      <c r="O113" s="1477"/>
      <c r="P113" s="1479"/>
    </row>
    <row r="114" spans="3:16" ht="15" customHeight="1">
      <c r="C114" s="1342" t="s">
        <v>639</v>
      </c>
      <c r="D114" s="1473"/>
      <c r="E114" s="1474">
        <f t="shared" ref="E114:P114" si="49">SUM(E115:E116)</f>
        <v>0</v>
      </c>
      <c r="F114" s="1474">
        <f t="shared" si="49"/>
        <v>0</v>
      </c>
      <c r="G114" s="1474">
        <f t="shared" si="49"/>
        <v>0</v>
      </c>
      <c r="H114" s="1474">
        <f t="shared" si="49"/>
        <v>0</v>
      </c>
      <c r="I114" s="1474">
        <f t="shared" si="49"/>
        <v>0</v>
      </c>
      <c r="J114" s="1474">
        <f t="shared" si="49"/>
        <v>0</v>
      </c>
      <c r="K114" s="1474">
        <f t="shared" si="49"/>
        <v>0</v>
      </c>
      <c r="L114" s="1474">
        <f t="shared" si="49"/>
        <v>0</v>
      </c>
      <c r="M114" s="1474">
        <f t="shared" si="49"/>
        <v>0</v>
      </c>
      <c r="N114" s="1474">
        <f t="shared" si="49"/>
        <v>0</v>
      </c>
      <c r="O114" s="1474">
        <f t="shared" si="49"/>
        <v>0</v>
      </c>
      <c r="P114" s="1483">
        <f t="shared" si="49"/>
        <v>0</v>
      </c>
    </row>
    <row r="115" spans="3:16" ht="15" customHeight="1">
      <c r="C115" s="396" t="s">
        <v>692</v>
      </c>
      <c r="D115" s="1477"/>
      <c r="E115" s="1478"/>
      <c r="F115" s="1477"/>
      <c r="G115" s="1477"/>
      <c r="H115" s="1477"/>
      <c r="I115" s="1478"/>
      <c r="J115" s="1477"/>
      <c r="K115" s="1477"/>
      <c r="L115" s="1477"/>
      <c r="M115" s="1478"/>
      <c r="N115" s="1477"/>
      <c r="O115" s="1477"/>
      <c r="P115" s="1479"/>
    </row>
    <row r="116" spans="3:16" ht="15" customHeight="1">
      <c r="C116" s="396" t="s">
        <v>707</v>
      </c>
      <c r="D116" s="1477"/>
      <c r="E116" s="1478"/>
      <c r="F116" s="1477"/>
      <c r="G116" s="1477"/>
      <c r="H116" s="1477"/>
      <c r="I116" s="1478"/>
      <c r="J116" s="1477"/>
      <c r="K116" s="1477"/>
      <c r="L116" s="1477"/>
      <c r="M116" s="1478"/>
      <c r="N116" s="1477"/>
      <c r="O116" s="1477"/>
      <c r="P116" s="1479"/>
    </row>
    <row r="117" spans="3:16" ht="15" customHeight="1">
      <c r="C117" s="1331" t="s">
        <v>643</v>
      </c>
      <c r="D117" s="1493"/>
      <c r="E117" s="1494">
        <f>E16+E19+E45+E69</f>
        <v>21</v>
      </c>
      <c r="F117" s="1495">
        <f>F16+F19+F45+F69</f>
        <v>23.484533999999996</v>
      </c>
      <c r="G117" s="1493"/>
      <c r="H117" s="1495">
        <f>H16+H19+H45+H69</f>
        <v>3.6343692519999995</v>
      </c>
      <c r="I117" s="1494">
        <f>I16+I19+I45+I69</f>
        <v>49</v>
      </c>
      <c r="J117" s="1495">
        <f>J16+J19+J45+J69</f>
        <v>132.90339999999998</v>
      </c>
      <c r="K117" s="1493"/>
      <c r="L117" s="1495">
        <f>L16+L19+L45+L69</f>
        <v>18.828647336</v>
      </c>
      <c r="M117" s="1494">
        <f>M16+M19+M45+M69</f>
        <v>1</v>
      </c>
      <c r="N117" s="1495">
        <f>N16+N19+N45+N69</f>
        <v>9.0147820000000003</v>
      </c>
      <c r="O117" s="1495"/>
      <c r="P117" s="1496">
        <f>P16+P19+P45+P69</f>
        <v>1.2350251340000002</v>
      </c>
    </row>
    <row r="118" spans="3:16" ht="15" customHeight="1" thickBot="1">
      <c r="C118" s="1363" t="s">
        <v>644</v>
      </c>
      <c r="D118" s="1497"/>
      <c r="E118" s="1498">
        <f>E16+E117</f>
        <v>21</v>
      </c>
      <c r="F118" s="1499">
        <f>F16+F117</f>
        <v>23.484533999999996</v>
      </c>
      <c r="G118" s="1497"/>
      <c r="H118" s="1499">
        <f>H16+H117</f>
        <v>3.6343692519999995</v>
      </c>
      <c r="I118" s="1498">
        <f>I16+I117</f>
        <v>49</v>
      </c>
      <c r="J118" s="1499">
        <f>J16+J117</f>
        <v>132.90339999999998</v>
      </c>
      <c r="K118" s="1497"/>
      <c r="L118" s="1499">
        <f>L16+L117</f>
        <v>18.828647336</v>
      </c>
      <c r="M118" s="1498">
        <f>M16+M117</f>
        <v>1</v>
      </c>
      <c r="N118" s="1499">
        <f>N16+N117</f>
        <v>9.0147820000000003</v>
      </c>
      <c r="O118" s="1499"/>
      <c r="P118" s="1500">
        <f>P16+P117</f>
        <v>1.2350251340000002</v>
      </c>
    </row>
    <row r="120" spans="3:16" ht="15.75" hidden="1" customHeight="1"/>
    <row r="121" spans="3:16" ht="15.75" hidden="1" customHeight="1"/>
    <row r="122" spans="3:16" ht="15.75" hidden="1" customHeight="1" thickBot="1">
      <c r="C122" s="385" t="s">
        <v>974</v>
      </c>
    </row>
    <row r="123" spans="3:16" ht="15.75" hidden="1" customHeight="1">
      <c r="C123" s="1315"/>
      <c r="D123" s="1316"/>
      <c r="E123" s="1839" t="s">
        <v>424</v>
      </c>
      <c r="F123" s="1839"/>
      <c r="G123" s="1839"/>
      <c r="H123" s="1839"/>
      <c r="I123" s="1839" t="s">
        <v>425</v>
      </c>
      <c r="J123" s="1839"/>
      <c r="K123" s="1839"/>
      <c r="L123" s="1839"/>
      <c r="M123" s="1839" t="s">
        <v>426</v>
      </c>
      <c r="N123" s="1839"/>
      <c r="O123" s="1839"/>
      <c r="P123" s="1835"/>
    </row>
    <row r="124" spans="3:16" ht="15.75" hidden="1" customHeight="1">
      <c r="C124" s="1317"/>
      <c r="D124" s="1318"/>
      <c r="E124" s="1319" t="s">
        <v>427</v>
      </c>
      <c r="F124" s="1915" t="s">
        <v>899</v>
      </c>
      <c r="G124" s="1915"/>
      <c r="H124" s="1915"/>
      <c r="I124" s="1319" t="s">
        <v>427</v>
      </c>
      <c r="J124" s="1915" t="s">
        <v>900</v>
      </c>
      <c r="K124" s="1915"/>
      <c r="L124" s="1915"/>
      <c r="M124" s="1319" t="s">
        <v>427</v>
      </c>
      <c r="N124" s="1915" t="s">
        <v>901</v>
      </c>
      <c r="O124" s="1915"/>
      <c r="P124" s="1916"/>
    </row>
    <row r="125" spans="3:16" ht="15.75" hidden="1" customHeight="1">
      <c r="C125" s="1320" t="s">
        <v>175</v>
      </c>
      <c r="D125" s="1077" t="s">
        <v>140</v>
      </c>
      <c r="E125" s="389" t="s">
        <v>432</v>
      </c>
      <c r="F125" s="389" t="s">
        <v>375</v>
      </c>
      <c r="G125" s="389" t="s">
        <v>374</v>
      </c>
      <c r="H125" s="389" t="s">
        <v>373</v>
      </c>
      <c r="I125" s="389" t="s">
        <v>432</v>
      </c>
      <c r="J125" s="389" t="s">
        <v>375</v>
      </c>
      <c r="K125" s="389" t="s">
        <v>374</v>
      </c>
      <c r="L125" s="389" t="s">
        <v>373</v>
      </c>
      <c r="M125" s="389" t="s">
        <v>432</v>
      </c>
      <c r="N125" s="389" t="s">
        <v>375</v>
      </c>
      <c r="O125" s="389" t="s">
        <v>374</v>
      </c>
      <c r="P125" s="1321" t="s">
        <v>373</v>
      </c>
    </row>
    <row r="126" spans="3:16" ht="15.75" hidden="1" customHeight="1">
      <c r="C126" s="1322" t="s">
        <v>598</v>
      </c>
      <c r="D126" s="1323"/>
      <c r="E126" s="1324"/>
      <c r="F126" s="1323"/>
      <c r="G126" s="1323"/>
      <c r="H126" s="1323"/>
      <c r="I126" s="1324"/>
      <c r="J126" s="1324"/>
      <c r="K126" s="1323"/>
      <c r="L126" s="1323"/>
      <c r="M126" s="1324"/>
      <c r="N126" s="1323"/>
      <c r="O126" s="1323"/>
      <c r="P126" s="1325"/>
    </row>
    <row r="127" spans="3:16" ht="15.75" hidden="1" customHeight="1">
      <c r="C127" s="1326" t="s">
        <v>591</v>
      </c>
      <c r="D127" s="401"/>
      <c r="E127" s="1327"/>
      <c r="F127" s="1328"/>
      <c r="G127" s="1329"/>
      <c r="H127" s="1329"/>
      <c r="I127" s="1327"/>
      <c r="J127" s="1327"/>
      <c r="K127" s="1328"/>
      <c r="L127" s="1328"/>
      <c r="M127" s="1327"/>
      <c r="N127" s="1328"/>
      <c r="O127" s="1329"/>
      <c r="P127" s="1330"/>
    </row>
    <row r="128" spans="3:16" ht="15.75" hidden="1" customHeight="1">
      <c r="C128" s="1326" t="s">
        <v>599</v>
      </c>
      <c r="D128" s="401"/>
      <c r="E128" s="1327"/>
      <c r="F128" s="1328"/>
      <c r="G128" s="1329"/>
      <c r="H128" s="1329"/>
      <c r="I128" s="1327"/>
      <c r="J128" s="1327"/>
      <c r="K128" s="1328"/>
      <c r="L128" s="1328"/>
      <c r="M128" s="1327"/>
      <c r="N128" s="1328"/>
      <c r="O128" s="1329"/>
      <c r="P128" s="1330"/>
    </row>
    <row r="129" spans="3:16" ht="15.75" hidden="1" customHeight="1">
      <c r="C129" s="1326" t="s">
        <v>596</v>
      </c>
      <c r="D129" s="401"/>
      <c r="E129" s="1327"/>
      <c r="F129" s="1328"/>
      <c r="G129" s="1329"/>
      <c r="H129" s="1329"/>
      <c r="I129" s="1327"/>
      <c r="J129" s="1327"/>
      <c r="K129" s="1328"/>
      <c r="L129" s="1328"/>
      <c r="M129" s="1327"/>
      <c r="N129" s="1328"/>
      <c r="O129" s="1329"/>
      <c r="P129" s="1330"/>
    </row>
    <row r="130" spans="3:16" ht="15.75" hidden="1" customHeight="1">
      <c r="C130" s="1326" t="s">
        <v>632</v>
      </c>
      <c r="D130" s="401"/>
      <c r="E130" s="1327"/>
      <c r="F130" s="1328"/>
      <c r="G130" s="1329"/>
      <c r="H130" s="1329"/>
      <c r="I130" s="1327"/>
      <c r="J130" s="1327"/>
      <c r="K130" s="1328"/>
      <c r="L130" s="1328"/>
      <c r="M130" s="1327"/>
      <c r="N130" s="1328"/>
      <c r="O130" s="1329"/>
      <c r="P130" s="1330"/>
    </row>
    <row r="131" spans="3:16" ht="15.75" hidden="1" customHeight="1">
      <c r="C131" s="1326" t="s">
        <v>597</v>
      </c>
      <c r="D131" s="401"/>
      <c r="E131" s="1327"/>
      <c r="F131" s="1328"/>
      <c r="G131" s="1329"/>
      <c r="H131" s="1329"/>
      <c r="I131" s="1327"/>
      <c r="J131" s="1327"/>
      <c r="K131" s="1328"/>
      <c r="L131" s="1328"/>
      <c r="M131" s="1327"/>
      <c r="N131" s="1328"/>
      <c r="O131" s="1329"/>
      <c r="P131" s="1330"/>
    </row>
    <row r="132" spans="3:16" ht="15.75" hidden="1" customHeight="1">
      <c r="C132" s="1331" t="s">
        <v>600</v>
      </c>
      <c r="D132" s="1332"/>
      <c r="E132" s="1332">
        <f>E127+E128+E129</f>
        <v>0</v>
      </c>
      <c r="F132" s="1332">
        <f t="shared" ref="F132:P132" si="50">F127+F128+F129</f>
        <v>0</v>
      </c>
      <c r="G132" s="1332">
        <f t="shared" si="50"/>
        <v>0</v>
      </c>
      <c r="H132" s="1332">
        <f t="shared" si="50"/>
        <v>0</v>
      </c>
      <c r="I132" s="1332">
        <f t="shared" si="50"/>
        <v>0</v>
      </c>
      <c r="J132" s="1332">
        <f t="shared" si="50"/>
        <v>0</v>
      </c>
      <c r="K132" s="1332">
        <f t="shared" si="50"/>
        <v>0</v>
      </c>
      <c r="L132" s="1332">
        <f t="shared" si="50"/>
        <v>0</v>
      </c>
      <c r="M132" s="1332">
        <f t="shared" si="50"/>
        <v>0</v>
      </c>
      <c r="N132" s="1332">
        <f t="shared" si="50"/>
        <v>0</v>
      </c>
      <c r="O132" s="1332">
        <f t="shared" si="50"/>
        <v>0</v>
      </c>
      <c r="P132" s="1333">
        <f t="shared" si="50"/>
        <v>0</v>
      </c>
    </row>
    <row r="133" spans="3:16" ht="15.75" hidden="1" customHeight="1">
      <c r="C133" s="392"/>
      <c r="D133" s="401"/>
      <c r="E133" s="1327"/>
      <c r="F133" s="1328"/>
      <c r="G133" s="1329"/>
      <c r="H133" s="1329"/>
      <c r="I133" s="1327"/>
      <c r="J133" s="1327"/>
      <c r="K133" s="1328"/>
      <c r="L133" s="1328"/>
      <c r="M133" s="1327"/>
      <c r="N133" s="1328"/>
      <c r="O133" s="1329"/>
      <c r="P133" s="1330"/>
    </row>
    <row r="134" spans="3:16" ht="15.75" hidden="1" customHeight="1">
      <c r="C134" s="1334" t="s">
        <v>601</v>
      </c>
      <c r="D134" s="1335"/>
      <c r="E134" s="1336"/>
      <c r="F134" s="1337"/>
      <c r="G134" s="1335"/>
      <c r="H134" s="1335"/>
      <c r="I134" s="1336"/>
      <c r="J134" s="1336"/>
      <c r="K134" s="1337"/>
      <c r="L134" s="1337"/>
      <c r="M134" s="1336"/>
      <c r="N134" s="1337"/>
      <c r="O134" s="1335"/>
      <c r="P134" s="1338"/>
    </row>
    <row r="135" spans="3:16" ht="15.75" hidden="1" customHeight="1">
      <c r="C135" s="1339" t="s">
        <v>602</v>
      </c>
      <c r="D135" s="1340"/>
      <c r="E135" s="394">
        <f t="shared" ref="E135:P135" si="51">E136+E137+E144+E151+E156+E159</f>
        <v>0</v>
      </c>
      <c r="F135" s="1340">
        <f t="shared" si="51"/>
        <v>0</v>
      </c>
      <c r="G135" s="1340">
        <f t="shared" si="51"/>
        <v>0</v>
      </c>
      <c r="H135" s="1340">
        <f t="shared" si="51"/>
        <v>0</v>
      </c>
      <c r="I135" s="394">
        <f t="shared" si="51"/>
        <v>0</v>
      </c>
      <c r="J135" s="1340">
        <f t="shared" si="51"/>
        <v>0</v>
      </c>
      <c r="K135" s="1340">
        <f t="shared" si="51"/>
        <v>0</v>
      </c>
      <c r="L135" s="1340">
        <f t="shared" si="51"/>
        <v>0</v>
      </c>
      <c r="M135" s="394">
        <f t="shared" si="51"/>
        <v>0</v>
      </c>
      <c r="N135" s="1340">
        <f t="shared" si="51"/>
        <v>0</v>
      </c>
      <c r="O135" s="1340">
        <f t="shared" si="51"/>
        <v>0</v>
      </c>
      <c r="P135" s="1341">
        <f t="shared" si="51"/>
        <v>0</v>
      </c>
    </row>
    <row r="136" spans="3:16" ht="15.75" hidden="1" customHeight="1">
      <c r="C136" s="1342" t="s">
        <v>694</v>
      </c>
      <c r="D136" s="1343"/>
      <c r="E136" s="395"/>
      <c r="F136" s="1343"/>
      <c r="G136" s="1343"/>
      <c r="H136" s="1343"/>
      <c r="I136" s="395"/>
      <c r="J136" s="1343">
        <v>0</v>
      </c>
      <c r="K136" s="1343"/>
      <c r="L136" s="1343">
        <f>J136*K136/10</f>
        <v>0</v>
      </c>
      <c r="M136" s="395"/>
      <c r="N136" s="1343">
        <v>0</v>
      </c>
      <c r="O136" s="1343"/>
      <c r="P136" s="1344">
        <f>N136*O136/10</f>
        <v>0</v>
      </c>
    </row>
    <row r="137" spans="3:16" ht="15.75" hidden="1" customHeight="1">
      <c r="C137" s="1342" t="s">
        <v>695</v>
      </c>
      <c r="D137" s="1343"/>
      <c r="E137" s="395">
        <f>SUM(E138:E143)</f>
        <v>0</v>
      </c>
      <c r="F137" s="1345">
        <f t="shared" ref="F137:P137" si="52">SUM(F138:F143)</f>
        <v>0</v>
      </c>
      <c r="G137" s="1345">
        <f t="shared" si="52"/>
        <v>0</v>
      </c>
      <c r="H137" s="1345">
        <f t="shared" si="52"/>
        <v>0</v>
      </c>
      <c r="I137" s="395">
        <f t="shared" si="52"/>
        <v>0</v>
      </c>
      <c r="J137" s="1343">
        <f t="shared" si="52"/>
        <v>0</v>
      </c>
      <c r="K137" s="1343">
        <f t="shared" si="52"/>
        <v>0</v>
      </c>
      <c r="L137" s="1343">
        <f t="shared" si="52"/>
        <v>0</v>
      </c>
      <c r="M137" s="395">
        <f t="shared" si="52"/>
        <v>0</v>
      </c>
      <c r="N137" s="1343">
        <f t="shared" si="52"/>
        <v>0</v>
      </c>
      <c r="O137" s="1343">
        <f t="shared" si="52"/>
        <v>0</v>
      </c>
      <c r="P137" s="1344">
        <f t="shared" si="52"/>
        <v>0</v>
      </c>
    </row>
    <row r="138" spans="3:16" ht="15.75" hidden="1" customHeight="1">
      <c r="C138" s="396" t="s">
        <v>696</v>
      </c>
      <c r="D138" s="1346"/>
      <c r="E138" s="1347"/>
      <c r="F138" s="1346"/>
      <c r="G138" s="1346"/>
      <c r="H138" s="1346">
        <f t="shared" ref="H138" si="53">F138*G138/10</f>
        <v>0</v>
      </c>
      <c r="I138" s="1347"/>
      <c r="J138" s="1346"/>
      <c r="K138" s="1346"/>
      <c r="L138" s="1346"/>
      <c r="M138" s="1347"/>
      <c r="N138" s="1346"/>
      <c r="O138" s="1346"/>
      <c r="P138" s="1348"/>
    </row>
    <row r="139" spans="3:16" ht="15.75" hidden="1" customHeight="1">
      <c r="C139" s="396" t="s">
        <v>697</v>
      </c>
      <c r="D139" s="1346"/>
      <c r="E139" s="1347"/>
      <c r="F139" s="1346"/>
      <c r="G139" s="1346"/>
      <c r="H139" s="1346"/>
      <c r="I139" s="1347"/>
      <c r="J139" s="1346"/>
      <c r="K139" s="1346"/>
      <c r="L139" s="1346"/>
      <c r="M139" s="1347"/>
      <c r="N139" s="1346"/>
      <c r="O139" s="1346"/>
      <c r="P139" s="1348"/>
    </row>
    <row r="140" spans="3:16" ht="15.75" hidden="1" customHeight="1">
      <c r="C140" s="396" t="s">
        <v>682</v>
      </c>
      <c r="D140" s="1346"/>
      <c r="E140" s="1347"/>
      <c r="F140" s="1346"/>
      <c r="G140" s="1346"/>
      <c r="H140" s="1346"/>
      <c r="I140" s="1347"/>
      <c r="J140" s="1346"/>
      <c r="K140" s="1346"/>
      <c r="L140" s="1346"/>
      <c r="M140" s="1347"/>
      <c r="N140" s="1346"/>
      <c r="O140" s="1346"/>
      <c r="P140" s="1348"/>
    </row>
    <row r="141" spans="3:16" ht="15.75" hidden="1" customHeight="1">
      <c r="C141" s="396" t="s">
        <v>683</v>
      </c>
      <c r="D141" s="1346"/>
      <c r="E141" s="1347"/>
      <c r="F141" s="1346"/>
      <c r="G141" s="1346"/>
      <c r="H141" s="1346"/>
      <c r="I141" s="1347"/>
      <c r="J141" s="1346"/>
      <c r="K141" s="1346"/>
      <c r="L141" s="1346"/>
      <c r="M141" s="1347"/>
      <c r="N141" s="1346"/>
      <c r="O141" s="1346"/>
      <c r="P141" s="1348"/>
    </row>
    <row r="142" spans="3:16" ht="15.75" hidden="1" customHeight="1">
      <c r="C142" s="396" t="s">
        <v>684</v>
      </c>
      <c r="D142" s="1346"/>
      <c r="E142" s="1347"/>
      <c r="F142" s="1346"/>
      <c r="G142" s="1346"/>
      <c r="H142" s="1346"/>
      <c r="I142" s="1347"/>
      <c r="J142" s="1346"/>
      <c r="K142" s="1346"/>
      <c r="L142" s="1346"/>
      <c r="M142" s="1347"/>
      <c r="N142" s="1346"/>
      <c r="O142" s="1346"/>
      <c r="P142" s="1348"/>
    </row>
    <row r="143" spans="3:16" ht="15.75" hidden="1" customHeight="1">
      <c r="C143" s="396" t="s">
        <v>685</v>
      </c>
      <c r="D143" s="1346"/>
      <c r="E143" s="1347"/>
      <c r="F143" s="1346"/>
      <c r="G143" s="1346"/>
      <c r="H143" s="1346"/>
      <c r="I143" s="1347"/>
      <c r="J143" s="1346"/>
      <c r="K143" s="1346"/>
      <c r="L143" s="1346"/>
      <c r="M143" s="1347"/>
      <c r="N143" s="1346"/>
      <c r="O143" s="1346"/>
      <c r="P143" s="1348"/>
    </row>
    <row r="144" spans="3:16" ht="15.75" hidden="1" customHeight="1">
      <c r="C144" s="1342" t="s">
        <v>698</v>
      </c>
      <c r="D144" s="1343"/>
      <c r="E144" s="395">
        <f>SUM(E145:E150)</f>
        <v>0</v>
      </c>
      <c r="F144" s="1343">
        <f t="shared" ref="F144:P144" si="54">SUM(F145:F150)</f>
        <v>0</v>
      </c>
      <c r="G144" s="1343">
        <f t="shared" si="54"/>
        <v>0</v>
      </c>
      <c r="H144" s="1343">
        <f t="shared" si="54"/>
        <v>0</v>
      </c>
      <c r="I144" s="395">
        <f t="shared" si="54"/>
        <v>0</v>
      </c>
      <c r="J144" s="1343">
        <f t="shared" si="54"/>
        <v>0</v>
      </c>
      <c r="K144" s="1343">
        <f t="shared" si="54"/>
        <v>0</v>
      </c>
      <c r="L144" s="1343">
        <f t="shared" si="54"/>
        <v>0</v>
      </c>
      <c r="M144" s="395">
        <f t="shared" si="54"/>
        <v>0</v>
      </c>
      <c r="N144" s="1343">
        <f t="shared" si="54"/>
        <v>0</v>
      </c>
      <c r="O144" s="1343">
        <f t="shared" si="54"/>
        <v>0</v>
      </c>
      <c r="P144" s="1344">
        <f t="shared" si="54"/>
        <v>0</v>
      </c>
    </row>
    <row r="145" spans="3:16" ht="15.75" hidden="1" customHeight="1">
      <c r="C145" s="396" t="s">
        <v>699</v>
      </c>
      <c r="D145" s="1346"/>
      <c r="E145" s="401"/>
      <c r="F145" s="1349"/>
      <c r="G145" s="1350"/>
      <c r="H145" s="1349"/>
      <c r="I145" s="401"/>
      <c r="J145" s="1349"/>
      <c r="K145" s="1349"/>
      <c r="L145" s="1349"/>
      <c r="M145" s="401"/>
      <c r="N145" s="1346"/>
      <c r="O145" s="401"/>
      <c r="P145" s="1348"/>
    </row>
    <row r="146" spans="3:16" ht="15.75" hidden="1" customHeight="1">
      <c r="C146" s="396" t="s">
        <v>700</v>
      </c>
      <c r="D146" s="1346"/>
      <c r="E146" s="401"/>
      <c r="F146" s="1349"/>
      <c r="G146" s="401"/>
      <c r="H146" s="1346"/>
      <c r="I146" s="401"/>
      <c r="J146" s="1346"/>
      <c r="K146" s="1349"/>
      <c r="L146" s="1346"/>
      <c r="M146" s="1351"/>
      <c r="N146" s="1346"/>
      <c r="O146" s="401"/>
      <c r="P146" s="1348"/>
    </row>
    <row r="147" spans="3:16" ht="15.75" hidden="1" customHeight="1">
      <c r="C147" s="396" t="s">
        <v>701</v>
      </c>
      <c r="D147" s="1346"/>
      <c r="E147" s="401"/>
      <c r="F147" s="1349"/>
      <c r="G147" s="401"/>
      <c r="H147" s="1346"/>
      <c r="I147" s="401"/>
      <c r="J147" s="1346"/>
      <c r="K147" s="1349"/>
      <c r="L147" s="1346"/>
      <c r="M147" s="401"/>
      <c r="N147" s="1346"/>
      <c r="O147" s="401"/>
      <c r="P147" s="1348"/>
    </row>
    <row r="148" spans="3:16" ht="15.75" hidden="1" customHeight="1">
      <c r="C148" s="396" t="s">
        <v>592</v>
      </c>
      <c r="D148" s="1346"/>
      <c r="E148" s="1347"/>
      <c r="F148" s="1346"/>
      <c r="G148" s="1346"/>
      <c r="H148" s="1346"/>
      <c r="I148" s="1347"/>
      <c r="J148" s="1346"/>
      <c r="K148" s="1346"/>
      <c r="L148" s="1346"/>
      <c r="M148" s="1347"/>
      <c r="N148" s="1346"/>
      <c r="O148" s="1346"/>
      <c r="P148" s="1348"/>
    </row>
    <row r="149" spans="3:16" ht="15.75" hidden="1" customHeight="1">
      <c r="C149" s="396" t="s">
        <v>702</v>
      </c>
      <c r="D149" s="1346"/>
      <c r="E149" s="1347"/>
      <c r="F149" s="1346"/>
      <c r="G149" s="1346"/>
      <c r="H149" s="1346"/>
      <c r="I149" s="1347"/>
      <c r="J149" s="1346"/>
      <c r="K149" s="1346"/>
      <c r="L149" s="1346"/>
      <c r="M149" s="1347"/>
      <c r="N149" s="1346"/>
      <c r="O149" s="1346"/>
      <c r="P149" s="1348"/>
    </row>
    <row r="150" spans="3:16" ht="15.75" hidden="1" customHeight="1">
      <c r="C150" s="396" t="s">
        <v>703</v>
      </c>
      <c r="D150" s="1346"/>
      <c r="E150" s="1347"/>
      <c r="F150" s="1346"/>
      <c r="G150" s="1346"/>
      <c r="H150" s="1346"/>
      <c r="I150" s="1347"/>
      <c r="J150" s="1346"/>
      <c r="K150" s="1346"/>
      <c r="L150" s="1346"/>
      <c r="M150" s="1347"/>
      <c r="N150" s="1346"/>
      <c r="O150" s="1346"/>
      <c r="P150" s="1348"/>
    </row>
    <row r="151" spans="3:16" ht="15.75" hidden="1" customHeight="1">
      <c r="C151" s="1342" t="s">
        <v>636</v>
      </c>
      <c r="D151" s="1343"/>
      <c r="E151" s="395">
        <f>SUM(E152:E155)</f>
        <v>0</v>
      </c>
      <c r="F151" s="395">
        <f t="shared" ref="F151:P151" si="55">SUM(F152:F155)</f>
        <v>0</v>
      </c>
      <c r="G151" s="395">
        <f t="shared" si="55"/>
        <v>0</v>
      </c>
      <c r="H151" s="395">
        <f t="shared" si="55"/>
        <v>0</v>
      </c>
      <c r="I151" s="395">
        <f t="shared" si="55"/>
        <v>0</v>
      </c>
      <c r="J151" s="395">
        <f t="shared" si="55"/>
        <v>0</v>
      </c>
      <c r="K151" s="395">
        <f t="shared" si="55"/>
        <v>0</v>
      </c>
      <c r="L151" s="395">
        <f t="shared" si="55"/>
        <v>0</v>
      </c>
      <c r="M151" s="395">
        <f t="shared" si="55"/>
        <v>0</v>
      </c>
      <c r="N151" s="395">
        <f t="shared" si="55"/>
        <v>0</v>
      </c>
      <c r="O151" s="395">
        <f t="shared" si="55"/>
        <v>0</v>
      </c>
      <c r="P151" s="1352">
        <f t="shared" si="55"/>
        <v>0</v>
      </c>
    </row>
    <row r="152" spans="3:16" ht="15.75" hidden="1" customHeight="1">
      <c r="C152" s="1353" t="s">
        <v>686</v>
      </c>
      <c r="D152" s="1354"/>
      <c r="E152" s="1355"/>
      <c r="F152" s="1356"/>
      <c r="G152" s="1354"/>
      <c r="H152" s="1356"/>
      <c r="I152" s="1355"/>
      <c r="J152" s="1356"/>
      <c r="K152" s="1356"/>
      <c r="L152" s="1356"/>
      <c r="M152" s="1355"/>
      <c r="N152" s="1356"/>
      <c r="O152" s="1354"/>
      <c r="P152" s="1357"/>
    </row>
    <row r="153" spans="3:16" ht="15.75" hidden="1" customHeight="1">
      <c r="C153" s="1353" t="s">
        <v>687</v>
      </c>
      <c r="D153" s="1354"/>
      <c r="E153" s="1355"/>
      <c r="F153" s="1356"/>
      <c r="G153" s="1354"/>
      <c r="H153" s="1356"/>
      <c r="I153" s="1355"/>
      <c r="J153" s="1356"/>
      <c r="K153" s="1356"/>
      <c r="L153" s="1356"/>
      <c r="M153" s="1355"/>
      <c r="N153" s="1356"/>
      <c r="O153" s="1354"/>
      <c r="P153" s="1357"/>
    </row>
    <row r="154" spans="3:16" ht="15.75" hidden="1" customHeight="1">
      <c r="C154" s="1353" t="s">
        <v>688</v>
      </c>
      <c r="D154" s="1354"/>
      <c r="E154" s="1355"/>
      <c r="F154" s="1356"/>
      <c r="G154" s="1354"/>
      <c r="H154" s="1356"/>
      <c r="I154" s="1355"/>
      <c r="J154" s="1356"/>
      <c r="K154" s="1356"/>
      <c r="L154" s="1356"/>
      <c r="M154" s="1355"/>
      <c r="N154" s="1356"/>
      <c r="O154" s="1354"/>
      <c r="P154" s="1357"/>
    </row>
    <row r="155" spans="3:16" ht="15.75" hidden="1" customHeight="1">
      <c r="C155" s="1353" t="s">
        <v>704</v>
      </c>
      <c r="D155" s="1354"/>
      <c r="E155" s="1355"/>
      <c r="F155" s="1356"/>
      <c r="G155" s="1354"/>
      <c r="H155" s="1356"/>
      <c r="I155" s="1355"/>
      <c r="J155" s="1356"/>
      <c r="K155" s="1356"/>
      <c r="L155" s="1356"/>
      <c r="M155" s="1355"/>
      <c r="N155" s="1356"/>
      <c r="O155" s="1354"/>
      <c r="P155" s="1357"/>
    </row>
    <row r="156" spans="3:16" ht="15.75" hidden="1" customHeight="1">
      <c r="C156" s="1342" t="s">
        <v>639</v>
      </c>
      <c r="D156" s="1343"/>
      <c r="E156" s="395">
        <f t="shared" ref="E156:P156" si="56">SUM(E157:E158)</f>
        <v>0</v>
      </c>
      <c r="F156" s="395">
        <f t="shared" si="56"/>
        <v>0</v>
      </c>
      <c r="G156" s="395">
        <f t="shared" si="56"/>
        <v>0</v>
      </c>
      <c r="H156" s="395">
        <f t="shared" si="56"/>
        <v>0</v>
      </c>
      <c r="I156" s="395">
        <f t="shared" si="56"/>
        <v>0</v>
      </c>
      <c r="J156" s="395">
        <f t="shared" si="56"/>
        <v>0</v>
      </c>
      <c r="K156" s="395">
        <f t="shared" si="56"/>
        <v>0</v>
      </c>
      <c r="L156" s="395">
        <f t="shared" si="56"/>
        <v>0</v>
      </c>
      <c r="M156" s="395">
        <f t="shared" si="56"/>
        <v>0</v>
      </c>
      <c r="N156" s="395">
        <f t="shared" si="56"/>
        <v>0</v>
      </c>
      <c r="O156" s="395">
        <f t="shared" si="56"/>
        <v>0</v>
      </c>
      <c r="P156" s="1352">
        <f t="shared" si="56"/>
        <v>0</v>
      </c>
    </row>
    <row r="157" spans="3:16" ht="15.75" hidden="1" customHeight="1">
      <c r="C157" s="396" t="s">
        <v>692</v>
      </c>
      <c r="D157" s="1346"/>
      <c r="E157" s="1347"/>
      <c r="F157" s="1346"/>
      <c r="G157" s="1346"/>
      <c r="H157" s="1346"/>
      <c r="I157" s="1347"/>
      <c r="J157" s="1346"/>
      <c r="K157" s="1346"/>
      <c r="L157" s="1346"/>
      <c r="M157" s="1347"/>
      <c r="N157" s="1346"/>
      <c r="O157" s="1346"/>
      <c r="P157" s="1348"/>
    </row>
    <row r="158" spans="3:16" ht="15.75" hidden="1" customHeight="1">
      <c r="C158" s="396" t="s">
        <v>707</v>
      </c>
      <c r="D158" s="1346"/>
      <c r="E158" s="1347"/>
      <c r="F158" s="1346"/>
      <c r="G158" s="1346"/>
      <c r="H158" s="1346"/>
      <c r="I158" s="1347"/>
      <c r="J158" s="1346"/>
      <c r="K158" s="1346"/>
      <c r="L158" s="1346"/>
      <c r="M158" s="1347"/>
      <c r="N158" s="1346"/>
      <c r="O158" s="1346"/>
      <c r="P158" s="1348"/>
    </row>
    <row r="159" spans="3:16" ht="15.75" hidden="1" customHeight="1">
      <c r="C159" s="1342"/>
      <c r="D159" s="1343"/>
      <c r="E159" s="395"/>
      <c r="F159" s="1343"/>
      <c r="G159" s="1343"/>
      <c r="H159" s="1343"/>
      <c r="I159" s="395"/>
      <c r="J159" s="1343">
        <v>0</v>
      </c>
      <c r="K159" s="1343"/>
      <c r="L159" s="1343">
        <f t="shared" ref="L159" si="57">J159*K159/10</f>
        <v>0</v>
      </c>
      <c r="M159" s="395"/>
      <c r="N159" s="1343">
        <v>0</v>
      </c>
      <c r="O159" s="1343"/>
      <c r="P159" s="1344">
        <f t="shared" ref="P159" si="58">N159*O159/10</f>
        <v>0</v>
      </c>
    </row>
    <row r="160" spans="3:16" ht="15.75" hidden="1" customHeight="1">
      <c r="C160" s="397"/>
      <c r="D160" s="1358"/>
      <c r="E160" s="1359"/>
      <c r="F160" s="1358"/>
      <c r="G160" s="1358"/>
      <c r="H160" s="1358"/>
      <c r="I160" s="1359"/>
      <c r="J160" s="1358"/>
      <c r="K160" s="1358"/>
      <c r="L160" s="1358"/>
      <c r="M160" s="1359"/>
      <c r="N160" s="1358"/>
      <c r="O160" s="1358"/>
      <c r="P160" s="1360"/>
    </row>
    <row r="161" spans="3:16" ht="15.75" hidden="1" customHeight="1">
      <c r="C161" s="1339" t="s">
        <v>603</v>
      </c>
      <c r="D161" s="1340"/>
      <c r="E161" s="394">
        <f>E162+E163+E170+E177+E182</f>
        <v>0</v>
      </c>
      <c r="F161" s="1340">
        <f t="shared" ref="F161:P161" si="59">F162+F163+F170+F177+F182</f>
        <v>0</v>
      </c>
      <c r="G161" s="1340">
        <f t="shared" si="59"/>
        <v>0</v>
      </c>
      <c r="H161" s="1340">
        <f t="shared" si="59"/>
        <v>0</v>
      </c>
      <c r="I161" s="394">
        <f t="shared" si="59"/>
        <v>0</v>
      </c>
      <c r="J161" s="1340">
        <f t="shared" si="59"/>
        <v>0</v>
      </c>
      <c r="K161" s="1340">
        <f t="shared" si="59"/>
        <v>0</v>
      </c>
      <c r="L161" s="1340">
        <f t="shared" si="59"/>
        <v>0</v>
      </c>
      <c r="M161" s="394">
        <f t="shared" si="59"/>
        <v>0</v>
      </c>
      <c r="N161" s="1340">
        <f t="shared" si="59"/>
        <v>0</v>
      </c>
      <c r="O161" s="1340">
        <f t="shared" si="59"/>
        <v>0</v>
      </c>
      <c r="P161" s="1341">
        <f t="shared" si="59"/>
        <v>0</v>
      </c>
    </row>
    <row r="162" spans="3:16" ht="15.75" hidden="1" customHeight="1">
      <c r="C162" s="1342" t="s">
        <v>694</v>
      </c>
      <c r="D162" s="1343"/>
      <c r="E162" s="395"/>
      <c r="F162" s="1343"/>
      <c r="G162" s="1343"/>
      <c r="H162" s="1343"/>
      <c r="I162" s="395"/>
      <c r="J162" s="1343">
        <v>0</v>
      </c>
      <c r="K162" s="1343"/>
      <c r="L162" s="1343">
        <f t="shared" ref="L162" si="60">J162*K162/10</f>
        <v>0</v>
      </c>
      <c r="M162" s="395"/>
      <c r="N162" s="1343">
        <v>0</v>
      </c>
      <c r="O162" s="1343"/>
      <c r="P162" s="1344">
        <f t="shared" ref="P162" si="61">N162*O162/10</f>
        <v>0</v>
      </c>
    </row>
    <row r="163" spans="3:16" ht="15.75" hidden="1" customHeight="1">
      <c r="C163" s="1342" t="s">
        <v>695</v>
      </c>
      <c r="D163" s="1343"/>
      <c r="E163" s="395">
        <f>SUM(E164:E169)</f>
        <v>0</v>
      </c>
      <c r="F163" s="1343">
        <f t="shared" ref="F163:P163" si="62">SUM(F164:F169)</f>
        <v>0</v>
      </c>
      <c r="G163" s="1343">
        <f t="shared" si="62"/>
        <v>0</v>
      </c>
      <c r="H163" s="1343">
        <f t="shared" si="62"/>
        <v>0</v>
      </c>
      <c r="I163" s="395">
        <f t="shared" si="62"/>
        <v>0</v>
      </c>
      <c r="J163" s="1343">
        <f t="shared" si="62"/>
        <v>0</v>
      </c>
      <c r="K163" s="1343">
        <f t="shared" si="62"/>
        <v>0</v>
      </c>
      <c r="L163" s="1343">
        <f t="shared" si="62"/>
        <v>0</v>
      </c>
      <c r="M163" s="395">
        <f t="shared" si="62"/>
        <v>0</v>
      </c>
      <c r="N163" s="1343">
        <f t="shared" si="62"/>
        <v>0</v>
      </c>
      <c r="O163" s="1343">
        <f t="shared" si="62"/>
        <v>0</v>
      </c>
      <c r="P163" s="1344">
        <f t="shared" si="62"/>
        <v>0</v>
      </c>
    </row>
    <row r="164" spans="3:16" ht="15.75" hidden="1" customHeight="1">
      <c r="C164" s="396" t="s">
        <v>696</v>
      </c>
      <c r="D164" s="1346"/>
      <c r="E164" s="1347"/>
      <c r="F164" s="1346"/>
      <c r="G164" s="1346"/>
      <c r="H164" s="1349"/>
      <c r="I164" s="1347"/>
      <c r="J164" s="1346"/>
      <c r="K164" s="1346"/>
      <c r="L164" s="1346"/>
      <c r="M164" s="1347"/>
      <c r="N164" s="1346"/>
      <c r="O164" s="1346"/>
      <c r="P164" s="1348"/>
    </row>
    <row r="165" spans="3:16" ht="15.75" hidden="1" customHeight="1">
      <c r="C165" s="396" t="s">
        <v>697</v>
      </c>
      <c r="D165" s="1346"/>
      <c r="E165" s="1347"/>
      <c r="F165" s="1346"/>
      <c r="G165" s="1346"/>
      <c r="H165" s="1346"/>
      <c r="I165" s="1347"/>
      <c r="J165" s="1346"/>
      <c r="K165" s="1346"/>
      <c r="L165" s="1346"/>
      <c r="M165" s="1347"/>
      <c r="N165" s="1346"/>
      <c r="O165" s="1346"/>
      <c r="P165" s="1348"/>
    </row>
    <row r="166" spans="3:16" ht="15.75" hidden="1" customHeight="1">
      <c r="C166" s="396" t="s">
        <v>682</v>
      </c>
      <c r="D166" s="1346"/>
      <c r="E166" s="1347"/>
      <c r="F166" s="1346"/>
      <c r="G166" s="1346"/>
      <c r="H166" s="1346"/>
      <c r="I166" s="1347"/>
      <c r="J166" s="1346"/>
      <c r="K166" s="1346"/>
      <c r="L166" s="1346"/>
      <c r="M166" s="1347"/>
      <c r="N166" s="1346"/>
      <c r="O166" s="1346"/>
      <c r="P166" s="1348"/>
    </row>
    <row r="167" spans="3:16" ht="15.75" hidden="1" customHeight="1">
      <c r="C167" s="396" t="s">
        <v>683</v>
      </c>
      <c r="D167" s="1346"/>
      <c r="E167" s="1347"/>
      <c r="F167" s="1346"/>
      <c r="G167" s="1346"/>
      <c r="H167" s="1346"/>
      <c r="I167" s="1347"/>
      <c r="J167" s="1346"/>
      <c r="K167" s="1346"/>
      <c r="L167" s="1346"/>
      <c r="M167" s="1347"/>
      <c r="N167" s="1346"/>
      <c r="O167" s="1346"/>
      <c r="P167" s="1348"/>
    </row>
    <row r="168" spans="3:16" ht="15.75" hidden="1" customHeight="1">
      <c r="C168" s="396" t="s">
        <v>684</v>
      </c>
      <c r="D168" s="1346"/>
      <c r="E168" s="1347"/>
      <c r="F168" s="1346"/>
      <c r="G168" s="1346"/>
      <c r="H168" s="1346"/>
      <c r="I168" s="1347"/>
      <c r="J168" s="1346"/>
      <c r="K168" s="1346"/>
      <c r="L168" s="1346"/>
      <c r="M168" s="1347"/>
      <c r="N168" s="1346"/>
      <c r="O168" s="1346"/>
      <c r="P168" s="1348"/>
    </row>
    <row r="169" spans="3:16" ht="15.75" hidden="1" customHeight="1">
      <c r="C169" s="396" t="s">
        <v>685</v>
      </c>
      <c r="D169" s="1346"/>
      <c r="E169" s="1347"/>
      <c r="F169" s="1346"/>
      <c r="G169" s="1346"/>
      <c r="H169" s="1346"/>
      <c r="I169" s="1347"/>
      <c r="J169" s="1346"/>
      <c r="K169" s="1346"/>
      <c r="L169" s="1346"/>
      <c r="M169" s="1347"/>
      <c r="N169" s="1346"/>
      <c r="O169" s="1346"/>
      <c r="P169" s="1348"/>
    </row>
    <row r="170" spans="3:16" ht="15.75" hidden="1" customHeight="1">
      <c r="C170" s="1342" t="s">
        <v>635</v>
      </c>
      <c r="D170" s="1343"/>
      <c r="E170" s="395">
        <f>SUM(E171:E176)</f>
        <v>0</v>
      </c>
      <c r="F170" s="1343">
        <f t="shared" ref="F170:P170" si="63">SUM(F171:F176)</f>
        <v>0</v>
      </c>
      <c r="G170" s="1343">
        <f t="shared" si="63"/>
        <v>0</v>
      </c>
      <c r="H170" s="1343">
        <f t="shared" si="63"/>
        <v>0</v>
      </c>
      <c r="I170" s="395">
        <f t="shared" si="63"/>
        <v>0</v>
      </c>
      <c r="J170" s="1343">
        <f t="shared" si="63"/>
        <v>0</v>
      </c>
      <c r="K170" s="1343">
        <f t="shared" si="63"/>
        <v>0</v>
      </c>
      <c r="L170" s="1343">
        <f t="shared" si="63"/>
        <v>0</v>
      </c>
      <c r="M170" s="395">
        <f t="shared" si="63"/>
        <v>0</v>
      </c>
      <c r="N170" s="1343">
        <f t="shared" si="63"/>
        <v>0</v>
      </c>
      <c r="O170" s="1343">
        <f t="shared" si="63"/>
        <v>0</v>
      </c>
      <c r="P170" s="1344">
        <f t="shared" si="63"/>
        <v>0</v>
      </c>
    </row>
    <row r="171" spans="3:16" ht="15.75" hidden="1" customHeight="1">
      <c r="C171" s="396" t="s">
        <v>699</v>
      </c>
      <c r="D171" s="1346"/>
      <c r="E171" s="1347"/>
      <c r="F171" s="1346"/>
      <c r="G171" s="1346"/>
      <c r="H171" s="1346">
        <f t="shared" ref="H171" si="64">F171*G171/10</f>
        <v>0</v>
      </c>
      <c r="I171" s="1347"/>
      <c r="J171" s="1346"/>
      <c r="K171" s="1346"/>
      <c r="L171" s="1346">
        <f t="shared" ref="L171" si="65">J171*K171/10</f>
        <v>0</v>
      </c>
      <c r="M171" s="1347"/>
      <c r="N171" s="1346"/>
      <c r="O171" s="1346"/>
      <c r="P171" s="1348"/>
    </row>
    <row r="172" spans="3:16" ht="15.75" hidden="1" customHeight="1">
      <c r="C172" s="396" t="s">
        <v>700</v>
      </c>
      <c r="D172" s="1346"/>
      <c r="E172" s="1347"/>
      <c r="F172" s="1346"/>
      <c r="G172" s="1346"/>
      <c r="H172" s="1346"/>
      <c r="I172" s="1347"/>
      <c r="J172" s="1346"/>
      <c r="K172" s="1346"/>
      <c r="L172" s="1346"/>
      <c r="M172" s="1347"/>
      <c r="N172" s="1346"/>
      <c r="O172" s="1346"/>
      <c r="P172" s="1348"/>
    </row>
    <row r="173" spans="3:16" ht="15.75" hidden="1" customHeight="1">
      <c r="C173" s="396" t="s">
        <v>701</v>
      </c>
      <c r="D173" s="1346"/>
      <c r="E173" s="1347"/>
      <c r="F173" s="1346"/>
      <c r="G173" s="1346"/>
      <c r="H173" s="1346"/>
      <c r="I173" s="1347"/>
      <c r="J173" s="1346"/>
      <c r="K173" s="1346"/>
      <c r="L173" s="1346"/>
      <c r="M173" s="1347"/>
      <c r="N173" s="1346"/>
      <c r="O173" s="1346"/>
      <c r="P173" s="1348"/>
    </row>
    <row r="174" spans="3:16" ht="15.75" hidden="1" customHeight="1">
      <c r="C174" s="396" t="s">
        <v>592</v>
      </c>
      <c r="D174" s="1346"/>
      <c r="E174" s="1347"/>
      <c r="F174" s="1346"/>
      <c r="G174" s="1346"/>
      <c r="H174" s="1346"/>
      <c r="I174" s="1347"/>
      <c r="J174" s="1346"/>
      <c r="K174" s="1346"/>
      <c r="L174" s="1346"/>
      <c r="M174" s="1347"/>
      <c r="N174" s="1346"/>
      <c r="O174" s="1346"/>
      <c r="P174" s="1348"/>
    </row>
    <row r="175" spans="3:16" ht="15.75" hidden="1" customHeight="1">
      <c r="C175" s="396" t="s">
        <v>702</v>
      </c>
      <c r="D175" s="1346"/>
      <c r="E175" s="1347"/>
      <c r="F175" s="1346"/>
      <c r="G175" s="1346"/>
      <c r="H175" s="1346"/>
      <c r="I175" s="1347"/>
      <c r="J175" s="1346"/>
      <c r="K175" s="1346"/>
      <c r="L175" s="1346"/>
      <c r="M175" s="1347"/>
      <c r="N175" s="1346"/>
      <c r="O175" s="1346"/>
      <c r="P175" s="1348"/>
    </row>
    <row r="176" spans="3:16" ht="15.75" hidden="1" customHeight="1">
      <c r="C176" s="396" t="s">
        <v>703</v>
      </c>
      <c r="D176" s="1346"/>
      <c r="E176" s="1347"/>
      <c r="F176" s="1346"/>
      <c r="G176" s="1346"/>
      <c r="H176" s="1346"/>
      <c r="I176" s="1347"/>
      <c r="J176" s="1346"/>
      <c r="K176" s="1346"/>
      <c r="L176" s="1346"/>
      <c r="M176" s="1347"/>
      <c r="N176" s="1346"/>
      <c r="O176" s="1346"/>
      <c r="P176" s="1348"/>
    </row>
    <row r="177" spans="3:16" ht="15.75" hidden="1" customHeight="1">
      <c r="C177" s="1342" t="s">
        <v>636</v>
      </c>
      <c r="D177" s="1343"/>
      <c r="E177" s="395">
        <f>SUM(E178:E181)</f>
        <v>0</v>
      </c>
      <c r="F177" s="395">
        <f t="shared" ref="F177:P177" si="66">SUM(F178:F181)</f>
        <v>0</v>
      </c>
      <c r="G177" s="395">
        <f t="shared" si="66"/>
        <v>0</v>
      </c>
      <c r="H177" s="395">
        <f t="shared" si="66"/>
        <v>0</v>
      </c>
      <c r="I177" s="395">
        <f t="shared" si="66"/>
        <v>0</v>
      </c>
      <c r="J177" s="395">
        <f t="shared" si="66"/>
        <v>0</v>
      </c>
      <c r="K177" s="395">
        <f t="shared" si="66"/>
        <v>0</v>
      </c>
      <c r="L177" s="395">
        <f t="shared" si="66"/>
        <v>0</v>
      </c>
      <c r="M177" s="395">
        <f t="shared" si="66"/>
        <v>0</v>
      </c>
      <c r="N177" s="395">
        <f t="shared" si="66"/>
        <v>0</v>
      </c>
      <c r="O177" s="395">
        <f t="shared" si="66"/>
        <v>0</v>
      </c>
      <c r="P177" s="1352">
        <f t="shared" si="66"/>
        <v>0</v>
      </c>
    </row>
    <row r="178" spans="3:16" ht="15.75" hidden="1" customHeight="1">
      <c r="C178" s="396" t="s">
        <v>708</v>
      </c>
      <c r="D178" s="1346"/>
      <c r="E178" s="1347"/>
      <c r="F178" s="1346"/>
      <c r="G178" s="1346"/>
      <c r="H178" s="1346"/>
      <c r="I178" s="1347"/>
      <c r="J178" s="1346"/>
      <c r="K178" s="1346"/>
      <c r="L178" s="1346"/>
      <c r="M178" s="1347"/>
      <c r="N178" s="1346"/>
      <c r="O178" s="1346"/>
      <c r="P178" s="1348"/>
    </row>
    <row r="179" spans="3:16" ht="15.75" hidden="1" customHeight="1">
      <c r="C179" s="396" t="s">
        <v>687</v>
      </c>
      <c r="D179" s="1346"/>
      <c r="E179" s="1347"/>
      <c r="F179" s="1346"/>
      <c r="G179" s="1346"/>
      <c r="H179" s="1346"/>
      <c r="I179" s="1347"/>
      <c r="J179" s="1346"/>
      <c r="K179" s="1346"/>
      <c r="L179" s="1346"/>
      <c r="M179" s="1347"/>
      <c r="N179" s="1346"/>
      <c r="O179" s="1346"/>
      <c r="P179" s="1348"/>
    </row>
    <row r="180" spans="3:16" ht="15.75" hidden="1" customHeight="1">
      <c r="C180" s="396" t="s">
        <v>688</v>
      </c>
      <c r="D180" s="1346"/>
      <c r="E180" s="1347"/>
      <c r="F180" s="1346"/>
      <c r="G180" s="1346"/>
      <c r="H180" s="1346"/>
      <c r="I180" s="1347"/>
      <c r="J180" s="1346"/>
      <c r="K180" s="1346"/>
      <c r="L180" s="1346"/>
      <c r="M180" s="1347"/>
      <c r="N180" s="1346"/>
      <c r="O180" s="1346"/>
      <c r="P180" s="1348"/>
    </row>
    <row r="181" spans="3:16" ht="15.75" hidden="1" customHeight="1">
      <c r="C181" s="396" t="s">
        <v>704</v>
      </c>
      <c r="D181" s="1346"/>
      <c r="E181" s="1347"/>
      <c r="F181" s="1346"/>
      <c r="G181" s="1346"/>
      <c r="H181" s="1346"/>
      <c r="I181" s="1347"/>
      <c r="J181" s="1346"/>
      <c r="K181" s="1346"/>
      <c r="L181" s="1346"/>
      <c r="M181" s="1347"/>
      <c r="N181" s="1346"/>
      <c r="O181" s="1346"/>
      <c r="P181" s="1348"/>
    </row>
    <row r="182" spans="3:16" ht="15.75" hidden="1" customHeight="1">
      <c r="C182" s="1342" t="s">
        <v>639</v>
      </c>
      <c r="D182" s="1343"/>
      <c r="E182" s="395">
        <f>SUM(E183:E184)</f>
        <v>0</v>
      </c>
      <c r="F182" s="395">
        <f t="shared" ref="F182:P182" si="67">SUM(F183:F183)</f>
        <v>0</v>
      </c>
      <c r="G182" s="395">
        <f t="shared" si="67"/>
        <v>0</v>
      </c>
      <c r="H182" s="395">
        <f t="shared" si="67"/>
        <v>0</v>
      </c>
      <c r="I182" s="395">
        <f t="shared" si="67"/>
        <v>0</v>
      </c>
      <c r="J182" s="395">
        <f t="shared" si="67"/>
        <v>0</v>
      </c>
      <c r="K182" s="395">
        <f t="shared" si="67"/>
        <v>0</v>
      </c>
      <c r="L182" s="395">
        <f t="shared" si="67"/>
        <v>0</v>
      </c>
      <c r="M182" s="395">
        <f t="shared" si="67"/>
        <v>0</v>
      </c>
      <c r="N182" s="395">
        <f t="shared" si="67"/>
        <v>0</v>
      </c>
      <c r="O182" s="395">
        <f t="shared" si="67"/>
        <v>0</v>
      </c>
      <c r="P182" s="1352">
        <f t="shared" si="67"/>
        <v>0</v>
      </c>
    </row>
    <row r="183" spans="3:16" ht="15.75" hidden="1" customHeight="1">
      <c r="C183" s="396" t="s">
        <v>692</v>
      </c>
      <c r="D183" s="1346"/>
      <c r="E183" s="1347"/>
      <c r="F183" s="1346"/>
      <c r="G183" s="1346"/>
      <c r="H183" s="1346"/>
      <c r="I183" s="1347"/>
      <c r="J183" s="1346"/>
      <c r="K183" s="1346"/>
      <c r="L183" s="1346"/>
      <c r="M183" s="1347"/>
      <c r="N183" s="1346"/>
      <c r="O183" s="1346"/>
      <c r="P183" s="1348"/>
    </row>
    <row r="184" spans="3:16" ht="15.75" hidden="1" customHeight="1">
      <c r="C184" s="396" t="s">
        <v>707</v>
      </c>
      <c r="D184" s="1346"/>
      <c r="E184" s="1347"/>
      <c r="F184" s="1346"/>
      <c r="G184" s="1346"/>
      <c r="H184" s="1346"/>
      <c r="I184" s="1347"/>
      <c r="J184" s="1346"/>
      <c r="K184" s="1346"/>
      <c r="L184" s="1346"/>
      <c r="M184" s="1347"/>
      <c r="N184" s="1346"/>
      <c r="O184" s="1346"/>
      <c r="P184" s="1348"/>
    </row>
    <row r="185" spans="3:16" ht="15.75" hidden="1" customHeight="1">
      <c r="C185" s="1339" t="s">
        <v>604</v>
      </c>
      <c r="D185" s="1340"/>
      <c r="E185" s="394">
        <f>E186+E187+E194+E201+E206</f>
        <v>0</v>
      </c>
      <c r="F185" s="1340">
        <f t="shared" ref="F185:H185" si="68">F186+F187+F194+F201+F206</f>
        <v>0</v>
      </c>
      <c r="G185" s="1340">
        <f t="shared" si="68"/>
        <v>0</v>
      </c>
      <c r="H185" s="1340">
        <f t="shared" si="68"/>
        <v>0</v>
      </c>
      <c r="I185" s="394">
        <f>I186+I187+I194+I201+I206</f>
        <v>0</v>
      </c>
      <c r="J185" s="1340">
        <f t="shared" ref="J185:L185" si="69">J186+J187+J194+J201+J206</f>
        <v>0</v>
      </c>
      <c r="K185" s="1340">
        <f t="shared" si="69"/>
        <v>0</v>
      </c>
      <c r="L185" s="1340">
        <f t="shared" si="69"/>
        <v>0</v>
      </c>
      <c r="M185" s="394">
        <f>M186+M187+M194+M201+M206</f>
        <v>0</v>
      </c>
      <c r="N185" s="1340">
        <f t="shared" ref="N185:P185" si="70">N186+N187+N194+N201+N206</f>
        <v>0</v>
      </c>
      <c r="O185" s="1340">
        <f t="shared" si="70"/>
        <v>0</v>
      </c>
      <c r="P185" s="1341">
        <f t="shared" si="70"/>
        <v>0</v>
      </c>
    </row>
    <row r="186" spans="3:16" ht="15.75" hidden="1" customHeight="1">
      <c r="C186" s="1342" t="s">
        <v>694</v>
      </c>
      <c r="D186" s="1343"/>
      <c r="E186" s="395"/>
      <c r="F186" s="1343"/>
      <c r="G186" s="1343"/>
      <c r="H186" s="1343"/>
      <c r="I186" s="395"/>
      <c r="J186" s="1343">
        <v>0</v>
      </c>
      <c r="K186" s="1343"/>
      <c r="L186" s="1343">
        <f t="shared" ref="L186" si="71">J186*K186/10</f>
        <v>0</v>
      </c>
      <c r="M186" s="395"/>
      <c r="N186" s="1343">
        <v>0</v>
      </c>
      <c r="O186" s="1343"/>
      <c r="P186" s="1344">
        <f t="shared" ref="P186" si="72">N186*O186/10</f>
        <v>0</v>
      </c>
    </row>
    <row r="187" spans="3:16" ht="15.75" hidden="1" customHeight="1">
      <c r="C187" s="1342" t="s">
        <v>695</v>
      </c>
      <c r="D187" s="1343"/>
      <c r="E187" s="395">
        <f>SUM(E188:E193)</f>
        <v>0</v>
      </c>
      <c r="F187" s="1345">
        <f t="shared" ref="F187:P187" si="73">SUM(F188:F193)</f>
        <v>0</v>
      </c>
      <c r="G187" s="1345">
        <f t="shared" si="73"/>
        <v>0</v>
      </c>
      <c r="H187" s="1345">
        <f t="shared" si="73"/>
        <v>0</v>
      </c>
      <c r="I187" s="395">
        <f t="shared" si="73"/>
        <v>0</v>
      </c>
      <c r="J187" s="1343">
        <f t="shared" si="73"/>
        <v>0</v>
      </c>
      <c r="K187" s="1343">
        <f t="shared" si="73"/>
        <v>0</v>
      </c>
      <c r="L187" s="1343">
        <f t="shared" si="73"/>
        <v>0</v>
      </c>
      <c r="M187" s="395">
        <f t="shared" si="73"/>
        <v>0</v>
      </c>
      <c r="N187" s="1343">
        <f t="shared" si="73"/>
        <v>0</v>
      </c>
      <c r="O187" s="1343">
        <f t="shared" si="73"/>
        <v>0</v>
      </c>
      <c r="P187" s="1344">
        <f t="shared" si="73"/>
        <v>0</v>
      </c>
    </row>
    <row r="188" spans="3:16" ht="15.75" hidden="1" customHeight="1">
      <c r="C188" s="396" t="s">
        <v>696</v>
      </c>
      <c r="D188" s="1346"/>
      <c r="E188" s="1347"/>
      <c r="F188" s="1346"/>
      <c r="G188" s="1346"/>
      <c r="H188" s="1346"/>
      <c r="I188" s="1347"/>
      <c r="J188" s="1346"/>
      <c r="K188" s="1346"/>
      <c r="L188" s="1346">
        <f t="shared" ref="L188" si="74">J188*K188/10</f>
        <v>0</v>
      </c>
      <c r="M188" s="1347"/>
      <c r="N188" s="1346"/>
      <c r="O188" s="1346"/>
      <c r="P188" s="1346">
        <f t="shared" ref="P188" si="75">N188*O188/10</f>
        <v>0</v>
      </c>
    </row>
    <row r="189" spans="3:16" ht="15.75" hidden="1" customHeight="1">
      <c r="C189" s="396" t="s">
        <v>697</v>
      </c>
      <c r="D189" s="1346"/>
      <c r="E189" s="1347"/>
      <c r="F189" s="1346"/>
      <c r="G189" s="1346"/>
      <c r="H189" s="1346"/>
      <c r="I189" s="1347"/>
      <c r="J189" s="1346"/>
      <c r="K189" s="1346"/>
      <c r="L189" s="1346"/>
      <c r="M189" s="1347"/>
      <c r="N189" s="1346"/>
      <c r="O189" s="1346"/>
      <c r="P189" s="1348"/>
    </row>
    <row r="190" spans="3:16" ht="15.75" hidden="1" customHeight="1">
      <c r="C190" s="396" t="s">
        <v>682</v>
      </c>
      <c r="D190" s="1346"/>
      <c r="E190" s="1347"/>
      <c r="F190" s="1346"/>
      <c r="G190" s="1346"/>
      <c r="H190" s="1346"/>
      <c r="I190" s="1347"/>
      <c r="J190" s="1346"/>
      <c r="K190" s="1346"/>
      <c r="L190" s="1346"/>
      <c r="M190" s="1347"/>
      <c r="N190" s="1346"/>
      <c r="O190" s="1346"/>
      <c r="P190" s="1348"/>
    </row>
    <row r="191" spans="3:16" ht="15.75" hidden="1" customHeight="1">
      <c r="C191" s="396" t="s">
        <v>683</v>
      </c>
      <c r="D191" s="1346"/>
      <c r="E191" s="1347"/>
      <c r="F191" s="1346"/>
      <c r="G191" s="1346"/>
      <c r="H191" s="1346"/>
      <c r="I191" s="1347"/>
      <c r="J191" s="1346"/>
      <c r="K191" s="1346"/>
      <c r="L191" s="1346"/>
      <c r="M191" s="1347"/>
      <c r="N191" s="1346"/>
      <c r="O191" s="1346"/>
      <c r="P191" s="1348"/>
    </row>
    <row r="192" spans="3:16" ht="15.75" hidden="1" customHeight="1">
      <c r="C192" s="396" t="s">
        <v>684</v>
      </c>
      <c r="D192" s="1346"/>
      <c r="E192" s="1347"/>
      <c r="F192" s="1346"/>
      <c r="G192" s="1346"/>
      <c r="H192" s="1346"/>
      <c r="I192" s="1347"/>
      <c r="J192" s="1346"/>
      <c r="K192" s="1346"/>
      <c r="L192" s="1346"/>
      <c r="M192" s="1347"/>
      <c r="N192" s="1346"/>
      <c r="O192" s="1346"/>
      <c r="P192" s="1348"/>
    </row>
    <row r="193" spans="3:16" ht="15.75" hidden="1" customHeight="1">
      <c r="C193" s="396" t="s">
        <v>685</v>
      </c>
      <c r="D193" s="1346"/>
      <c r="E193" s="1347"/>
      <c r="F193" s="1346"/>
      <c r="G193" s="1346"/>
      <c r="H193" s="1346"/>
      <c r="I193" s="1347"/>
      <c r="J193" s="1346"/>
      <c r="K193" s="1346"/>
      <c r="L193" s="1346"/>
      <c r="M193" s="1347"/>
      <c r="N193" s="1346"/>
      <c r="O193" s="1346"/>
      <c r="P193" s="1348"/>
    </row>
    <row r="194" spans="3:16" ht="15.75" hidden="1" customHeight="1">
      <c r="C194" s="1342" t="s">
        <v>635</v>
      </c>
      <c r="D194" s="1343"/>
      <c r="E194" s="395">
        <f>SUM(E195:E200)</f>
        <v>0</v>
      </c>
      <c r="F194" s="1345">
        <f t="shared" ref="F194:P194" si="76">SUM(F195:F200)</f>
        <v>0</v>
      </c>
      <c r="G194" s="1345">
        <f t="shared" si="76"/>
        <v>0</v>
      </c>
      <c r="H194" s="1345">
        <f t="shared" si="76"/>
        <v>0</v>
      </c>
      <c r="I194" s="395">
        <f t="shared" si="76"/>
        <v>0</v>
      </c>
      <c r="J194" s="1343">
        <f t="shared" si="76"/>
        <v>0</v>
      </c>
      <c r="K194" s="1343">
        <f t="shared" si="76"/>
        <v>0</v>
      </c>
      <c r="L194" s="1343">
        <f t="shared" si="76"/>
        <v>0</v>
      </c>
      <c r="M194" s="395">
        <f t="shared" si="76"/>
        <v>0</v>
      </c>
      <c r="N194" s="1343">
        <f t="shared" si="76"/>
        <v>0</v>
      </c>
      <c r="O194" s="1343">
        <f t="shared" si="76"/>
        <v>0</v>
      </c>
      <c r="P194" s="1344">
        <f t="shared" si="76"/>
        <v>0</v>
      </c>
    </row>
    <row r="195" spans="3:16" ht="15.75" hidden="1" customHeight="1">
      <c r="C195" s="396" t="s">
        <v>699</v>
      </c>
      <c r="D195" s="1346"/>
      <c r="E195" s="1347"/>
      <c r="F195" s="1346"/>
      <c r="G195" s="1346"/>
      <c r="H195" s="1346"/>
      <c r="I195" s="1347"/>
      <c r="J195" s="1346"/>
      <c r="K195" s="1346"/>
      <c r="L195" s="1346">
        <f t="shared" ref="L195" si="77">J195*K195/10</f>
        <v>0</v>
      </c>
      <c r="M195" s="1347"/>
      <c r="N195" s="1346"/>
      <c r="O195" s="1346"/>
      <c r="P195" s="1348"/>
    </row>
    <row r="196" spans="3:16" ht="15.75" hidden="1" customHeight="1">
      <c r="C196" s="396" t="s">
        <v>700</v>
      </c>
      <c r="D196" s="1346"/>
      <c r="E196" s="1347"/>
      <c r="F196" s="1346"/>
      <c r="G196" s="1346"/>
      <c r="H196" s="1346"/>
      <c r="I196" s="1347"/>
      <c r="J196" s="1346"/>
      <c r="K196" s="1346"/>
      <c r="L196" s="1346"/>
      <c r="M196" s="1347"/>
      <c r="N196" s="1346"/>
      <c r="O196" s="1346"/>
      <c r="P196" s="1348"/>
    </row>
    <row r="197" spans="3:16" ht="15.75" hidden="1" customHeight="1">
      <c r="C197" s="396" t="s">
        <v>701</v>
      </c>
      <c r="D197" s="1346"/>
      <c r="E197" s="1347"/>
      <c r="F197" s="1346"/>
      <c r="G197" s="1346"/>
      <c r="H197" s="1346"/>
      <c r="I197" s="1347"/>
      <c r="J197" s="1346"/>
      <c r="K197" s="1346"/>
      <c r="L197" s="1346"/>
      <c r="M197" s="1347"/>
      <c r="N197" s="1346"/>
      <c r="O197" s="1346"/>
      <c r="P197" s="1348"/>
    </row>
    <row r="198" spans="3:16" ht="15.75" hidden="1" customHeight="1">
      <c r="C198" s="396" t="s">
        <v>592</v>
      </c>
      <c r="D198" s="1346"/>
      <c r="E198" s="1347"/>
      <c r="F198" s="1346"/>
      <c r="G198" s="1346"/>
      <c r="H198" s="1346"/>
      <c r="I198" s="1347"/>
      <c r="J198" s="1346"/>
      <c r="K198" s="1346"/>
      <c r="L198" s="1346"/>
      <c r="M198" s="1347"/>
      <c r="N198" s="1346"/>
      <c r="O198" s="1346"/>
      <c r="P198" s="1348"/>
    </row>
    <row r="199" spans="3:16" ht="15.75" hidden="1" customHeight="1">
      <c r="C199" s="396" t="s">
        <v>702</v>
      </c>
      <c r="D199" s="1346"/>
      <c r="E199" s="1347"/>
      <c r="F199" s="1346"/>
      <c r="G199" s="1346"/>
      <c r="H199" s="1346"/>
      <c r="I199" s="1347"/>
      <c r="J199" s="1346"/>
      <c r="K199" s="1346"/>
      <c r="L199" s="1346"/>
      <c r="M199" s="1347"/>
      <c r="N199" s="1346"/>
      <c r="O199" s="1346"/>
      <c r="P199" s="1348"/>
    </row>
    <row r="200" spans="3:16" ht="15.75" hidden="1" customHeight="1">
      <c r="C200" s="396" t="s">
        <v>703</v>
      </c>
      <c r="D200" s="1346"/>
      <c r="E200" s="1347"/>
      <c r="F200" s="1346"/>
      <c r="G200" s="1346"/>
      <c r="H200" s="1346"/>
      <c r="I200" s="1347"/>
      <c r="J200" s="1346"/>
      <c r="K200" s="1346"/>
      <c r="L200" s="1346"/>
      <c r="M200" s="1347"/>
      <c r="N200" s="1346"/>
      <c r="O200" s="1346"/>
      <c r="P200" s="1348"/>
    </row>
    <row r="201" spans="3:16" ht="15.75" hidden="1" customHeight="1">
      <c r="C201" s="1342" t="s">
        <v>636</v>
      </c>
      <c r="D201" s="1343"/>
      <c r="E201" s="395">
        <f>SUM(E202:E205)</f>
        <v>0</v>
      </c>
      <c r="F201" s="395">
        <f t="shared" ref="F201:P201" si="78">SUM(F202:F205)</f>
        <v>0</v>
      </c>
      <c r="G201" s="395">
        <f t="shared" si="78"/>
        <v>0</v>
      </c>
      <c r="H201" s="395">
        <f t="shared" si="78"/>
        <v>0</v>
      </c>
      <c r="I201" s="395">
        <f t="shared" si="78"/>
        <v>0</v>
      </c>
      <c r="J201" s="395">
        <f t="shared" si="78"/>
        <v>0</v>
      </c>
      <c r="K201" s="395">
        <f t="shared" si="78"/>
        <v>0</v>
      </c>
      <c r="L201" s="395">
        <f t="shared" si="78"/>
        <v>0</v>
      </c>
      <c r="M201" s="395">
        <f t="shared" si="78"/>
        <v>0</v>
      </c>
      <c r="N201" s="395">
        <f t="shared" si="78"/>
        <v>0</v>
      </c>
      <c r="O201" s="395">
        <f t="shared" si="78"/>
        <v>0</v>
      </c>
      <c r="P201" s="1352">
        <f t="shared" si="78"/>
        <v>0</v>
      </c>
    </row>
    <row r="202" spans="3:16" ht="15.75" hidden="1" customHeight="1">
      <c r="C202" s="396" t="s">
        <v>708</v>
      </c>
      <c r="D202" s="1346"/>
      <c r="E202" s="1347"/>
      <c r="F202" s="1346"/>
      <c r="G202" s="1346"/>
      <c r="H202" s="1346"/>
      <c r="I202" s="1347"/>
      <c r="J202" s="1346"/>
      <c r="K202" s="1346"/>
      <c r="L202" s="1346"/>
      <c r="M202" s="1347"/>
      <c r="N202" s="1346"/>
      <c r="O202" s="1346"/>
      <c r="P202" s="1348"/>
    </row>
    <row r="203" spans="3:16" ht="15.75" hidden="1" customHeight="1">
      <c r="C203" s="396" t="s">
        <v>687</v>
      </c>
      <c r="D203" s="1346"/>
      <c r="E203" s="1347"/>
      <c r="F203" s="1346"/>
      <c r="G203" s="1346"/>
      <c r="H203" s="1346"/>
      <c r="I203" s="1347"/>
      <c r="J203" s="1346"/>
      <c r="K203" s="1346"/>
      <c r="L203" s="1346"/>
      <c r="M203" s="1347"/>
      <c r="N203" s="1346"/>
      <c r="O203" s="1346"/>
      <c r="P203" s="1348"/>
    </row>
    <row r="204" spans="3:16" ht="15.75" hidden="1" customHeight="1">
      <c r="C204" s="396" t="s">
        <v>688</v>
      </c>
      <c r="D204" s="1346"/>
      <c r="E204" s="1347"/>
      <c r="F204" s="1346"/>
      <c r="G204" s="1346"/>
      <c r="H204" s="1346"/>
      <c r="I204" s="1347"/>
      <c r="J204" s="1346"/>
      <c r="K204" s="1346"/>
      <c r="L204" s="1346"/>
      <c r="M204" s="1347"/>
      <c r="N204" s="1346"/>
      <c r="O204" s="1346"/>
      <c r="P204" s="1348"/>
    </row>
    <row r="205" spans="3:16" ht="15.75" hidden="1" customHeight="1">
      <c r="C205" s="396" t="s">
        <v>704</v>
      </c>
      <c r="D205" s="1346"/>
      <c r="E205" s="1347"/>
      <c r="F205" s="1346"/>
      <c r="G205" s="1346"/>
      <c r="H205" s="1346"/>
      <c r="I205" s="1347"/>
      <c r="J205" s="1346"/>
      <c r="K205" s="1346"/>
      <c r="L205" s="1346"/>
      <c r="M205" s="1347"/>
      <c r="N205" s="1346"/>
      <c r="O205" s="1346"/>
      <c r="P205" s="1348"/>
    </row>
    <row r="206" spans="3:16" ht="15.75" hidden="1" customHeight="1">
      <c r="C206" s="1342" t="s">
        <v>639</v>
      </c>
      <c r="D206" s="1343"/>
      <c r="E206" s="395">
        <f t="shared" ref="E206:P206" si="79">SUM(E207:E208)</f>
        <v>0</v>
      </c>
      <c r="F206" s="395">
        <f t="shared" si="79"/>
        <v>0</v>
      </c>
      <c r="G206" s="395">
        <f t="shared" si="79"/>
        <v>0</v>
      </c>
      <c r="H206" s="395">
        <f t="shared" si="79"/>
        <v>0</v>
      </c>
      <c r="I206" s="395">
        <f t="shared" si="79"/>
        <v>0</v>
      </c>
      <c r="J206" s="395">
        <f t="shared" si="79"/>
        <v>0</v>
      </c>
      <c r="K206" s="395">
        <f t="shared" si="79"/>
        <v>0</v>
      </c>
      <c r="L206" s="395">
        <f t="shared" si="79"/>
        <v>0</v>
      </c>
      <c r="M206" s="395">
        <f t="shared" si="79"/>
        <v>0</v>
      </c>
      <c r="N206" s="395">
        <f t="shared" si="79"/>
        <v>0</v>
      </c>
      <c r="O206" s="395">
        <f t="shared" si="79"/>
        <v>0</v>
      </c>
      <c r="P206" s="1352">
        <f t="shared" si="79"/>
        <v>0</v>
      </c>
    </row>
    <row r="207" spans="3:16" ht="15.75" hidden="1" customHeight="1">
      <c r="C207" s="396" t="s">
        <v>692</v>
      </c>
      <c r="D207" s="1346"/>
      <c r="E207" s="1347"/>
      <c r="F207" s="1346"/>
      <c r="G207" s="1346"/>
      <c r="H207" s="1346"/>
      <c r="I207" s="1347"/>
      <c r="J207" s="1346"/>
      <c r="K207" s="1346"/>
      <c r="L207" s="1346"/>
      <c r="M207" s="1347"/>
      <c r="N207" s="1346"/>
      <c r="O207" s="1346"/>
      <c r="P207" s="1348"/>
    </row>
    <row r="208" spans="3:16" ht="15.75" hidden="1" customHeight="1">
      <c r="C208" s="396" t="s">
        <v>707</v>
      </c>
      <c r="D208" s="1346"/>
      <c r="E208" s="1347"/>
      <c r="F208" s="1346"/>
      <c r="G208" s="1346"/>
      <c r="H208" s="1346"/>
      <c r="I208" s="1347"/>
      <c r="J208" s="1346"/>
      <c r="K208" s="1346"/>
      <c r="L208" s="1346"/>
      <c r="M208" s="1347"/>
      <c r="N208" s="1346"/>
      <c r="O208" s="1346"/>
      <c r="P208" s="1348"/>
    </row>
    <row r="209" spans="3:16" ht="15.75" hidden="1" customHeight="1">
      <c r="C209" s="1339" t="s">
        <v>919</v>
      </c>
      <c r="D209" s="1340"/>
      <c r="E209" s="394">
        <f>E210+E211+E218+E225+E230</f>
        <v>0</v>
      </c>
      <c r="F209" s="1340">
        <f t="shared" ref="F209:H209" si="80">F210+F211+F218+F225+F230</f>
        <v>0</v>
      </c>
      <c r="G209" s="1340">
        <f t="shared" si="80"/>
        <v>0</v>
      </c>
      <c r="H209" s="1340">
        <f t="shared" si="80"/>
        <v>0</v>
      </c>
      <c r="I209" s="394">
        <f>I210+I211+I218+I225+I230</f>
        <v>0</v>
      </c>
      <c r="J209" s="1340">
        <f t="shared" ref="J209:L209" si="81">J210+J211+J218+J225+J230</f>
        <v>0</v>
      </c>
      <c r="K209" s="1340">
        <f t="shared" si="81"/>
        <v>0</v>
      </c>
      <c r="L209" s="1340">
        <f t="shared" si="81"/>
        <v>0</v>
      </c>
      <c r="M209" s="394">
        <f>M210+M211+M218+M225+M230</f>
        <v>0</v>
      </c>
      <c r="N209" s="1340">
        <f t="shared" ref="N209:P209" si="82">N210+N211+N218+N225+N230</f>
        <v>0</v>
      </c>
      <c r="O209" s="1340">
        <f t="shared" si="82"/>
        <v>0</v>
      </c>
      <c r="P209" s="1341">
        <f t="shared" si="82"/>
        <v>0</v>
      </c>
    </row>
    <row r="210" spans="3:16" ht="15.75" hidden="1" customHeight="1">
      <c r="C210" s="1342" t="s">
        <v>694</v>
      </c>
      <c r="D210" s="1343"/>
      <c r="E210" s="395"/>
      <c r="F210" s="1343"/>
      <c r="G210" s="1343"/>
      <c r="H210" s="1343"/>
      <c r="I210" s="395"/>
      <c r="J210" s="1343">
        <v>0</v>
      </c>
      <c r="K210" s="1343"/>
      <c r="L210" s="1343">
        <f t="shared" ref="L210" si="83">J210*K210/10</f>
        <v>0</v>
      </c>
      <c r="M210" s="395"/>
      <c r="N210" s="1343">
        <v>0</v>
      </c>
      <c r="O210" s="1343"/>
      <c r="P210" s="1344">
        <f t="shared" ref="P210" si="84">N210*O210/10</f>
        <v>0</v>
      </c>
    </row>
    <row r="211" spans="3:16" ht="15.75" hidden="1" customHeight="1">
      <c r="C211" s="1342" t="s">
        <v>695</v>
      </c>
      <c r="D211" s="1343"/>
      <c r="E211" s="395">
        <f>SUM(E212:E217)</f>
        <v>0</v>
      </c>
      <c r="F211" s="1345">
        <f t="shared" ref="F211:P211" si="85">SUM(F212:F217)</f>
        <v>0</v>
      </c>
      <c r="G211" s="1345">
        <f t="shared" si="85"/>
        <v>0</v>
      </c>
      <c r="H211" s="1345">
        <f t="shared" si="85"/>
        <v>0</v>
      </c>
      <c r="I211" s="395">
        <f t="shared" si="85"/>
        <v>0</v>
      </c>
      <c r="J211" s="1343">
        <f t="shared" si="85"/>
        <v>0</v>
      </c>
      <c r="K211" s="1343">
        <f t="shared" si="85"/>
        <v>0</v>
      </c>
      <c r="L211" s="1343">
        <f t="shared" si="85"/>
        <v>0</v>
      </c>
      <c r="M211" s="395">
        <f t="shared" si="85"/>
        <v>0</v>
      </c>
      <c r="N211" s="1343">
        <f t="shared" si="85"/>
        <v>0</v>
      </c>
      <c r="O211" s="1343">
        <f t="shared" si="85"/>
        <v>0</v>
      </c>
      <c r="P211" s="1344">
        <f t="shared" si="85"/>
        <v>0</v>
      </c>
    </row>
    <row r="212" spans="3:16" ht="15.75" hidden="1" customHeight="1">
      <c r="C212" s="396" t="s">
        <v>696</v>
      </c>
      <c r="D212" s="1346"/>
      <c r="E212" s="1347"/>
      <c r="F212" s="1346"/>
      <c r="G212" s="1346"/>
      <c r="H212" s="1346"/>
      <c r="I212" s="1347"/>
      <c r="J212" s="1346"/>
      <c r="K212" s="1346"/>
      <c r="L212" s="1346"/>
      <c r="M212" s="1347"/>
      <c r="N212" s="1346"/>
      <c r="O212" s="1346"/>
      <c r="P212" s="1346"/>
    </row>
    <row r="213" spans="3:16" ht="15.75" hidden="1" customHeight="1">
      <c r="C213" s="396" t="s">
        <v>697</v>
      </c>
      <c r="D213" s="1346"/>
      <c r="E213" s="1347"/>
      <c r="F213" s="1346"/>
      <c r="G213" s="1346"/>
      <c r="H213" s="1346"/>
      <c r="I213" s="1347"/>
      <c r="J213" s="1346"/>
      <c r="K213" s="1346"/>
      <c r="L213" s="1346"/>
      <c r="M213" s="1347"/>
      <c r="N213" s="1346"/>
      <c r="O213" s="1346"/>
      <c r="P213" s="1348"/>
    </row>
    <row r="214" spans="3:16" ht="15.75" hidden="1" customHeight="1">
      <c r="C214" s="396" t="s">
        <v>682</v>
      </c>
      <c r="D214" s="1346"/>
      <c r="E214" s="1347"/>
      <c r="F214" s="1346"/>
      <c r="G214" s="1346"/>
      <c r="H214" s="1346"/>
      <c r="I214" s="1347"/>
      <c r="J214" s="1346"/>
      <c r="K214" s="1346"/>
      <c r="L214" s="1346"/>
      <c r="M214" s="1347"/>
      <c r="N214" s="1346"/>
      <c r="O214" s="1346"/>
      <c r="P214" s="1348"/>
    </row>
    <row r="215" spans="3:16" ht="15.75" hidden="1" customHeight="1">
      <c r="C215" s="396" t="s">
        <v>683</v>
      </c>
      <c r="D215" s="1346"/>
      <c r="E215" s="1347"/>
      <c r="F215" s="1346"/>
      <c r="G215" s="1346"/>
      <c r="H215" s="1346"/>
      <c r="I215" s="1347"/>
      <c r="J215" s="1346"/>
      <c r="K215" s="1346"/>
      <c r="L215" s="1346"/>
      <c r="M215" s="1347"/>
      <c r="N215" s="1346"/>
      <c r="O215" s="1346"/>
      <c r="P215" s="1348"/>
    </row>
    <row r="216" spans="3:16" ht="15.75" hidden="1" customHeight="1">
      <c r="C216" s="396" t="s">
        <v>684</v>
      </c>
      <c r="D216" s="1346"/>
      <c r="E216" s="1347"/>
      <c r="F216" s="1346"/>
      <c r="G216" s="1346"/>
      <c r="H216" s="1346"/>
      <c r="I216" s="1347"/>
      <c r="J216" s="1346"/>
      <c r="K216" s="1346"/>
      <c r="L216" s="1346"/>
      <c r="M216" s="1347"/>
      <c r="N216" s="1346"/>
      <c r="O216" s="1346"/>
      <c r="P216" s="1348"/>
    </row>
    <row r="217" spans="3:16" ht="15.75" hidden="1" customHeight="1">
      <c r="C217" s="396" t="s">
        <v>685</v>
      </c>
      <c r="D217" s="1346"/>
      <c r="E217" s="1347"/>
      <c r="F217" s="1346"/>
      <c r="G217" s="1346"/>
      <c r="H217" s="1346"/>
      <c r="I217" s="1347"/>
      <c r="J217" s="1346"/>
      <c r="K217" s="1346"/>
      <c r="L217" s="1346"/>
      <c r="M217" s="1347"/>
      <c r="N217" s="1346"/>
      <c r="O217" s="1346"/>
      <c r="P217" s="1348"/>
    </row>
    <row r="218" spans="3:16" ht="15.75" hidden="1" customHeight="1">
      <c r="C218" s="1342" t="s">
        <v>635</v>
      </c>
      <c r="D218" s="1343"/>
      <c r="E218" s="395">
        <f>SUM(E219:E224)</f>
        <v>0</v>
      </c>
      <c r="F218" s="1345">
        <f t="shared" ref="F218:P218" si="86">SUM(F219:F224)</f>
        <v>0</v>
      </c>
      <c r="G218" s="1345">
        <f t="shared" si="86"/>
        <v>0</v>
      </c>
      <c r="H218" s="1345">
        <f t="shared" si="86"/>
        <v>0</v>
      </c>
      <c r="I218" s="395">
        <f t="shared" si="86"/>
        <v>0</v>
      </c>
      <c r="J218" s="1343">
        <f t="shared" si="86"/>
        <v>0</v>
      </c>
      <c r="K218" s="1343">
        <f t="shared" si="86"/>
        <v>0</v>
      </c>
      <c r="L218" s="1343">
        <f t="shared" si="86"/>
        <v>0</v>
      </c>
      <c r="M218" s="395">
        <f t="shared" si="86"/>
        <v>0</v>
      </c>
      <c r="N218" s="1343">
        <f t="shared" si="86"/>
        <v>0</v>
      </c>
      <c r="O218" s="1343">
        <f t="shared" si="86"/>
        <v>0</v>
      </c>
      <c r="P218" s="1344">
        <f t="shared" si="86"/>
        <v>0</v>
      </c>
    </row>
    <row r="219" spans="3:16" ht="15.75" hidden="1" customHeight="1">
      <c r="C219" s="396" t="s">
        <v>699</v>
      </c>
      <c r="D219" s="1346"/>
      <c r="E219" s="1347"/>
      <c r="F219" s="1346"/>
      <c r="G219" s="1346"/>
      <c r="H219" s="1346"/>
      <c r="I219" s="1347"/>
      <c r="J219" s="1346"/>
      <c r="K219" s="1346"/>
      <c r="L219" s="1346"/>
      <c r="M219" s="1347"/>
      <c r="N219" s="1346"/>
      <c r="O219" s="1346"/>
      <c r="P219" s="1348"/>
    </row>
    <row r="220" spans="3:16" ht="15.75" hidden="1" customHeight="1">
      <c r="C220" s="396" t="s">
        <v>700</v>
      </c>
      <c r="D220" s="1346"/>
      <c r="E220" s="1347"/>
      <c r="F220" s="1346"/>
      <c r="G220" s="1346"/>
      <c r="H220" s="1346"/>
      <c r="I220" s="1347"/>
      <c r="J220" s="1346"/>
      <c r="K220" s="1346"/>
      <c r="L220" s="1346"/>
      <c r="M220" s="1347"/>
      <c r="N220" s="1346"/>
      <c r="O220" s="1346"/>
      <c r="P220" s="1348"/>
    </row>
    <row r="221" spans="3:16" ht="15.75" hidden="1" customHeight="1">
      <c r="C221" s="396" t="s">
        <v>701</v>
      </c>
      <c r="D221" s="1346"/>
      <c r="E221" s="1347"/>
      <c r="F221" s="1346"/>
      <c r="G221" s="1346"/>
      <c r="H221" s="1346"/>
      <c r="I221" s="1347"/>
      <c r="J221" s="1346"/>
      <c r="K221" s="1346"/>
      <c r="L221" s="1346"/>
      <c r="M221" s="1347"/>
      <c r="N221" s="1346"/>
      <c r="O221" s="1346"/>
      <c r="P221" s="1348"/>
    </row>
    <row r="222" spans="3:16" ht="15.75" hidden="1" customHeight="1">
      <c r="C222" s="396" t="s">
        <v>592</v>
      </c>
      <c r="D222" s="1346"/>
      <c r="E222" s="1347"/>
      <c r="F222" s="1346"/>
      <c r="G222" s="1346"/>
      <c r="H222" s="1346"/>
      <c r="I222" s="1347"/>
      <c r="J222" s="1346"/>
      <c r="K222" s="1346"/>
      <c r="L222" s="1346"/>
      <c r="M222" s="1347"/>
      <c r="N222" s="1346"/>
      <c r="O222" s="1346"/>
      <c r="P222" s="1348"/>
    </row>
    <row r="223" spans="3:16" ht="15.75" hidden="1" customHeight="1">
      <c r="C223" s="396" t="s">
        <v>702</v>
      </c>
      <c r="D223" s="1346"/>
      <c r="E223" s="1347"/>
      <c r="F223" s="1346"/>
      <c r="G223" s="1346"/>
      <c r="H223" s="1346"/>
      <c r="I223" s="1347"/>
      <c r="J223" s="1346"/>
      <c r="K223" s="1346"/>
      <c r="L223" s="1346"/>
      <c r="M223" s="1347"/>
      <c r="N223" s="1346"/>
      <c r="O223" s="1346"/>
      <c r="P223" s="1348"/>
    </row>
    <row r="224" spans="3:16" ht="15.75" hidden="1" customHeight="1">
      <c r="C224" s="396" t="s">
        <v>703</v>
      </c>
      <c r="D224" s="1346"/>
      <c r="E224" s="1347"/>
      <c r="F224" s="1346"/>
      <c r="G224" s="1346"/>
      <c r="H224" s="1346"/>
      <c r="I224" s="1347"/>
      <c r="J224" s="1346"/>
      <c r="K224" s="1346"/>
      <c r="L224" s="1346"/>
      <c r="M224" s="1347"/>
      <c r="N224" s="1346"/>
      <c r="O224" s="1346"/>
      <c r="P224" s="1348"/>
    </row>
    <row r="225" spans="3:16" ht="15.75" hidden="1" customHeight="1">
      <c r="C225" s="1342" t="s">
        <v>636</v>
      </c>
      <c r="D225" s="1343"/>
      <c r="E225" s="395">
        <f>SUM(E226:E229)</f>
        <v>0</v>
      </c>
      <c r="F225" s="395">
        <f t="shared" ref="F225:P225" si="87">SUM(F226:F229)</f>
        <v>0</v>
      </c>
      <c r="G225" s="395">
        <f t="shared" si="87"/>
        <v>0</v>
      </c>
      <c r="H225" s="395">
        <f t="shared" si="87"/>
        <v>0</v>
      </c>
      <c r="I225" s="395">
        <f t="shared" si="87"/>
        <v>0</v>
      </c>
      <c r="J225" s="395">
        <f t="shared" si="87"/>
        <v>0</v>
      </c>
      <c r="K225" s="395">
        <f t="shared" si="87"/>
        <v>0</v>
      </c>
      <c r="L225" s="395">
        <f t="shared" si="87"/>
        <v>0</v>
      </c>
      <c r="M225" s="395">
        <f t="shared" si="87"/>
        <v>0</v>
      </c>
      <c r="N225" s="395">
        <f t="shared" si="87"/>
        <v>0</v>
      </c>
      <c r="O225" s="395">
        <f t="shared" si="87"/>
        <v>0</v>
      </c>
      <c r="P225" s="1352">
        <f t="shared" si="87"/>
        <v>0</v>
      </c>
    </row>
    <row r="226" spans="3:16" ht="15.75" hidden="1" customHeight="1">
      <c r="C226" s="396" t="s">
        <v>708</v>
      </c>
      <c r="D226" s="1346"/>
      <c r="E226" s="1347"/>
      <c r="F226" s="1346"/>
      <c r="G226" s="1346"/>
      <c r="H226" s="1346"/>
      <c r="I226" s="1347"/>
      <c r="J226" s="1346"/>
      <c r="K226" s="1346"/>
      <c r="L226" s="1346"/>
      <c r="M226" s="1347"/>
      <c r="N226" s="1346"/>
      <c r="O226" s="1346"/>
      <c r="P226" s="1348"/>
    </row>
    <row r="227" spans="3:16" ht="15.75" hidden="1" customHeight="1">
      <c r="C227" s="396" t="s">
        <v>687</v>
      </c>
      <c r="D227" s="1346"/>
      <c r="E227" s="1347"/>
      <c r="F227" s="1346"/>
      <c r="G227" s="1346"/>
      <c r="H227" s="1346"/>
      <c r="I227" s="1347"/>
      <c r="J227" s="1346"/>
      <c r="K227" s="1346"/>
      <c r="L227" s="1346"/>
      <c r="M227" s="1347"/>
      <c r="N227" s="1346"/>
      <c r="O227" s="1346"/>
      <c r="P227" s="1348"/>
    </row>
    <row r="228" spans="3:16" ht="15.75" hidden="1" customHeight="1">
      <c r="C228" s="396" t="s">
        <v>688</v>
      </c>
      <c r="D228" s="1346"/>
      <c r="E228" s="1347"/>
      <c r="F228" s="1346"/>
      <c r="G228" s="1346"/>
      <c r="H228" s="1346"/>
      <c r="I228" s="1347"/>
      <c r="J228" s="1346"/>
      <c r="K228" s="1346"/>
      <c r="L228" s="1346"/>
      <c r="M228" s="1347"/>
      <c r="N228" s="1346"/>
      <c r="O228" s="1346"/>
      <c r="P228" s="1348"/>
    </row>
    <row r="229" spans="3:16" ht="15.75" hidden="1" customHeight="1">
      <c r="C229" s="396" t="s">
        <v>704</v>
      </c>
      <c r="D229" s="1346"/>
      <c r="E229" s="1347"/>
      <c r="F229" s="1346"/>
      <c r="G229" s="1346"/>
      <c r="H229" s="1346"/>
      <c r="I229" s="1347"/>
      <c r="J229" s="1346"/>
      <c r="K229" s="1346"/>
      <c r="L229" s="1346"/>
      <c r="M229" s="1347"/>
      <c r="N229" s="1346"/>
      <c r="O229" s="1346"/>
      <c r="P229" s="1348"/>
    </row>
    <row r="230" spans="3:16" ht="15.75" hidden="1" customHeight="1">
      <c r="C230" s="1342" t="s">
        <v>639</v>
      </c>
      <c r="D230" s="1343"/>
      <c r="E230" s="395">
        <f t="shared" ref="E230:P230" si="88">SUM(E231:E232)</f>
        <v>0</v>
      </c>
      <c r="F230" s="395">
        <f t="shared" si="88"/>
        <v>0</v>
      </c>
      <c r="G230" s="395">
        <f t="shared" si="88"/>
        <v>0</v>
      </c>
      <c r="H230" s="395">
        <f t="shared" si="88"/>
        <v>0</v>
      </c>
      <c r="I230" s="395">
        <f t="shared" si="88"/>
        <v>0</v>
      </c>
      <c r="J230" s="395">
        <f t="shared" si="88"/>
        <v>0</v>
      </c>
      <c r="K230" s="395">
        <f t="shared" si="88"/>
        <v>0</v>
      </c>
      <c r="L230" s="395">
        <f t="shared" si="88"/>
        <v>0</v>
      </c>
      <c r="M230" s="395">
        <f t="shared" si="88"/>
        <v>0</v>
      </c>
      <c r="N230" s="395">
        <f t="shared" si="88"/>
        <v>0</v>
      </c>
      <c r="O230" s="395">
        <f t="shared" si="88"/>
        <v>0</v>
      </c>
      <c r="P230" s="1352">
        <f t="shared" si="88"/>
        <v>0</v>
      </c>
    </row>
    <row r="231" spans="3:16" ht="15.75" hidden="1" customHeight="1">
      <c r="C231" s="396" t="s">
        <v>692</v>
      </c>
      <c r="D231" s="1346"/>
      <c r="E231" s="1347"/>
      <c r="F231" s="1346"/>
      <c r="G231" s="1346"/>
      <c r="H231" s="1346"/>
      <c r="I231" s="1347"/>
      <c r="J231" s="1346"/>
      <c r="K231" s="1346"/>
      <c r="L231" s="1346"/>
      <c r="M231" s="1347"/>
      <c r="N231" s="1346"/>
      <c r="O231" s="1346"/>
      <c r="P231" s="1348"/>
    </row>
    <row r="232" spans="3:16" ht="15.75" hidden="1" customHeight="1">
      <c r="C232" s="396" t="s">
        <v>707</v>
      </c>
      <c r="D232" s="1346"/>
      <c r="E232" s="1347"/>
      <c r="F232" s="1346"/>
      <c r="G232" s="1346"/>
      <c r="H232" s="1346"/>
      <c r="I232" s="1347"/>
      <c r="J232" s="1346"/>
      <c r="K232" s="1346"/>
      <c r="L232" s="1346"/>
      <c r="M232" s="1347"/>
      <c r="N232" s="1346"/>
      <c r="O232" s="1346"/>
      <c r="P232" s="1348"/>
    </row>
    <row r="233" spans="3:16" ht="15.75" hidden="1" customHeight="1">
      <c r="C233" s="1331" t="s">
        <v>643</v>
      </c>
      <c r="D233" s="1361"/>
      <c r="E233" s="1362">
        <f>E132+E135+E161+E185</f>
        <v>0</v>
      </c>
      <c r="F233" s="1332">
        <f>F132+F135+F161+F185</f>
        <v>0</v>
      </c>
      <c r="G233" s="1361"/>
      <c r="H233" s="1332">
        <f>H132+H135+H161+H185</f>
        <v>0</v>
      </c>
      <c r="I233" s="1362">
        <f>I132+I135+I161+I185</f>
        <v>0</v>
      </c>
      <c r="J233" s="1332">
        <f>J132+J135+J161+J185</f>
        <v>0</v>
      </c>
      <c r="K233" s="1361"/>
      <c r="L233" s="1332">
        <f>L132+L135+L161+L185</f>
        <v>0</v>
      </c>
      <c r="M233" s="1362">
        <f>M132+M135+M161+M185</f>
        <v>0</v>
      </c>
      <c r="N233" s="1332">
        <f>N132+N135+N161+N185</f>
        <v>0</v>
      </c>
      <c r="O233" s="1332"/>
      <c r="P233" s="1333">
        <f>P132+P135+P161+P185</f>
        <v>0</v>
      </c>
    </row>
    <row r="234" spans="3:16" ht="15.75" hidden="1" customHeight="1" thickBot="1">
      <c r="C234" s="1363" t="s">
        <v>644</v>
      </c>
      <c r="D234" s="1364"/>
      <c r="E234" s="1365">
        <f>E132+E233</f>
        <v>0</v>
      </c>
      <c r="F234" s="398">
        <f>F132+F233</f>
        <v>0</v>
      </c>
      <c r="G234" s="1364"/>
      <c r="H234" s="398">
        <f>H132+H233</f>
        <v>0</v>
      </c>
      <c r="I234" s="1365">
        <f>I132+I233</f>
        <v>0</v>
      </c>
      <c r="J234" s="398">
        <f>J132+J233</f>
        <v>0</v>
      </c>
      <c r="K234" s="1364"/>
      <c r="L234" s="398">
        <f>L132+L233</f>
        <v>0</v>
      </c>
      <c r="M234" s="1365">
        <f>M132+M233</f>
        <v>0</v>
      </c>
      <c r="N234" s="398">
        <f>N132+N233</f>
        <v>0</v>
      </c>
      <c r="O234" s="398"/>
      <c r="P234" s="1366">
        <f>P132+P233</f>
        <v>0</v>
      </c>
    </row>
    <row r="235" spans="3:16" ht="15.75" hidden="1" customHeight="1"/>
    <row r="236" spans="3:16" ht="15.75" customHeight="1">
      <c r="N236" s="1503"/>
    </row>
    <row r="237" spans="3:16" ht="15.75" customHeight="1">
      <c r="N237" s="1503"/>
    </row>
  </sheetData>
  <mergeCells count="14">
    <mergeCell ref="E123:H123"/>
    <mergeCell ref="I123:L123"/>
    <mergeCell ref="M123:P123"/>
    <mergeCell ref="F124:H124"/>
    <mergeCell ref="J124:L124"/>
    <mergeCell ref="N124:P124"/>
    <mergeCell ref="F8:H8"/>
    <mergeCell ref="J8:L8"/>
    <mergeCell ref="N8:P8"/>
    <mergeCell ref="C4:J4"/>
    <mergeCell ref="C5:J5"/>
    <mergeCell ref="E7:H7"/>
    <mergeCell ref="I7:L7"/>
    <mergeCell ref="M7:P7"/>
  </mergeCells>
  <phoneticPr fontId="11" type="noConversion"/>
  <dataValidations count="2">
    <dataValidation type="decimal" allowBlank="1" showInputMessage="1" showErrorMessage="1" sqref="E3:H3 H225:H232 K212:M217 E209:E230 J230 F230 O212:P217 L225:L232 P225:P232 J225 F225 N230 K219:M224 G212:I217 G225:G230 F218:P218 G219:I224 O219:P224 F211:P211 G210:I210 K210:M210 O210:P210 N225 F209:P209 O225:O230 M225:M230 K225:K230 I225:I230 I201:I206 K201:K206 M201:M206 O201:O206 F185:P185 N201 O186:P186 K186:M186 G186:I186 F187:P187 O195:P200 G195:I200 F194:P194 G201:G206 G188:I193 K195:M200 N206 F201 J201 P201:P208 L201:L208 O188:P193 F206 J206 K188:M193 H201:H208 G164:I169 O164:P169 K164:M169 K171:M176 O183:P184 G183:I184 K183:M184 F182:P182 O178:P181 G178:I181 K178:M181 F177:P177 G171:I176 O171:P176 F163:P163 K162:M162 O162:P162 G162:I162 F161:P161 F170:P170 E126:P131 E133:M134 N133:P135 F135:M135 K136:M136 G136:I136 O136:P136 F137:P137 O138:P143 K138:M143 F144:P144 O145:P150 K145:M150 G145:I150 F151:P151 N156 F156 J156 G152:I160 O152:P160 K152:M160 E135:E206 G138:I143 Q48:AF48 Q91:AF91 Q75:AF75 N17:P19 E10:P15 E17:M18 H109:H116 K96:M101 E93:E114 J114 F114 O96:P101 L109:L116 P109:P116 J109 F109 N114 K103:M108 G96:I101 G109:G114 F102:P102 G103:I108 O103:P108 F95:P95 G94:I94 K94:M94 O94:P94 N109 F93:P93 O109:O114 M109:M114 K109:K114 I109:I114 O85:O90 F69:P69 N85 O70:P70 K70:M70 G70:I70 F71:P71 K55:M60 O79:P84 F78:P78 G72:I77 H79:H92 N90 F85 J85 P85:P92 O72:P77 F90 J90 K72:M77 K29:M34 O48:P53 K48:M53 G48:I53 O67:P68 G67:I68 K67:M68 F66:P66 O62:P65 G62:I65 K62:M65 F61:P61 G55:I60 O55:P60 F47:P47 K46:M46 O46:P46 G46:I46 F45:P45 F54:P54 F19:M19 K20:M20 G20:I20 O20:P20 F21:P21 O22:P27 K22:M27 F28:P28 O29:P34 G29:I34 G23:G27 F35:P35 N40 F40 J40 G36:I44 O36:P44 K36:M44 E19:E90 H22:I27 G79:G90 I79:I90 K79:K90 M79:M90 L79:L92">
      <formula1>0</formula1>
      <formula2>9.99999999999999E+31</formula2>
    </dataValidation>
    <dataValidation type="decimal" allowBlank="1" showInputMessage="1" showErrorMessage="1" sqref="E16:P16 E132:P132">
      <formula1>-9.99999999999999E+21</formula1>
      <formula2>9.99999999999999E+28</formula2>
    </dataValidation>
  </dataValidations>
  <hyperlinks>
    <hyperlink ref="A1" location="Index!A1" display="Index Sheet"/>
  </hyperlinks>
  <printOptions horizontalCentered="1"/>
  <pageMargins left="0.51181102362204722" right="0.51181102362204722" top="0.51181102362204722" bottom="0.51181102362204722" header="0.23622047244094491" footer="0.23622047244094491"/>
  <pageSetup paperSize="9" scale="73" fitToHeight="3" pageOrder="overThenDown" orientation="landscape" blackAndWhite="1" r:id="rId1"/>
  <headerFooter alignWithMargins="0"/>
  <rowBreaks count="2" manualBreakCount="2">
    <brk id="56" max="15" man="1"/>
    <brk id="119" max="16383" man="1"/>
  </rowBreaks>
</worksheet>
</file>

<file path=xl/worksheets/sheet33.xml><?xml version="1.0" encoding="utf-8"?>
<worksheet xmlns="http://schemas.openxmlformats.org/spreadsheetml/2006/main" xmlns:r="http://schemas.openxmlformats.org/officeDocument/2006/relationships">
  <sheetPr codeName="Sheet30"/>
  <dimension ref="A1:K24"/>
  <sheetViews>
    <sheetView view="pageBreakPreview" zoomScaleNormal="136" zoomScaleSheetLayoutView="100" workbookViewId="0">
      <selection activeCell="C18" sqref="C18:G18"/>
    </sheetView>
  </sheetViews>
  <sheetFormatPr defaultRowHeight="12.75"/>
  <cols>
    <col min="1" max="1" width="9.140625" style="121"/>
    <col min="2" max="2" width="0" style="121" hidden="1" customWidth="1"/>
    <col min="3" max="3" width="37.42578125" style="121" customWidth="1"/>
    <col min="4" max="4" width="9.140625" style="121"/>
    <col min="5" max="5" width="12.5703125" style="121" hidden="1" customWidth="1"/>
    <col min="6" max="6" width="11.7109375" style="121" customWidth="1"/>
    <col min="7" max="7" width="12.5703125" style="121" customWidth="1"/>
    <col min="8" max="8" width="13.5703125" style="121" customWidth="1"/>
    <col min="9" max="9" width="11.7109375" style="121" customWidth="1"/>
    <col min="10" max="10" width="11" style="121" customWidth="1"/>
    <col min="11" max="11" width="13.7109375" style="121" customWidth="1"/>
    <col min="12" max="16384" width="9.140625" style="121"/>
  </cols>
  <sheetData>
    <row r="1" spans="1:11">
      <c r="A1" s="371" t="s">
        <v>396</v>
      </c>
    </row>
    <row r="3" spans="1:11">
      <c r="C3" s="305" t="s">
        <v>176</v>
      </c>
      <c r="D3" s="1917" t="s">
        <v>177</v>
      </c>
      <c r="E3" s="1917"/>
      <c r="F3" s="1917"/>
      <c r="G3" s="1917"/>
      <c r="H3" s="1917"/>
    </row>
    <row r="4" spans="1:11">
      <c r="C4" s="305"/>
      <c r="D4" s="372"/>
      <c r="E4" s="372"/>
      <c r="F4" s="372"/>
      <c r="G4" s="372"/>
      <c r="H4" s="372"/>
    </row>
    <row r="5" spans="1:11" ht="30.75" customHeight="1">
      <c r="C5" s="1918" t="s">
        <v>532</v>
      </c>
      <c r="D5" s="1918"/>
      <c r="E5" s="1918"/>
      <c r="F5" s="1918"/>
      <c r="G5" s="1918"/>
      <c r="H5" s="373"/>
      <c r="I5" s="373"/>
      <c r="J5" s="373"/>
      <c r="K5" s="374"/>
    </row>
    <row r="6" spans="1:11" ht="16.5" customHeight="1">
      <c r="C6" s="375"/>
      <c r="D6" s="375"/>
      <c r="E6" s="375"/>
      <c r="F6" s="375"/>
      <c r="G6" s="375"/>
      <c r="H6" s="375"/>
      <c r="I6" s="375"/>
      <c r="J6" s="375"/>
      <c r="K6" s="375"/>
    </row>
    <row r="7" spans="1:11" ht="16.5" customHeight="1" thickBot="1">
      <c r="C7" s="304"/>
      <c r="D7" s="304"/>
      <c r="E7" s="304"/>
      <c r="F7" s="304"/>
      <c r="G7" s="304"/>
      <c r="H7" s="304"/>
      <c r="I7" s="304"/>
      <c r="J7" s="304"/>
      <c r="K7" s="304"/>
    </row>
    <row r="8" spans="1:11" ht="31.5" customHeight="1">
      <c r="C8" s="267" t="s">
        <v>376</v>
      </c>
      <c r="D8" s="268" t="s">
        <v>140</v>
      </c>
      <c r="E8" s="268" t="s">
        <v>645</v>
      </c>
      <c r="F8" s="268" t="str">
        <f>Notes!$C$5</f>
        <v>Base Year</v>
      </c>
      <c r="G8" s="269" t="str">
        <f>Notes!$C$6</f>
        <v>FY 2024-25</v>
      </c>
      <c r="H8" s="1076" t="str">
        <f>Notes!$C$7</f>
        <v>FY 2025-26</v>
      </c>
      <c r="I8" s="268" t="str">
        <f>Notes!$C$8</f>
        <v>FY 2026-27</v>
      </c>
      <c r="J8" s="268" t="str">
        <f>Notes!$C$9</f>
        <v>FY 2027-28</v>
      </c>
      <c r="K8" s="269" t="str">
        <f>Notes!$C$10</f>
        <v>FY 2028-29</v>
      </c>
    </row>
    <row r="9" spans="1:11" s="304" customFormat="1" ht="24" customHeight="1">
      <c r="B9" s="304">
        <v>10018</v>
      </c>
      <c r="C9" s="276" t="s">
        <v>1131</v>
      </c>
      <c r="D9" s="272"/>
      <c r="E9" s="272">
        <v>263.24</v>
      </c>
      <c r="F9" s="272">
        <v>346.02</v>
      </c>
      <c r="G9" s="273">
        <f>F9*5%+F9</f>
        <v>363.32099999999997</v>
      </c>
      <c r="H9" s="1367"/>
      <c r="I9" s="272"/>
      <c r="J9" s="272"/>
      <c r="K9" s="273"/>
    </row>
    <row r="10" spans="1:11" s="304" customFormat="1" ht="24" customHeight="1">
      <c r="B10" s="304">
        <v>10006</v>
      </c>
      <c r="C10" s="276" t="s">
        <v>845</v>
      </c>
      <c r="D10" s="272"/>
      <c r="E10" s="272">
        <v>7.3025152390000017</v>
      </c>
      <c r="F10" s="272">
        <v>4.18</v>
      </c>
      <c r="G10" s="273">
        <f>F10*5%+F10</f>
        <v>4.3889999999999993</v>
      </c>
      <c r="H10" s="1367"/>
      <c r="I10" s="272"/>
      <c r="J10" s="272"/>
      <c r="K10" s="273"/>
    </row>
    <row r="11" spans="1:11" s="304" customFormat="1" ht="24" customHeight="1">
      <c r="B11" s="304">
        <v>10009</v>
      </c>
      <c r="C11" s="1052" t="s">
        <v>846</v>
      </c>
      <c r="D11" s="272"/>
      <c r="E11" s="272">
        <v>53.641079109000003</v>
      </c>
      <c r="F11" s="272">
        <v>45.46</v>
      </c>
      <c r="G11" s="273">
        <f>F11*5%+F11</f>
        <v>47.733000000000004</v>
      </c>
      <c r="H11" s="1367"/>
      <c r="I11" s="272"/>
      <c r="J11" s="272"/>
      <c r="K11" s="273"/>
    </row>
    <row r="12" spans="1:11" s="304" customFormat="1" ht="24" customHeight="1">
      <c r="B12" s="304">
        <v>10031</v>
      </c>
      <c r="C12" s="276" t="s">
        <v>847</v>
      </c>
      <c r="D12" s="272"/>
      <c r="E12" s="272">
        <v>8.3056217879999998</v>
      </c>
      <c r="F12" s="272">
        <v>4.6900000000000004</v>
      </c>
      <c r="G12" s="273">
        <v>0</v>
      </c>
      <c r="H12" s="1367"/>
      <c r="I12" s="272"/>
      <c r="J12" s="272"/>
      <c r="K12" s="273"/>
    </row>
    <row r="13" spans="1:11" s="304" customFormat="1" ht="24" customHeight="1">
      <c r="B13" s="304">
        <v>10025</v>
      </c>
      <c r="C13" s="276" t="s">
        <v>848</v>
      </c>
      <c r="D13" s="272"/>
      <c r="E13" s="272">
        <v>17.6753818</v>
      </c>
      <c r="F13" s="272">
        <v>16.3</v>
      </c>
      <c r="G13" s="273">
        <f>F13*5%+F13</f>
        <v>17.115000000000002</v>
      </c>
      <c r="H13" s="1367"/>
      <c r="I13" s="272"/>
      <c r="J13" s="272"/>
      <c r="K13" s="273"/>
    </row>
    <row r="14" spans="1:11" s="304" customFormat="1" ht="24" hidden="1" customHeight="1">
      <c r="B14" s="304">
        <v>10013</v>
      </c>
      <c r="C14" s="276"/>
      <c r="D14" s="272"/>
      <c r="E14" s="272"/>
      <c r="F14" s="272"/>
      <c r="G14" s="273"/>
      <c r="H14" s="1367"/>
      <c r="I14" s="272"/>
      <c r="J14" s="272"/>
      <c r="K14" s="273"/>
    </row>
    <row r="15" spans="1:11" ht="13.5" hidden="1" customHeight="1">
      <c r="C15" s="276"/>
      <c r="D15" s="379"/>
      <c r="E15" s="379"/>
      <c r="F15" s="379"/>
      <c r="G15" s="273"/>
      <c r="H15" s="1367"/>
      <c r="I15" s="272"/>
      <c r="J15" s="272"/>
      <c r="K15" s="273"/>
    </row>
    <row r="16" spans="1:11" ht="12" hidden="1" customHeight="1">
      <c r="C16" s="276"/>
      <c r="D16" s="379"/>
      <c r="E16" s="379"/>
      <c r="F16" s="379"/>
      <c r="G16" s="273"/>
      <c r="H16" s="1367"/>
      <c r="I16" s="272"/>
      <c r="J16" s="272"/>
      <c r="K16" s="273"/>
    </row>
    <row r="17" spans="3:11" ht="22.5" customHeight="1" thickBot="1">
      <c r="C17" s="278" t="s">
        <v>178</v>
      </c>
      <c r="D17" s="279"/>
      <c r="E17" s="280">
        <f>SUM(E9:E16)</f>
        <v>350.16459793600006</v>
      </c>
      <c r="F17" s="280">
        <f t="shared" ref="F17:K17" si="0">SUM(F9:F16)</f>
        <v>416.65</v>
      </c>
      <c r="G17" s="281">
        <f t="shared" si="0"/>
        <v>432.55799999999999</v>
      </c>
      <c r="H17" s="1368">
        <f t="shared" si="0"/>
        <v>0</v>
      </c>
      <c r="I17" s="280">
        <f t="shared" si="0"/>
        <v>0</v>
      </c>
      <c r="J17" s="280">
        <f t="shared" si="0"/>
        <v>0</v>
      </c>
      <c r="K17" s="281">
        <f t="shared" si="0"/>
        <v>0</v>
      </c>
    </row>
    <row r="18" spans="3:11" ht="18" customHeight="1"/>
    <row r="19" spans="3:11" ht="22.5" customHeight="1"/>
    <row r="20" spans="3:11" ht="22.5" customHeight="1"/>
    <row r="21" spans="3:11" ht="22.5" customHeight="1"/>
    <row r="22" spans="3:11" ht="22.5" customHeight="1"/>
    <row r="23" spans="3:11" ht="22.5" customHeight="1"/>
    <row r="24" spans="3:11" ht="22.5" customHeight="1"/>
  </sheetData>
  <protectedRanges>
    <protectedRange sqref="F9" name="Form 10"/>
    <protectedRange sqref="F10:F14" name="Form 10_1"/>
  </protectedRanges>
  <mergeCells count="2">
    <mergeCell ref="D3:H3"/>
    <mergeCell ref="C5:G5"/>
  </mergeCells>
  <phoneticPr fontId="11" type="noConversion"/>
  <dataValidations count="2">
    <dataValidation type="decimal" allowBlank="1" showInputMessage="1" showErrorMessage="1" sqref="E17:F17 H9:H14 G15:J65514 G1:K4 G7:K7 K16:K65514">
      <formula1>0</formula1>
      <formula2>9.99999999999999E+29</formula2>
    </dataValidation>
    <dataValidation type="decimal" allowBlank="1" showInputMessage="1" showErrorMessage="1" error="Enter in number format only" sqref="F9:F14">
      <formula1>-1000000000000000</formula1>
      <formula2>10000000000000000</formula2>
    </dataValidation>
  </dataValidations>
  <hyperlinks>
    <hyperlink ref="A1" location="Index!A1" display="Index sheet"/>
  </hyperlinks>
  <printOptions horizontalCentered="1"/>
  <pageMargins left="0.51181102362204722" right="0.51181102362204722" top="0.74803149606299213" bottom="0.51181102362204722" header="0.23622047244094491" footer="0.23622047244094491"/>
  <pageSetup paperSize="9" scale="120" orientation="landscape" blackAndWhite="1" r:id="rId1"/>
  <headerFooter alignWithMargins="0"/>
</worksheet>
</file>

<file path=xl/worksheets/sheet34.xml><?xml version="1.0" encoding="utf-8"?>
<worksheet xmlns="http://schemas.openxmlformats.org/spreadsheetml/2006/main" xmlns:r="http://schemas.openxmlformats.org/officeDocument/2006/relationships">
  <sheetPr codeName="Sheet31"/>
  <dimension ref="A1:AC536"/>
  <sheetViews>
    <sheetView view="pageBreakPreview" topLeftCell="A505" zoomScale="70" zoomScaleSheetLayoutView="70" workbookViewId="0">
      <selection activeCell="M533" sqref="M533"/>
    </sheetView>
  </sheetViews>
  <sheetFormatPr defaultRowHeight="10.5"/>
  <cols>
    <col min="1" max="1" width="3.85546875" style="92" customWidth="1"/>
    <col min="2" max="2" width="47.28515625" style="92" customWidth="1"/>
    <col min="3" max="3" width="13.7109375" style="325" customWidth="1"/>
    <col min="4" max="4" width="11.140625" style="326" customWidth="1"/>
    <col min="5" max="5" width="10" style="326" bestFit="1" customWidth="1"/>
    <col min="6" max="6" width="9.7109375" style="326" bestFit="1" customWidth="1"/>
    <col min="7" max="7" width="10" style="326" bestFit="1" customWidth="1"/>
    <col min="8" max="8" width="13.140625" style="324" customWidth="1"/>
    <col min="9" max="9" width="7.28515625" style="324" customWidth="1"/>
    <col min="10" max="10" width="13.5703125" style="324" customWidth="1"/>
    <col min="11" max="11" width="13.5703125" style="324" bestFit="1" customWidth="1"/>
    <col min="12" max="13" width="13.5703125" style="324" customWidth="1"/>
    <col min="14" max="14" width="13.28515625" style="324" customWidth="1"/>
    <col min="15" max="15" width="11.140625" style="324" customWidth="1"/>
    <col min="16" max="16" width="10.5703125" style="324" bestFit="1" customWidth="1"/>
    <col min="17" max="17" width="10" style="324" bestFit="1" customWidth="1"/>
    <col min="18" max="18" width="7.140625" style="324" bestFit="1" customWidth="1"/>
    <col min="19" max="19" width="12.42578125" style="324" customWidth="1"/>
    <col min="20" max="20" width="9.5703125" style="324" bestFit="1" customWidth="1"/>
    <col min="21" max="21" width="12.5703125" style="324" customWidth="1"/>
    <col min="22" max="22" width="8.42578125" style="324" customWidth="1"/>
    <col min="23" max="23" width="6.85546875" style="324" customWidth="1"/>
    <col min="24" max="24" width="8.28515625" style="324" customWidth="1"/>
    <col min="25" max="25" width="8" style="324" customWidth="1"/>
    <col min="26" max="26" width="8.140625" style="324" customWidth="1"/>
    <col min="27" max="27" width="12.42578125" style="324" customWidth="1"/>
    <col min="28" max="16384" width="9.140625" style="92"/>
  </cols>
  <sheetData>
    <row r="1" spans="1:27">
      <c r="A1" s="320"/>
      <c r="C1" s="321"/>
      <c r="D1" s="322"/>
      <c r="E1" s="322"/>
      <c r="F1" s="322"/>
      <c r="G1" s="322"/>
      <c r="H1" s="323"/>
      <c r="I1" s="323"/>
    </row>
    <row r="2" spans="1:27">
      <c r="Q2" s="327"/>
    </row>
    <row r="3" spans="1:27">
      <c r="B3" s="91" t="s">
        <v>179</v>
      </c>
      <c r="C3" s="328" t="s">
        <v>428</v>
      </c>
      <c r="D3" s="322"/>
      <c r="E3" s="322"/>
      <c r="F3" s="322"/>
      <c r="G3" s="322"/>
      <c r="H3" s="323"/>
      <c r="I3" s="323"/>
      <c r="J3" s="323"/>
      <c r="K3" s="323"/>
      <c r="L3" s="323"/>
      <c r="M3" s="323"/>
      <c r="N3" s="323"/>
      <c r="O3" s="323"/>
      <c r="P3" s="323"/>
      <c r="Q3" s="323"/>
    </row>
    <row r="4" spans="1:27" ht="98.25" customHeight="1">
      <c r="B4" s="1924" t="s">
        <v>997</v>
      </c>
      <c r="C4" s="1924"/>
      <c r="D4" s="1924"/>
      <c r="E4" s="1924"/>
      <c r="F4" s="1924"/>
      <c r="G4" s="1924"/>
      <c r="H4" s="1924"/>
      <c r="I4" s="1924"/>
      <c r="J4" s="1924"/>
      <c r="K4" s="1924"/>
      <c r="L4" s="1924"/>
      <c r="M4" s="1924"/>
      <c r="N4" s="1924"/>
      <c r="O4" s="1924"/>
      <c r="P4" s="1924"/>
      <c r="Q4" s="1924"/>
      <c r="R4" s="1924"/>
      <c r="S4" s="1924"/>
      <c r="T4" s="1924"/>
      <c r="U4" s="1924"/>
      <c r="V4" s="1924"/>
      <c r="W4" s="1924"/>
      <c r="X4" s="1924"/>
      <c r="Y4" s="1924"/>
      <c r="Z4" s="1924"/>
      <c r="AA4" s="1924"/>
    </row>
    <row r="5" spans="1:27" ht="18" hidden="1" customHeight="1" thickBot="1">
      <c r="B5" s="91" t="s">
        <v>645</v>
      </c>
      <c r="P5" s="324">
        <v>1</v>
      </c>
    </row>
    <row r="6" spans="1:27" ht="26.25" hidden="1" customHeight="1">
      <c r="B6" s="1925" t="s">
        <v>205</v>
      </c>
      <c r="C6" s="1919" t="s">
        <v>201</v>
      </c>
      <c r="D6" s="1919" t="s">
        <v>202</v>
      </c>
      <c r="E6" s="1919"/>
      <c r="F6" s="1919"/>
      <c r="G6" s="1919"/>
      <c r="H6" s="1919" t="s">
        <v>203</v>
      </c>
      <c r="I6" s="1919"/>
      <c r="J6" s="1919"/>
      <c r="K6" s="1919"/>
      <c r="L6" s="1932" t="s">
        <v>1111</v>
      </c>
      <c r="M6" s="1933"/>
      <c r="N6" s="330"/>
      <c r="O6" s="330" t="s">
        <v>204</v>
      </c>
      <c r="P6" s="330"/>
      <c r="Q6" s="330"/>
      <c r="R6" s="330"/>
      <c r="S6" s="330"/>
      <c r="T6" s="1919" t="s">
        <v>1</v>
      </c>
      <c r="U6" s="1919" t="s">
        <v>522</v>
      </c>
      <c r="V6" s="1921" t="s">
        <v>523</v>
      </c>
      <c r="W6" s="1922"/>
      <c r="X6" s="1919" t="s">
        <v>524</v>
      </c>
      <c r="Y6" s="1921" t="s">
        <v>525</v>
      </c>
      <c r="Z6" s="1922"/>
      <c r="AA6" s="1930" t="s">
        <v>526</v>
      </c>
    </row>
    <row r="7" spans="1:27" ht="72" hidden="1" customHeight="1">
      <c r="B7" s="1926"/>
      <c r="C7" s="1927"/>
      <c r="D7" s="329" t="s">
        <v>24</v>
      </c>
      <c r="E7" s="329" t="s">
        <v>23</v>
      </c>
      <c r="F7" s="329" t="s">
        <v>0</v>
      </c>
      <c r="G7" s="329" t="s">
        <v>920</v>
      </c>
      <c r="H7" s="330" t="s">
        <v>9</v>
      </c>
      <c r="I7" s="330" t="s">
        <v>22</v>
      </c>
      <c r="J7" s="330" t="s">
        <v>527</v>
      </c>
      <c r="K7" s="330" t="s">
        <v>528</v>
      </c>
      <c r="L7" s="329" t="s">
        <v>24</v>
      </c>
      <c r="M7" s="330" t="s">
        <v>9</v>
      </c>
      <c r="N7" s="330" t="s">
        <v>8</v>
      </c>
      <c r="O7" s="330" t="s">
        <v>7</v>
      </c>
      <c r="P7" s="330" t="s">
        <v>6</v>
      </c>
      <c r="Q7" s="330" t="s">
        <v>529</v>
      </c>
      <c r="R7" s="330" t="s">
        <v>5</v>
      </c>
      <c r="S7" s="330" t="s">
        <v>4</v>
      </c>
      <c r="T7" s="1920"/>
      <c r="U7" s="1920"/>
      <c r="V7" s="330" t="s">
        <v>2</v>
      </c>
      <c r="W7" s="330" t="s">
        <v>3</v>
      </c>
      <c r="X7" s="1923"/>
      <c r="Y7" s="330" t="s">
        <v>471</v>
      </c>
      <c r="Z7" s="330" t="s">
        <v>450</v>
      </c>
      <c r="AA7" s="1931"/>
    </row>
    <row r="8" spans="1:27" hidden="1">
      <c r="B8" s="230" t="s">
        <v>598</v>
      </c>
      <c r="C8" s="175"/>
      <c r="D8" s="331"/>
      <c r="E8" s="331"/>
      <c r="F8" s="331"/>
      <c r="G8" s="331"/>
      <c r="H8" s="175"/>
      <c r="I8" s="175"/>
      <c r="J8" s="175"/>
      <c r="K8" s="175"/>
      <c r="L8" s="175"/>
      <c r="M8" s="175"/>
      <c r="N8" s="175"/>
      <c r="O8" s="175"/>
      <c r="P8" s="175"/>
      <c r="Q8" s="175"/>
      <c r="R8" s="175"/>
      <c r="S8" s="175"/>
      <c r="T8" s="175"/>
      <c r="U8" s="175"/>
      <c r="V8" s="175"/>
      <c r="W8" s="175"/>
      <c r="X8" s="175"/>
      <c r="Y8" s="175"/>
      <c r="Z8" s="175"/>
      <c r="AA8" s="231"/>
    </row>
    <row r="9" spans="1:27" hidden="1">
      <c r="B9" s="204" t="s">
        <v>923</v>
      </c>
      <c r="C9" s="179">
        <f>C10</f>
        <v>5745944</v>
      </c>
      <c r="D9" s="214"/>
      <c r="E9" s="214"/>
      <c r="F9" s="214"/>
      <c r="G9" s="180"/>
      <c r="H9" s="181">
        <f>H10</f>
        <v>6776.0700729999999</v>
      </c>
      <c r="I9" s="181">
        <f t="shared" ref="I9:AA9" si="0">I10</f>
        <v>0</v>
      </c>
      <c r="J9" s="179">
        <f>J10</f>
        <v>6074.560199649999</v>
      </c>
      <c r="K9" s="181">
        <f t="shared" si="0"/>
        <v>0</v>
      </c>
      <c r="L9" s="181"/>
      <c r="M9" s="181"/>
      <c r="N9" s="181">
        <f t="shared" si="0"/>
        <v>2734.4527574776998</v>
      </c>
      <c r="O9" s="181">
        <f t="shared" si="0"/>
        <v>72.894722395799988</v>
      </c>
      <c r="P9" s="181">
        <f t="shared" si="0"/>
        <v>0</v>
      </c>
      <c r="Q9" s="181">
        <f t="shared" si="0"/>
        <v>264.866016</v>
      </c>
      <c r="R9" s="181">
        <f t="shared" si="0"/>
        <v>0</v>
      </c>
      <c r="S9" s="181">
        <f t="shared" si="0"/>
        <v>3072.2134958735001</v>
      </c>
      <c r="T9" s="181">
        <f t="shared" si="0"/>
        <v>0</v>
      </c>
      <c r="U9" s="181">
        <f t="shared" si="0"/>
        <v>3072.2134958735001</v>
      </c>
      <c r="V9" s="181">
        <f t="shared" si="0"/>
        <v>0</v>
      </c>
      <c r="W9" s="181">
        <f t="shared" si="0"/>
        <v>0</v>
      </c>
      <c r="X9" s="181">
        <f t="shared" si="0"/>
        <v>0</v>
      </c>
      <c r="Y9" s="181">
        <f t="shared" si="0"/>
        <v>0</v>
      </c>
      <c r="Z9" s="181">
        <f t="shared" si="0"/>
        <v>101.74498461599627</v>
      </c>
      <c r="AA9" s="181">
        <f t="shared" si="0"/>
        <v>3173.9584804894957</v>
      </c>
    </row>
    <row r="10" spans="1:27" hidden="1">
      <c r="B10" s="183" t="s">
        <v>921</v>
      </c>
      <c r="C10" s="184">
        <f>SUM(C11:C17)</f>
        <v>5745944</v>
      </c>
      <c r="D10" s="186"/>
      <c r="E10" s="186"/>
      <c r="F10" s="186"/>
      <c r="G10" s="185"/>
      <c r="H10" s="186">
        <f>SUM(H11:H17)</f>
        <v>6776.0700729999999</v>
      </c>
      <c r="I10" s="186">
        <f t="shared" ref="I10" si="1">SUM(I11:I17)</f>
        <v>0</v>
      </c>
      <c r="J10" s="184">
        <f>SUM(J11:J17)</f>
        <v>6074.560199649999</v>
      </c>
      <c r="K10" s="186">
        <f t="shared" ref="K10:AA10" si="2">SUM(K11:K17)</f>
        <v>0</v>
      </c>
      <c r="L10" s="186"/>
      <c r="M10" s="186"/>
      <c r="N10" s="186">
        <f t="shared" si="2"/>
        <v>2734.4527574776998</v>
      </c>
      <c r="O10" s="186">
        <f t="shared" si="2"/>
        <v>72.894722395799988</v>
      </c>
      <c r="P10" s="186">
        <f t="shared" si="2"/>
        <v>0</v>
      </c>
      <c r="Q10" s="186">
        <f t="shared" si="2"/>
        <v>264.866016</v>
      </c>
      <c r="R10" s="186">
        <f t="shared" si="2"/>
        <v>0</v>
      </c>
      <c r="S10" s="186">
        <f t="shared" si="2"/>
        <v>3072.2134958735001</v>
      </c>
      <c r="T10" s="186">
        <f t="shared" si="2"/>
        <v>0</v>
      </c>
      <c r="U10" s="186">
        <f t="shared" si="2"/>
        <v>3072.2134958735001</v>
      </c>
      <c r="V10" s="186">
        <f t="shared" si="2"/>
        <v>0</v>
      </c>
      <c r="W10" s="186">
        <f t="shared" si="2"/>
        <v>0</v>
      </c>
      <c r="X10" s="186">
        <f t="shared" si="2"/>
        <v>0</v>
      </c>
      <c r="Y10" s="186">
        <f t="shared" si="2"/>
        <v>0</v>
      </c>
      <c r="Z10" s="186">
        <f t="shared" si="2"/>
        <v>101.74498461599627</v>
      </c>
      <c r="AA10" s="186">
        <f t="shared" si="2"/>
        <v>3173.9584804894957</v>
      </c>
    </row>
    <row r="11" spans="1:27" hidden="1">
      <c r="B11" s="189" t="s">
        <v>854</v>
      </c>
      <c r="C11" s="193">
        <f>'[4]FY23 Revenue'!E8</f>
        <v>1239400</v>
      </c>
      <c r="D11" s="191">
        <v>1.9</v>
      </c>
      <c r="E11" s="192">
        <f>10*12</f>
        <v>120</v>
      </c>
      <c r="F11" s="193"/>
      <c r="G11" s="190">
        <v>25</v>
      </c>
      <c r="H11" s="191">
        <f>[4]DISCOM!DC8</f>
        <v>1753.3928051799999</v>
      </c>
      <c r="I11" s="191"/>
      <c r="J11" s="191">
        <f>'[4]FY23 Revenue'!K8</f>
        <v>1091.1873479583619</v>
      </c>
      <c r="K11" s="191"/>
      <c r="L11" s="191"/>
      <c r="M11" s="191"/>
      <c r="N11" s="195">
        <f t="shared" ref="N11:N17" si="3">H11*D11*$P$180/10</f>
        <v>333.14463298419997</v>
      </c>
      <c r="O11" s="196">
        <f t="shared" ref="O11:O17" si="4">IF(E11&gt;0,(J11*10^3*E11/10^7)+(K11*0.7457*E11/10^7),(K11*F11/10^7)+(J11*(10^3)*(1/0.7457)*F11/10^7))</f>
        <v>13.094248175500343</v>
      </c>
      <c r="P11" s="332"/>
      <c r="Q11" s="196">
        <f>G11*C11*12/10^7</f>
        <v>37.182000000000002</v>
      </c>
      <c r="R11" s="332"/>
      <c r="S11" s="196">
        <f t="shared" ref="S11:S17" si="5">N11+O11+P11+Q11+R11</f>
        <v>383.42088115970034</v>
      </c>
      <c r="T11" s="332"/>
      <c r="U11" s="196">
        <f>S11-T11</f>
        <v>383.42088115970034</v>
      </c>
      <c r="V11" s="332"/>
      <c r="W11" s="332"/>
      <c r="X11" s="332"/>
      <c r="Y11" s="332"/>
      <c r="Z11" s="198">
        <f>(H11*$Z$179)/($H$179-$H$43-$H$45-$H$46)</f>
        <v>26.327786175011362</v>
      </c>
      <c r="AA11" s="249">
        <f>U11+Z11</f>
        <v>409.74866733471168</v>
      </c>
    </row>
    <row r="12" spans="1:27" hidden="1">
      <c r="B12" s="189" t="s">
        <v>855</v>
      </c>
      <c r="C12" s="193">
        <f>'[4]FY23 Revenue'!E9</f>
        <v>1536020</v>
      </c>
      <c r="D12" s="191">
        <v>3</v>
      </c>
      <c r="E12" s="192">
        <f t="shared" ref="E12:E16" si="6">10*12</f>
        <v>120</v>
      </c>
      <c r="F12" s="193"/>
      <c r="G12" s="190">
        <v>30</v>
      </c>
      <c r="H12" s="191">
        <f>[4]DISCOM!DC9</f>
        <v>2032.5741156449999</v>
      </c>
      <c r="I12" s="191"/>
      <c r="J12" s="191">
        <f>'[4]FY23 Revenue'!K9</f>
        <v>1359.439696400442</v>
      </c>
      <c r="K12" s="191"/>
      <c r="L12" s="191"/>
      <c r="M12" s="191"/>
      <c r="N12" s="195">
        <f t="shared" si="3"/>
        <v>609.77223469349997</v>
      </c>
      <c r="O12" s="196">
        <f t="shared" si="4"/>
        <v>16.313276356805304</v>
      </c>
      <c r="P12" s="332"/>
      <c r="Q12" s="196">
        <f t="shared" ref="Q12:Q17" si="7">G12*C12*12/10^7</f>
        <v>55.296720000000001</v>
      </c>
      <c r="R12" s="332"/>
      <c r="S12" s="196">
        <f t="shared" si="5"/>
        <v>681.38223105030534</v>
      </c>
      <c r="T12" s="332"/>
      <c r="U12" s="196">
        <f t="shared" ref="U12:U17" si="8">S12-T12</f>
        <v>681.38223105030534</v>
      </c>
      <c r="V12" s="332"/>
      <c r="W12" s="332"/>
      <c r="X12" s="332"/>
      <c r="Y12" s="332"/>
      <c r="Z12" s="198">
        <f t="shared" ref="Z12:Z17" si="9">(H12*$Z$179)/($H$179-$H$43-$H$45-$H$46)</f>
        <v>30.519788003847097</v>
      </c>
      <c r="AA12" s="249">
        <f t="shared" ref="AA12:AA17" si="10">U12+Z12</f>
        <v>711.90201905415245</v>
      </c>
    </row>
    <row r="13" spans="1:27" hidden="1">
      <c r="B13" s="189" t="s">
        <v>906</v>
      </c>
      <c r="C13" s="193">
        <f>'[4]FY23 Revenue'!E10</f>
        <v>1413316</v>
      </c>
      <c r="D13" s="191">
        <v>4.5</v>
      </c>
      <c r="E13" s="192">
        <f t="shared" si="6"/>
        <v>120</v>
      </c>
      <c r="F13" s="193"/>
      <c r="G13" s="190">
        <v>45</v>
      </c>
      <c r="H13" s="191">
        <f>[4]DISCOM!DC10</f>
        <v>1333.1813191749998</v>
      </c>
      <c r="I13" s="191"/>
      <c r="J13" s="191">
        <f>'[4]FY23 Revenue'!K10</f>
        <v>1536.0941850017402</v>
      </c>
      <c r="K13" s="191"/>
      <c r="L13" s="191"/>
      <c r="M13" s="191"/>
      <c r="N13" s="195">
        <f t="shared" si="3"/>
        <v>599.93159362874997</v>
      </c>
      <c r="O13" s="196">
        <f t="shared" si="4"/>
        <v>18.433130220020885</v>
      </c>
      <c r="P13" s="332"/>
      <c r="Q13" s="196">
        <f t="shared" si="7"/>
        <v>76.319063999999997</v>
      </c>
      <c r="R13" s="332"/>
      <c r="S13" s="196">
        <f t="shared" si="5"/>
        <v>694.68378784877086</v>
      </c>
      <c r="T13" s="332"/>
      <c r="U13" s="196">
        <f t="shared" si="8"/>
        <v>694.68378784877086</v>
      </c>
      <c r="V13" s="332"/>
      <c r="W13" s="332"/>
      <c r="X13" s="332"/>
      <c r="Y13" s="332"/>
      <c r="Z13" s="198">
        <f t="shared" si="9"/>
        <v>20.018168547324283</v>
      </c>
      <c r="AA13" s="249">
        <f t="shared" si="10"/>
        <v>714.70195639609517</v>
      </c>
    </row>
    <row r="14" spans="1:27" hidden="1">
      <c r="B14" s="189" t="s">
        <v>907</v>
      </c>
      <c r="C14" s="193">
        <f>'[4]FY23 Revenue'!E11</f>
        <v>1117916</v>
      </c>
      <c r="D14" s="191">
        <v>6</v>
      </c>
      <c r="E14" s="192">
        <f t="shared" si="6"/>
        <v>120</v>
      </c>
      <c r="F14" s="193"/>
      <c r="G14" s="190">
        <v>50</v>
      </c>
      <c r="H14" s="191">
        <f>[4]DISCOM!DC11</f>
        <v>1029.9848576500001</v>
      </c>
      <c r="I14" s="191"/>
      <c r="J14" s="191">
        <f>'[4]FY23 Revenue'!K11</f>
        <v>1463.6005427840564</v>
      </c>
      <c r="K14" s="191"/>
      <c r="L14" s="191"/>
      <c r="M14" s="191"/>
      <c r="N14" s="195">
        <f t="shared" si="3"/>
        <v>617.9909145900001</v>
      </c>
      <c r="O14" s="196">
        <f t="shared" si="4"/>
        <v>17.563206513408677</v>
      </c>
      <c r="P14" s="332"/>
      <c r="Q14" s="196">
        <f t="shared" si="7"/>
        <v>67.074960000000004</v>
      </c>
      <c r="R14" s="332"/>
      <c r="S14" s="196">
        <f t="shared" si="5"/>
        <v>702.62908110340879</v>
      </c>
      <c r="T14" s="332"/>
      <c r="U14" s="196">
        <f t="shared" si="8"/>
        <v>702.62908110340879</v>
      </c>
      <c r="V14" s="332"/>
      <c r="W14" s="332"/>
      <c r="X14" s="332"/>
      <c r="Y14" s="332"/>
      <c r="Z14" s="198">
        <f t="shared" si="9"/>
        <v>15.465571100552632</v>
      </c>
      <c r="AA14" s="249">
        <f t="shared" si="10"/>
        <v>718.09465220396146</v>
      </c>
    </row>
    <row r="15" spans="1:27" hidden="1">
      <c r="B15" s="189" t="s">
        <v>908</v>
      </c>
      <c r="C15" s="193">
        <f>'[4]FY23 Revenue'!E12</f>
        <v>347324</v>
      </c>
      <c r="D15" s="191">
        <v>8.75</v>
      </c>
      <c r="E15" s="192">
        <f t="shared" si="6"/>
        <v>120</v>
      </c>
      <c r="F15" s="193"/>
      <c r="G15" s="190">
        <v>55</v>
      </c>
      <c r="H15" s="191">
        <f>[4]DISCOM!DC12</f>
        <v>376.50169385000004</v>
      </c>
      <c r="I15" s="191"/>
      <c r="J15" s="191">
        <f>'[4]FY23 Revenue'!K12</f>
        <v>483.98481156430898</v>
      </c>
      <c r="K15" s="191"/>
      <c r="L15" s="191"/>
      <c r="M15" s="191"/>
      <c r="N15" s="195">
        <f t="shared" si="3"/>
        <v>329.43898211875</v>
      </c>
      <c r="O15" s="196">
        <f t="shared" si="4"/>
        <v>5.8078177387717087</v>
      </c>
      <c r="P15" s="332"/>
      <c r="Q15" s="196">
        <f t="shared" si="7"/>
        <v>22.923383999999999</v>
      </c>
      <c r="R15" s="332"/>
      <c r="S15" s="196">
        <f t="shared" si="5"/>
        <v>358.17018385752169</v>
      </c>
      <c r="T15" s="332"/>
      <c r="U15" s="196">
        <f t="shared" si="8"/>
        <v>358.17018385752169</v>
      </c>
      <c r="V15" s="332"/>
      <c r="W15" s="332"/>
      <c r="X15" s="332"/>
      <c r="Y15" s="332"/>
      <c r="Z15" s="198">
        <f t="shared" si="9"/>
        <v>5.6533003106481878</v>
      </c>
      <c r="AA15" s="249">
        <f t="shared" si="10"/>
        <v>363.8234841681699</v>
      </c>
    </row>
    <row r="16" spans="1:27" hidden="1">
      <c r="B16" s="189" t="s">
        <v>909</v>
      </c>
      <c r="C16" s="193">
        <f>'[4]FY23 Revenue'!E13</f>
        <v>91968</v>
      </c>
      <c r="D16" s="191">
        <v>9.75</v>
      </c>
      <c r="E16" s="192">
        <f t="shared" si="6"/>
        <v>120</v>
      </c>
      <c r="F16" s="193"/>
      <c r="G16" s="190">
        <v>55</v>
      </c>
      <c r="H16" s="191">
        <f>[4]DISCOM!DC13</f>
        <v>250.43528150000006</v>
      </c>
      <c r="I16" s="191"/>
      <c r="J16" s="191">
        <f>'[4]FY23 Revenue'!K13</f>
        <v>140.25361594109052</v>
      </c>
      <c r="K16" s="191"/>
      <c r="L16" s="191"/>
      <c r="M16" s="191"/>
      <c r="N16" s="195">
        <f t="shared" si="3"/>
        <v>244.17439946250005</v>
      </c>
      <c r="O16" s="196">
        <f t="shared" si="4"/>
        <v>1.6830433912930862</v>
      </c>
      <c r="P16" s="332"/>
      <c r="Q16" s="196">
        <f t="shared" si="7"/>
        <v>6.0698879999999997</v>
      </c>
      <c r="R16" s="332"/>
      <c r="S16" s="196">
        <f t="shared" si="5"/>
        <v>251.92733085379314</v>
      </c>
      <c r="T16" s="332"/>
      <c r="U16" s="196">
        <f t="shared" si="8"/>
        <v>251.92733085379314</v>
      </c>
      <c r="V16" s="332"/>
      <c r="W16" s="332"/>
      <c r="X16" s="332"/>
      <c r="Y16" s="332"/>
      <c r="Z16" s="198">
        <f t="shared" si="9"/>
        <v>3.7603704786126997</v>
      </c>
      <c r="AA16" s="249">
        <f t="shared" si="10"/>
        <v>255.68770133240582</v>
      </c>
    </row>
    <row r="17" spans="2:27" ht="33.75" hidden="1" customHeight="1">
      <c r="B17" s="189" t="s">
        <v>910</v>
      </c>
      <c r="C17" s="193"/>
      <c r="D17" s="191"/>
      <c r="E17" s="192"/>
      <c r="F17" s="193"/>
      <c r="G17" s="190"/>
      <c r="H17" s="191"/>
      <c r="I17" s="191"/>
      <c r="J17" s="191"/>
      <c r="K17" s="191"/>
      <c r="L17" s="191"/>
      <c r="M17" s="191"/>
      <c r="N17" s="195">
        <f t="shared" si="3"/>
        <v>0</v>
      </c>
      <c r="O17" s="196">
        <f t="shared" si="4"/>
        <v>0</v>
      </c>
      <c r="P17" s="332"/>
      <c r="Q17" s="196">
        <f t="shared" si="7"/>
        <v>0</v>
      </c>
      <c r="R17" s="332"/>
      <c r="S17" s="196">
        <f t="shared" si="5"/>
        <v>0</v>
      </c>
      <c r="T17" s="332"/>
      <c r="U17" s="196">
        <f t="shared" si="8"/>
        <v>0</v>
      </c>
      <c r="V17" s="332"/>
      <c r="W17" s="332"/>
      <c r="X17" s="332"/>
      <c r="Y17" s="332"/>
      <c r="Z17" s="198">
        <f t="shared" si="9"/>
        <v>0</v>
      </c>
      <c r="AA17" s="249">
        <f t="shared" si="10"/>
        <v>0</v>
      </c>
    </row>
    <row r="18" spans="2:27" ht="17.25" hidden="1" customHeight="1">
      <c r="B18" s="204" t="s">
        <v>922</v>
      </c>
      <c r="C18" s="179">
        <f t="shared" ref="C18" si="11">C19+C27+C28+C29</f>
        <v>638334</v>
      </c>
      <c r="D18" s="181"/>
      <c r="E18" s="205"/>
      <c r="F18" s="181"/>
      <c r="G18" s="206"/>
      <c r="H18" s="181">
        <f t="shared" ref="H18:AA18" si="12">H19+H27+H28+H29</f>
        <v>1269.8732070000001</v>
      </c>
      <c r="I18" s="181">
        <f t="shared" si="12"/>
        <v>0</v>
      </c>
      <c r="J18" s="181">
        <f t="shared" si="12"/>
        <v>1429.0342664</v>
      </c>
      <c r="K18" s="181">
        <f t="shared" si="12"/>
        <v>0</v>
      </c>
      <c r="L18" s="181"/>
      <c r="M18" s="181"/>
      <c r="N18" s="181">
        <f t="shared" si="12"/>
        <v>1110.0132281001759</v>
      </c>
      <c r="O18" s="181">
        <f t="shared" si="12"/>
        <v>126.113613246</v>
      </c>
      <c r="P18" s="181">
        <f t="shared" si="12"/>
        <v>16.009953151000001</v>
      </c>
      <c r="Q18" s="181">
        <f t="shared" si="12"/>
        <v>27.099474000000001</v>
      </c>
      <c r="R18" s="181">
        <f t="shared" si="12"/>
        <v>0</v>
      </c>
      <c r="S18" s="181">
        <f t="shared" si="12"/>
        <v>1279.2362684971758</v>
      </c>
      <c r="T18" s="181">
        <f t="shared" si="12"/>
        <v>0</v>
      </c>
      <c r="U18" s="181">
        <f t="shared" si="12"/>
        <v>1279.2362684971758</v>
      </c>
      <c r="V18" s="181">
        <f t="shared" si="12"/>
        <v>0</v>
      </c>
      <c r="W18" s="181">
        <f t="shared" si="12"/>
        <v>0</v>
      </c>
      <c r="X18" s="181">
        <f t="shared" si="12"/>
        <v>0</v>
      </c>
      <c r="Y18" s="181">
        <f t="shared" si="12"/>
        <v>0</v>
      </c>
      <c r="Z18" s="181">
        <f t="shared" si="12"/>
        <v>19.067575824710755</v>
      </c>
      <c r="AA18" s="181">
        <f t="shared" si="12"/>
        <v>1298.3038443218863</v>
      </c>
    </row>
    <row r="19" spans="2:27" ht="17.25" hidden="1" customHeight="1">
      <c r="B19" s="183" t="s">
        <v>924</v>
      </c>
      <c r="C19" s="184">
        <f>SUM(C20:C26)</f>
        <v>638289</v>
      </c>
      <c r="D19" s="186"/>
      <c r="E19" s="207"/>
      <c r="F19" s="186"/>
      <c r="G19" s="185"/>
      <c r="H19" s="186">
        <f>SUM(H20:H26)</f>
        <v>1269.767016</v>
      </c>
      <c r="I19" s="186">
        <f t="shared" ref="I19" si="13">SUM(I20:I26)</f>
        <v>0</v>
      </c>
      <c r="J19" s="186">
        <f>SUM(J20:J26)</f>
        <v>1428.4759564000001</v>
      </c>
      <c r="K19" s="186">
        <f t="shared" ref="K19:AA19" si="14">SUM(K20:K26)</f>
        <v>0</v>
      </c>
      <c r="L19" s="186"/>
      <c r="M19" s="186"/>
      <c r="N19" s="186">
        <f t="shared" si="14"/>
        <v>1109.9337212751759</v>
      </c>
      <c r="O19" s="186">
        <f t="shared" si="14"/>
        <v>126.113613246</v>
      </c>
      <c r="P19" s="186">
        <f t="shared" si="14"/>
        <v>16.009953151000001</v>
      </c>
      <c r="Q19" s="186">
        <f t="shared" si="14"/>
        <v>27.084174000000001</v>
      </c>
      <c r="R19" s="186">
        <f t="shared" si="14"/>
        <v>0</v>
      </c>
      <c r="S19" s="186">
        <f t="shared" si="14"/>
        <v>1279.1414616721759</v>
      </c>
      <c r="T19" s="186">
        <f t="shared" si="14"/>
        <v>0</v>
      </c>
      <c r="U19" s="186">
        <f t="shared" si="14"/>
        <v>1279.1414616721759</v>
      </c>
      <c r="V19" s="186">
        <f t="shared" si="14"/>
        <v>0</v>
      </c>
      <c r="W19" s="186">
        <f t="shared" si="14"/>
        <v>0</v>
      </c>
      <c r="X19" s="186">
        <f t="shared" si="14"/>
        <v>0</v>
      </c>
      <c r="Y19" s="186">
        <f t="shared" si="14"/>
        <v>0</v>
      </c>
      <c r="Z19" s="186">
        <f t="shared" si="14"/>
        <v>19.065981330919374</v>
      </c>
      <c r="AA19" s="186">
        <f t="shared" si="14"/>
        <v>1298.207443003095</v>
      </c>
    </row>
    <row r="20" spans="2:27" hidden="1">
      <c r="B20" s="189" t="s">
        <v>583</v>
      </c>
      <c r="C20" s="193">
        <f>'[4]FY23 Revenue'!E16</f>
        <v>375323</v>
      </c>
      <c r="D20" s="191">
        <v>5.4</v>
      </c>
      <c r="E20" s="192">
        <f>75*12</f>
        <v>900</v>
      </c>
      <c r="F20" s="193"/>
      <c r="G20" s="190">
        <v>30</v>
      </c>
      <c r="H20" s="191">
        <f>[4]DISCOM!DC16</f>
        <v>241.23684805709399</v>
      </c>
      <c r="I20" s="191"/>
      <c r="J20" s="191">
        <f>'[4]FY23 Revenue'!K16</f>
        <v>487.16702014999998</v>
      </c>
      <c r="K20" s="191"/>
      <c r="L20" s="191"/>
      <c r="M20" s="191"/>
      <c r="N20" s="195">
        <f t="shared" ref="N20:N29" si="15">H20*D20*$P$180/10</f>
        <v>130.26789795083079</v>
      </c>
      <c r="O20" s="196">
        <f t="shared" ref="O20:O29" si="16">IF(E20&gt;0,(J20*10^3*E20/10^7)+(K20*0.7457*E20/10^7),(K20*F20/10^7)+(J20*(10^3)*(1/0.7457)*F20/10^7))</f>
        <v>43.8450318135</v>
      </c>
      <c r="P20" s="332">
        <v>15.907919381000001</v>
      </c>
      <c r="Q20" s="196">
        <f>G20*C20*12/10^7</f>
        <v>13.511628</v>
      </c>
      <c r="R20" s="332"/>
      <c r="S20" s="196">
        <f t="shared" ref="S20:S29" si="17">N20+O20+P20+Q20+R20</f>
        <v>203.53247714533077</v>
      </c>
      <c r="T20" s="332"/>
      <c r="U20" s="196">
        <f t="shared" ref="U20:U29" si="18">S20-T20</f>
        <v>203.53247714533077</v>
      </c>
      <c r="V20" s="332"/>
      <c r="W20" s="332"/>
      <c r="X20" s="332"/>
      <c r="Y20" s="332"/>
      <c r="Z20" s="198">
        <f t="shared" ref="Z20:Z29" si="19">(H20*$Z$179)/($H$179-$H$43-$H$45-$H$46)</f>
        <v>3.6222528884672083</v>
      </c>
      <c r="AA20" s="249">
        <f t="shared" ref="AA20:AA29" si="20">U20+Z20</f>
        <v>207.15473003379799</v>
      </c>
    </row>
    <row r="21" spans="2:27" hidden="1">
      <c r="B21" s="189" t="s">
        <v>584</v>
      </c>
      <c r="C21" s="193">
        <f>'[4]FY23 Revenue'!E17</f>
        <v>107119</v>
      </c>
      <c r="D21" s="191">
        <v>7.65</v>
      </c>
      <c r="E21" s="192">
        <f>75*12</f>
        <v>900</v>
      </c>
      <c r="F21" s="193"/>
      <c r="G21" s="190">
        <v>40</v>
      </c>
      <c r="H21" s="191">
        <f>[4]DISCOM!DC17</f>
        <v>134.15372510060638</v>
      </c>
      <c r="I21" s="191"/>
      <c r="J21" s="191">
        <f>'[4]FY23 Revenue'!K17</f>
        <v>143.99297124999998</v>
      </c>
      <c r="K21" s="191"/>
      <c r="L21" s="191"/>
      <c r="M21" s="191"/>
      <c r="N21" s="195">
        <f t="shared" si="15"/>
        <v>102.62759970196389</v>
      </c>
      <c r="O21" s="196">
        <f t="shared" si="16"/>
        <v>12.959367412499997</v>
      </c>
      <c r="P21" s="332"/>
      <c r="Q21" s="196">
        <f t="shared" ref="Q21:Q29" si="21">G21*C21*12/10^7</f>
        <v>5.1417120000000001</v>
      </c>
      <c r="R21" s="332"/>
      <c r="S21" s="196">
        <f t="shared" si="17"/>
        <v>120.72867911446389</v>
      </c>
      <c r="T21" s="332"/>
      <c r="U21" s="196">
        <f t="shared" si="18"/>
        <v>120.72867911446389</v>
      </c>
      <c r="V21" s="332"/>
      <c r="W21" s="332"/>
      <c r="X21" s="332"/>
      <c r="Y21" s="332"/>
      <c r="Z21" s="198">
        <f t="shared" si="19"/>
        <v>2.0143635690734083</v>
      </c>
      <c r="AA21" s="249">
        <f t="shared" si="20"/>
        <v>122.7430426835373</v>
      </c>
    </row>
    <row r="22" spans="2:27" hidden="1">
      <c r="B22" s="189" t="s">
        <v>585</v>
      </c>
      <c r="C22" s="193">
        <f>'[4]FY23 Revenue'!E18</f>
        <v>98864</v>
      </c>
      <c r="D22" s="191">
        <v>9.0500000000000007</v>
      </c>
      <c r="E22" s="192">
        <f>75*12</f>
        <v>900</v>
      </c>
      <c r="F22" s="193"/>
      <c r="G22" s="190">
        <v>45</v>
      </c>
      <c r="H22" s="191">
        <f>[4]DISCOM!DC18</f>
        <v>243.48697925506153</v>
      </c>
      <c r="I22" s="191"/>
      <c r="J22" s="191">
        <f>'[4]FY23 Revenue'!K18</f>
        <v>219.54741015000002</v>
      </c>
      <c r="K22" s="191"/>
      <c r="L22" s="191"/>
      <c r="M22" s="191"/>
      <c r="N22" s="195">
        <f t="shared" si="15"/>
        <v>220.35571622583069</v>
      </c>
      <c r="O22" s="196">
        <f t="shared" si="16"/>
        <v>19.759266913500003</v>
      </c>
      <c r="P22" s="332"/>
      <c r="Q22" s="196">
        <f t="shared" si="21"/>
        <v>5.3386560000000003</v>
      </c>
      <c r="R22" s="332"/>
      <c r="S22" s="196">
        <f t="shared" si="17"/>
        <v>245.45363913933068</v>
      </c>
      <c r="T22" s="332"/>
      <c r="U22" s="196">
        <f t="shared" si="18"/>
        <v>245.45363913933068</v>
      </c>
      <c r="V22" s="332"/>
      <c r="W22" s="332"/>
      <c r="X22" s="332"/>
      <c r="Y22" s="332"/>
      <c r="Z22" s="198">
        <f t="shared" si="19"/>
        <v>3.6560393696657152</v>
      </c>
      <c r="AA22" s="249">
        <f t="shared" si="20"/>
        <v>249.10967850899638</v>
      </c>
    </row>
    <row r="23" spans="2:27" hidden="1">
      <c r="B23" s="189" t="s">
        <v>586</v>
      </c>
      <c r="C23" s="193">
        <f>'[4]FY23 Revenue'!E19</f>
        <v>21009</v>
      </c>
      <c r="D23" s="191">
        <v>9.6</v>
      </c>
      <c r="E23" s="192">
        <f>75*12</f>
        <v>900</v>
      </c>
      <c r="F23" s="193"/>
      <c r="G23" s="190">
        <v>45</v>
      </c>
      <c r="H23" s="191">
        <f>[4]DISCOM!DC19</f>
        <v>115.65728099084212</v>
      </c>
      <c r="I23" s="191"/>
      <c r="J23" s="191">
        <f>'[4]FY23 Revenue'!K19</f>
        <v>92.22400979999999</v>
      </c>
      <c r="K23" s="191"/>
      <c r="L23" s="191"/>
      <c r="M23" s="191"/>
      <c r="N23" s="195">
        <f t="shared" si="15"/>
        <v>111.03098975120842</v>
      </c>
      <c r="O23" s="196">
        <f t="shared" si="16"/>
        <v>8.3001608820000001</v>
      </c>
      <c r="P23" s="332"/>
      <c r="Q23" s="196">
        <f t="shared" si="21"/>
        <v>1.1344860000000001</v>
      </c>
      <c r="R23" s="332"/>
      <c r="S23" s="196">
        <f t="shared" si="17"/>
        <v>120.46563663320842</v>
      </c>
      <c r="T23" s="332"/>
      <c r="U23" s="196">
        <f t="shared" si="18"/>
        <v>120.46563663320842</v>
      </c>
      <c r="V23" s="332"/>
      <c r="W23" s="332"/>
      <c r="X23" s="332"/>
      <c r="Y23" s="332"/>
      <c r="Z23" s="198">
        <f t="shared" si="19"/>
        <v>1.7366332030759666</v>
      </c>
      <c r="AA23" s="249">
        <f t="shared" si="20"/>
        <v>122.20226983628439</v>
      </c>
    </row>
    <row r="24" spans="2:27" hidden="1">
      <c r="B24" s="189" t="s">
        <v>587</v>
      </c>
      <c r="C24" s="193">
        <f>'[4]FY23 Revenue'!E20</f>
        <v>33458</v>
      </c>
      <c r="D24" s="191">
        <v>10.15</v>
      </c>
      <c r="E24" s="192">
        <f>75*12</f>
        <v>900</v>
      </c>
      <c r="F24" s="193"/>
      <c r="G24" s="190">
        <v>45</v>
      </c>
      <c r="H24" s="191">
        <f>[4]DISCOM!DC20</f>
        <v>523.84717159639592</v>
      </c>
      <c r="I24" s="191"/>
      <c r="J24" s="191">
        <f>'[4]FY23 Revenue'!K20</f>
        <v>455.48892805000003</v>
      </c>
      <c r="K24" s="191"/>
      <c r="L24" s="191"/>
      <c r="M24" s="191"/>
      <c r="N24" s="195">
        <f t="shared" si="15"/>
        <v>531.70487917034188</v>
      </c>
      <c r="O24" s="196">
        <f t="shared" si="16"/>
        <v>40.994003524500009</v>
      </c>
      <c r="P24" s="332"/>
      <c r="Q24" s="196">
        <f t="shared" si="21"/>
        <v>1.806732</v>
      </c>
      <c r="R24" s="332"/>
      <c r="S24" s="196">
        <f t="shared" si="17"/>
        <v>574.50561469484194</v>
      </c>
      <c r="T24" s="332"/>
      <c r="U24" s="196">
        <f t="shared" si="18"/>
        <v>574.50561469484194</v>
      </c>
      <c r="V24" s="332"/>
      <c r="W24" s="332"/>
      <c r="X24" s="332"/>
      <c r="Y24" s="332"/>
      <c r="Z24" s="198">
        <f t="shared" si="19"/>
        <v>7.8657425087121675</v>
      </c>
      <c r="AA24" s="249">
        <f t="shared" si="20"/>
        <v>582.37135720355411</v>
      </c>
    </row>
    <row r="25" spans="2:27" hidden="1">
      <c r="B25" s="183" t="s">
        <v>911</v>
      </c>
      <c r="C25" s="193">
        <f>'[4]FY23 Revenue'!E21</f>
        <v>973</v>
      </c>
      <c r="D25" s="191">
        <v>12.25</v>
      </c>
      <c r="E25" s="192">
        <f>100*12</f>
        <v>1200</v>
      </c>
      <c r="F25" s="193"/>
      <c r="G25" s="190">
        <v>50</v>
      </c>
      <c r="H25" s="191">
        <f>[4]DISCOM!DC21</f>
        <v>1.3074659999999998</v>
      </c>
      <c r="I25" s="191"/>
      <c r="J25" s="191">
        <f>'[4]FY23 Revenue'!K21</f>
        <v>2.1315225</v>
      </c>
      <c r="K25" s="191"/>
      <c r="L25" s="191"/>
      <c r="M25" s="191"/>
      <c r="N25" s="195">
        <f t="shared" si="15"/>
        <v>1.6016458499999999</v>
      </c>
      <c r="O25" s="196">
        <f t="shared" si="16"/>
        <v>0.25578269999999997</v>
      </c>
      <c r="P25" s="332">
        <v>0.10203377000000001</v>
      </c>
      <c r="Q25" s="196">
        <f t="shared" si="21"/>
        <v>5.8380000000000001E-2</v>
      </c>
      <c r="R25" s="332"/>
      <c r="S25" s="196">
        <f t="shared" si="17"/>
        <v>2.0178423199999997</v>
      </c>
      <c r="T25" s="332"/>
      <c r="U25" s="196">
        <f t="shared" si="18"/>
        <v>2.0178423199999997</v>
      </c>
      <c r="V25" s="332"/>
      <c r="W25" s="332"/>
      <c r="X25" s="332"/>
      <c r="Y25" s="332"/>
      <c r="Z25" s="198">
        <f t="shared" si="19"/>
        <v>1.9632044329943303E-2</v>
      </c>
      <c r="AA25" s="249">
        <f t="shared" si="20"/>
        <v>2.0374743643299431</v>
      </c>
    </row>
    <row r="26" spans="2:27" hidden="1">
      <c r="B26" s="183" t="s">
        <v>925</v>
      </c>
      <c r="C26" s="193">
        <f>'[4]FY23 Revenue'!E22</f>
        <v>1543</v>
      </c>
      <c r="D26" s="191">
        <v>12.25</v>
      </c>
      <c r="E26" s="192">
        <v>0</v>
      </c>
      <c r="F26" s="193"/>
      <c r="G26" s="190">
        <v>50</v>
      </c>
      <c r="H26" s="191">
        <f>[4]DISCOM!DC22</f>
        <v>10.077544999999999</v>
      </c>
      <c r="I26" s="191"/>
      <c r="J26" s="191">
        <f>'[4]FY23 Revenue'!K22</f>
        <v>27.924094499999999</v>
      </c>
      <c r="K26" s="191"/>
      <c r="L26" s="191"/>
      <c r="M26" s="191"/>
      <c r="N26" s="195">
        <f t="shared" si="15"/>
        <v>12.344992625</v>
      </c>
      <c r="O26" s="196">
        <f t="shared" si="16"/>
        <v>0</v>
      </c>
      <c r="P26" s="332"/>
      <c r="Q26" s="196">
        <f t="shared" si="21"/>
        <v>9.2579999999999996E-2</v>
      </c>
      <c r="R26" s="332"/>
      <c r="S26" s="196">
        <f t="shared" si="17"/>
        <v>12.437572625</v>
      </c>
      <c r="T26" s="332"/>
      <c r="U26" s="196">
        <f t="shared" si="18"/>
        <v>12.437572625</v>
      </c>
      <c r="V26" s="332"/>
      <c r="W26" s="332"/>
      <c r="X26" s="332"/>
      <c r="Y26" s="332"/>
      <c r="Z26" s="198">
        <f t="shared" si="19"/>
        <v>0.151317747594965</v>
      </c>
      <c r="AA26" s="249">
        <f t="shared" si="20"/>
        <v>12.588890372594964</v>
      </c>
    </row>
    <row r="27" spans="2:27" hidden="1">
      <c r="B27" s="183" t="s">
        <v>723</v>
      </c>
      <c r="C27" s="193">
        <f>'[4]FY23 Revenue'!E23</f>
        <v>6</v>
      </c>
      <c r="D27" s="191">
        <v>12.25</v>
      </c>
      <c r="E27" s="192">
        <v>0</v>
      </c>
      <c r="F27" s="193"/>
      <c r="G27" s="190">
        <v>500</v>
      </c>
      <c r="H27" s="191">
        <f>[4]DISCOM!DC23</f>
        <v>1.5061E-2</v>
      </c>
      <c r="I27" s="191"/>
      <c r="J27" s="191">
        <f>'[4]FY23 Revenue'!K23</f>
        <v>7.4999999999999997E-3</v>
      </c>
      <c r="K27" s="191"/>
      <c r="L27" s="191"/>
      <c r="M27" s="191"/>
      <c r="N27" s="195">
        <f t="shared" si="15"/>
        <v>1.8449725E-2</v>
      </c>
      <c r="O27" s="196">
        <f t="shared" si="16"/>
        <v>0</v>
      </c>
      <c r="P27" s="332"/>
      <c r="Q27" s="196">
        <f t="shared" si="21"/>
        <v>3.5999999999999999E-3</v>
      </c>
      <c r="R27" s="332"/>
      <c r="S27" s="196">
        <f t="shared" si="17"/>
        <v>2.2049724999999999E-2</v>
      </c>
      <c r="T27" s="332"/>
      <c r="U27" s="196">
        <f t="shared" si="18"/>
        <v>2.2049724999999999E-2</v>
      </c>
      <c r="V27" s="332"/>
      <c r="W27" s="332"/>
      <c r="X27" s="332"/>
      <c r="Y27" s="332"/>
      <c r="Z27" s="198">
        <f t="shared" si="19"/>
        <v>2.2614601041501359E-4</v>
      </c>
      <c r="AA27" s="249">
        <f t="shared" si="20"/>
        <v>2.2275871010415012E-2</v>
      </c>
    </row>
    <row r="28" spans="2:27" hidden="1">
      <c r="B28" s="183" t="s">
        <v>724</v>
      </c>
      <c r="C28" s="193">
        <f>'[4]FY23 Revenue'!E24</f>
        <v>39</v>
      </c>
      <c r="D28" s="191">
        <v>6.7</v>
      </c>
      <c r="E28" s="192">
        <v>0</v>
      </c>
      <c r="F28" s="193"/>
      <c r="G28" s="190">
        <v>250</v>
      </c>
      <c r="H28" s="191">
        <f>[4]DISCOM!DC24</f>
        <v>9.1129999999999989E-2</v>
      </c>
      <c r="I28" s="191"/>
      <c r="J28" s="191">
        <f>'[4]FY23 Revenue'!K24</f>
        <v>0.55081000000000002</v>
      </c>
      <c r="K28" s="191"/>
      <c r="L28" s="191"/>
      <c r="M28" s="191"/>
      <c r="N28" s="195">
        <f t="shared" si="15"/>
        <v>6.1057099999999996E-2</v>
      </c>
      <c r="O28" s="196">
        <f t="shared" si="16"/>
        <v>0</v>
      </c>
      <c r="P28" s="332"/>
      <c r="Q28" s="196">
        <f t="shared" si="21"/>
        <v>1.17E-2</v>
      </c>
      <c r="R28" s="332"/>
      <c r="S28" s="196">
        <f t="shared" si="17"/>
        <v>7.2757099999999991E-2</v>
      </c>
      <c r="T28" s="332"/>
      <c r="U28" s="196">
        <f t="shared" si="18"/>
        <v>7.2757099999999991E-2</v>
      </c>
      <c r="V28" s="332"/>
      <c r="W28" s="332"/>
      <c r="X28" s="332"/>
      <c r="Y28" s="332"/>
      <c r="Z28" s="198">
        <f t="shared" si="19"/>
        <v>1.3683477809654195E-3</v>
      </c>
      <c r="AA28" s="249">
        <f t="shared" si="20"/>
        <v>7.4125447780965414E-2</v>
      </c>
    </row>
    <row r="29" spans="2:27" hidden="1">
      <c r="B29" s="183" t="s">
        <v>725</v>
      </c>
      <c r="C29" s="193">
        <f>'[4]FY23 Revenue'!E25</f>
        <v>0</v>
      </c>
      <c r="D29" s="191">
        <v>12.25</v>
      </c>
      <c r="E29" s="192">
        <v>0</v>
      </c>
      <c r="F29" s="193"/>
      <c r="G29" s="191"/>
      <c r="H29" s="191">
        <f>[4]DISCOM!DC25</f>
        <v>0</v>
      </c>
      <c r="I29" s="191"/>
      <c r="J29" s="191">
        <f>'[4]FY23 Revenue'!K25</f>
        <v>0</v>
      </c>
      <c r="K29" s="191"/>
      <c r="L29" s="191"/>
      <c r="M29" s="191"/>
      <c r="N29" s="195">
        <f t="shared" si="15"/>
        <v>0</v>
      </c>
      <c r="O29" s="196">
        <f t="shared" si="16"/>
        <v>0</v>
      </c>
      <c r="P29" s="332"/>
      <c r="Q29" s="196">
        <f t="shared" si="21"/>
        <v>0</v>
      </c>
      <c r="R29" s="332"/>
      <c r="S29" s="196">
        <f t="shared" si="17"/>
        <v>0</v>
      </c>
      <c r="T29" s="332"/>
      <c r="U29" s="196">
        <f t="shared" si="18"/>
        <v>0</v>
      </c>
      <c r="V29" s="332"/>
      <c r="W29" s="332"/>
      <c r="X29" s="332"/>
      <c r="Y29" s="332"/>
      <c r="Z29" s="198">
        <f t="shared" si="19"/>
        <v>0</v>
      </c>
      <c r="AA29" s="249">
        <f t="shared" si="20"/>
        <v>0</v>
      </c>
    </row>
    <row r="30" spans="2:27" hidden="1">
      <c r="B30" s="204" t="s">
        <v>926</v>
      </c>
      <c r="C30" s="179">
        <f t="shared" ref="C30" si="22">C31+C32+C33</f>
        <v>21303</v>
      </c>
      <c r="D30" s="181"/>
      <c r="E30" s="211"/>
      <c r="F30" s="179"/>
      <c r="G30" s="212"/>
      <c r="H30" s="181">
        <f t="shared" ref="H30:J30" si="23">H31+H32+H33</f>
        <v>452.72683099999995</v>
      </c>
      <c r="I30" s="181">
        <f t="shared" si="23"/>
        <v>0</v>
      </c>
      <c r="J30" s="181">
        <f t="shared" si="23"/>
        <v>498.50111662269995</v>
      </c>
      <c r="K30" s="181">
        <f>K31+K32+K33</f>
        <v>0</v>
      </c>
      <c r="L30" s="181"/>
      <c r="M30" s="181"/>
      <c r="N30" s="181">
        <f t="shared" ref="N30:P30" si="24">N31+N32+N33</f>
        <v>302.49990934499994</v>
      </c>
      <c r="O30" s="181">
        <f t="shared" si="24"/>
        <v>44.62804149426119</v>
      </c>
      <c r="P30" s="181">
        <f t="shared" si="24"/>
        <v>0</v>
      </c>
      <c r="Q30" s="181">
        <f>Q31+Q32+Q33</f>
        <v>22.167703199999998</v>
      </c>
      <c r="R30" s="181">
        <f t="shared" ref="R30:AA30" si="25">R31+R32+R33</f>
        <v>0</v>
      </c>
      <c r="S30" s="181">
        <f t="shared" si="25"/>
        <v>369.29565403926108</v>
      </c>
      <c r="T30" s="181">
        <f t="shared" si="25"/>
        <v>0</v>
      </c>
      <c r="U30" s="181">
        <f t="shared" si="25"/>
        <v>369.29565403926108</v>
      </c>
      <c r="V30" s="181">
        <f t="shared" si="25"/>
        <v>0</v>
      </c>
      <c r="W30" s="181">
        <f t="shared" si="25"/>
        <v>0</v>
      </c>
      <c r="X30" s="181">
        <f t="shared" si="25"/>
        <v>0</v>
      </c>
      <c r="Y30" s="181">
        <f t="shared" si="25"/>
        <v>0</v>
      </c>
      <c r="Z30" s="181">
        <f t="shared" si="25"/>
        <v>6.7978465333299303</v>
      </c>
      <c r="AA30" s="181">
        <f t="shared" si="25"/>
        <v>376.09350057259104</v>
      </c>
    </row>
    <row r="31" spans="2:27" hidden="1">
      <c r="B31" s="189" t="s">
        <v>927</v>
      </c>
      <c r="C31" s="193">
        <f>'[4]FY23 Revenue'!E27</f>
        <v>19577</v>
      </c>
      <c r="D31" s="191">
        <v>6.7</v>
      </c>
      <c r="E31" s="192">
        <f>75*12</f>
        <v>900</v>
      </c>
      <c r="F31" s="193"/>
      <c r="G31" s="190">
        <v>938</v>
      </c>
      <c r="H31" s="191">
        <f>[4]DISCOM!DC27</f>
        <v>449.66935999999993</v>
      </c>
      <c r="I31" s="191"/>
      <c r="J31" s="191">
        <f>'[4]FY23 Revenue'!K27</f>
        <v>494.61589101539994</v>
      </c>
      <c r="K31" s="191"/>
      <c r="L31" s="191"/>
      <c r="M31" s="191"/>
      <c r="N31" s="195">
        <f t="shared" ref="N31:N33" si="26">H31*D31*$P$180/10</f>
        <v>301.27847119999996</v>
      </c>
      <c r="O31" s="196">
        <f>IF(E31&gt;0,(J31*10^3*E31/10^7)+(K31*0.7457*E31/10^7),(K31*F31/10^7)+(J31*(10^3)*(1/0.7457)*F31/10^7))</f>
        <v>44.515430191385995</v>
      </c>
      <c r="P31" s="332"/>
      <c r="Q31" s="196">
        <f t="shared" ref="Q31:Q33" si="27">G31*C31*12/10^7</f>
        <v>22.035871199999999</v>
      </c>
      <c r="R31" s="332"/>
      <c r="S31" s="196">
        <f>N31+O31+P31+Q31+R31</f>
        <v>367.8297725913859</v>
      </c>
      <c r="T31" s="332"/>
      <c r="U31" s="196">
        <f t="shared" ref="U31:U33" si="28">S31-T31</f>
        <v>367.8297725913859</v>
      </c>
      <c r="V31" s="332"/>
      <c r="W31" s="332"/>
      <c r="X31" s="332"/>
      <c r="Y31" s="332"/>
      <c r="Z31" s="198">
        <f t="shared" ref="Z31:Z33" si="29">(H31*$Z$179)/($H$179-$H$43-$H$45-$H$46)</f>
        <v>6.75193757186591</v>
      </c>
      <c r="AA31" s="249">
        <f t="shared" ref="AA31:AA33" si="30">U31+Z31</f>
        <v>374.58171016325184</v>
      </c>
    </row>
    <row r="32" spans="2:27" hidden="1">
      <c r="B32" s="189" t="s">
        <v>726</v>
      </c>
      <c r="C32" s="193">
        <f>'[4]FY23 Revenue'!E28</f>
        <v>6</v>
      </c>
      <c r="D32" s="191">
        <v>7.45</v>
      </c>
      <c r="E32" s="192">
        <f>75*12</f>
        <v>900</v>
      </c>
      <c r="F32" s="193"/>
      <c r="G32" s="190">
        <v>250</v>
      </c>
      <c r="H32" s="191">
        <f>[4]DISCOM!DC28</f>
        <v>0.20239599999999999</v>
      </c>
      <c r="I32" s="191"/>
      <c r="J32" s="191">
        <f>'[4]FY23 Revenue'!K28</f>
        <v>0.29342254999999995</v>
      </c>
      <c r="K32" s="191"/>
      <c r="L32" s="191"/>
      <c r="M32" s="191"/>
      <c r="N32" s="195">
        <f t="shared" si="26"/>
        <v>0.15078501999999999</v>
      </c>
      <c r="O32" s="196">
        <f>IF(E32&gt;0,(J32*10^3*E32/10^7)+(K32*0.7457*E32/10^7),(K32*F32/10^7)+(J32*(10^3)*(1/0.7457)*F32/10^7))</f>
        <v>2.6408029499999992E-2</v>
      </c>
      <c r="P32" s="332"/>
      <c r="Q32" s="196">
        <f t="shared" si="27"/>
        <v>1.8E-3</v>
      </c>
      <c r="R32" s="332"/>
      <c r="S32" s="196">
        <f>N32+O32+P32+Q32+R32</f>
        <v>0.17899304949999997</v>
      </c>
      <c r="T32" s="332"/>
      <c r="U32" s="196">
        <f t="shared" si="28"/>
        <v>0.17899304949999997</v>
      </c>
      <c r="V32" s="332"/>
      <c r="W32" s="332"/>
      <c r="X32" s="332"/>
      <c r="Y32" s="332"/>
      <c r="Z32" s="198">
        <f t="shared" si="29"/>
        <v>3.0390444143122692E-3</v>
      </c>
      <c r="AA32" s="249">
        <f t="shared" si="30"/>
        <v>0.18203209391431224</v>
      </c>
    </row>
    <row r="33" spans="2:27" hidden="1">
      <c r="B33" s="189" t="s">
        <v>928</v>
      </c>
      <c r="C33" s="193">
        <f>'[4]FY23 Revenue'!E29</f>
        <v>1720</v>
      </c>
      <c r="D33" s="191">
        <v>3.75</v>
      </c>
      <c r="E33" s="192">
        <f>20*12</f>
        <v>240</v>
      </c>
      <c r="F33" s="193"/>
      <c r="G33" s="190">
        <v>63</v>
      </c>
      <c r="H33" s="191">
        <f>[4]DISCOM!DC29</f>
        <v>2.8550750000000003</v>
      </c>
      <c r="I33" s="191"/>
      <c r="J33" s="191">
        <f>'[4]FY23 Revenue'!K29</f>
        <v>3.5918030572999999</v>
      </c>
      <c r="K33" s="191"/>
      <c r="L33" s="191"/>
      <c r="M33" s="191"/>
      <c r="N33" s="195">
        <f t="shared" si="26"/>
        <v>1.0706531250000002</v>
      </c>
      <c r="O33" s="196">
        <f>IF(E33&gt;0,(J33*10^3*E33/10^7)+(K33*0.7457*E33/10^7),(K33*F33/10^7)+(J33*(10^3)*(1/0.7457)*F33/10^7))</f>
        <v>8.6203273375200007E-2</v>
      </c>
      <c r="P33" s="332"/>
      <c r="Q33" s="196">
        <f t="shared" si="27"/>
        <v>0.13003200000000001</v>
      </c>
      <c r="R33" s="332"/>
      <c r="S33" s="196">
        <f>N33+O33+P33+Q33+R33</f>
        <v>1.2868883983752002</v>
      </c>
      <c r="T33" s="332"/>
      <c r="U33" s="196">
        <f t="shared" si="28"/>
        <v>1.2868883983752002</v>
      </c>
      <c r="V33" s="332"/>
      <c r="W33" s="332"/>
      <c r="X33" s="332"/>
      <c r="Y33" s="332"/>
      <c r="Z33" s="198">
        <f t="shared" si="29"/>
        <v>4.2869917049707516E-2</v>
      </c>
      <c r="AA33" s="249">
        <f t="shared" si="30"/>
        <v>1.3297583154249077</v>
      </c>
    </row>
    <row r="34" spans="2:27" hidden="1">
      <c r="B34" s="204" t="s">
        <v>727</v>
      </c>
      <c r="C34" s="179">
        <f t="shared" ref="C34" si="31">C35+C36+C37</f>
        <v>131655</v>
      </c>
      <c r="D34" s="181"/>
      <c r="E34" s="211"/>
      <c r="F34" s="179"/>
      <c r="G34" s="212"/>
      <c r="H34" s="181">
        <f t="shared" ref="H34:AA34" si="32">H35+H36+H37</f>
        <v>431.63946399999998</v>
      </c>
      <c r="I34" s="181">
        <f t="shared" si="32"/>
        <v>0</v>
      </c>
      <c r="J34" s="181">
        <f t="shared" si="32"/>
        <v>258.33534877649998</v>
      </c>
      <c r="K34" s="181">
        <f t="shared" si="32"/>
        <v>9.0922127470173693E-4</v>
      </c>
      <c r="L34" s="181"/>
      <c r="M34" s="181"/>
      <c r="N34" s="181">
        <f t="shared" si="32"/>
        <v>297.53966635499995</v>
      </c>
      <c r="O34" s="181">
        <f t="shared" si="32"/>
        <v>22.274293533093228</v>
      </c>
      <c r="P34" s="181">
        <f t="shared" si="32"/>
        <v>0</v>
      </c>
      <c r="Q34" s="181">
        <f t="shared" si="32"/>
        <v>6.091278</v>
      </c>
      <c r="R34" s="181">
        <f t="shared" si="32"/>
        <v>0</v>
      </c>
      <c r="S34" s="181">
        <f t="shared" si="32"/>
        <v>325.90523788809321</v>
      </c>
      <c r="T34" s="181">
        <f t="shared" si="32"/>
        <v>0</v>
      </c>
      <c r="U34" s="181">
        <f t="shared" si="32"/>
        <v>325.90523788809321</v>
      </c>
      <c r="V34" s="181">
        <f t="shared" si="32"/>
        <v>0</v>
      </c>
      <c r="W34" s="181">
        <f t="shared" si="32"/>
        <v>0</v>
      </c>
      <c r="X34" s="181">
        <f t="shared" si="32"/>
        <v>0</v>
      </c>
      <c r="Y34" s="181">
        <f t="shared" si="32"/>
        <v>0</v>
      </c>
      <c r="Z34" s="181">
        <f t="shared" si="32"/>
        <v>6.4812125835784391</v>
      </c>
      <c r="AA34" s="181">
        <f t="shared" si="32"/>
        <v>332.38645047167171</v>
      </c>
    </row>
    <row r="35" spans="2:27" ht="21" hidden="1">
      <c r="B35" s="183" t="s">
        <v>728</v>
      </c>
      <c r="C35" s="193">
        <f>'[4]FY23 Revenue'!E31</f>
        <v>56884</v>
      </c>
      <c r="D35" s="191">
        <v>7</v>
      </c>
      <c r="E35" s="192">
        <f>75*12</f>
        <v>900</v>
      </c>
      <c r="F35" s="193"/>
      <c r="G35" s="190">
        <v>35</v>
      </c>
      <c r="H35" s="191">
        <f>[4]DISCOM!DC31</f>
        <v>310.68158899999997</v>
      </c>
      <c r="I35" s="191"/>
      <c r="J35" s="191">
        <f>'[4]FY23 Revenue'!K31</f>
        <v>135.46049097649998</v>
      </c>
      <c r="K35" s="191"/>
      <c r="L35" s="191"/>
      <c r="M35" s="191"/>
      <c r="N35" s="195">
        <f t="shared" ref="N35:N36" si="33">H35*D35*$P$180/10</f>
        <v>217.47711229999999</v>
      </c>
      <c r="O35" s="196">
        <f>IF(E35&gt;0,(J35*10^3*E35/10^7)+(K35*0.7457*E35/10^7),(K35*F35/10^7)+(J35*(10^3)*(1/0.7457)*F35/10^7))</f>
        <v>12.191444187884999</v>
      </c>
      <c r="P35" s="332"/>
      <c r="Q35" s="196">
        <f t="shared" ref="Q35:Q36" si="34">G35*C35*12/10^7</f>
        <v>2.3891279999999999</v>
      </c>
      <c r="R35" s="332"/>
      <c r="S35" s="196">
        <f>N35+O35+P35+Q35+R35</f>
        <v>232.05768448788498</v>
      </c>
      <c r="T35" s="332"/>
      <c r="U35" s="196">
        <f t="shared" ref="U35:U36" si="35">S35-T35</f>
        <v>232.05768448788498</v>
      </c>
      <c r="V35" s="332"/>
      <c r="W35" s="332"/>
      <c r="X35" s="332"/>
      <c r="Y35" s="332"/>
      <c r="Z35" s="198">
        <f t="shared" ref="Z35:Z36" si="36">(H35*$Z$179)/($H$179-$H$43-$H$45-$H$46)</f>
        <v>4.6649891681659224</v>
      </c>
      <c r="AA35" s="249">
        <f t="shared" ref="AA35:AA36" si="37">U35+Z35</f>
        <v>236.72267365605092</v>
      </c>
    </row>
    <row r="36" spans="2:27" hidden="1">
      <c r="B36" s="183" t="s">
        <v>729</v>
      </c>
      <c r="C36" s="193">
        <f>'[4]FY23 Revenue'!E32</f>
        <v>56133</v>
      </c>
      <c r="D36" s="191">
        <v>7</v>
      </c>
      <c r="E36" s="192">
        <f>75*12</f>
        <v>900</v>
      </c>
      <c r="F36" s="193"/>
      <c r="G36" s="190">
        <v>45</v>
      </c>
      <c r="H36" s="191">
        <f>[4]DISCOM!DC32</f>
        <v>104.88084000000001</v>
      </c>
      <c r="I36" s="191"/>
      <c r="J36" s="191">
        <f>'[4]FY23 Revenue'!K32</f>
        <v>104.80286000000001</v>
      </c>
      <c r="K36" s="191"/>
      <c r="L36" s="191"/>
      <c r="M36" s="191"/>
      <c r="N36" s="195">
        <f t="shared" si="33"/>
        <v>73.416588000000004</v>
      </c>
      <c r="O36" s="196">
        <f>IF(E36&gt;0,(J36*10^3*E36/10^7)+(K36*0.7457*E36/10^7),(K36*F36/10^7)+(J36*(10^3)*(1/0.7457)*F36/10^7))</f>
        <v>9.432257400000001</v>
      </c>
      <c r="P36" s="332"/>
      <c r="Q36" s="196">
        <f t="shared" si="34"/>
        <v>3.0311819999999998</v>
      </c>
      <c r="R36" s="332"/>
      <c r="S36" s="196">
        <f>N36+O36+P36+Q36+R36</f>
        <v>85.880027400000003</v>
      </c>
      <c r="T36" s="332"/>
      <c r="U36" s="196">
        <f t="shared" si="35"/>
        <v>85.880027400000003</v>
      </c>
      <c r="V36" s="332"/>
      <c r="W36" s="332"/>
      <c r="X36" s="332"/>
      <c r="Y36" s="332"/>
      <c r="Z36" s="198">
        <f t="shared" si="36"/>
        <v>1.5748212957290602</v>
      </c>
      <c r="AA36" s="249">
        <f t="shared" si="37"/>
        <v>87.454848695729069</v>
      </c>
    </row>
    <row r="37" spans="2:27" hidden="1">
      <c r="B37" s="183" t="s">
        <v>730</v>
      </c>
      <c r="C37" s="184">
        <f t="shared" ref="C37" si="38">C38+C39</f>
        <v>18638</v>
      </c>
      <c r="D37" s="186"/>
      <c r="E37" s="207"/>
      <c r="F37" s="186"/>
      <c r="G37" s="185"/>
      <c r="H37" s="186">
        <f t="shared" ref="H37:AA37" si="39">H38+H39</f>
        <v>16.077034999999999</v>
      </c>
      <c r="I37" s="186">
        <f t="shared" si="39"/>
        <v>0</v>
      </c>
      <c r="J37" s="186">
        <f t="shared" si="39"/>
        <v>18.071997799999995</v>
      </c>
      <c r="K37" s="186">
        <f t="shared" si="39"/>
        <v>9.0922127470173693E-4</v>
      </c>
      <c r="L37" s="186"/>
      <c r="M37" s="186"/>
      <c r="N37" s="186">
        <f t="shared" si="39"/>
        <v>6.6459660549999988</v>
      </c>
      <c r="O37" s="186">
        <f t="shared" si="39"/>
        <v>0.65059194520822683</v>
      </c>
      <c r="P37" s="186">
        <f t="shared" si="39"/>
        <v>0</v>
      </c>
      <c r="Q37" s="186">
        <f t="shared" si="39"/>
        <v>0.67096800000000001</v>
      </c>
      <c r="R37" s="186">
        <f t="shared" si="39"/>
        <v>0</v>
      </c>
      <c r="S37" s="186">
        <f t="shared" si="39"/>
        <v>7.9675260002082258</v>
      </c>
      <c r="T37" s="186">
        <f t="shared" si="39"/>
        <v>0</v>
      </c>
      <c r="U37" s="186">
        <f t="shared" si="39"/>
        <v>7.9675260002082258</v>
      </c>
      <c r="V37" s="186">
        <f t="shared" si="39"/>
        <v>0</v>
      </c>
      <c r="W37" s="186">
        <f t="shared" si="39"/>
        <v>0</v>
      </c>
      <c r="X37" s="186">
        <f t="shared" si="39"/>
        <v>0</v>
      </c>
      <c r="Y37" s="186">
        <f t="shared" si="39"/>
        <v>0</v>
      </c>
      <c r="Z37" s="186">
        <f t="shared" si="39"/>
        <v>0.24140211968345643</v>
      </c>
      <c r="AA37" s="186">
        <f t="shared" si="39"/>
        <v>8.2089281198916826</v>
      </c>
    </row>
    <row r="38" spans="2:27" hidden="1">
      <c r="B38" s="140" t="s">
        <v>689</v>
      </c>
      <c r="C38" s="193">
        <f>'[4]FY23 Revenue'!E34</f>
        <v>17996</v>
      </c>
      <c r="D38" s="191">
        <v>3.85</v>
      </c>
      <c r="E38" s="192">
        <f>30*12</f>
        <v>360</v>
      </c>
      <c r="F38" s="193"/>
      <c r="G38" s="190">
        <v>30</v>
      </c>
      <c r="H38" s="191">
        <f>[4]DISCOM!DC34</f>
        <v>12.109142999999998</v>
      </c>
      <c r="I38" s="191"/>
      <c r="J38" s="191">
        <f>'[4]FY23 Revenue'!K34</f>
        <v>13.317480799999995</v>
      </c>
      <c r="K38" s="191"/>
      <c r="L38" s="191"/>
      <c r="M38" s="191"/>
      <c r="N38" s="195">
        <f t="shared" ref="N38:N39" si="40">H38*D38*$P$180/10</f>
        <v>4.6620200549999993</v>
      </c>
      <c r="O38" s="196">
        <f>IF(E38&gt;0,(J38*10^3*E38/10^7)+(K38*0.7457*E38/10^7),(K38*F38/10^7)+(J38*(10^3)*(1/0.7457)*F38/10^7))</f>
        <v>0.47942930879999984</v>
      </c>
      <c r="P38" s="332"/>
      <c r="Q38" s="196">
        <f t="shared" ref="Q38:Q39" si="41">G38*C38*12/10^7</f>
        <v>0.64785599999999999</v>
      </c>
      <c r="R38" s="332"/>
      <c r="S38" s="196">
        <f>N38+O38+P38+Q38+R38</f>
        <v>5.7893053637999987</v>
      </c>
      <c r="T38" s="332"/>
      <c r="U38" s="196">
        <f t="shared" ref="U38:U39" si="42">S38-T38</f>
        <v>5.7893053637999987</v>
      </c>
      <c r="V38" s="332"/>
      <c r="W38" s="332"/>
      <c r="X38" s="332"/>
      <c r="Y38" s="332"/>
      <c r="Z38" s="198">
        <f t="shared" ref="Z38:Z39" si="43">(H38*$Z$179)/($H$179-$H$43-$H$45-$H$46)</f>
        <v>0.18182287889216442</v>
      </c>
      <c r="AA38" s="249">
        <f t="shared" ref="AA38:AA39" si="44">U38+Z38</f>
        <v>5.9711282426921635</v>
      </c>
    </row>
    <row r="39" spans="2:27" hidden="1">
      <c r="B39" s="140" t="s">
        <v>690</v>
      </c>
      <c r="C39" s="193">
        <f>'[4]FY23 Revenue'!E35</f>
        <v>642</v>
      </c>
      <c r="D39" s="191">
        <v>5</v>
      </c>
      <c r="E39" s="192">
        <f>30*12</f>
        <v>360</v>
      </c>
      <c r="F39" s="193"/>
      <c r="G39" s="190">
        <v>30</v>
      </c>
      <c r="H39" s="191">
        <f>[4]DISCOM!DC35</f>
        <v>3.9678919999999995</v>
      </c>
      <c r="I39" s="191"/>
      <c r="J39" s="191">
        <f>'[4]FY23 Revenue'!K35</f>
        <v>4.7545169999999999</v>
      </c>
      <c r="K39" s="191">
        <f>H41/K41</f>
        <v>9.0922127470173693E-4</v>
      </c>
      <c r="L39" s="191"/>
      <c r="M39" s="191"/>
      <c r="N39" s="195">
        <f t="shared" si="40"/>
        <v>1.983946</v>
      </c>
      <c r="O39" s="196">
        <f>IF(E39&gt;0,(J39*10^3*E39/10^7)+(K39*0.7457*E39/10^7),(K39*F39/10^7)+(J39*(10^3)*(1/0.7457)*F39/10^7))</f>
        <v>0.17116263640822696</v>
      </c>
      <c r="P39" s="332"/>
      <c r="Q39" s="196">
        <f t="shared" si="41"/>
        <v>2.3112000000000001E-2</v>
      </c>
      <c r="R39" s="332"/>
      <c r="S39" s="196">
        <f>N39+O39+P39+Q39+R39</f>
        <v>2.1782206364082266</v>
      </c>
      <c r="T39" s="332"/>
      <c r="U39" s="196">
        <f t="shared" si="42"/>
        <v>2.1782206364082266</v>
      </c>
      <c r="V39" s="332"/>
      <c r="W39" s="332"/>
      <c r="X39" s="332"/>
      <c r="Y39" s="332"/>
      <c r="Z39" s="198">
        <f t="shared" si="43"/>
        <v>5.957924079129201E-2</v>
      </c>
      <c r="AA39" s="249">
        <f t="shared" si="44"/>
        <v>2.2377998771995187</v>
      </c>
    </row>
    <row r="40" spans="2:27" hidden="1">
      <c r="B40" s="204" t="s">
        <v>731</v>
      </c>
      <c r="C40" s="179">
        <f t="shared" ref="C40" si="45">C41+C48</f>
        <v>308979</v>
      </c>
      <c r="D40" s="214"/>
      <c r="E40" s="205"/>
      <c r="F40" s="214"/>
      <c r="G40" s="180"/>
      <c r="H40" s="181">
        <f t="shared" ref="H40:AA40" si="46">H41+H48</f>
        <v>3932.0323273811091</v>
      </c>
      <c r="I40" s="181">
        <f t="shared" si="46"/>
        <v>0</v>
      </c>
      <c r="J40" s="181">
        <f t="shared" si="46"/>
        <v>1135.720234137</v>
      </c>
      <c r="K40" s="181">
        <f t="shared" si="46"/>
        <v>2234210.3676000005</v>
      </c>
      <c r="L40" s="181"/>
      <c r="M40" s="181"/>
      <c r="N40" s="181">
        <f t="shared" si="46"/>
        <v>734.37316335499997</v>
      </c>
      <c r="O40" s="181">
        <f t="shared" si="46"/>
        <v>40.880891474519998</v>
      </c>
      <c r="P40" s="181">
        <f t="shared" si="46"/>
        <v>0</v>
      </c>
      <c r="Q40" s="181">
        <f t="shared" si="46"/>
        <v>11.123244</v>
      </c>
      <c r="R40" s="181">
        <f t="shared" si="46"/>
        <v>0</v>
      </c>
      <c r="S40" s="181">
        <f t="shared" si="46"/>
        <v>786.37729882951999</v>
      </c>
      <c r="T40" s="181">
        <f t="shared" si="46"/>
        <v>0</v>
      </c>
      <c r="U40" s="181">
        <f t="shared" si="46"/>
        <v>786.37729882951999</v>
      </c>
      <c r="V40" s="181">
        <f t="shared" si="46"/>
        <v>0</v>
      </c>
      <c r="W40" s="181">
        <f t="shared" si="46"/>
        <v>0</v>
      </c>
      <c r="X40" s="181">
        <f t="shared" si="46"/>
        <v>0</v>
      </c>
      <c r="Y40" s="181">
        <f t="shared" si="46"/>
        <v>0</v>
      </c>
      <c r="Z40" s="181">
        <f t="shared" si="46"/>
        <v>28.653518666348848</v>
      </c>
      <c r="AA40" s="181">
        <f t="shared" si="46"/>
        <v>815.03081749586886</v>
      </c>
    </row>
    <row r="41" spans="2:27" hidden="1">
      <c r="B41" s="215" t="s">
        <v>732</v>
      </c>
      <c r="C41" s="216">
        <f>SUM(C42:C47)</f>
        <v>277330</v>
      </c>
      <c r="D41" s="217"/>
      <c r="E41" s="207"/>
      <c r="F41" s="217"/>
      <c r="G41" s="218"/>
      <c r="H41" s="217">
        <f>SUM(H42:H47)</f>
        <v>2031.3915983811087</v>
      </c>
      <c r="I41" s="217">
        <f t="shared" ref="I41" si="47">SUM(I42:I47)</f>
        <v>0</v>
      </c>
      <c r="J41" s="217">
        <f>SUM(J42:J47)</f>
        <v>2.1999999999999999E-2</v>
      </c>
      <c r="K41" s="217">
        <f t="shared" ref="K41:AA41" si="48">SUM(K42:K47)</f>
        <v>2234210.3676000005</v>
      </c>
      <c r="L41" s="217"/>
      <c r="M41" s="217"/>
      <c r="N41" s="217">
        <f t="shared" si="48"/>
        <v>2.62936535</v>
      </c>
      <c r="O41" s="217">
        <f t="shared" si="48"/>
        <v>1.98E-3</v>
      </c>
      <c r="P41" s="217">
        <f t="shared" si="48"/>
        <v>0</v>
      </c>
      <c r="Q41" s="217">
        <f t="shared" si="48"/>
        <v>9.9838799999999992</v>
      </c>
      <c r="R41" s="217">
        <f t="shared" si="48"/>
        <v>0</v>
      </c>
      <c r="S41" s="217">
        <f t="shared" si="48"/>
        <v>12.615225350000001</v>
      </c>
      <c r="T41" s="217">
        <f t="shared" si="48"/>
        <v>0</v>
      </c>
      <c r="U41" s="217">
        <f t="shared" si="48"/>
        <v>12.615225350000001</v>
      </c>
      <c r="V41" s="217">
        <f t="shared" si="48"/>
        <v>0</v>
      </c>
      <c r="W41" s="217">
        <f t="shared" si="48"/>
        <v>0</v>
      </c>
      <c r="X41" s="217">
        <f t="shared" si="48"/>
        <v>0</v>
      </c>
      <c r="Y41" s="217">
        <f t="shared" si="48"/>
        <v>0</v>
      </c>
      <c r="Z41" s="217">
        <f t="shared" si="48"/>
        <v>0.11475509848263739</v>
      </c>
      <c r="AA41" s="217">
        <f t="shared" si="48"/>
        <v>12.729980448482641</v>
      </c>
    </row>
    <row r="42" spans="2:27" hidden="1">
      <c r="B42" s="189" t="s">
        <v>912</v>
      </c>
      <c r="C42" s="193">
        <f>'[4]FY23 Revenue'!E38</f>
        <v>3094</v>
      </c>
      <c r="D42" s="191">
        <v>3.5</v>
      </c>
      <c r="E42" s="192"/>
      <c r="F42" s="190"/>
      <c r="G42" s="190">
        <v>30</v>
      </c>
      <c r="H42" s="191">
        <f>[4]DISCOM!DC38</f>
        <v>7.1022530000000001</v>
      </c>
      <c r="I42" s="191"/>
      <c r="J42" s="191">
        <f>'[4]FY23 Revenue'!K38</f>
        <v>0</v>
      </c>
      <c r="K42" s="193">
        <f>'[4]FY23 Revenue'!L38</f>
        <v>15821.91</v>
      </c>
      <c r="L42" s="191"/>
      <c r="M42" s="193"/>
      <c r="N42" s="195">
        <f t="shared" ref="N42:N47" si="49">H42*D42*$P$180/10</f>
        <v>2.4857885500000001</v>
      </c>
      <c r="O42" s="196">
        <f t="shared" ref="O42:O47" si="50">IF(E42&gt;0,(J42*10^3*E42/10^7)+(K42*0.7457*E42/10^7),(K42*F42/10^7)+(J42*(10^3)*(1/0.7457)*F42/10^7))</f>
        <v>0</v>
      </c>
      <c r="P42" s="332"/>
      <c r="Q42" s="196">
        <f t="shared" ref="Q42:Q47" si="51">G42*C42*12/10^7</f>
        <v>0.111384</v>
      </c>
      <c r="R42" s="332"/>
      <c r="S42" s="196">
        <f t="shared" ref="S42:S47" si="52">N42+O42+P42+Q42+R42</f>
        <v>2.5971725500000002</v>
      </c>
      <c r="T42" s="332"/>
      <c r="U42" s="196">
        <f t="shared" ref="U42:U47" si="53">S42-T42</f>
        <v>2.5971725500000002</v>
      </c>
      <c r="V42" s="332"/>
      <c r="W42" s="332"/>
      <c r="X42" s="332"/>
      <c r="Y42" s="332"/>
      <c r="Z42" s="198">
        <f t="shared" ref="Z42:Z50" si="54">(H42*$Z$179)/($H$179-$H$43-$H$45-$H$46)</f>
        <v>0.1066427316186217</v>
      </c>
      <c r="AA42" s="249">
        <f t="shared" ref="AA42:AA47" si="55">U42+Z42</f>
        <v>2.7038152816186218</v>
      </c>
    </row>
    <row r="43" spans="2:27" hidden="1">
      <c r="B43" s="189" t="s">
        <v>913</v>
      </c>
      <c r="C43" s="193">
        <f>'[4]FY23 Revenue'!E39</f>
        <v>272339</v>
      </c>
      <c r="D43" s="191"/>
      <c r="E43" s="192"/>
      <c r="F43" s="190"/>
      <c r="G43" s="190">
        <v>30</v>
      </c>
      <c r="H43" s="191">
        <f>[4]DISCOM!DC39</f>
        <v>2009.1029183811088</v>
      </c>
      <c r="I43" s="191"/>
      <c r="J43" s="191">
        <f>'[4]FY23 Revenue'!K39</f>
        <v>0</v>
      </c>
      <c r="K43" s="193">
        <f>'[4]FY23 Revenue'!L39</f>
        <v>2208498.3415000001</v>
      </c>
      <c r="L43" s="191"/>
      <c r="M43" s="193"/>
      <c r="N43" s="195">
        <f t="shared" si="49"/>
        <v>0</v>
      </c>
      <c r="O43" s="196">
        <f t="shared" si="50"/>
        <v>0</v>
      </c>
      <c r="P43" s="332"/>
      <c r="Q43" s="196">
        <f t="shared" si="51"/>
        <v>9.8042040000000004</v>
      </c>
      <c r="R43" s="332"/>
      <c r="S43" s="196">
        <f t="shared" si="52"/>
        <v>9.8042040000000004</v>
      </c>
      <c r="T43" s="332"/>
      <c r="U43" s="196">
        <f t="shared" si="53"/>
        <v>9.8042040000000004</v>
      </c>
      <c r="V43" s="332"/>
      <c r="W43" s="332"/>
      <c r="X43" s="332"/>
      <c r="Y43" s="332"/>
      <c r="Z43" s="198"/>
      <c r="AA43" s="249">
        <f t="shared" si="55"/>
        <v>9.8042040000000004</v>
      </c>
    </row>
    <row r="44" spans="2:27" hidden="1">
      <c r="B44" s="189" t="s">
        <v>733</v>
      </c>
      <c r="C44" s="193">
        <f>'[4]FY23 Revenue'!E40</f>
        <v>91</v>
      </c>
      <c r="D44" s="191">
        <v>2.5</v>
      </c>
      <c r="E44" s="192"/>
      <c r="F44" s="190"/>
      <c r="G44" s="190">
        <v>30</v>
      </c>
      <c r="H44" s="191">
        <f>[4]DISCOM!DC40</f>
        <v>0.497728</v>
      </c>
      <c r="I44" s="191"/>
      <c r="J44" s="191">
        <f>'[4]FY23 Revenue'!K40</f>
        <v>0</v>
      </c>
      <c r="K44" s="193">
        <f>'[4]FY23 Revenue'!L40</f>
        <v>513.53610000000003</v>
      </c>
      <c r="L44" s="191"/>
      <c r="M44" s="193"/>
      <c r="N44" s="195">
        <f t="shared" si="49"/>
        <v>0.12443200000000001</v>
      </c>
      <c r="O44" s="196">
        <f t="shared" si="50"/>
        <v>0</v>
      </c>
      <c r="P44" s="332"/>
      <c r="Q44" s="196">
        <f t="shared" si="51"/>
        <v>3.2759999999999998E-3</v>
      </c>
      <c r="R44" s="332"/>
      <c r="S44" s="196">
        <f t="shared" si="52"/>
        <v>0.12770800000000002</v>
      </c>
      <c r="T44" s="332"/>
      <c r="U44" s="196">
        <f t="shared" si="53"/>
        <v>0.12770800000000002</v>
      </c>
      <c r="V44" s="332"/>
      <c r="W44" s="332"/>
      <c r="X44" s="332"/>
      <c r="Y44" s="332"/>
      <c r="Z44" s="198">
        <f t="shared" si="54"/>
        <v>7.4735543105931791E-3</v>
      </c>
      <c r="AA44" s="249">
        <f t="shared" si="55"/>
        <v>0.1351815543105932</v>
      </c>
    </row>
    <row r="45" spans="2:27" hidden="1">
      <c r="B45" s="189" t="s">
        <v>734</v>
      </c>
      <c r="C45" s="193">
        <f>'[4]FY23 Revenue'!E41</f>
        <v>27</v>
      </c>
      <c r="D45" s="191"/>
      <c r="E45" s="192"/>
      <c r="F45" s="190"/>
      <c r="G45" s="190">
        <v>30</v>
      </c>
      <c r="H45" s="191">
        <f>[4]DISCOM!DC41</f>
        <v>0.21975599999999995</v>
      </c>
      <c r="I45" s="191"/>
      <c r="J45" s="191">
        <f>'[4]FY23 Revenue'!K41</f>
        <v>0</v>
      </c>
      <c r="K45" s="193">
        <f>'[4]FY23 Revenue'!L41</f>
        <v>248.61</v>
      </c>
      <c r="L45" s="191"/>
      <c r="M45" s="193"/>
      <c r="N45" s="195">
        <f t="shared" si="49"/>
        <v>0</v>
      </c>
      <c r="O45" s="196">
        <f t="shared" si="50"/>
        <v>0</v>
      </c>
      <c r="P45" s="332"/>
      <c r="Q45" s="196">
        <f t="shared" si="51"/>
        <v>9.7199999999999999E-4</v>
      </c>
      <c r="R45" s="332"/>
      <c r="S45" s="196">
        <f t="shared" si="52"/>
        <v>9.7199999999999999E-4</v>
      </c>
      <c r="T45" s="332"/>
      <c r="U45" s="196">
        <f t="shared" si="53"/>
        <v>9.7199999999999999E-4</v>
      </c>
      <c r="V45" s="332"/>
      <c r="W45" s="332"/>
      <c r="X45" s="332"/>
      <c r="Y45" s="332"/>
      <c r="Z45" s="198"/>
      <c r="AA45" s="249">
        <f t="shared" si="55"/>
        <v>9.7199999999999999E-4</v>
      </c>
    </row>
    <row r="46" spans="2:27" hidden="1">
      <c r="B46" s="189" t="s">
        <v>735</v>
      </c>
      <c r="C46" s="193">
        <f>'[4]FY23 Revenue'!E42</f>
        <v>1767</v>
      </c>
      <c r="D46" s="191"/>
      <c r="E46" s="192"/>
      <c r="F46" s="190"/>
      <c r="G46" s="190">
        <v>30</v>
      </c>
      <c r="H46" s="191">
        <f>[4]DISCOM!DC42</f>
        <v>14.426399000000002</v>
      </c>
      <c r="I46" s="191"/>
      <c r="J46" s="191">
        <f>'[4]FY23 Revenue'!K42</f>
        <v>0</v>
      </c>
      <c r="K46" s="193">
        <f>'[4]FY23 Revenue'!L42</f>
        <v>9127.9699999999993</v>
      </c>
      <c r="L46" s="191"/>
      <c r="M46" s="193"/>
      <c r="N46" s="195">
        <f t="shared" si="49"/>
        <v>0</v>
      </c>
      <c r="O46" s="196">
        <f t="shared" si="50"/>
        <v>0</v>
      </c>
      <c r="P46" s="332"/>
      <c r="Q46" s="196">
        <f t="shared" si="51"/>
        <v>6.3612000000000002E-2</v>
      </c>
      <c r="R46" s="332"/>
      <c r="S46" s="196">
        <f t="shared" si="52"/>
        <v>6.3612000000000002E-2</v>
      </c>
      <c r="T46" s="332"/>
      <c r="U46" s="196">
        <f t="shared" si="53"/>
        <v>6.3612000000000002E-2</v>
      </c>
      <c r="V46" s="332"/>
      <c r="W46" s="332"/>
      <c r="X46" s="332"/>
      <c r="Y46" s="332"/>
      <c r="Z46" s="198"/>
      <c r="AA46" s="249">
        <f t="shared" si="55"/>
        <v>6.3612000000000002E-2</v>
      </c>
    </row>
    <row r="47" spans="2:27" hidden="1">
      <c r="B47" s="220" t="s">
        <v>736</v>
      </c>
      <c r="C47" s="193">
        <f>'[4]FY23 Revenue'!E43</f>
        <v>12</v>
      </c>
      <c r="D47" s="191">
        <v>4.5</v>
      </c>
      <c r="E47" s="192">
        <f>75*12</f>
        <v>900</v>
      </c>
      <c r="F47" s="190"/>
      <c r="G47" s="190">
        <v>30</v>
      </c>
      <c r="H47" s="191">
        <f>[4]DISCOM!DC43</f>
        <v>4.2543999999999998E-2</v>
      </c>
      <c r="I47" s="191"/>
      <c r="J47" s="191">
        <f>'[4]FY23 Revenue'!K43</f>
        <v>2.1999999999999999E-2</v>
      </c>
      <c r="K47" s="193">
        <f>'[4]FY23 Revenue'!L43</f>
        <v>0</v>
      </c>
      <c r="L47" s="191"/>
      <c r="M47" s="193"/>
      <c r="N47" s="195">
        <f t="shared" si="49"/>
        <v>1.91448E-2</v>
      </c>
      <c r="O47" s="196">
        <f t="shared" si="50"/>
        <v>1.98E-3</v>
      </c>
      <c r="P47" s="332"/>
      <c r="Q47" s="196">
        <f t="shared" si="51"/>
        <v>4.3199999999999998E-4</v>
      </c>
      <c r="R47" s="332"/>
      <c r="S47" s="196">
        <f t="shared" si="52"/>
        <v>2.1556799999999997E-2</v>
      </c>
      <c r="T47" s="332"/>
      <c r="U47" s="196">
        <f t="shared" si="53"/>
        <v>2.1556799999999997E-2</v>
      </c>
      <c r="V47" s="332"/>
      <c r="W47" s="332"/>
      <c r="X47" s="332"/>
      <c r="Y47" s="332"/>
      <c r="Z47" s="198">
        <f t="shared" si="54"/>
        <v>6.3881255342250432E-4</v>
      </c>
      <c r="AA47" s="249">
        <f t="shared" si="55"/>
        <v>2.2195612553422502E-2</v>
      </c>
    </row>
    <row r="48" spans="2:27" hidden="1">
      <c r="B48" s="215" t="s">
        <v>691</v>
      </c>
      <c r="C48" s="216">
        <f t="shared" ref="C48" si="56">C49+C50</f>
        <v>31649</v>
      </c>
      <c r="D48" s="217"/>
      <c r="E48" s="207"/>
      <c r="F48" s="217"/>
      <c r="G48" s="222"/>
      <c r="H48" s="217">
        <f t="shared" ref="H48:AA48" si="57">H49+H50</f>
        <v>1900.6407290000002</v>
      </c>
      <c r="I48" s="217">
        <f t="shared" si="57"/>
        <v>0</v>
      </c>
      <c r="J48" s="217">
        <f t="shared" si="57"/>
        <v>1135.6982341370001</v>
      </c>
      <c r="K48" s="217">
        <f t="shared" si="57"/>
        <v>0</v>
      </c>
      <c r="L48" s="217"/>
      <c r="M48" s="217"/>
      <c r="N48" s="217">
        <f t="shared" si="57"/>
        <v>731.74379800500003</v>
      </c>
      <c r="O48" s="217">
        <f t="shared" si="57"/>
        <v>40.878911474519995</v>
      </c>
      <c r="P48" s="217">
        <f t="shared" si="57"/>
        <v>0</v>
      </c>
      <c r="Q48" s="217">
        <f t="shared" si="57"/>
        <v>1.1393639999999998</v>
      </c>
      <c r="R48" s="217">
        <f t="shared" si="57"/>
        <v>0</v>
      </c>
      <c r="S48" s="217">
        <f t="shared" si="57"/>
        <v>773.76207347952004</v>
      </c>
      <c r="T48" s="217">
        <f t="shared" si="57"/>
        <v>0</v>
      </c>
      <c r="U48" s="217">
        <f t="shared" si="57"/>
        <v>773.76207347952004</v>
      </c>
      <c r="V48" s="217">
        <f t="shared" si="57"/>
        <v>0</v>
      </c>
      <c r="W48" s="217">
        <f t="shared" si="57"/>
        <v>0</v>
      </c>
      <c r="X48" s="217">
        <f t="shared" si="57"/>
        <v>0</v>
      </c>
      <c r="Y48" s="217">
        <f t="shared" si="57"/>
        <v>0</v>
      </c>
      <c r="Z48" s="217">
        <f t="shared" si="57"/>
        <v>28.538763567866212</v>
      </c>
      <c r="AA48" s="217">
        <f t="shared" si="57"/>
        <v>802.30083704738627</v>
      </c>
    </row>
    <row r="49" spans="2:27" hidden="1">
      <c r="B49" s="189" t="s">
        <v>737</v>
      </c>
      <c r="C49" s="193">
        <f>'[4]FY23 Revenue'!E45</f>
        <v>31482</v>
      </c>
      <c r="D49" s="191">
        <v>3.85</v>
      </c>
      <c r="E49" s="192">
        <f>30*12</f>
        <v>360</v>
      </c>
      <c r="F49" s="193"/>
      <c r="G49" s="190">
        <v>30</v>
      </c>
      <c r="H49" s="191">
        <f>[4]DISCOM!DC45</f>
        <v>1900.3524630000002</v>
      </c>
      <c r="I49" s="191"/>
      <c r="J49" s="191">
        <f>'[4]FY23 Revenue'!K45</f>
        <v>1135.179487936</v>
      </c>
      <c r="K49" s="191"/>
      <c r="L49" s="191"/>
      <c r="M49" s="191"/>
      <c r="N49" s="195">
        <f t="shared" ref="N49:N50" si="58">H49*D49*$P$180/10</f>
        <v>731.63569825500008</v>
      </c>
      <c r="O49" s="196">
        <f>IF(E49&gt;0,(J49*10^3*E49/10^7)+(K49*0.7457*E49/10^7),(K49*F49/10^7)+(J49*(10^3)*(1/0.7457)*F49/10^7))</f>
        <v>40.866461565695992</v>
      </c>
      <c r="P49" s="332"/>
      <c r="Q49" s="196">
        <f t="shared" ref="Q49:Q50" si="59">G49*C49*12/10^7</f>
        <v>1.1333519999999999</v>
      </c>
      <c r="R49" s="332"/>
      <c r="S49" s="196">
        <f>N49+O49+P49+Q49+R49</f>
        <v>773.63551182069602</v>
      </c>
      <c r="T49" s="332"/>
      <c r="U49" s="196">
        <f t="shared" ref="U49:U50" si="60">S49-T49</f>
        <v>773.63551182069602</v>
      </c>
      <c r="V49" s="332"/>
      <c r="W49" s="332"/>
      <c r="X49" s="332"/>
      <c r="Y49" s="332"/>
      <c r="Z49" s="198">
        <f t="shared" si="54"/>
        <v>28.53443515635049</v>
      </c>
      <c r="AA49" s="249">
        <f t="shared" ref="AA49:AA50" si="61">U49+Z49</f>
        <v>802.16994697704649</v>
      </c>
    </row>
    <row r="50" spans="2:27" hidden="1">
      <c r="B50" s="189" t="s">
        <v>741</v>
      </c>
      <c r="C50" s="193">
        <f>'[4]FY23 Revenue'!E46</f>
        <v>167</v>
      </c>
      <c r="D50" s="191">
        <v>3.75</v>
      </c>
      <c r="E50" s="192">
        <f>20*12</f>
        <v>240</v>
      </c>
      <c r="F50" s="193"/>
      <c r="G50" s="190">
        <v>30</v>
      </c>
      <c r="H50" s="191">
        <f>[4]DISCOM!DC46</f>
        <v>0.28826599999999997</v>
      </c>
      <c r="I50" s="191"/>
      <c r="J50" s="191">
        <f>'[4]FY23 Revenue'!K46</f>
        <v>0.51874620100000002</v>
      </c>
      <c r="K50" s="191"/>
      <c r="L50" s="191"/>
      <c r="M50" s="191"/>
      <c r="N50" s="195">
        <f t="shared" si="58"/>
        <v>0.10809974999999998</v>
      </c>
      <c r="O50" s="196">
        <f>IF(E50&gt;0,(J50*10^3*E50/10^7)+(K50*0.7457*E50/10^7),(K50*F50/10^7)+(J50*(10^3)*(1/0.7457)*F50/10^7))</f>
        <v>1.2449908824000001E-2</v>
      </c>
      <c r="P50" s="332"/>
      <c r="Q50" s="196">
        <f t="shared" si="59"/>
        <v>6.012E-3</v>
      </c>
      <c r="R50" s="332"/>
      <c r="S50" s="196">
        <f>N50+O50+P50+Q50+R50</f>
        <v>0.12656165882399997</v>
      </c>
      <c r="T50" s="332"/>
      <c r="U50" s="196">
        <f t="shared" si="60"/>
        <v>0.12656165882399997</v>
      </c>
      <c r="V50" s="332"/>
      <c r="W50" s="332"/>
      <c r="X50" s="332"/>
      <c r="Y50" s="332"/>
      <c r="Z50" s="198">
        <f t="shared" si="54"/>
        <v>4.3284115157223493E-3</v>
      </c>
      <c r="AA50" s="249">
        <f t="shared" si="61"/>
        <v>0.13089007033972233</v>
      </c>
    </row>
    <row r="51" spans="2:27" hidden="1">
      <c r="B51" s="223" t="s">
        <v>600</v>
      </c>
      <c r="C51" s="224">
        <f t="shared" ref="C51" si="62">C9+C18+C30+C34+C40</f>
        <v>6846215</v>
      </c>
      <c r="D51" s="174">
        <v>0</v>
      </c>
      <c r="E51" s="174">
        <v>0</v>
      </c>
      <c r="F51" s="174">
        <v>0</v>
      </c>
      <c r="G51" s="174">
        <v>0</v>
      </c>
      <c r="H51" s="174">
        <f t="shared" ref="H51:T51" si="63">H9+H18+H30+H34+H40</f>
        <v>12862.341902381108</v>
      </c>
      <c r="I51" s="174">
        <f t="shared" si="63"/>
        <v>0</v>
      </c>
      <c r="J51" s="174">
        <f t="shared" si="63"/>
        <v>9396.1511655861977</v>
      </c>
      <c r="K51" s="174">
        <f t="shared" si="63"/>
        <v>2234210.3685092218</v>
      </c>
      <c r="L51" s="174"/>
      <c r="M51" s="174"/>
      <c r="N51" s="174">
        <f t="shared" si="63"/>
        <v>5178.8787246328748</v>
      </c>
      <c r="O51" s="174">
        <f t="shared" si="63"/>
        <v>306.79156214367441</v>
      </c>
      <c r="P51" s="174">
        <f t="shared" si="63"/>
        <v>16.009953151000001</v>
      </c>
      <c r="Q51" s="174">
        <f t="shared" si="63"/>
        <v>331.34771519999998</v>
      </c>
      <c r="R51" s="174">
        <f t="shared" si="63"/>
        <v>0</v>
      </c>
      <c r="S51" s="174">
        <f t="shared" si="63"/>
        <v>5833.0279551275507</v>
      </c>
      <c r="T51" s="174">
        <f t="shared" si="63"/>
        <v>0</v>
      </c>
      <c r="U51" s="174">
        <f>U9+U18+U30+U34+U40</f>
        <v>5833.0279551275507</v>
      </c>
      <c r="V51" s="174">
        <f t="shared" ref="V51:AA51" si="64">V9+V18+V30+V34+V40</f>
        <v>0</v>
      </c>
      <c r="W51" s="174">
        <f t="shared" si="64"/>
        <v>0</v>
      </c>
      <c r="X51" s="174">
        <f t="shared" si="64"/>
        <v>0</v>
      </c>
      <c r="Y51" s="174">
        <f t="shared" si="64"/>
        <v>0</v>
      </c>
      <c r="Z51" s="174">
        <f t="shared" si="64"/>
        <v>162.74513822396423</v>
      </c>
      <c r="AA51" s="225">
        <f t="shared" si="64"/>
        <v>5995.7730933515149</v>
      </c>
    </row>
    <row r="52" spans="2:27" hidden="1">
      <c r="B52" s="226"/>
      <c r="C52" s="333"/>
      <c r="D52" s="227"/>
      <c r="E52" s="227"/>
      <c r="F52" s="227"/>
      <c r="G52" s="228"/>
      <c r="H52" s="227"/>
      <c r="I52" s="227"/>
      <c r="J52" s="227"/>
      <c r="K52" s="227"/>
      <c r="L52" s="227"/>
      <c r="M52" s="227"/>
      <c r="N52" s="195"/>
      <c r="O52" s="196"/>
      <c r="P52" s="332"/>
      <c r="Q52" s="196">
        <f>G52*C52*12/10^7</f>
        <v>0</v>
      </c>
      <c r="R52" s="332"/>
      <c r="S52" s="199"/>
      <c r="T52" s="332"/>
      <c r="U52" s="199"/>
      <c r="V52" s="332"/>
      <c r="W52" s="332"/>
      <c r="X52" s="332"/>
      <c r="Y52" s="332"/>
      <c r="Z52" s="198"/>
      <c r="AA52" s="249"/>
    </row>
    <row r="53" spans="2:27" hidden="1">
      <c r="B53" s="334" t="s">
        <v>601</v>
      </c>
      <c r="C53" s="335"/>
      <c r="D53" s="175"/>
      <c r="E53" s="175"/>
      <c r="F53" s="175"/>
      <c r="G53" s="174"/>
      <c r="H53" s="175"/>
      <c r="I53" s="175"/>
      <c r="J53" s="175"/>
      <c r="K53" s="175"/>
      <c r="L53" s="175"/>
      <c r="M53" s="175"/>
      <c r="N53" s="175"/>
      <c r="O53" s="175"/>
      <c r="P53" s="175"/>
      <c r="Q53" s="175"/>
      <c r="R53" s="175"/>
      <c r="S53" s="175"/>
      <c r="T53" s="175"/>
      <c r="U53" s="175"/>
      <c r="V53" s="175"/>
      <c r="W53" s="175"/>
      <c r="X53" s="175"/>
      <c r="Y53" s="175"/>
      <c r="Z53" s="175"/>
      <c r="AA53" s="231"/>
    </row>
    <row r="54" spans="2:27" hidden="1">
      <c r="B54" s="232" t="s">
        <v>742</v>
      </c>
      <c r="C54" s="255">
        <f>C55+C56+C63+C76+C81</f>
        <v>4271</v>
      </c>
      <c r="D54" s="233"/>
      <c r="E54" s="233"/>
      <c r="F54" s="233"/>
      <c r="G54" s="234"/>
      <c r="H54" s="233">
        <f>H55+H56+H63+H76+H81</f>
        <v>2221.8589111734705</v>
      </c>
      <c r="I54" s="233">
        <f t="shared" ref="I54" si="65">I55+I56+I63+I76+I81</f>
        <v>0</v>
      </c>
      <c r="J54" s="233">
        <f>J55+J56+J63+J76+J81</f>
        <v>1087.9442800000002</v>
      </c>
      <c r="K54" s="233">
        <f t="shared" ref="K54:AA54" si="66">K55+K56+K63+K76+K81</f>
        <v>0</v>
      </c>
      <c r="L54" s="233"/>
      <c r="M54" s="233"/>
      <c r="N54" s="233">
        <f t="shared" si="66"/>
        <v>1521.1955686340041</v>
      </c>
      <c r="O54" s="233">
        <f t="shared" si="66"/>
        <v>564.53148917999999</v>
      </c>
      <c r="P54" s="233">
        <f t="shared" si="66"/>
        <v>0</v>
      </c>
      <c r="Q54" s="233">
        <f t="shared" si="66"/>
        <v>7.2060312</v>
      </c>
      <c r="R54" s="233">
        <f t="shared" si="66"/>
        <v>0</v>
      </c>
      <c r="S54" s="233">
        <f t="shared" si="66"/>
        <v>2092.9330890140041</v>
      </c>
      <c r="T54" s="233">
        <f t="shared" si="66"/>
        <v>0</v>
      </c>
      <c r="U54" s="233">
        <f t="shared" si="66"/>
        <v>2092.9330890140041</v>
      </c>
      <c r="V54" s="233">
        <f t="shared" si="66"/>
        <v>0</v>
      </c>
      <c r="W54" s="233">
        <f t="shared" si="66"/>
        <v>0</v>
      </c>
      <c r="X54" s="233">
        <f t="shared" si="66"/>
        <v>0</v>
      </c>
      <c r="Y54" s="233">
        <f t="shared" si="66"/>
        <v>0</v>
      </c>
      <c r="Z54" s="233">
        <f t="shared" si="66"/>
        <v>33.361963247256242</v>
      </c>
      <c r="AA54" s="233">
        <f t="shared" si="66"/>
        <v>2126.2950522612605</v>
      </c>
    </row>
    <row r="55" spans="2:27" hidden="1">
      <c r="B55" s="253" t="s">
        <v>743</v>
      </c>
      <c r="C55" s="193">
        <f>'[4]FY23 Revenue'!E53</f>
        <v>43</v>
      </c>
      <c r="D55" s="203">
        <v>7</v>
      </c>
      <c r="E55" s="237">
        <f>75*12</f>
        <v>900</v>
      </c>
      <c r="F55" s="237"/>
      <c r="G55" s="237">
        <v>1406</v>
      </c>
      <c r="H55" s="191">
        <f>[4]DISCOM!DC53</f>
        <v>21.069323768200004</v>
      </c>
      <c r="I55" s="203"/>
      <c r="J55" s="191">
        <f>'[4]FY23 Revenue'!K53</f>
        <v>11.314999999999998</v>
      </c>
      <c r="K55" s="191"/>
      <c r="L55" s="191"/>
      <c r="M55" s="191"/>
      <c r="N55" s="195">
        <f t="shared" ref="N55" si="67">H55*D55*$P$180/10</f>
        <v>14.748526637740003</v>
      </c>
      <c r="O55" s="196">
        <f>IF(E55&gt;0,(J55*10^3*E55/10^7)+(K55*0.7457*E55/10^7),(K55*F55/10^7)+(J55*(10^3)*(1/0.7457)*F55/10^7))</f>
        <v>1.0183499999999999</v>
      </c>
      <c r="P55" s="332"/>
      <c r="Q55" s="196">
        <f t="shared" ref="Q55" si="68">G55*C55*12/10^7</f>
        <v>7.2549600000000006E-2</v>
      </c>
      <c r="R55" s="332"/>
      <c r="S55" s="196">
        <f>N55+O55+P55+Q55+R55</f>
        <v>15.839426237740003</v>
      </c>
      <c r="T55" s="336"/>
      <c r="U55" s="196">
        <f t="shared" ref="U55" si="69">S55-T55</f>
        <v>15.839426237740003</v>
      </c>
      <c r="V55" s="336"/>
      <c r="W55" s="336"/>
      <c r="X55" s="336"/>
      <c r="Y55" s="336"/>
      <c r="Z55" s="198">
        <f t="shared" ref="Z55:Z62" si="70">(H55*$Z$179)/($H$179-$H$43-$H$45-$H$46)</f>
        <v>0.31636302452165538</v>
      </c>
      <c r="AA55" s="249">
        <f t="shared" ref="AA55" si="71">U55+Z55</f>
        <v>16.15578926226166</v>
      </c>
    </row>
    <row r="56" spans="2:27" hidden="1">
      <c r="B56" s="239" t="s">
        <v>744</v>
      </c>
      <c r="C56" s="250">
        <f>SUM(C57:C62)</f>
        <v>1866</v>
      </c>
      <c r="D56" s="240"/>
      <c r="E56" s="240"/>
      <c r="F56" s="240"/>
      <c r="G56" s="240"/>
      <c r="H56" s="240">
        <f>SUM(H57:H62)</f>
        <v>553.82965718330001</v>
      </c>
      <c r="I56" s="240">
        <f t="shared" ref="I56" si="72">SUM(I57:I62)</f>
        <v>0</v>
      </c>
      <c r="J56" s="240">
        <f>SUM(J57:J62)</f>
        <v>366.10050000000001</v>
      </c>
      <c r="K56" s="240">
        <f t="shared" ref="K56:AA56" si="73">SUM(K57:K62)</f>
        <v>0</v>
      </c>
      <c r="L56" s="240"/>
      <c r="M56" s="240"/>
      <c r="N56" s="240">
        <f t="shared" si="73"/>
        <v>440.19843022521786</v>
      </c>
      <c r="O56" s="240">
        <f t="shared" si="73"/>
        <v>186.85540499999999</v>
      </c>
      <c r="P56" s="240">
        <f t="shared" si="73"/>
        <v>0</v>
      </c>
      <c r="Q56" s="240">
        <f t="shared" si="73"/>
        <v>3.1483151999999999</v>
      </c>
      <c r="R56" s="240">
        <f t="shared" si="73"/>
        <v>0</v>
      </c>
      <c r="S56" s="240">
        <f t="shared" si="73"/>
        <v>630.20215042521784</v>
      </c>
      <c r="T56" s="240">
        <f t="shared" si="73"/>
        <v>0</v>
      </c>
      <c r="U56" s="240">
        <f t="shared" si="73"/>
        <v>630.20215042521784</v>
      </c>
      <c r="V56" s="240">
        <f t="shared" si="73"/>
        <v>0</v>
      </c>
      <c r="W56" s="240">
        <f t="shared" si="73"/>
        <v>0</v>
      </c>
      <c r="X56" s="240">
        <f t="shared" si="73"/>
        <v>0</v>
      </c>
      <c r="Y56" s="240">
        <f t="shared" si="73"/>
        <v>0</v>
      </c>
      <c r="Z56" s="240">
        <f t="shared" si="73"/>
        <v>8.3159396734292521</v>
      </c>
      <c r="AA56" s="240">
        <f t="shared" si="73"/>
        <v>638.51809009864724</v>
      </c>
    </row>
    <row r="57" spans="2:27" hidden="1">
      <c r="B57" s="253" t="s">
        <v>745</v>
      </c>
      <c r="C57" s="193">
        <f>'[4]FY23 Revenue'!E55</f>
        <v>1669</v>
      </c>
      <c r="D57" s="203">
        <v>7.65</v>
      </c>
      <c r="E57" s="237">
        <f>475*12</f>
        <v>5700</v>
      </c>
      <c r="F57" s="237"/>
      <c r="G57" s="237">
        <v>1406</v>
      </c>
      <c r="H57" s="191">
        <f>[4]DISCOM!DC55</f>
        <v>431.34416687896669</v>
      </c>
      <c r="I57" s="203"/>
      <c r="J57" s="191">
        <f>'[4]FY23 Revenue'!K55</f>
        <v>327.81650000000002</v>
      </c>
      <c r="K57" s="191"/>
      <c r="L57" s="191"/>
      <c r="M57" s="191"/>
      <c r="N57" s="195">
        <f t="shared" ref="N57:N62" si="74">H57*D57*$P$180/10</f>
        <v>329.97828766240957</v>
      </c>
      <c r="O57" s="196">
        <f t="shared" ref="O57:O62" si="75">IF(E57&gt;0,(J57*10^3*E57/10^7)+(K57*0.7457*E57/10^7),(K57*F57/10^7)+(J57*(10^3)*(1/0.7457)*F57/10^7))</f>
        <v>186.85540499999999</v>
      </c>
      <c r="P57" s="332"/>
      <c r="Q57" s="196">
        <f t="shared" ref="Q57:Q62" si="76">G57*C57*12/10^7</f>
        <v>2.8159367999999998</v>
      </c>
      <c r="R57" s="332"/>
      <c r="S57" s="196">
        <f t="shared" ref="S57:S62" si="77">N57+O57+P57+Q57+R57</f>
        <v>519.64962946240962</v>
      </c>
      <c r="T57" s="332"/>
      <c r="U57" s="196">
        <f t="shared" ref="U57:U62" si="78">S57-T57</f>
        <v>519.64962946240962</v>
      </c>
      <c r="V57" s="332"/>
      <c r="W57" s="332"/>
      <c r="X57" s="332"/>
      <c r="Y57" s="332"/>
      <c r="Z57" s="198">
        <f t="shared" si="70"/>
        <v>6.4767785974016432</v>
      </c>
      <c r="AA57" s="249">
        <f t="shared" ref="AA57:AA62" si="79">U57+Z57</f>
        <v>526.1264080598113</v>
      </c>
    </row>
    <row r="58" spans="2:27" hidden="1">
      <c r="B58" s="253" t="s">
        <v>697</v>
      </c>
      <c r="C58" s="193">
        <f>'[4]FY23 Revenue'!E56</f>
        <v>0</v>
      </c>
      <c r="D58" s="203">
        <v>8.65</v>
      </c>
      <c r="E58" s="237">
        <f>475*12</f>
        <v>5700</v>
      </c>
      <c r="F58" s="237"/>
      <c r="G58" s="237"/>
      <c r="H58" s="191">
        <f>[4]DISCOM!DC56</f>
        <v>110.62384183333332</v>
      </c>
      <c r="I58" s="203"/>
      <c r="J58" s="191">
        <f>'[4]FY23 Revenue'!K56</f>
        <v>0</v>
      </c>
      <c r="K58" s="191"/>
      <c r="L58" s="191"/>
      <c r="M58" s="191"/>
      <c r="N58" s="195">
        <f t="shared" si="74"/>
        <v>95.689623185833312</v>
      </c>
      <c r="O58" s="196">
        <f t="shared" si="75"/>
        <v>0</v>
      </c>
      <c r="P58" s="332"/>
      <c r="Q58" s="196">
        <f t="shared" si="76"/>
        <v>0</v>
      </c>
      <c r="R58" s="332"/>
      <c r="S58" s="196">
        <f t="shared" si="77"/>
        <v>95.689623185833312</v>
      </c>
      <c r="T58" s="332"/>
      <c r="U58" s="196">
        <f t="shared" si="78"/>
        <v>95.689623185833312</v>
      </c>
      <c r="V58" s="332"/>
      <c r="W58" s="332"/>
      <c r="X58" s="332"/>
      <c r="Y58" s="332"/>
      <c r="Z58" s="198">
        <f t="shared" si="70"/>
        <v>1.661054411220358</v>
      </c>
      <c r="AA58" s="249">
        <f t="shared" si="79"/>
        <v>97.350677597053675</v>
      </c>
    </row>
    <row r="59" spans="2:27" hidden="1">
      <c r="B59" s="253" t="s">
        <v>746</v>
      </c>
      <c r="C59" s="193">
        <f>'[4]FY23 Revenue'!E57</f>
        <v>195</v>
      </c>
      <c r="D59" s="203">
        <v>12.25</v>
      </c>
      <c r="E59" s="237">
        <v>0</v>
      </c>
      <c r="F59" s="237"/>
      <c r="G59" s="237">
        <v>1406</v>
      </c>
      <c r="H59" s="191">
        <f>[4]DISCOM!DC57</f>
        <v>11.847548471000001</v>
      </c>
      <c r="I59" s="203"/>
      <c r="J59" s="191">
        <f>'[4]FY23 Revenue'!K57</f>
        <v>37.414000000000001</v>
      </c>
      <c r="K59" s="191"/>
      <c r="L59" s="191"/>
      <c r="M59" s="191"/>
      <c r="N59" s="195">
        <f t="shared" si="74"/>
        <v>14.513246876975</v>
      </c>
      <c r="O59" s="196">
        <f t="shared" si="75"/>
        <v>0</v>
      </c>
      <c r="P59" s="332"/>
      <c r="Q59" s="196">
        <f t="shared" si="76"/>
        <v>0.32900400000000002</v>
      </c>
      <c r="R59" s="332"/>
      <c r="S59" s="196">
        <f t="shared" si="77"/>
        <v>14.842250876974999</v>
      </c>
      <c r="T59" s="332"/>
      <c r="U59" s="196">
        <f t="shared" si="78"/>
        <v>14.842250876974999</v>
      </c>
      <c r="V59" s="332"/>
      <c r="W59" s="332"/>
      <c r="X59" s="332"/>
      <c r="Y59" s="332"/>
      <c r="Z59" s="198">
        <f t="shared" si="70"/>
        <v>0.17789494853695934</v>
      </c>
      <c r="AA59" s="249">
        <f t="shared" si="79"/>
        <v>15.020145825511959</v>
      </c>
    </row>
    <row r="60" spans="2:27" hidden="1">
      <c r="B60" s="253" t="s">
        <v>747</v>
      </c>
      <c r="C60" s="193">
        <f>'[4]FY23 Revenue'!E58</f>
        <v>2</v>
      </c>
      <c r="D60" s="203">
        <v>12.25</v>
      </c>
      <c r="E60" s="237">
        <v>0</v>
      </c>
      <c r="F60" s="237"/>
      <c r="G60" s="237">
        <v>1406</v>
      </c>
      <c r="H60" s="191">
        <f>[4]DISCOM!DC58</f>
        <v>1.41E-2</v>
      </c>
      <c r="I60" s="203"/>
      <c r="J60" s="191">
        <f>'[4]FY23 Revenue'!K58</f>
        <v>0.87000000000000011</v>
      </c>
      <c r="K60" s="191"/>
      <c r="L60" s="191"/>
      <c r="M60" s="191"/>
      <c r="N60" s="195">
        <f t="shared" si="74"/>
        <v>1.72725E-2</v>
      </c>
      <c r="O60" s="196">
        <f t="shared" si="75"/>
        <v>0</v>
      </c>
      <c r="P60" s="332"/>
      <c r="Q60" s="196">
        <f t="shared" si="76"/>
        <v>3.3744000000000001E-3</v>
      </c>
      <c r="R60" s="332"/>
      <c r="S60" s="196">
        <f t="shared" si="77"/>
        <v>2.0646899999999999E-2</v>
      </c>
      <c r="T60" s="332"/>
      <c r="U60" s="196">
        <f t="shared" si="78"/>
        <v>2.0646899999999999E-2</v>
      </c>
      <c r="V60" s="332"/>
      <c r="W60" s="332"/>
      <c r="X60" s="332"/>
      <c r="Y60" s="332"/>
      <c r="Z60" s="198">
        <f t="shared" si="70"/>
        <v>2.1171627029092964E-4</v>
      </c>
      <c r="AA60" s="249">
        <f t="shared" si="79"/>
        <v>2.0858616270290928E-2</v>
      </c>
    </row>
    <row r="61" spans="2:27" hidden="1">
      <c r="B61" s="253" t="s">
        <v>748</v>
      </c>
      <c r="C61" s="193">
        <f>'[4]FY23 Revenue'!E59</f>
        <v>0</v>
      </c>
      <c r="D61" s="203">
        <v>6.7</v>
      </c>
      <c r="E61" s="237">
        <v>0</v>
      </c>
      <c r="F61" s="237"/>
      <c r="G61" s="237">
        <v>1406</v>
      </c>
      <c r="H61" s="191">
        <f>[4]DISCOM!DC59</f>
        <v>0</v>
      </c>
      <c r="I61" s="203"/>
      <c r="J61" s="191">
        <f>'[4]FY23 Revenue'!K59</f>
        <v>0</v>
      </c>
      <c r="K61" s="191"/>
      <c r="L61" s="191"/>
      <c r="M61" s="191"/>
      <c r="N61" s="195">
        <f t="shared" si="74"/>
        <v>0</v>
      </c>
      <c r="O61" s="196">
        <f t="shared" si="75"/>
        <v>0</v>
      </c>
      <c r="P61" s="332"/>
      <c r="Q61" s="196">
        <f t="shared" si="76"/>
        <v>0</v>
      </c>
      <c r="R61" s="332"/>
      <c r="S61" s="196">
        <f t="shared" si="77"/>
        <v>0</v>
      </c>
      <c r="T61" s="332"/>
      <c r="U61" s="196">
        <f t="shared" si="78"/>
        <v>0</v>
      </c>
      <c r="V61" s="332"/>
      <c r="W61" s="332"/>
      <c r="X61" s="332"/>
      <c r="Y61" s="332"/>
      <c r="Z61" s="198">
        <f t="shared" si="70"/>
        <v>0</v>
      </c>
      <c r="AA61" s="249">
        <f t="shared" si="79"/>
        <v>0</v>
      </c>
    </row>
    <row r="62" spans="2:27" hidden="1">
      <c r="B62" s="253" t="s">
        <v>749</v>
      </c>
      <c r="C62" s="193">
        <f>'[4]FY23 Revenue'!E60</f>
        <v>0</v>
      </c>
      <c r="D62" s="203">
        <v>12.25</v>
      </c>
      <c r="E62" s="237">
        <v>0</v>
      </c>
      <c r="F62" s="237"/>
      <c r="G62" s="237">
        <v>1406</v>
      </c>
      <c r="H62" s="191">
        <f>[4]DISCOM!DC60</f>
        <v>0</v>
      </c>
      <c r="I62" s="203"/>
      <c r="J62" s="191">
        <f>'[4]FY23 Revenue'!K60</f>
        <v>0</v>
      </c>
      <c r="K62" s="191"/>
      <c r="L62" s="191"/>
      <c r="M62" s="191"/>
      <c r="N62" s="195">
        <f t="shared" si="74"/>
        <v>0</v>
      </c>
      <c r="O62" s="196">
        <f t="shared" si="75"/>
        <v>0</v>
      </c>
      <c r="P62" s="332"/>
      <c r="Q62" s="196">
        <f t="shared" si="76"/>
        <v>0</v>
      </c>
      <c r="R62" s="332"/>
      <c r="S62" s="196">
        <f t="shared" si="77"/>
        <v>0</v>
      </c>
      <c r="T62" s="332"/>
      <c r="U62" s="196">
        <f t="shared" si="78"/>
        <v>0</v>
      </c>
      <c r="V62" s="332"/>
      <c r="W62" s="332"/>
      <c r="X62" s="332"/>
      <c r="Y62" s="332"/>
      <c r="Z62" s="198">
        <f t="shared" si="70"/>
        <v>0</v>
      </c>
      <c r="AA62" s="249">
        <f t="shared" si="79"/>
        <v>0</v>
      </c>
    </row>
    <row r="63" spans="2:27" hidden="1">
      <c r="B63" s="239" t="s">
        <v>750</v>
      </c>
      <c r="C63" s="250">
        <f>C64+C74+C75</f>
        <v>1961</v>
      </c>
      <c r="D63" s="240"/>
      <c r="E63" s="240"/>
      <c r="F63" s="240"/>
      <c r="G63" s="240"/>
      <c r="H63" s="240">
        <f>H64+H74+H75</f>
        <v>1470.9936903509702</v>
      </c>
      <c r="I63" s="240">
        <f t="shared" ref="I63" si="80">I64+I74+I75</f>
        <v>0</v>
      </c>
      <c r="J63" s="240">
        <f>J64+J74+J75</f>
        <v>605.2997499999999</v>
      </c>
      <c r="K63" s="240">
        <f t="shared" ref="K63:AA63" si="81">K64+K74+K75</f>
        <v>0</v>
      </c>
      <c r="L63" s="240"/>
      <c r="M63" s="240"/>
      <c r="N63" s="240">
        <f t="shared" si="81"/>
        <v>940.77036695777122</v>
      </c>
      <c r="O63" s="240">
        <f t="shared" si="81"/>
        <v>345.02085749999998</v>
      </c>
      <c r="P63" s="240">
        <f t="shared" si="81"/>
        <v>0</v>
      </c>
      <c r="Q63" s="240">
        <f t="shared" si="81"/>
        <v>3.3085992000000002</v>
      </c>
      <c r="R63" s="240">
        <f t="shared" si="81"/>
        <v>0</v>
      </c>
      <c r="S63" s="240">
        <f t="shared" si="81"/>
        <v>1289.0998236577711</v>
      </c>
      <c r="T63" s="240">
        <f t="shared" si="81"/>
        <v>0</v>
      </c>
      <c r="U63" s="240">
        <f t="shared" si="81"/>
        <v>1289.0998236577711</v>
      </c>
      <c r="V63" s="240">
        <f t="shared" si="81"/>
        <v>0</v>
      </c>
      <c r="W63" s="240">
        <f t="shared" si="81"/>
        <v>0</v>
      </c>
      <c r="X63" s="240">
        <f t="shared" si="81"/>
        <v>0</v>
      </c>
      <c r="Y63" s="240">
        <f t="shared" si="81"/>
        <v>0</v>
      </c>
      <c r="Z63" s="240">
        <f t="shared" si="81"/>
        <v>22.087467925006955</v>
      </c>
      <c r="AA63" s="240">
        <f t="shared" si="81"/>
        <v>1311.187291582778</v>
      </c>
    </row>
    <row r="64" spans="2:27" ht="15" hidden="1" customHeight="1">
      <c r="B64" s="215" t="s">
        <v>753</v>
      </c>
      <c r="C64" s="216">
        <f>C66+C67+C68+C70+C71+C72+C73</f>
        <v>1896</v>
      </c>
      <c r="D64" s="217"/>
      <c r="E64" s="207"/>
      <c r="F64" s="217"/>
      <c r="G64" s="218"/>
      <c r="H64" s="217">
        <f>H66+H67+H68+H70+H71+H72+H73</f>
        <v>1456.1037080349702</v>
      </c>
      <c r="I64" s="217">
        <f t="shared" ref="I64" si="82">I66+I67+I68+I70+I71+I72+I73</f>
        <v>0</v>
      </c>
      <c r="J64" s="217">
        <f>J66+J67+J68+J70+J71+J72+J73</f>
        <v>586.93674999999996</v>
      </c>
      <c r="K64" s="217">
        <f t="shared" ref="K64:AA64" si="83">K66+K67+K68+K70+K71+K72+K73</f>
        <v>0</v>
      </c>
      <c r="L64" s="217"/>
      <c r="M64" s="217"/>
      <c r="N64" s="217">
        <f t="shared" si="83"/>
        <v>929.37953048603117</v>
      </c>
      <c r="O64" s="217">
        <f t="shared" si="83"/>
        <v>334.55394749999999</v>
      </c>
      <c r="P64" s="217">
        <f t="shared" si="83"/>
        <v>0</v>
      </c>
      <c r="Q64" s="217">
        <f t="shared" si="83"/>
        <v>3.1989312000000001</v>
      </c>
      <c r="R64" s="217">
        <f t="shared" si="83"/>
        <v>0</v>
      </c>
      <c r="S64" s="217">
        <f t="shared" si="83"/>
        <v>1267.1324091860311</v>
      </c>
      <c r="T64" s="217">
        <f t="shared" si="83"/>
        <v>0</v>
      </c>
      <c r="U64" s="217">
        <f t="shared" si="83"/>
        <v>1267.1324091860311</v>
      </c>
      <c r="V64" s="217">
        <f t="shared" si="83"/>
        <v>0</v>
      </c>
      <c r="W64" s="217">
        <f t="shared" si="83"/>
        <v>0</v>
      </c>
      <c r="X64" s="217">
        <f t="shared" si="83"/>
        <v>0</v>
      </c>
      <c r="Y64" s="217">
        <f t="shared" si="83"/>
        <v>0</v>
      </c>
      <c r="Z64" s="217">
        <f t="shared" si="83"/>
        <v>21.863889802975649</v>
      </c>
      <c r="AA64" s="217">
        <f t="shared" si="83"/>
        <v>1288.9962989890066</v>
      </c>
    </row>
    <row r="65" spans="2:27" hidden="1">
      <c r="B65" s="253" t="s">
        <v>918</v>
      </c>
      <c r="C65" s="193"/>
      <c r="D65" s="203"/>
      <c r="E65" s="237"/>
      <c r="F65" s="237"/>
      <c r="G65" s="237"/>
      <c r="H65" s="191"/>
      <c r="I65" s="203"/>
      <c r="J65" s="191"/>
      <c r="K65" s="191"/>
      <c r="L65" s="191"/>
      <c r="M65" s="191"/>
      <c r="N65" s="195">
        <f t="shared" ref="N65:N75" si="84">H65*D65*$P$180/10</f>
        <v>0</v>
      </c>
      <c r="O65" s="196">
        <f t="shared" ref="O65:O75" si="85">IF(E65&gt;0,(J65*10^3*E65/10^7)+(K65*0.7457*E65/10^7),(K65*F65/10^7)+(J65*(10^3)*(1/0.7457)*F65/10^7))</f>
        <v>0</v>
      </c>
      <c r="P65" s="332"/>
      <c r="Q65" s="196">
        <f t="shared" ref="Q65:Q75" si="86">G65*C65*12/10^7</f>
        <v>0</v>
      </c>
      <c r="R65" s="332"/>
      <c r="S65" s="196">
        <f t="shared" ref="S65:S75" si="87">N65+O65+P65+Q65+R65</f>
        <v>0</v>
      </c>
      <c r="T65" s="332"/>
      <c r="U65" s="196">
        <f t="shared" ref="U65:U75" si="88">S65-T65</f>
        <v>0</v>
      </c>
      <c r="V65" s="332"/>
      <c r="W65" s="332"/>
      <c r="X65" s="332"/>
      <c r="Y65" s="332"/>
      <c r="Z65" s="198"/>
      <c r="AA65" s="249">
        <f t="shared" ref="AA65:AA75" si="89">U65+Z65</f>
        <v>0</v>
      </c>
    </row>
    <row r="66" spans="2:27" hidden="1">
      <c r="B66" s="253" t="s">
        <v>914</v>
      </c>
      <c r="C66" s="193"/>
      <c r="D66" s="203">
        <v>7.8</v>
      </c>
      <c r="E66" s="237">
        <f>475*12</f>
        <v>5700</v>
      </c>
      <c r="F66" s="237"/>
      <c r="G66" s="237">
        <v>1406</v>
      </c>
      <c r="H66" s="191">
        <v>226.80221649999999</v>
      </c>
      <c r="I66" s="203"/>
      <c r="J66" s="191"/>
      <c r="K66" s="191"/>
      <c r="L66" s="191"/>
      <c r="M66" s="191"/>
      <c r="N66" s="195">
        <f t="shared" si="84"/>
        <v>176.90572886999999</v>
      </c>
      <c r="O66" s="196">
        <f t="shared" si="85"/>
        <v>0</v>
      </c>
      <c r="P66" s="332"/>
      <c r="Q66" s="196">
        <f t="shared" si="86"/>
        <v>0</v>
      </c>
      <c r="R66" s="332"/>
      <c r="S66" s="196">
        <f t="shared" si="87"/>
        <v>176.90572886999999</v>
      </c>
      <c r="T66" s="332"/>
      <c r="U66" s="196">
        <f t="shared" si="88"/>
        <v>176.90572886999999</v>
      </c>
      <c r="V66" s="332"/>
      <c r="W66" s="332"/>
      <c r="X66" s="332"/>
      <c r="Y66" s="332"/>
      <c r="Z66" s="198"/>
      <c r="AA66" s="249">
        <f t="shared" si="89"/>
        <v>176.90572886999999</v>
      </c>
    </row>
    <row r="67" spans="2:27" hidden="1">
      <c r="B67" s="253" t="s">
        <v>915</v>
      </c>
      <c r="C67" s="193"/>
      <c r="D67" s="203">
        <v>5.55</v>
      </c>
      <c r="E67" s="237">
        <f>475*12</f>
        <v>5700</v>
      </c>
      <c r="F67" s="237"/>
      <c r="G67" s="237">
        <v>1406</v>
      </c>
      <c r="H67" s="191">
        <v>300.07453215999999</v>
      </c>
      <c r="I67" s="203"/>
      <c r="J67" s="191"/>
      <c r="K67" s="191"/>
      <c r="L67" s="191"/>
      <c r="M67" s="191"/>
      <c r="N67" s="195">
        <f t="shared" si="84"/>
        <v>166.54136534879999</v>
      </c>
      <c r="O67" s="196">
        <f t="shared" si="85"/>
        <v>0</v>
      </c>
      <c r="P67" s="332"/>
      <c r="Q67" s="196">
        <f t="shared" si="86"/>
        <v>0</v>
      </c>
      <c r="R67" s="332"/>
      <c r="S67" s="196">
        <f t="shared" si="87"/>
        <v>166.54136534879999</v>
      </c>
      <c r="T67" s="332"/>
      <c r="U67" s="196">
        <f t="shared" si="88"/>
        <v>166.54136534879999</v>
      </c>
      <c r="V67" s="332"/>
      <c r="W67" s="332"/>
      <c r="X67" s="332"/>
      <c r="Y67" s="332"/>
      <c r="Z67" s="198"/>
      <c r="AA67" s="249">
        <f t="shared" si="89"/>
        <v>166.54136534879999</v>
      </c>
    </row>
    <row r="68" spans="2:27" hidden="1">
      <c r="B68" s="253" t="s">
        <v>916</v>
      </c>
      <c r="C68" s="193">
        <f>'[4]FY23 Revenue'!E66</f>
        <v>1896</v>
      </c>
      <c r="D68" s="203">
        <v>6.3</v>
      </c>
      <c r="E68" s="237">
        <f>475*12</f>
        <v>5700</v>
      </c>
      <c r="F68" s="237"/>
      <c r="G68" s="237">
        <v>1406</v>
      </c>
      <c r="H68" s="191">
        <v>177.96764348106998</v>
      </c>
      <c r="I68" s="203"/>
      <c r="J68" s="191">
        <f>'[4]FY23 Revenue'!K66</f>
        <v>586.93674999999996</v>
      </c>
      <c r="K68" s="191"/>
      <c r="L68" s="191"/>
      <c r="M68" s="191"/>
      <c r="N68" s="195">
        <f t="shared" si="84"/>
        <v>112.11961539307408</v>
      </c>
      <c r="O68" s="196">
        <f t="shared" si="85"/>
        <v>334.55394749999999</v>
      </c>
      <c r="P68" s="332"/>
      <c r="Q68" s="196">
        <f t="shared" si="86"/>
        <v>3.1989312000000001</v>
      </c>
      <c r="R68" s="332"/>
      <c r="S68" s="196">
        <f t="shared" si="87"/>
        <v>449.87249409307407</v>
      </c>
      <c r="T68" s="332"/>
      <c r="U68" s="196">
        <f t="shared" si="88"/>
        <v>449.87249409307407</v>
      </c>
      <c r="V68" s="332"/>
      <c r="W68" s="332"/>
      <c r="X68" s="332"/>
      <c r="Y68" s="332"/>
      <c r="Z68" s="198">
        <f>(H64*$Z$179)/($H$179-$H$43-$H$45-$H$46)</f>
        <v>21.863889802975649</v>
      </c>
      <c r="AA68" s="249">
        <f t="shared" si="89"/>
        <v>471.73638389604969</v>
      </c>
    </row>
    <row r="69" spans="2:27" hidden="1">
      <c r="B69" s="253" t="s">
        <v>917</v>
      </c>
      <c r="C69" s="193"/>
      <c r="D69" s="203"/>
      <c r="E69" s="237"/>
      <c r="F69" s="237"/>
      <c r="G69" s="237"/>
      <c r="H69" s="191"/>
      <c r="I69" s="203"/>
      <c r="J69" s="191"/>
      <c r="K69" s="191"/>
      <c r="L69" s="191"/>
      <c r="M69" s="191"/>
      <c r="N69" s="195">
        <f t="shared" si="84"/>
        <v>0</v>
      </c>
      <c r="O69" s="196">
        <f t="shared" si="85"/>
        <v>0</v>
      </c>
      <c r="P69" s="332"/>
      <c r="Q69" s="196">
        <f t="shared" si="86"/>
        <v>0</v>
      </c>
      <c r="R69" s="332"/>
      <c r="S69" s="196">
        <f t="shared" si="87"/>
        <v>0</v>
      </c>
      <c r="T69" s="332"/>
      <c r="U69" s="196">
        <f t="shared" si="88"/>
        <v>0</v>
      </c>
      <c r="V69" s="332"/>
      <c r="W69" s="332"/>
      <c r="X69" s="332"/>
      <c r="Y69" s="332"/>
      <c r="Z69" s="198"/>
      <c r="AA69" s="249">
        <f t="shared" si="89"/>
        <v>0</v>
      </c>
    </row>
    <row r="70" spans="2:27" hidden="1">
      <c r="B70" s="253" t="s">
        <v>914</v>
      </c>
      <c r="C70" s="193"/>
      <c r="D70" s="203">
        <v>7.3</v>
      </c>
      <c r="E70" s="237">
        <f>475*12</f>
        <v>5700</v>
      </c>
      <c r="F70" s="237"/>
      <c r="G70" s="237">
        <v>1406</v>
      </c>
      <c r="H70" s="191">
        <v>247.53982400000001</v>
      </c>
      <c r="I70" s="203"/>
      <c r="J70" s="191"/>
      <c r="K70" s="191"/>
      <c r="L70" s="191"/>
      <c r="M70" s="191"/>
      <c r="N70" s="195">
        <f t="shared" si="84"/>
        <v>180.70407152000001</v>
      </c>
      <c r="O70" s="196">
        <f t="shared" si="85"/>
        <v>0</v>
      </c>
      <c r="P70" s="332"/>
      <c r="Q70" s="196">
        <f t="shared" si="86"/>
        <v>0</v>
      </c>
      <c r="R70" s="332"/>
      <c r="S70" s="196">
        <f t="shared" si="87"/>
        <v>180.70407152000001</v>
      </c>
      <c r="T70" s="332"/>
      <c r="U70" s="196">
        <f t="shared" si="88"/>
        <v>180.70407152000001</v>
      </c>
      <c r="V70" s="332"/>
      <c r="W70" s="332"/>
      <c r="X70" s="332"/>
      <c r="Y70" s="332"/>
      <c r="Z70" s="198"/>
      <c r="AA70" s="249">
        <f t="shared" si="89"/>
        <v>180.70407152000001</v>
      </c>
    </row>
    <row r="71" spans="2:27" hidden="1">
      <c r="B71" s="253" t="s">
        <v>915</v>
      </c>
      <c r="C71" s="193"/>
      <c r="D71" s="203">
        <v>5.55</v>
      </c>
      <c r="E71" s="237">
        <f>475*12</f>
        <v>5700</v>
      </c>
      <c r="F71" s="237"/>
      <c r="G71" s="237">
        <v>1406</v>
      </c>
      <c r="H71" s="191">
        <v>325.26523318666671</v>
      </c>
      <c r="I71" s="203"/>
      <c r="J71" s="191"/>
      <c r="K71" s="191"/>
      <c r="L71" s="191"/>
      <c r="M71" s="191"/>
      <c r="N71" s="195">
        <f t="shared" si="84"/>
        <v>180.52220441860001</v>
      </c>
      <c r="O71" s="196">
        <f t="shared" si="85"/>
        <v>0</v>
      </c>
      <c r="P71" s="332"/>
      <c r="Q71" s="196">
        <f t="shared" si="86"/>
        <v>0</v>
      </c>
      <c r="R71" s="332"/>
      <c r="S71" s="196">
        <f t="shared" si="87"/>
        <v>180.52220441860001</v>
      </c>
      <c r="T71" s="332"/>
      <c r="U71" s="196">
        <f t="shared" si="88"/>
        <v>180.52220441860001</v>
      </c>
      <c r="V71" s="332"/>
      <c r="W71" s="332"/>
      <c r="X71" s="332"/>
      <c r="Y71" s="332"/>
      <c r="Z71" s="198"/>
      <c r="AA71" s="249">
        <f t="shared" si="89"/>
        <v>180.52220441860001</v>
      </c>
    </row>
    <row r="72" spans="2:27" hidden="1">
      <c r="B72" s="253" t="s">
        <v>916</v>
      </c>
      <c r="C72" s="193"/>
      <c r="D72" s="203">
        <v>6.3</v>
      </c>
      <c r="E72" s="237">
        <f>475*12</f>
        <v>5700</v>
      </c>
      <c r="F72" s="237"/>
      <c r="G72" s="237">
        <v>1406</v>
      </c>
      <c r="H72" s="191">
        <v>176.16337370723332</v>
      </c>
      <c r="I72" s="203"/>
      <c r="J72" s="191"/>
      <c r="K72" s="191"/>
      <c r="L72" s="191"/>
      <c r="M72" s="191"/>
      <c r="N72" s="195">
        <f t="shared" si="84"/>
        <v>110.98292543555699</v>
      </c>
      <c r="O72" s="196">
        <f t="shared" si="85"/>
        <v>0</v>
      </c>
      <c r="P72" s="332"/>
      <c r="Q72" s="196">
        <f t="shared" si="86"/>
        <v>0</v>
      </c>
      <c r="R72" s="332"/>
      <c r="S72" s="196">
        <f t="shared" si="87"/>
        <v>110.98292543555699</v>
      </c>
      <c r="T72" s="332"/>
      <c r="U72" s="196">
        <f t="shared" si="88"/>
        <v>110.98292543555699</v>
      </c>
      <c r="V72" s="332"/>
      <c r="W72" s="332"/>
      <c r="X72" s="332"/>
      <c r="Y72" s="332"/>
      <c r="Z72" s="198"/>
      <c r="AA72" s="249">
        <f t="shared" si="89"/>
        <v>110.98292543555699</v>
      </c>
    </row>
    <row r="73" spans="2:27" hidden="1">
      <c r="B73" s="253" t="s">
        <v>592</v>
      </c>
      <c r="C73" s="193">
        <f>'[4]FY23 Revenue'!E70</f>
        <v>0</v>
      </c>
      <c r="D73" s="203">
        <v>7</v>
      </c>
      <c r="E73" s="237">
        <v>0</v>
      </c>
      <c r="F73" s="237"/>
      <c r="G73" s="237">
        <v>1406</v>
      </c>
      <c r="H73" s="191">
        <v>2.2908849999999998</v>
      </c>
      <c r="I73" s="203"/>
      <c r="J73" s="191">
        <f>'[4]FY23 Revenue'!K70</f>
        <v>0</v>
      </c>
      <c r="K73" s="191"/>
      <c r="L73" s="191"/>
      <c r="M73" s="191"/>
      <c r="N73" s="195">
        <f t="shared" si="84"/>
        <v>1.6036195</v>
      </c>
      <c r="O73" s="196">
        <f t="shared" si="85"/>
        <v>0</v>
      </c>
      <c r="P73" s="332"/>
      <c r="Q73" s="196">
        <f t="shared" si="86"/>
        <v>0</v>
      </c>
      <c r="R73" s="332"/>
      <c r="S73" s="196">
        <f t="shared" si="87"/>
        <v>1.6036195</v>
      </c>
      <c r="T73" s="332"/>
      <c r="U73" s="196">
        <f t="shared" si="88"/>
        <v>1.6036195</v>
      </c>
      <c r="V73" s="332"/>
      <c r="W73" s="332"/>
      <c r="X73" s="332"/>
      <c r="Y73" s="332"/>
      <c r="Z73" s="198"/>
      <c r="AA73" s="249">
        <f t="shared" si="89"/>
        <v>1.6036195</v>
      </c>
    </row>
    <row r="74" spans="2:27" hidden="1">
      <c r="B74" s="215" t="s">
        <v>754</v>
      </c>
      <c r="C74" s="193">
        <f>'[4]FY23 Revenue'!E71</f>
        <v>65</v>
      </c>
      <c r="D74" s="217">
        <v>7.65</v>
      </c>
      <c r="E74" s="207">
        <f>475*12</f>
        <v>5700</v>
      </c>
      <c r="F74" s="217"/>
      <c r="G74" s="222">
        <v>1406</v>
      </c>
      <c r="H74" s="191">
        <v>14.889982316000001</v>
      </c>
      <c r="I74" s="217"/>
      <c r="J74" s="191">
        <f>'[4]FY23 Revenue'!K71</f>
        <v>18.363</v>
      </c>
      <c r="K74" s="217"/>
      <c r="L74" s="191"/>
      <c r="M74" s="217"/>
      <c r="N74" s="217">
        <f t="shared" si="84"/>
        <v>11.390836471740002</v>
      </c>
      <c r="O74" s="217">
        <f t="shared" si="85"/>
        <v>10.46691</v>
      </c>
      <c r="P74" s="217"/>
      <c r="Q74" s="217">
        <f t="shared" si="86"/>
        <v>0.109668</v>
      </c>
      <c r="R74" s="217"/>
      <c r="S74" s="217">
        <f t="shared" si="87"/>
        <v>21.96741447174</v>
      </c>
      <c r="T74" s="217"/>
      <c r="U74" s="217">
        <f t="shared" si="88"/>
        <v>21.96741447174</v>
      </c>
      <c r="V74" s="217"/>
      <c r="W74" s="217"/>
      <c r="X74" s="217"/>
      <c r="Y74" s="217"/>
      <c r="Z74" s="198">
        <f t="shared" ref="Z74:Z83" si="90">(H74*$Z$179)/($H$179-$H$43-$H$45-$H$46)</f>
        <v>0.22357812203130631</v>
      </c>
      <c r="AA74" s="217">
        <f t="shared" si="89"/>
        <v>22.190992593771306</v>
      </c>
    </row>
    <row r="75" spans="2:27" hidden="1">
      <c r="B75" s="215" t="s">
        <v>755</v>
      </c>
      <c r="C75" s="193">
        <f>'[4]FY23 Revenue'!E72</f>
        <v>0</v>
      </c>
      <c r="D75" s="217">
        <v>5.8</v>
      </c>
      <c r="E75" s="207">
        <v>0</v>
      </c>
      <c r="F75" s="217"/>
      <c r="G75" s="222">
        <v>1406</v>
      </c>
      <c r="H75" s="191">
        <v>0</v>
      </c>
      <c r="I75" s="217"/>
      <c r="J75" s="191">
        <f>'[4]FY23 Revenue'!K72</f>
        <v>0</v>
      </c>
      <c r="K75" s="217"/>
      <c r="L75" s="191"/>
      <c r="M75" s="217"/>
      <c r="N75" s="217">
        <f t="shared" si="84"/>
        <v>0</v>
      </c>
      <c r="O75" s="217">
        <f t="shared" si="85"/>
        <v>0</v>
      </c>
      <c r="P75" s="217"/>
      <c r="Q75" s="217">
        <f t="shared" si="86"/>
        <v>0</v>
      </c>
      <c r="R75" s="217"/>
      <c r="S75" s="217">
        <f t="shared" si="87"/>
        <v>0</v>
      </c>
      <c r="T75" s="217"/>
      <c r="U75" s="217">
        <f t="shared" si="88"/>
        <v>0</v>
      </c>
      <c r="V75" s="217"/>
      <c r="W75" s="217"/>
      <c r="X75" s="217"/>
      <c r="Y75" s="217"/>
      <c r="Z75" s="198">
        <f t="shared" si="90"/>
        <v>0</v>
      </c>
      <c r="AA75" s="217">
        <f t="shared" si="89"/>
        <v>0</v>
      </c>
    </row>
    <row r="76" spans="2:27" hidden="1">
      <c r="B76" s="239" t="s">
        <v>751</v>
      </c>
      <c r="C76" s="250">
        <f>SUM(C77:C80)</f>
        <v>247</v>
      </c>
      <c r="D76" s="240"/>
      <c r="E76" s="240"/>
      <c r="F76" s="240"/>
      <c r="G76" s="240"/>
      <c r="H76" s="240">
        <f>SUM(H77:H80)</f>
        <v>136.58596345100003</v>
      </c>
      <c r="I76" s="240">
        <f t="shared" ref="I76" si="91">SUM(I77:I80)</f>
        <v>0</v>
      </c>
      <c r="J76" s="240">
        <f>SUM(J77:J80)</f>
        <v>58.015000000000001</v>
      </c>
      <c r="K76" s="240">
        <f t="shared" ref="K76:AA76" si="92">SUM(K77:K80)</f>
        <v>0</v>
      </c>
      <c r="L76" s="240"/>
      <c r="M76" s="240"/>
      <c r="N76" s="240">
        <f t="shared" si="92"/>
        <v>104.32638096257503</v>
      </c>
      <c r="O76" s="240">
        <f t="shared" si="92"/>
        <v>31.249746000000002</v>
      </c>
      <c r="P76" s="240">
        <f t="shared" si="92"/>
        <v>0</v>
      </c>
      <c r="Q76" s="240">
        <f t="shared" si="92"/>
        <v>0.41673840000000001</v>
      </c>
      <c r="R76" s="240">
        <f t="shared" si="92"/>
        <v>0</v>
      </c>
      <c r="S76" s="240">
        <f t="shared" si="92"/>
        <v>135.99286536257503</v>
      </c>
      <c r="T76" s="240">
        <f t="shared" si="92"/>
        <v>0</v>
      </c>
      <c r="U76" s="240">
        <f t="shared" si="92"/>
        <v>135.99286536257503</v>
      </c>
      <c r="V76" s="240">
        <f t="shared" si="92"/>
        <v>0</v>
      </c>
      <c r="W76" s="240">
        <f t="shared" si="92"/>
        <v>0</v>
      </c>
      <c r="X76" s="240">
        <f t="shared" si="92"/>
        <v>0</v>
      </c>
      <c r="Y76" s="240">
        <f t="shared" si="92"/>
        <v>0</v>
      </c>
      <c r="Z76" s="240">
        <f t="shared" si="92"/>
        <v>2.0508844507758126</v>
      </c>
      <c r="AA76" s="240">
        <f t="shared" si="92"/>
        <v>138.04374981335081</v>
      </c>
    </row>
    <row r="77" spans="2:27" ht="21" hidden="1">
      <c r="B77" s="245" t="s">
        <v>756</v>
      </c>
      <c r="C77" s="193">
        <f>'[4]FY23 Revenue'!E74</f>
        <v>148</v>
      </c>
      <c r="D77" s="203">
        <v>7.65</v>
      </c>
      <c r="E77" s="237">
        <f>475*12</f>
        <v>5700</v>
      </c>
      <c r="F77" s="237"/>
      <c r="G77" s="237">
        <v>1406</v>
      </c>
      <c r="H77" s="191">
        <v>101.83444109500002</v>
      </c>
      <c r="I77" s="203"/>
      <c r="J77" s="191">
        <f>'[4]FY23 Revenue'!K74</f>
        <v>36.036000000000001</v>
      </c>
      <c r="K77" s="191"/>
      <c r="L77" s="191"/>
      <c r="M77" s="191"/>
      <c r="N77" s="195">
        <f t="shared" ref="N77:N80" si="93">H77*D77*$P$180/10</f>
        <v>77.903347437675023</v>
      </c>
      <c r="O77" s="196">
        <f>IF(E77&gt;0,(J77*10^3*E77/10^7)+(K77*0.7457*E77/10^7),(K77*F77/10^7)+(J77*(10^3)*(1/0.7457)*F77/10^7))</f>
        <v>20.540520000000001</v>
      </c>
      <c r="P77" s="332"/>
      <c r="Q77" s="196">
        <f t="shared" ref="Q77:Q80" si="94">G77*C77*12/10^7</f>
        <v>0.2497056</v>
      </c>
      <c r="R77" s="332"/>
      <c r="S77" s="196">
        <f>N77+O77+P77+Q77+R77</f>
        <v>98.693573037675023</v>
      </c>
      <c r="T77" s="332"/>
      <c r="U77" s="196">
        <f t="shared" ref="U77:U80" si="95">S77-T77</f>
        <v>98.693573037675023</v>
      </c>
      <c r="V77" s="332"/>
      <c r="W77" s="332"/>
      <c r="X77" s="332"/>
      <c r="Y77" s="332"/>
      <c r="Z77" s="198">
        <f t="shared" si="90"/>
        <v>1.5290785855173601</v>
      </c>
      <c r="AA77" s="249">
        <f t="shared" ref="AA77:AA80" si="96">U77+Z77</f>
        <v>100.22265162319238</v>
      </c>
    </row>
    <row r="78" spans="2:27" hidden="1">
      <c r="B78" s="245" t="s">
        <v>757</v>
      </c>
      <c r="C78" s="193">
        <f>'[4]FY23 Revenue'!E75</f>
        <v>85</v>
      </c>
      <c r="D78" s="203">
        <v>7.95</v>
      </c>
      <c r="E78" s="237">
        <f>475*12</f>
        <v>5700</v>
      </c>
      <c r="F78" s="237"/>
      <c r="G78" s="237">
        <v>1406</v>
      </c>
      <c r="H78" s="191">
        <v>30.668719820000003</v>
      </c>
      <c r="I78" s="203"/>
      <c r="J78" s="191">
        <f>'[4]FY23 Revenue'!K75</f>
        <v>18.573</v>
      </c>
      <c r="K78" s="191"/>
      <c r="L78" s="191"/>
      <c r="M78" s="191"/>
      <c r="N78" s="195">
        <f t="shared" si="93"/>
        <v>24.381632256900001</v>
      </c>
      <c r="O78" s="196">
        <f>IF(E78&gt;0,(J78*10^3*E78/10^7)+(K78*0.7457*E78/10^7),(K78*F78/10^7)+(J78*(10^3)*(1/0.7457)*F78/10^7))</f>
        <v>10.58661</v>
      </c>
      <c r="P78" s="332"/>
      <c r="Q78" s="196">
        <f t="shared" si="94"/>
        <v>0.14341200000000001</v>
      </c>
      <c r="R78" s="332"/>
      <c r="S78" s="196">
        <f>N78+O78+P78+Q78+R78</f>
        <v>35.111654256899996</v>
      </c>
      <c r="T78" s="332"/>
      <c r="U78" s="196">
        <f t="shared" si="95"/>
        <v>35.111654256899996</v>
      </c>
      <c r="V78" s="332"/>
      <c r="W78" s="332"/>
      <c r="X78" s="332"/>
      <c r="Y78" s="332"/>
      <c r="Z78" s="198">
        <f t="shared" si="90"/>
        <v>0.46050120389275973</v>
      </c>
      <c r="AA78" s="249">
        <f t="shared" si="96"/>
        <v>35.572155460792757</v>
      </c>
    </row>
    <row r="79" spans="2:27" hidden="1">
      <c r="B79" s="245" t="s">
        <v>758</v>
      </c>
      <c r="C79" s="193">
        <f>'[4]FY23 Revenue'!E76</f>
        <v>14</v>
      </c>
      <c r="D79" s="203">
        <v>5</v>
      </c>
      <c r="E79" s="237">
        <f>30*12</f>
        <v>360</v>
      </c>
      <c r="F79" s="237"/>
      <c r="G79" s="237">
        <v>1406</v>
      </c>
      <c r="H79" s="191">
        <v>4.0828025360000009</v>
      </c>
      <c r="I79" s="203"/>
      <c r="J79" s="191">
        <f>'[4]FY23 Revenue'!K76</f>
        <v>3.4060000000000001</v>
      </c>
      <c r="K79" s="191"/>
      <c r="L79" s="191"/>
      <c r="M79" s="191"/>
      <c r="N79" s="195">
        <f t="shared" si="93"/>
        <v>2.0414012680000004</v>
      </c>
      <c r="O79" s="196">
        <f>IF(E79&gt;0,(J79*10^3*E79/10^7)+(K79*0.7457*E79/10^7),(K79*F79/10^7)+(J79*(10^3)*(1/0.7457)*F79/10^7))</f>
        <v>0.122616</v>
      </c>
      <c r="P79" s="332"/>
      <c r="Q79" s="196">
        <f t="shared" si="94"/>
        <v>2.3620800000000001E-2</v>
      </c>
      <c r="R79" s="332"/>
      <c r="S79" s="196">
        <f>N79+O79+P79+Q79+R79</f>
        <v>2.1876380680000005</v>
      </c>
      <c r="T79" s="332"/>
      <c r="U79" s="196">
        <f t="shared" si="95"/>
        <v>2.1876380680000005</v>
      </c>
      <c r="V79" s="332"/>
      <c r="W79" s="332"/>
      <c r="X79" s="332"/>
      <c r="Y79" s="332"/>
      <c r="Z79" s="198">
        <f t="shared" si="90"/>
        <v>6.1304661365692847E-2</v>
      </c>
      <c r="AA79" s="249">
        <f t="shared" si="96"/>
        <v>2.2489427293656932</v>
      </c>
    </row>
    <row r="80" spans="2:27" hidden="1">
      <c r="B80" s="245" t="s">
        <v>759</v>
      </c>
      <c r="C80" s="193">
        <f>'[4]FY23 Revenue'!E77</f>
        <v>0</v>
      </c>
      <c r="D80" s="203">
        <v>5.5</v>
      </c>
      <c r="E80" s="237">
        <f>350*12</f>
        <v>4200</v>
      </c>
      <c r="F80" s="237"/>
      <c r="G80" s="237">
        <v>1406</v>
      </c>
      <c r="H80" s="191">
        <v>0</v>
      </c>
      <c r="I80" s="203"/>
      <c r="J80" s="191">
        <f>'[4]FY23 Revenue'!K77</f>
        <v>0</v>
      </c>
      <c r="K80" s="191"/>
      <c r="L80" s="191"/>
      <c r="M80" s="191"/>
      <c r="N80" s="195">
        <f t="shared" si="93"/>
        <v>0</v>
      </c>
      <c r="O80" s="196">
        <f>IF(E80&gt;0,(J80*10^3*E80/10^7)+(K80*0.7457*E80/10^7),(K80*F80/10^7)+(J80*(10^3)*(1/0.7457)*F80/10^7))</f>
        <v>0</v>
      </c>
      <c r="P80" s="332"/>
      <c r="Q80" s="196">
        <f t="shared" si="94"/>
        <v>0</v>
      </c>
      <c r="R80" s="332"/>
      <c r="S80" s="196">
        <f>N80+O80+P80+Q80+R80</f>
        <v>0</v>
      </c>
      <c r="T80" s="332"/>
      <c r="U80" s="196">
        <f t="shared" si="95"/>
        <v>0</v>
      </c>
      <c r="V80" s="332"/>
      <c r="W80" s="332"/>
      <c r="X80" s="332"/>
      <c r="Y80" s="332"/>
      <c r="Z80" s="198">
        <f t="shared" si="90"/>
        <v>0</v>
      </c>
      <c r="AA80" s="249">
        <f t="shared" si="96"/>
        <v>0</v>
      </c>
    </row>
    <row r="81" spans="2:27" hidden="1">
      <c r="B81" s="239" t="s">
        <v>752</v>
      </c>
      <c r="C81" s="250">
        <f t="shared" ref="C81" si="97">C82+C83</f>
        <v>154</v>
      </c>
      <c r="D81" s="240"/>
      <c r="E81" s="240"/>
      <c r="F81" s="240"/>
      <c r="G81" s="240"/>
      <c r="H81" s="240">
        <f t="shared" ref="H81:AA81" si="98">H82+H83</f>
        <v>39.380276420000001</v>
      </c>
      <c r="I81" s="240">
        <f t="shared" si="98"/>
        <v>0</v>
      </c>
      <c r="J81" s="240">
        <f t="shared" si="98"/>
        <v>47.214030000000001</v>
      </c>
      <c r="K81" s="240">
        <f t="shared" si="98"/>
        <v>0</v>
      </c>
      <c r="L81" s="240"/>
      <c r="M81" s="240"/>
      <c r="N81" s="240">
        <f t="shared" si="98"/>
        <v>21.1518638507</v>
      </c>
      <c r="O81" s="240">
        <f t="shared" si="98"/>
        <v>0.38713068</v>
      </c>
      <c r="P81" s="240">
        <f t="shared" si="98"/>
        <v>0</v>
      </c>
      <c r="Q81" s="240">
        <f t="shared" si="98"/>
        <v>0.25982880000000003</v>
      </c>
      <c r="R81" s="240">
        <f t="shared" si="98"/>
        <v>0</v>
      </c>
      <c r="S81" s="240">
        <f t="shared" si="98"/>
        <v>21.798823330699999</v>
      </c>
      <c r="T81" s="240">
        <f t="shared" si="98"/>
        <v>0</v>
      </c>
      <c r="U81" s="240">
        <f t="shared" si="98"/>
        <v>21.798823330699999</v>
      </c>
      <c r="V81" s="240">
        <f t="shared" si="98"/>
        <v>0</v>
      </c>
      <c r="W81" s="240">
        <f t="shared" si="98"/>
        <v>0</v>
      </c>
      <c r="X81" s="240">
        <f t="shared" si="98"/>
        <v>0</v>
      </c>
      <c r="Y81" s="240">
        <f t="shared" si="98"/>
        <v>0</v>
      </c>
      <c r="Z81" s="240">
        <f t="shared" si="98"/>
        <v>0.59130817352257037</v>
      </c>
      <c r="AA81" s="240">
        <f t="shared" si="98"/>
        <v>22.39013150422257</v>
      </c>
    </row>
    <row r="82" spans="2:27" hidden="1">
      <c r="B82" s="253" t="s">
        <v>760</v>
      </c>
      <c r="C82" s="193">
        <f>'[4]FY23 Revenue'!E79</f>
        <v>39</v>
      </c>
      <c r="D82" s="203">
        <v>3.85</v>
      </c>
      <c r="E82" s="237">
        <f>30*12</f>
        <v>360</v>
      </c>
      <c r="F82" s="237"/>
      <c r="G82" s="237">
        <v>1406</v>
      </c>
      <c r="H82" s="191">
        <v>21.227375119999998</v>
      </c>
      <c r="I82" s="203"/>
      <c r="J82" s="191">
        <f>'[4]FY23 Revenue'!K79</f>
        <v>10.753630000000001</v>
      </c>
      <c r="K82" s="191"/>
      <c r="L82" s="191"/>
      <c r="M82" s="191"/>
      <c r="N82" s="195">
        <f t="shared" ref="N82:N83" si="99">H82*D82*$P$180/10</f>
        <v>8.1725394211999998</v>
      </c>
      <c r="O82" s="196">
        <f>IF(E82&gt;0,(J82*10^3*E82/10^7)+(K82*0.7457*E82/10^7),(K82*F82/10^7)+(J82*(10^3)*(1/0.7457)*F82/10^7))</f>
        <v>0.38713068</v>
      </c>
      <c r="P82" s="332"/>
      <c r="Q82" s="196">
        <f t="shared" ref="Q82:Q83" si="100">G82*C82*12/10^7</f>
        <v>6.5800800000000007E-2</v>
      </c>
      <c r="R82" s="332"/>
      <c r="S82" s="196">
        <f>N82+O82+P82+Q82+R82</f>
        <v>8.6254709011999999</v>
      </c>
      <c r="T82" s="332"/>
      <c r="U82" s="196">
        <f t="shared" ref="U82:U83" si="101">S82-T82</f>
        <v>8.6254709011999999</v>
      </c>
      <c r="V82" s="332"/>
      <c r="W82" s="332"/>
      <c r="X82" s="332"/>
      <c r="Y82" s="332"/>
      <c r="Z82" s="198">
        <f t="shared" si="90"/>
        <v>0.31873621904062938</v>
      </c>
      <c r="AA82" s="249">
        <f t="shared" ref="AA82:AA83" si="102">U82+Z82</f>
        <v>8.9442071202406286</v>
      </c>
    </row>
    <row r="83" spans="2:27" hidden="1">
      <c r="B83" s="337" t="s">
        <v>761</v>
      </c>
      <c r="C83" s="193">
        <f>'[4]FY23 Revenue'!E80</f>
        <v>115</v>
      </c>
      <c r="D83" s="338">
        <v>7.15</v>
      </c>
      <c r="E83" s="339">
        <v>0</v>
      </c>
      <c r="F83" s="339"/>
      <c r="G83" s="339">
        <v>1406</v>
      </c>
      <c r="H83" s="191">
        <v>18.1529013</v>
      </c>
      <c r="I83" s="338"/>
      <c r="J83" s="191">
        <f>'[4]FY23 Revenue'!K80</f>
        <v>36.4604</v>
      </c>
      <c r="K83" s="340"/>
      <c r="L83" s="191"/>
      <c r="M83" s="340"/>
      <c r="N83" s="341">
        <f t="shared" si="99"/>
        <v>12.9793244295</v>
      </c>
      <c r="O83" s="342">
        <f>IF(E83&gt;0,(J83*10^3*E83/10^7)+(K83*0.7457*E83/10^7),(K83*F83/10^7)+(J83*(10^3)*(1/0.7457)*F83/10^7))</f>
        <v>0</v>
      </c>
      <c r="P83" s="343"/>
      <c r="Q83" s="342">
        <f t="shared" si="100"/>
        <v>0.19402800000000001</v>
      </c>
      <c r="R83" s="343"/>
      <c r="S83" s="342">
        <f>N83+O83+P83+Q83+R83</f>
        <v>13.1733524295</v>
      </c>
      <c r="T83" s="343"/>
      <c r="U83" s="342">
        <f t="shared" si="101"/>
        <v>13.1733524295</v>
      </c>
      <c r="V83" s="343"/>
      <c r="W83" s="343"/>
      <c r="X83" s="343"/>
      <c r="Y83" s="343"/>
      <c r="Z83" s="198">
        <f t="shared" si="90"/>
        <v>0.27257195448194099</v>
      </c>
      <c r="AA83" s="344">
        <f t="shared" si="102"/>
        <v>13.445924383981941</v>
      </c>
    </row>
    <row r="84" spans="2:27" hidden="1">
      <c r="B84" s="345"/>
      <c r="C84" s="345"/>
      <c r="D84" s="345"/>
      <c r="E84" s="345"/>
      <c r="F84" s="345"/>
      <c r="G84" s="345"/>
      <c r="H84" s="346"/>
      <c r="I84" s="346"/>
      <c r="J84" s="346"/>
      <c r="K84" s="346"/>
      <c r="L84" s="346"/>
      <c r="M84" s="346"/>
      <c r="N84" s="347"/>
      <c r="O84" s="348"/>
      <c r="P84" s="349"/>
      <c r="Q84" s="348"/>
      <c r="R84" s="349"/>
      <c r="S84" s="348"/>
      <c r="T84" s="346"/>
      <c r="U84" s="348"/>
      <c r="V84" s="346"/>
      <c r="W84" s="346"/>
      <c r="X84" s="346"/>
      <c r="Y84" s="346"/>
      <c r="Z84" s="350"/>
      <c r="AA84" s="351"/>
    </row>
    <row r="85" spans="2:27" hidden="1">
      <c r="B85" s="351"/>
      <c r="C85" s="352"/>
      <c r="D85" s="351"/>
      <c r="E85" s="351"/>
      <c r="F85" s="351"/>
      <c r="G85" s="353"/>
      <c r="H85" s="351"/>
      <c r="I85" s="351"/>
      <c r="J85" s="351"/>
      <c r="K85" s="351"/>
      <c r="L85" s="351"/>
      <c r="M85" s="351"/>
      <c r="N85" s="347"/>
      <c r="O85" s="348"/>
      <c r="P85" s="349"/>
      <c r="Q85" s="348"/>
      <c r="R85" s="349"/>
      <c r="S85" s="348"/>
      <c r="T85" s="349"/>
      <c r="U85" s="348"/>
      <c r="V85" s="349"/>
      <c r="W85" s="349"/>
      <c r="X85" s="349"/>
      <c r="Y85" s="349"/>
      <c r="Z85" s="350"/>
      <c r="AA85" s="351"/>
    </row>
    <row r="86" spans="2:27" hidden="1">
      <c r="B86" s="354" t="s">
        <v>721</v>
      </c>
      <c r="C86" s="355">
        <f>C87+C88+C95+C108+C113</f>
        <v>333</v>
      </c>
      <c r="D86" s="356"/>
      <c r="E86" s="357"/>
      <c r="F86" s="357"/>
      <c r="G86" s="358"/>
      <c r="H86" s="359">
        <f>H87+H88+H95+H108+H113</f>
        <v>2488.1907287099998</v>
      </c>
      <c r="I86" s="359">
        <f t="shared" ref="I86" si="103">I87+I88+I95+I108+I113</f>
        <v>0</v>
      </c>
      <c r="J86" s="359">
        <f>J87+J88+J95+J108+J113</f>
        <v>798.80657999999983</v>
      </c>
      <c r="K86" s="359">
        <f t="shared" ref="K86:AA86" si="104">K87+K88+K95+K108+K113</f>
        <v>0</v>
      </c>
      <c r="L86" s="359"/>
      <c r="M86" s="359"/>
      <c r="N86" s="359">
        <f t="shared" si="104"/>
        <v>1497.0606956995498</v>
      </c>
      <c r="O86" s="359">
        <f t="shared" si="104"/>
        <v>363.73709999999994</v>
      </c>
      <c r="P86" s="359">
        <f t="shared" si="104"/>
        <v>0</v>
      </c>
      <c r="Q86" s="359">
        <f t="shared" si="104"/>
        <v>1.1240748</v>
      </c>
      <c r="R86" s="359">
        <f t="shared" si="104"/>
        <v>0</v>
      </c>
      <c r="S86" s="359">
        <f t="shared" si="104"/>
        <v>1861.9218704995494</v>
      </c>
      <c r="T86" s="359">
        <f t="shared" si="104"/>
        <v>0</v>
      </c>
      <c r="U86" s="359">
        <f t="shared" si="104"/>
        <v>1861.9218704995494</v>
      </c>
      <c r="V86" s="359">
        <f t="shared" si="104"/>
        <v>0</v>
      </c>
      <c r="W86" s="359">
        <f t="shared" si="104"/>
        <v>0</v>
      </c>
      <c r="X86" s="359">
        <f t="shared" si="104"/>
        <v>0</v>
      </c>
      <c r="Y86" s="359">
        <f t="shared" si="104"/>
        <v>0</v>
      </c>
      <c r="Z86" s="359">
        <f t="shared" si="104"/>
        <v>37.361025592549751</v>
      </c>
      <c r="AA86" s="359">
        <f t="shared" si="104"/>
        <v>1899.2828960920999</v>
      </c>
    </row>
    <row r="87" spans="2:27" hidden="1">
      <c r="B87" s="253" t="s">
        <v>743</v>
      </c>
      <c r="C87" s="193">
        <f>'[4]FY23 Revenue'!E84</f>
        <v>3</v>
      </c>
      <c r="D87" s="203">
        <v>7</v>
      </c>
      <c r="E87" s="237">
        <f>75*12</f>
        <v>900</v>
      </c>
      <c r="F87" s="237"/>
      <c r="G87" s="237">
        <v>2813</v>
      </c>
      <c r="H87" s="191">
        <v>10.978990500000002</v>
      </c>
      <c r="I87" s="203"/>
      <c r="J87" s="191">
        <f>'[4]FY23 Revenue'!K84</f>
        <v>4.1500000000000004</v>
      </c>
      <c r="K87" s="191"/>
      <c r="L87" s="191"/>
      <c r="M87" s="191"/>
      <c r="N87" s="195">
        <f t="shared" ref="N87" si="105">H87*D87*$P$180/10</f>
        <v>7.6852933500000002</v>
      </c>
      <c r="O87" s="196">
        <f>IF(E87&gt;0,(J87*10^3*E87/10^7)+(K87*0.7457*E87/10^7),(K87*F87/10^7)+(J87*(10^3)*(1/0.7457)*F87/10^7))</f>
        <v>0.3735</v>
      </c>
      <c r="P87" s="332"/>
      <c r="Q87" s="196">
        <f t="shared" ref="Q87" si="106">G87*C87*12/10^7</f>
        <v>1.01268E-2</v>
      </c>
      <c r="R87" s="332"/>
      <c r="S87" s="196">
        <f>N87+O87+P87+Q87+R87</f>
        <v>8.0689201500000003</v>
      </c>
      <c r="T87" s="332"/>
      <c r="U87" s="196">
        <f t="shared" ref="U87" si="107">S87-T87</f>
        <v>8.0689201500000003</v>
      </c>
      <c r="V87" s="332"/>
      <c r="W87" s="332"/>
      <c r="X87" s="332"/>
      <c r="Y87" s="332"/>
      <c r="Z87" s="198">
        <f t="shared" ref="Z87" si="108">(H87*$Z$179)/($H$179-$H$43-$H$45-$H$46)</f>
        <v>0.16485325675315951</v>
      </c>
      <c r="AA87" s="249">
        <f t="shared" ref="AA87" si="109">U87+Z87</f>
        <v>8.2337734067531603</v>
      </c>
    </row>
    <row r="88" spans="2:27" hidden="1">
      <c r="B88" s="239" t="s">
        <v>744</v>
      </c>
      <c r="C88" s="250">
        <f>SUM(C89:C94)</f>
        <v>88</v>
      </c>
      <c r="D88" s="240"/>
      <c r="E88" s="240"/>
      <c r="F88" s="250"/>
      <c r="G88" s="240"/>
      <c r="H88" s="240">
        <f>SUM(H89:H94)</f>
        <v>213.78250405500003</v>
      </c>
      <c r="I88" s="240">
        <f t="shared" ref="I88" si="110">SUM(I89:I94)</f>
        <v>0</v>
      </c>
      <c r="J88" s="240">
        <f>SUM(J89:J94)</f>
        <v>113.42657999999997</v>
      </c>
      <c r="K88" s="240">
        <f t="shared" ref="K88:AA88" si="111">SUM(K89:K94)</f>
        <v>0</v>
      </c>
      <c r="L88" s="240"/>
      <c r="M88" s="240"/>
      <c r="N88" s="240">
        <f t="shared" si="111"/>
        <v>153.47957087322504</v>
      </c>
      <c r="O88" s="240">
        <f t="shared" si="111"/>
        <v>58.393649999999987</v>
      </c>
      <c r="P88" s="240">
        <f t="shared" si="111"/>
        <v>0</v>
      </c>
      <c r="Q88" s="240">
        <f t="shared" si="111"/>
        <v>0.29705280000000001</v>
      </c>
      <c r="R88" s="240">
        <f t="shared" si="111"/>
        <v>0</v>
      </c>
      <c r="S88" s="240">
        <f t="shared" si="111"/>
        <v>212.17027367322501</v>
      </c>
      <c r="T88" s="240">
        <f t="shared" si="111"/>
        <v>0</v>
      </c>
      <c r="U88" s="240">
        <f t="shared" si="111"/>
        <v>212.17027367322501</v>
      </c>
      <c r="V88" s="240">
        <f t="shared" si="111"/>
        <v>0</v>
      </c>
      <c r="W88" s="240">
        <f t="shared" si="111"/>
        <v>0</v>
      </c>
      <c r="X88" s="240">
        <f t="shared" si="111"/>
        <v>0</v>
      </c>
      <c r="Y88" s="240">
        <f t="shared" si="111"/>
        <v>0</v>
      </c>
      <c r="Z88" s="240">
        <f t="shared" si="111"/>
        <v>3.210016624963131</v>
      </c>
      <c r="AA88" s="240">
        <f t="shared" si="111"/>
        <v>215.38029029818816</v>
      </c>
    </row>
    <row r="89" spans="2:27" hidden="1">
      <c r="B89" s="253" t="s">
        <v>745</v>
      </c>
      <c r="C89" s="193">
        <f>'[4]FY23 Revenue'!E86</f>
        <v>63</v>
      </c>
      <c r="D89" s="203">
        <v>6.95</v>
      </c>
      <c r="E89" s="237">
        <f>475*12</f>
        <v>5700</v>
      </c>
      <c r="F89" s="237"/>
      <c r="G89" s="237">
        <v>2813</v>
      </c>
      <c r="H89" s="191">
        <v>172.46056055500003</v>
      </c>
      <c r="I89" s="203"/>
      <c r="J89" s="191">
        <f>'[4]FY23 Revenue'!K86</f>
        <v>102.44499999999998</v>
      </c>
      <c r="K89" s="191"/>
      <c r="L89" s="191"/>
      <c r="M89" s="191"/>
      <c r="N89" s="195">
        <f t="shared" ref="N89:N94" si="112">H89*D89*$P$180/10</f>
        <v>119.86008958572502</v>
      </c>
      <c r="O89" s="196">
        <f t="shared" ref="O89:O94" si="113">IF(E89&gt;0,(J89*10^3*E89/10^7)+(K89*0.7457*E89/10^7),(K89*F89/10^7)+(J89*(10^3)*(1/0.7457)*F89/10^7))</f>
        <v>58.393649999999987</v>
      </c>
      <c r="P89" s="332"/>
      <c r="Q89" s="196">
        <f t="shared" ref="Q89:Q94" si="114">G89*C89*12/10^7</f>
        <v>0.21266280000000001</v>
      </c>
      <c r="R89" s="332"/>
      <c r="S89" s="196">
        <f t="shared" ref="S89:S94" si="115">N89+O89+P89+Q89+R89</f>
        <v>178.46640238572502</v>
      </c>
      <c r="T89" s="332"/>
      <c r="U89" s="196">
        <f t="shared" ref="U89:U94" si="116">S89-T89</f>
        <v>178.46640238572502</v>
      </c>
      <c r="V89" s="332"/>
      <c r="W89" s="332"/>
      <c r="X89" s="332"/>
      <c r="Y89" s="332"/>
      <c r="Z89" s="198">
        <f t="shared" ref="Z89:Z94" si="117">(H89*$Z$179)/($H$179-$H$43-$H$45-$H$46)</f>
        <v>2.5895536633324556</v>
      </c>
      <c r="AA89" s="249">
        <f t="shared" ref="AA89:AA94" si="118">U89+Z89</f>
        <v>181.05595604905747</v>
      </c>
    </row>
    <row r="90" spans="2:27" hidden="1">
      <c r="B90" s="253" t="s">
        <v>697</v>
      </c>
      <c r="C90" s="193">
        <f>'[4]FY23 Revenue'!E87</f>
        <v>0</v>
      </c>
      <c r="D90" s="203">
        <v>7.95</v>
      </c>
      <c r="E90" s="237">
        <f>475*12</f>
        <v>5700</v>
      </c>
      <c r="F90" s="237"/>
      <c r="G90" s="237"/>
      <c r="H90" s="191">
        <v>39.534649999999999</v>
      </c>
      <c r="I90" s="203"/>
      <c r="J90" s="191">
        <f>'[4]FY23 Revenue'!K87</f>
        <v>0</v>
      </c>
      <c r="K90" s="191"/>
      <c r="L90" s="191"/>
      <c r="M90" s="191"/>
      <c r="N90" s="195">
        <f t="shared" si="112"/>
        <v>31.430046750000002</v>
      </c>
      <c r="O90" s="196">
        <f t="shared" si="113"/>
        <v>0</v>
      </c>
      <c r="P90" s="332"/>
      <c r="Q90" s="196">
        <f t="shared" si="114"/>
        <v>0</v>
      </c>
      <c r="R90" s="332"/>
      <c r="S90" s="196">
        <f t="shared" si="115"/>
        <v>31.430046750000002</v>
      </c>
      <c r="T90" s="332"/>
      <c r="U90" s="196">
        <f t="shared" si="116"/>
        <v>31.430046750000002</v>
      </c>
      <c r="V90" s="332"/>
      <c r="W90" s="332"/>
      <c r="X90" s="332"/>
      <c r="Y90" s="332"/>
      <c r="Z90" s="198">
        <f t="shared" si="117"/>
        <v>0.59362614505370936</v>
      </c>
      <c r="AA90" s="249">
        <f t="shared" si="118"/>
        <v>32.023672895053714</v>
      </c>
    </row>
    <row r="91" spans="2:27" hidden="1">
      <c r="B91" s="253" t="s">
        <v>746</v>
      </c>
      <c r="C91" s="193">
        <f>'[4]FY23 Revenue'!E88</f>
        <v>0</v>
      </c>
      <c r="D91" s="203">
        <v>12.25</v>
      </c>
      <c r="E91" s="237">
        <v>0</v>
      </c>
      <c r="F91" s="237"/>
      <c r="G91" s="237">
        <v>2813</v>
      </c>
      <c r="H91" s="191">
        <v>0</v>
      </c>
      <c r="I91" s="203"/>
      <c r="J91" s="191">
        <f>'[4]FY23 Revenue'!K88</f>
        <v>0</v>
      </c>
      <c r="K91" s="191"/>
      <c r="L91" s="191"/>
      <c r="M91" s="191"/>
      <c r="N91" s="195">
        <f t="shared" si="112"/>
        <v>0</v>
      </c>
      <c r="O91" s="196">
        <f t="shared" si="113"/>
        <v>0</v>
      </c>
      <c r="P91" s="332"/>
      <c r="Q91" s="196">
        <f t="shared" si="114"/>
        <v>0</v>
      </c>
      <c r="R91" s="332"/>
      <c r="S91" s="196">
        <f t="shared" si="115"/>
        <v>0</v>
      </c>
      <c r="T91" s="332"/>
      <c r="U91" s="196">
        <f t="shared" si="116"/>
        <v>0</v>
      </c>
      <c r="V91" s="332"/>
      <c r="W91" s="332"/>
      <c r="X91" s="332"/>
      <c r="Y91" s="332"/>
      <c r="Z91" s="198">
        <f t="shared" si="117"/>
        <v>0</v>
      </c>
      <c r="AA91" s="249">
        <f t="shared" si="118"/>
        <v>0</v>
      </c>
    </row>
    <row r="92" spans="2:27" hidden="1">
      <c r="B92" s="253" t="s">
        <v>747</v>
      </c>
      <c r="C92" s="193">
        <f>'[4]FY23 Revenue'!E89</f>
        <v>25</v>
      </c>
      <c r="D92" s="203">
        <v>12.25</v>
      </c>
      <c r="E92" s="237">
        <v>0</v>
      </c>
      <c r="F92" s="237"/>
      <c r="G92" s="237">
        <v>2813</v>
      </c>
      <c r="H92" s="191">
        <v>1.7872934999999996</v>
      </c>
      <c r="I92" s="203"/>
      <c r="J92" s="191">
        <f>'[4]FY23 Revenue'!K89</f>
        <v>10.981580000000001</v>
      </c>
      <c r="K92" s="191"/>
      <c r="L92" s="191"/>
      <c r="M92" s="191"/>
      <c r="N92" s="195">
        <f t="shared" si="112"/>
        <v>2.1894345374999995</v>
      </c>
      <c r="O92" s="196">
        <f t="shared" si="113"/>
        <v>0</v>
      </c>
      <c r="P92" s="332"/>
      <c r="Q92" s="196">
        <f t="shared" si="114"/>
        <v>8.4390000000000007E-2</v>
      </c>
      <c r="R92" s="332"/>
      <c r="S92" s="196">
        <f t="shared" si="115"/>
        <v>2.2738245374999995</v>
      </c>
      <c r="T92" s="332"/>
      <c r="U92" s="196">
        <f t="shared" si="116"/>
        <v>2.2738245374999995</v>
      </c>
      <c r="V92" s="332"/>
      <c r="W92" s="332"/>
      <c r="X92" s="332"/>
      <c r="Y92" s="332"/>
      <c r="Z92" s="198">
        <f t="shared" si="117"/>
        <v>2.6836816576966072E-2</v>
      </c>
      <c r="AA92" s="249">
        <f t="shared" si="118"/>
        <v>2.3006613540769654</v>
      </c>
    </row>
    <row r="93" spans="2:27" hidden="1">
      <c r="B93" s="253" t="s">
        <v>748</v>
      </c>
      <c r="C93" s="193">
        <f>'[4]FY23 Revenue'!E90</f>
        <v>0</v>
      </c>
      <c r="D93" s="203">
        <v>6.7</v>
      </c>
      <c r="E93" s="237">
        <v>0</v>
      </c>
      <c r="F93" s="237"/>
      <c r="G93" s="237">
        <v>2813</v>
      </c>
      <c r="H93" s="191">
        <v>0</v>
      </c>
      <c r="I93" s="203"/>
      <c r="J93" s="191">
        <f>'[4]FY23 Revenue'!K90</f>
        <v>0</v>
      </c>
      <c r="K93" s="191"/>
      <c r="L93" s="191"/>
      <c r="M93" s="191"/>
      <c r="N93" s="195">
        <f t="shared" si="112"/>
        <v>0</v>
      </c>
      <c r="O93" s="196">
        <f t="shared" si="113"/>
        <v>0</v>
      </c>
      <c r="P93" s="332"/>
      <c r="Q93" s="196">
        <f t="shared" si="114"/>
        <v>0</v>
      </c>
      <c r="R93" s="332"/>
      <c r="S93" s="196">
        <f t="shared" si="115"/>
        <v>0</v>
      </c>
      <c r="T93" s="332"/>
      <c r="U93" s="196">
        <f t="shared" si="116"/>
        <v>0</v>
      </c>
      <c r="V93" s="332"/>
      <c r="W93" s="332"/>
      <c r="X93" s="332"/>
      <c r="Y93" s="332"/>
      <c r="Z93" s="198">
        <f t="shared" si="117"/>
        <v>0</v>
      </c>
      <c r="AA93" s="249">
        <f t="shared" si="118"/>
        <v>0</v>
      </c>
    </row>
    <row r="94" spans="2:27" hidden="1">
      <c r="B94" s="253" t="s">
        <v>749</v>
      </c>
      <c r="C94" s="193">
        <f>'[4]FY23 Revenue'!E91</f>
        <v>0</v>
      </c>
      <c r="D94" s="203">
        <v>12.25</v>
      </c>
      <c r="E94" s="237">
        <v>0</v>
      </c>
      <c r="F94" s="237"/>
      <c r="G94" s="237">
        <v>2813</v>
      </c>
      <c r="H94" s="191">
        <v>0</v>
      </c>
      <c r="I94" s="203"/>
      <c r="J94" s="191">
        <f>'[4]FY23 Revenue'!K91</f>
        <v>0</v>
      </c>
      <c r="K94" s="191"/>
      <c r="L94" s="191"/>
      <c r="M94" s="191"/>
      <c r="N94" s="195">
        <f t="shared" si="112"/>
        <v>0</v>
      </c>
      <c r="O94" s="196">
        <f t="shared" si="113"/>
        <v>0</v>
      </c>
      <c r="P94" s="332"/>
      <c r="Q94" s="196">
        <f t="shared" si="114"/>
        <v>0</v>
      </c>
      <c r="R94" s="332"/>
      <c r="S94" s="196">
        <f t="shared" si="115"/>
        <v>0</v>
      </c>
      <c r="T94" s="332"/>
      <c r="U94" s="196">
        <f t="shared" si="116"/>
        <v>0</v>
      </c>
      <c r="V94" s="332"/>
      <c r="W94" s="332"/>
      <c r="X94" s="332"/>
      <c r="Y94" s="332"/>
      <c r="Z94" s="198">
        <f t="shared" si="117"/>
        <v>0</v>
      </c>
      <c r="AA94" s="249">
        <f t="shared" si="118"/>
        <v>0</v>
      </c>
    </row>
    <row r="95" spans="2:27" hidden="1">
      <c r="B95" s="239" t="s">
        <v>750</v>
      </c>
      <c r="C95" s="250">
        <f>C96+C106+C107</f>
        <v>224</v>
      </c>
      <c r="D95" s="240"/>
      <c r="E95" s="240"/>
      <c r="F95" s="240"/>
      <c r="G95" s="240"/>
      <c r="H95" s="240">
        <f>H96+H106+H107</f>
        <v>2221.40300355</v>
      </c>
      <c r="I95" s="240">
        <f t="shared" ref="I95" si="119">I96+I106+I107</f>
        <v>0</v>
      </c>
      <c r="J95" s="240">
        <f>J96+J106+J107</f>
        <v>593.00499999999988</v>
      </c>
      <c r="K95" s="240">
        <f t="shared" ref="K95:AA95" si="120">K96+K106+K107</f>
        <v>0</v>
      </c>
      <c r="L95" s="240"/>
      <c r="M95" s="240"/>
      <c r="N95" s="240">
        <f t="shared" si="120"/>
        <v>1305.8474808737496</v>
      </c>
      <c r="O95" s="240">
        <f t="shared" si="120"/>
        <v>304.75619999999998</v>
      </c>
      <c r="P95" s="240">
        <f t="shared" si="120"/>
        <v>0</v>
      </c>
      <c r="Q95" s="240">
        <f t="shared" si="120"/>
        <v>0.75613439999999998</v>
      </c>
      <c r="R95" s="240">
        <f t="shared" si="120"/>
        <v>0</v>
      </c>
      <c r="S95" s="240">
        <f t="shared" si="120"/>
        <v>1611.3598152737495</v>
      </c>
      <c r="T95" s="240">
        <f t="shared" si="120"/>
        <v>0</v>
      </c>
      <c r="U95" s="240">
        <f t="shared" si="120"/>
        <v>1611.3598152737495</v>
      </c>
      <c r="V95" s="240">
        <f t="shared" si="120"/>
        <v>0</v>
      </c>
      <c r="W95" s="240">
        <f t="shared" si="120"/>
        <v>0</v>
      </c>
      <c r="X95" s="240">
        <f t="shared" si="120"/>
        <v>0</v>
      </c>
      <c r="Y95" s="240">
        <f t="shared" si="120"/>
        <v>0</v>
      </c>
      <c r="Z95" s="240">
        <f t="shared" si="120"/>
        <v>33.355117640047851</v>
      </c>
      <c r="AA95" s="240">
        <f t="shared" si="120"/>
        <v>1644.7149329137978</v>
      </c>
    </row>
    <row r="96" spans="2:27" hidden="1">
      <c r="B96" s="215" t="s">
        <v>753</v>
      </c>
      <c r="C96" s="216">
        <f>C98+C99+C100+C102+C103+C104+C105</f>
        <v>212</v>
      </c>
      <c r="D96" s="217"/>
      <c r="E96" s="207"/>
      <c r="F96" s="217"/>
      <c r="G96" s="218"/>
      <c r="H96" s="217">
        <f>H98+H99+H100+H102+H103+H104+H105</f>
        <v>1926.08675655</v>
      </c>
      <c r="I96" s="217">
        <f t="shared" ref="I96" si="121">I98+I99+I100+I102+I103+I104+I105</f>
        <v>0</v>
      </c>
      <c r="J96" s="217">
        <f>J98+J99+J100+J102+J103+J104+J105</f>
        <v>530.1099999999999</v>
      </c>
      <c r="K96" s="217">
        <f t="shared" ref="K96:AA96" si="122">K98+K99+K100+K102+K103+K104+K105</f>
        <v>0</v>
      </c>
      <c r="L96" s="217"/>
      <c r="M96" s="217"/>
      <c r="N96" s="217">
        <f t="shared" si="122"/>
        <v>1146.3165466487496</v>
      </c>
      <c r="O96" s="217">
        <f t="shared" si="122"/>
        <v>302.16269999999997</v>
      </c>
      <c r="P96" s="217">
        <f t="shared" si="122"/>
        <v>0</v>
      </c>
      <c r="Q96" s="217">
        <f t="shared" si="122"/>
        <v>0.71562720000000002</v>
      </c>
      <c r="R96" s="217">
        <f t="shared" si="122"/>
        <v>0</v>
      </c>
      <c r="S96" s="217">
        <f t="shared" si="122"/>
        <v>1449.1948738487495</v>
      </c>
      <c r="T96" s="217">
        <f t="shared" si="122"/>
        <v>0</v>
      </c>
      <c r="U96" s="217">
        <f t="shared" si="122"/>
        <v>1449.1948738487495</v>
      </c>
      <c r="V96" s="217">
        <f t="shared" si="122"/>
        <v>0</v>
      </c>
      <c r="W96" s="217">
        <f t="shared" si="122"/>
        <v>0</v>
      </c>
      <c r="X96" s="217">
        <f t="shared" si="122"/>
        <v>0</v>
      </c>
      <c r="Y96" s="217">
        <f t="shared" si="122"/>
        <v>0</v>
      </c>
      <c r="Z96" s="217">
        <f t="shared" si="122"/>
        <v>28.920844280391474</v>
      </c>
      <c r="AA96" s="217">
        <f t="shared" si="122"/>
        <v>1478.1157181291414</v>
      </c>
    </row>
    <row r="97" spans="2:27" ht="12.95" hidden="1" customHeight="1">
      <c r="B97" s="253" t="s">
        <v>918</v>
      </c>
      <c r="C97" s="193"/>
      <c r="D97" s="203"/>
      <c r="E97" s="237"/>
      <c r="F97" s="237"/>
      <c r="G97" s="237"/>
      <c r="H97" s="191"/>
      <c r="I97" s="203"/>
      <c r="J97" s="191"/>
      <c r="K97" s="191"/>
      <c r="L97" s="191"/>
      <c r="M97" s="191"/>
      <c r="N97" s="195">
        <f t="shared" ref="N97:N107" si="123">H97*D97*$P$180/10</f>
        <v>0</v>
      </c>
      <c r="O97" s="196">
        <f t="shared" ref="O97:O107" si="124">IF(E97&gt;0,(J97*10^3*E97/10^7)+(K97*0.7457*E97/10^7),(K97*F97/10^7)+(J97*(10^3)*(1/0.7457)*F97/10^7))</f>
        <v>0</v>
      </c>
      <c r="P97" s="332"/>
      <c r="Q97" s="196">
        <f t="shared" ref="Q97:Q107" si="125">G97*C97*12/10^7</f>
        <v>0</v>
      </c>
      <c r="R97" s="332"/>
      <c r="S97" s="196">
        <f t="shared" ref="S97:S107" si="126">N97+O97+P97+Q97+R97</f>
        <v>0</v>
      </c>
      <c r="T97" s="332"/>
      <c r="U97" s="196">
        <f t="shared" ref="U97:U107" si="127">S97-T97</f>
        <v>0</v>
      </c>
      <c r="V97" s="332"/>
      <c r="W97" s="332"/>
      <c r="X97" s="332"/>
      <c r="Y97" s="332"/>
      <c r="Z97" s="198">
        <f t="shared" ref="Z97:Z115" si="128">(H97*$Z$179)/($H$179-$H$43-$H$45-$H$46)</f>
        <v>0</v>
      </c>
      <c r="AA97" s="249">
        <f t="shared" ref="AA97:AA107" si="129">U97+Z97</f>
        <v>0</v>
      </c>
    </row>
    <row r="98" spans="2:27" ht="12.95" hidden="1" customHeight="1">
      <c r="B98" s="253" t="s">
        <v>914</v>
      </c>
      <c r="C98" s="193"/>
      <c r="D98" s="203">
        <v>7.35</v>
      </c>
      <c r="E98" s="237">
        <f>475*12</f>
        <v>5700</v>
      </c>
      <c r="F98" s="237"/>
      <c r="G98" s="237">
        <v>2813</v>
      </c>
      <c r="H98" s="191">
        <v>341.31623816666666</v>
      </c>
      <c r="I98" s="203"/>
      <c r="J98" s="191"/>
      <c r="K98" s="191"/>
      <c r="L98" s="191"/>
      <c r="M98" s="191"/>
      <c r="N98" s="195">
        <f t="shared" si="123"/>
        <v>250.86743505249996</v>
      </c>
      <c r="O98" s="196">
        <f t="shared" si="124"/>
        <v>0</v>
      </c>
      <c r="P98" s="332"/>
      <c r="Q98" s="196">
        <f t="shared" si="125"/>
        <v>0</v>
      </c>
      <c r="R98" s="332"/>
      <c r="S98" s="196">
        <f t="shared" si="126"/>
        <v>250.86743505249996</v>
      </c>
      <c r="T98" s="332"/>
      <c r="U98" s="196">
        <f t="shared" si="127"/>
        <v>250.86743505249996</v>
      </c>
      <c r="V98" s="332"/>
      <c r="W98" s="332"/>
      <c r="X98" s="332"/>
      <c r="Y98" s="332"/>
      <c r="Z98" s="198">
        <f t="shared" si="128"/>
        <v>5.1249787896721495</v>
      </c>
      <c r="AA98" s="249">
        <f t="shared" si="129"/>
        <v>255.99241384217211</v>
      </c>
    </row>
    <row r="99" spans="2:27" ht="12.95" hidden="1" customHeight="1">
      <c r="B99" s="253" t="s">
        <v>915</v>
      </c>
      <c r="C99" s="193"/>
      <c r="D99" s="203">
        <v>5.0999999999999996</v>
      </c>
      <c r="E99" s="237">
        <f>475*12</f>
        <v>5700</v>
      </c>
      <c r="F99" s="237"/>
      <c r="G99" s="237">
        <v>2813</v>
      </c>
      <c r="H99" s="191">
        <v>440.9775347333333</v>
      </c>
      <c r="I99" s="203"/>
      <c r="J99" s="191"/>
      <c r="K99" s="191"/>
      <c r="L99" s="191"/>
      <c r="M99" s="191"/>
      <c r="N99" s="195">
        <f t="shared" si="123"/>
        <v>224.89854271399994</v>
      </c>
      <c r="O99" s="196">
        <f t="shared" si="124"/>
        <v>0</v>
      </c>
      <c r="P99" s="332"/>
      <c r="Q99" s="196">
        <f t="shared" si="125"/>
        <v>0</v>
      </c>
      <c r="R99" s="332"/>
      <c r="S99" s="196">
        <f t="shared" si="126"/>
        <v>224.89854271399994</v>
      </c>
      <c r="T99" s="332"/>
      <c r="U99" s="196">
        <f t="shared" si="127"/>
        <v>224.89854271399994</v>
      </c>
      <c r="V99" s="332"/>
      <c r="W99" s="332"/>
      <c r="X99" s="332"/>
      <c r="Y99" s="332"/>
      <c r="Z99" s="198">
        <f t="shared" si="128"/>
        <v>6.6214268748815748</v>
      </c>
      <c r="AA99" s="249">
        <f t="shared" si="129"/>
        <v>231.51996958888151</v>
      </c>
    </row>
    <row r="100" spans="2:27" ht="12.95" hidden="1" customHeight="1">
      <c r="B100" s="253" t="s">
        <v>916</v>
      </c>
      <c r="C100" s="193">
        <f>'[4]FY23 Revenue'!E97</f>
        <v>212</v>
      </c>
      <c r="D100" s="203">
        <v>5.85</v>
      </c>
      <c r="E100" s="237">
        <f>475*12</f>
        <v>5700</v>
      </c>
      <c r="F100" s="237"/>
      <c r="G100" s="237">
        <v>2813</v>
      </c>
      <c r="H100" s="191">
        <v>167.30896212499999</v>
      </c>
      <c r="I100" s="203"/>
      <c r="J100" s="191">
        <f>'[4]FY23 Revenue'!K97</f>
        <v>530.1099999999999</v>
      </c>
      <c r="K100" s="191"/>
      <c r="L100" s="191"/>
      <c r="M100" s="191"/>
      <c r="N100" s="195">
        <f t="shared" si="123"/>
        <v>97.875742843124982</v>
      </c>
      <c r="O100" s="196">
        <f t="shared" si="124"/>
        <v>302.16269999999997</v>
      </c>
      <c r="P100" s="332"/>
      <c r="Q100" s="196">
        <f t="shared" si="125"/>
        <v>0.71562720000000002</v>
      </c>
      <c r="R100" s="332"/>
      <c r="S100" s="196">
        <f t="shared" si="126"/>
        <v>400.7540700431249</v>
      </c>
      <c r="T100" s="332"/>
      <c r="U100" s="196">
        <f t="shared" si="127"/>
        <v>400.7540700431249</v>
      </c>
      <c r="V100" s="332"/>
      <c r="W100" s="332"/>
      <c r="X100" s="332"/>
      <c r="Y100" s="332"/>
      <c r="Z100" s="198">
        <f t="shared" si="128"/>
        <v>2.5122006700249226</v>
      </c>
      <c r="AA100" s="249">
        <f t="shared" si="129"/>
        <v>403.26627071314982</v>
      </c>
    </row>
    <row r="101" spans="2:27" ht="12.95" hidden="1" customHeight="1">
      <c r="B101" s="253" t="s">
        <v>917</v>
      </c>
      <c r="C101" s="193"/>
      <c r="D101" s="203"/>
      <c r="E101" s="237"/>
      <c r="F101" s="237"/>
      <c r="G101" s="237"/>
      <c r="H101" s="191"/>
      <c r="I101" s="203"/>
      <c r="J101" s="191"/>
      <c r="K101" s="191"/>
      <c r="L101" s="191"/>
      <c r="M101" s="191"/>
      <c r="N101" s="195">
        <f t="shared" si="123"/>
        <v>0</v>
      </c>
      <c r="O101" s="196">
        <f t="shared" si="124"/>
        <v>0</v>
      </c>
      <c r="P101" s="332"/>
      <c r="Q101" s="196">
        <f t="shared" si="125"/>
        <v>0</v>
      </c>
      <c r="R101" s="332"/>
      <c r="S101" s="196">
        <f t="shared" si="126"/>
        <v>0</v>
      </c>
      <c r="T101" s="332"/>
      <c r="U101" s="196">
        <f t="shared" si="127"/>
        <v>0</v>
      </c>
      <c r="V101" s="332"/>
      <c r="W101" s="332"/>
      <c r="X101" s="332"/>
      <c r="Y101" s="332"/>
      <c r="Z101" s="198">
        <f t="shared" si="128"/>
        <v>0</v>
      </c>
      <c r="AA101" s="249">
        <f t="shared" si="129"/>
        <v>0</v>
      </c>
    </row>
    <row r="102" spans="2:27" ht="12.95" hidden="1" customHeight="1">
      <c r="B102" s="253" t="s">
        <v>914</v>
      </c>
      <c r="C102" s="193"/>
      <c r="D102" s="203">
        <v>6.85</v>
      </c>
      <c r="E102" s="237">
        <f>475*12</f>
        <v>5700</v>
      </c>
      <c r="F102" s="237"/>
      <c r="G102" s="237">
        <v>2813</v>
      </c>
      <c r="H102" s="191">
        <v>351.22195650000003</v>
      </c>
      <c r="I102" s="203"/>
      <c r="J102" s="191"/>
      <c r="K102" s="191"/>
      <c r="L102" s="191"/>
      <c r="M102" s="191"/>
      <c r="N102" s="195">
        <f t="shared" si="123"/>
        <v>240.58704020250002</v>
      </c>
      <c r="O102" s="196">
        <f t="shared" si="124"/>
        <v>0</v>
      </c>
      <c r="P102" s="332"/>
      <c r="Q102" s="196">
        <f t="shared" si="125"/>
        <v>0</v>
      </c>
      <c r="R102" s="332"/>
      <c r="S102" s="196">
        <f t="shared" si="126"/>
        <v>240.58704020250002</v>
      </c>
      <c r="T102" s="332"/>
      <c r="U102" s="196">
        <f t="shared" si="127"/>
        <v>240.58704020250002</v>
      </c>
      <c r="V102" s="332"/>
      <c r="W102" s="332"/>
      <c r="X102" s="332"/>
      <c r="Y102" s="332"/>
      <c r="Z102" s="198">
        <f t="shared" si="128"/>
        <v>5.2737165017349747</v>
      </c>
      <c r="AA102" s="249">
        <f t="shared" si="129"/>
        <v>245.860756704235</v>
      </c>
    </row>
    <row r="103" spans="2:27" ht="12.95" hidden="1" customHeight="1">
      <c r="B103" s="253" t="s">
        <v>915</v>
      </c>
      <c r="C103" s="193"/>
      <c r="D103" s="203">
        <v>5.0999999999999996</v>
      </c>
      <c r="E103" s="237">
        <f>475*12</f>
        <v>5700</v>
      </c>
      <c r="F103" s="237"/>
      <c r="G103" s="237">
        <v>2813</v>
      </c>
      <c r="H103" s="191">
        <v>450.58712984000005</v>
      </c>
      <c r="I103" s="203"/>
      <c r="J103" s="191"/>
      <c r="K103" s="191"/>
      <c r="L103" s="191"/>
      <c r="M103" s="191"/>
      <c r="N103" s="195">
        <f t="shared" si="123"/>
        <v>229.79943621840002</v>
      </c>
      <c r="O103" s="196">
        <f t="shared" si="124"/>
        <v>0</v>
      </c>
      <c r="P103" s="332"/>
      <c r="Q103" s="196">
        <f t="shared" si="125"/>
        <v>0</v>
      </c>
      <c r="R103" s="332"/>
      <c r="S103" s="196">
        <f t="shared" si="126"/>
        <v>229.79943621840002</v>
      </c>
      <c r="T103" s="332"/>
      <c r="U103" s="196">
        <f t="shared" si="127"/>
        <v>229.79943621840002</v>
      </c>
      <c r="V103" s="332"/>
      <c r="W103" s="332"/>
      <c r="X103" s="332"/>
      <c r="Y103" s="332"/>
      <c r="Z103" s="198">
        <f t="shared" si="128"/>
        <v>6.765718196512033</v>
      </c>
      <c r="AA103" s="249">
        <f t="shared" si="129"/>
        <v>236.56515441491206</v>
      </c>
    </row>
    <row r="104" spans="2:27" ht="12.95" hidden="1" customHeight="1">
      <c r="B104" s="253" t="s">
        <v>916</v>
      </c>
      <c r="C104" s="193"/>
      <c r="D104" s="203">
        <v>5.85</v>
      </c>
      <c r="E104" s="237">
        <f>475*12</f>
        <v>5700</v>
      </c>
      <c r="F104" s="237"/>
      <c r="G104" s="237">
        <v>2813</v>
      </c>
      <c r="H104" s="191">
        <v>173.77482618499999</v>
      </c>
      <c r="I104" s="203"/>
      <c r="J104" s="191"/>
      <c r="K104" s="191"/>
      <c r="L104" s="191"/>
      <c r="M104" s="191"/>
      <c r="N104" s="195">
        <f t="shared" si="123"/>
        <v>101.65827331822499</v>
      </c>
      <c r="O104" s="196">
        <f t="shared" si="124"/>
        <v>0</v>
      </c>
      <c r="P104" s="332"/>
      <c r="Q104" s="196">
        <f t="shared" si="125"/>
        <v>0</v>
      </c>
      <c r="R104" s="332"/>
      <c r="S104" s="196">
        <f t="shared" si="126"/>
        <v>101.65827331822499</v>
      </c>
      <c r="T104" s="332"/>
      <c r="U104" s="196">
        <f t="shared" si="127"/>
        <v>101.65827331822499</v>
      </c>
      <c r="V104" s="332"/>
      <c r="W104" s="332"/>
      <c r="X104" s="332"/>
      <c r="Y104" s="332"/>
      <c r="Z104" s="198">
        <f t="shared" si="128"/>
        <v>2.6092878064072891</v>
      </c>
      <c r="AA104" s="249">
        <f t="shared" si="129"/>
        <v>104.26756112463228</v>
      </c>
    </row>
    <row r="105" spans="2:27" ht="12.95" hidden="1" customHeight="1">
      <c r="B105" s="253" t="s">
        <v>592</v>
      </c>
      <c r="C105" s="193">
        <f>'[4]FY23 Revenue'!E101</f>
        <v>0</v>
      </c>
      <c r="D105" s="203">
        <v>7</v>
      </c>
      <c r="E105" s="237">
        <v>0</v>
      </c>
      <c r="F105" s="237"/>
      <c r="G105" s="237">
        <v>2813</v>
      </c>
      <c r="H105" s="191">
        <v>0.90010900000000016</v>
      </c>
      <c r="I105" s="203"/>
      <c r="J105" s="191">
        <f>'[4]FY23 Revenue'!K101</f>
        <v>0</v>
      </c>
      <c r="K105" s="191"/>
      <c r="L105" s="191"/>
      <c r="M105" s="191"/>
      <c r="N105" s="195">
        <f t="shared" si="123"/>
        <v>0.63007630000000003</v>
      </c>
      <c r="O105" s="196">
        <f t="shared" si="124"/>
        <v>0</v>
      </c>
      <c r="P105" s="332"/>
      <c r="Q105" s="196">
        <f t="shared" si="125"/>
        <v>0</v>
      </c>
      <c r="R105" s="332"/>
      <c r="S105" s="196">
        <f t="shared" si="126"/>
        <v>0.63007630000000003</v>
      </c>
      <c r="T105" s="332"/>
      <c r="U105" s="196">
        <f t="shared" si="127"/>
        <v>0.63007630000000003</v>
      </c>
      <c r="V105" s="332"/>
      <c r="W105" s="332"/>
      <c r="X105" s="332"/>
      <c r="Y105" s="332"/>
      <c r="Z105" s="198">
        <f t="shared" si="128"/>
        <v>1.3515441158531802E-2</v>
      </c>
      <c r="AA105" s="249">
        <f t="shared" si="129"/>
        <v>0.64359174115853179</v>
      </c>
    </row>
    <row r="106" spans="2:27" hidden="1">
      <c r="B106" s="215" t="s">
        <v>754</v>
      </c>
      <c r="C106" s="193">
        <f>'[4]FY23 Revenue'!E102</f>
        <v>2</v>
      </c>
      <c r="D106" s="217">
        <v>6.95</v>
      </c>
      <c r="E106" s="360">
        <f>475*12</f>
        <v>5700</v>
      </c>
      <c r="F106" s="217"/>
      <c r="G106" s="222">
        <v>2813</v>
      </c>
      <c r="H106" s="191">
        <v>9.6046379999999996</v>
      </c>
      <c r="I106" s="217"/>
      <c r="J106" s="191">
        <f>'[4]FY23 Revenue'!K102</f>
        <v>4.55</v>
      </c>
      <c r="K106" s="217"/>
      <c r="L106" s="191"/>
      <c r="M106" s="217"/>
      <c r="N106" s="217">
        <f t="shared" si="123"/>
        <v>6.6752234099999992</v>
      </c>
      <c r="O106" s="217">
        <f t="shared" si="124"/>
        <v>2.5935000000000001</v>
      </c>
      <c r="P106" s="217"/>
      <c r="Q106" s="217">
        <f t="shared" si="125"/>
        <v>6.7511999999999997E-3</v>
      </c>
      <c r="R106" s="217"/>
      <c r="S106" s="217">
        <f t="shared" si="126"/>
        <v>9.2754746099999998</v>
      </c>
      <c r="T106" s="217"/>
      <c r="U106" s="217">
        <f t="shared" si="127"/>
        <v>9.2754746099999998</v>
      </c>
      <c r="V106" s="217"/>
      <c r="W106" s="217"/>
      <c r="X106" s="217"/>
      <c r="Y106" s="217"/>
      <c r="Z106" s="198">
        <f t="shared" si="128"/>
        <v>0.14421688899677546</v>
      </c>
      <c r="AA106" s="249">
        <f t="shared" si="129"/>
        <v>9.4196914989967748</v>
      </c>
    </row>
    <row r="107" spans="2:27" hidden="1">
      <c r="B107" s="215" t="s">
        <v>755</v>
      </c>
      <c r="C107" s="193">
        <f>'[4]FY23 Revenue'!E103</f>
        <v>10</v>
      </c>
      <c r="D107" s="217">
        <v>5.35</v>
      </c>
      <c r="E107" s="207">
        <v>0</v>
      </c>
      <c r="F107" s="217"/>
      <c r="G107" s="222">
        <v>2813</v>
      </c>
      <c r="H107" s="191">
        <v>285.71160900000001</v>
      </c>
      <c r="I107" s="217"/>
      <c r="J107" s="191">
        <f>'[4]FY23 Revenue'!K103</f>
        <v>58.344999999999999</v>
      </c>
      <c r="K107" s="217"/>
      <c r="L107" s="191"/>
      <c r="M107" s="217"/>
      <c r="N107" s="217">
        <f t="shared" si="123"/>
        <v>152.85571081500001</v>
      </c>
      <c r="O107" s="217">
        <f t="shared" si="124"/>
        <v>0</v>
      </c>
      <c r="P107" s="217"/>
      <c r="Q107" s="217">
        <f t="shared" si="125"/>
        <v>3.3756000000000001E-2</v>
      </c>
      <c r="R107" s="217"/>
      <c r="S107" s="217">
        <f t="shared" si="126"/>
        <v>152.88946681500002</v>
      </c>
      <c r="T107" s="217"/>
      <c r="U107" s="217">
        <f t="shared" si="127"/>
        <v>152.88946681500002</v>
      </c>
      <c r="V107" s="217"/>
      <c r="W107" s="217"/>
      <c r="X107" s="217"/>
      <c r="Y107" s="217"/>
      <c r="Z107" s="198">
        <f t="shared" si="128"/>
        <v>4.2900564706596036</v>
      </c>
      <c r="AA107" s="249">
        <f t="shared" si="129"/>
        <v>157.17952328565963</v>
      </c>
    </row>
    <row r="108" spans="2:27" hidden="1">
      <c r="B108" s="239" t="s">
        <v>751</v>
      </c>
      <c r="C108" s="250">
        <f>SUM(C109:C112)</f>
        <v>1</v>
      </c>
      <c r="D108" s="240"/>
      <c r="E108" s="240"/>
      <c r="F108" s="240"/>
      <c r="G108" s="240"/>
      <c r="H108" s="240">
        <f>SUM(H109:H112)</f>
        <v>2.0213999999999996E-2</v>
      </c>
      <c r="I108" s="240">
        <f t="shared" ref="I108" si="130">SUM(I109:I112)</f>
        <v>0</v>
      </c>
      <c r="J108" s="240">
        <f>SUM(J109:J112)</f>
        <v>0.375</v>
      </c>
      <c r="K108" s="240">
        <f t="shared" ref="K108:AA108" si="131">SUM(K109:K112)</f>
        <v>0</v>
      </c>
      <c r="L108" s="240"/>
      <c r="M108" s="240"/>
      <c r="N108" s="240">
        <f t="shared" si="131"/>
        <v>1.4048729999999999E-2</v>
      </c>
      <c r="O108" s="240">
        <f t="shared" si="131"/>
        <v>0.21375</v>
      </c>
      <c r="P108" s="240">
        <f t="shared" si="131"/>
        <v>0</v>
      </c>
      <c r="Q108" s="240">
        <f t="shared" si="131"/>
        <v>3.3755999999999999E-3</v>
      </c>
      <c r="R108" s="240">
        <f t="shared" si="131"/>
        <v>0</v>
      </c>
      <c r="S108" s="240">
        <f t="shared" si="131"/>
        <v>0.23117433000000001</v>
      </c>
      <c r="T108" s="240">
        <f t="shared" si="131"/>
        <v>0</v>
      </c>
      <c r="U108" s="240">
        <f t="shared" si="131"/>
        <v>0.23117433000000001</v>
      </c>
      <c r="V108" s="240">
        <f t="shared" si="131"/>
        <v>0</v>
      </c>
      <c r="W108" s="240">
        <f t="shared" si="131"/>
        <v>0</v>
      </c>
      <c r="X108" s="240">
        <f t="shared" si="131"/>
        <v>0</v>
      </c>
      <c r="Y108" s="240">
        <f t="shared" si="131"/>
        <v>0</v>
      </c>
      <c r="Z108" s="240">
        <f t="shared" si="131"/>
        <v>3.0352004877027313E-4</v>
      </c>
      <c r="AA108" s="240">
        <f t="shared" si="131"/>
        <v>0.23147785004877028</v>
      </c>
    </row>
    <row r="109" spans="2:27" ht="21" hidden="1">
      <c r="B109" s="253" t="s">
        <v>756</v>
      </c>
      <c r="C109" s="193">
        <f>'[4]FY23 Revenue'!E105</f>
        <v>1</v>
      </c>
      <c r="D109" s="203">
        <v>6.95</v>
      </c>
      <c r="E109" s="237">
        <f>475*12</f>
        <v>5700</v>
      </c>
      <c r="F109" s="237"/>
      <c r="G109" s="237">
        <v>2813</v>
      </c>
      <c r="H109" s="191">
        <v>2.0213999999999996E-2</v>
      </c>
      <c r="I109" s="203"/>
      <c r="J109" s="191">
        <f>'[4]FY23 Revenue'!K105</f>
        <v>0.375</v>
      </c>
      <c r="K109" s="191"/>
      <c r="L109" s="191"/>
      <c r="M109" s="191"/>
      <c r="N109" s="195">
        <f t="shared" ref="N109:N112" si="132">H109*D109*$P$180/10</f>
        <v>1.4048729999999999E-2</v>
      </c>
      <c r="O109" s="196">
        <f>IF(E109&gt;0,(J109*10^3*E109/10^7)+(K109*0.7457*E109/10^7),(K109*F109/10^7)+(J109*(10^3)*(1/0.7457)*F109/10^7))</f>
        <v>0.21375</v>
      </c>
      <c r="P109" s="332"/>
      <c r="Q109" s="196">
        <f t="shared" ref="Q109:Q112" si="133">G109*C109*12/10^7</f>
        <v>3.3755999999999999E-3</v>
      </c>
      <c r="R109" s="332"/>
      <c r="S109" s="196">
        <f>N109+O109+P109+Q109+R109</f>
        <v>0.23117433000000001</v>
      </c>
      <c r="T109" s="332"/>
      <c r="U109" s="196">
        <f t="shared" ref="U109:U112" si="134">S109-T109</f>
        <v>0.23117433000000001</v>
      </c>
      <c r="V109" s="332"/>
      <c r="W109" s="332"/>
      <c r="X109" s="332"/>
      <c r="Y109" s="332"/>
      <c r="Z109" s="198">
        <f t="shared" si="128"/>
        <v>3.0352004877027313E-4</v>
      </c>
      <c r="AA109" s="249">
        <f t="shared" ref="AA109:AA112" si="135">U109+Z109</f>
        <v>0.23147785004877028</v>
      </c>
    </row>
    <row r="110" spans="2:27" hidden="1">
      <c r="B110" s="253" t="s">
        <v>757</v>
      </c>
      <c r="C110" s="193">
        <f>'[4]FY23 Revenue'!E106</f>
        <v>0</v>
      </c>
      <c r="D110" s="203">
        <v>7.25</v>
      </c>
      <c r="E110" s="237">
        <f>475*12</f>
        <v>5700</v>
      </c>
      <c r="F110" s="237"/>
      <c r="G110" s="237">
        <v>2813</v>
      </c>
      <c r="H110" s="191">
        <v>0</v>
      </c>
      <c r="I110" s="203"/>
      <c r="J110" s="191">
        <f>'[4]FY23 Revenue'!K106</f>
        <v>0</v>
      </c>
      <c r="K110" s="191"/>
      <c r="L110" s="191"/>
      <c r="M110" s="191"/>
      <c r="N110" s="195">
        <f t="shared" si="132"/>
        <v>0</v>
      </c>
      <c r="O110" s="196">
        <f>IF(E110&gt;0,(J110*10^3*E110/10^7)+(K110*0.7457*E110/10^7),(K110*F110/10^7)+(J110*(10^3)*(1/0.7457)*F110/10^7))</f>
        <v>0</v>
      </c>
      <c r="P110" s="332"/>
      <c r="Q110" s="196">
        <f t="shared" si="133"/>
        <v>0</v>
      </c>
      <c r="R110" s="332"/>
      <c r="S110" s="196">
        <f>N110+O110+P110+Q110+R110</f>
        <v>0</v>
      </c>
      <c r="T110" s="332"/>
      <c r="U110" s="196">
        <f t="shared" si="134"/>
        <v>0</v>
      </c>
      <c r="V110" s="332"/>
      <c r="W110" s="332"/>
      <c r="X110" s="332"/>
      <c r="Y110" s="332"/>
      <c r="Z110" s="198">
        <f t="shared" si="128"/>
        <v>0</v>
      </c>
      <c r="AA110" s="249">
        <f t="shared" si="135"/>
        <v>0</v>
      </c>
    </row>
    <row r="111" spans="2:27" hidden="1">
      <c r="B111" s="253" t="s">
        <v>758</v>
      </c>
      <c r="C111" s="193">
        <f>'[4]FY23 Revenue'!E107</f>
        <v>0</v>
      </c>
      <c r="D111" s="203">
        <v>5</v>
      </c>
      <c r="E111" s="237">
        <f>30*12</f>
        <v>360</v>
      </c>
      <c r="F111" s="237"/>
      <c r="G111" s="237">
        <v>2813</v>
      </c>
      <c r="H111" s="191">
        <v>0</v>
      </c>
      <c r="I111" s="203"/>
      <c r="J111" s="191">
        <f>'[4]FY23 Revenue'!K107</f>
        <v>0</v>
      </c>
      <c r="K111" s="191"/>
      <c r="L111" s="191"/>
      <c r="M111" s="191"/>
      <c r="N111" s="195">
        <f t="shared" si="132"/>
        <v>0</v>
      </c>
      <c r="O111" s="196">
        <f>IF(E111&gt;0,(J111*10^3*E111/10^7)+(K111*0.7457*E111/10^7),(K111*F111/10^7)+(J111*(10^3)*(1/0.7457)*F111/10^7))</f>
        <v>0</v>
      </c>
      <c r="P111" s="332"/>
      <c r="Q111" s="196">
        <f t="shared" si="133"/>
        <v>0</v>
      </c>
      <c r="R111" s="332"/>
      <c r="S111" s="196">
        <f>N111+O111+P111+Q111+R111</f>
        <v>0</v>
      </c>
      <c r="T111" s="332"/>
      <c r="U111" s="196">
        <f t="shared" si="134"/>
        <v>0</v>
      </c>
      <c r="V111" s="332"/>
      <c r="W111" s="332"/>
      <c r="X111" s="332"/>
      <c r="Y111" s="332"/>
      <c r="Z111" s="198">
        <f t="shared" si="128"/>
        <v>0</v>
      </c>
      <c r="AA111" s="249">
        <f t="shared" si="135"/>
        <v>0</v>
      </c>
    </row>
    <row r="112" spans="2:27" hidden="1">
      <c r="B112" s="253" t="s">
        <v>759</v>
      </c>
      <c r="C112" s="193">
        <f>'[4]FY23 Revenue'!E108</f>
        <v>0</v>
      </c>
      <c r="D112" s="203">
        <v>5.5</v>
      </c>
      <c r="E112" s="237">
        <f>350*12</f>
        <v>4200</v>
      </c>
      <c r="F112" s="237"/>
      <c r="G112" s="237">
        <v>2813</v>
      </c>
      <c r="H112" s="191">
        <v>0</v>
      </c>
      <c r="I112" s="203"/>
      <c r="J112" s="191">
        <f>'[4]FY23 Revenue'!K108</f>
        <v>0</v>
      </c>
      <c r="K112" s="191"/>
      <c r="L112" s="191"/>
      <c r="M112" s="191"/>
      <c r="N112" s="195">
        <f t="shared" si="132"/>
        <v>0</v>
      </c>
      <c r="O112" s="196">
        <f>IF(E112&gt;0,(J112*10^3*E112/10^7)+(K112*0.7457*E112/10^7),(K112*F112/10^7)+(J112*(10^3)*(1/0.7457)*F112/10^7))</f>
        <v>0</v>
      </c>
      <c r="P112" s="332"/>
      <c r="Q112" s="196">
        <f t="shared" si="133"/>
        <v>0</v>
      </c>
      <c r="R112" s="332"/>
      <c r="S112" s="196">
        <f>N112+O112+P112+Q112+R112</f>
        <v>0</v>
      </c>
      <c r="T112" s="332"/>
      <c r="U112" s="196">
        <f t="shared" si="134"/>
        <v>0</v>
      </c>
      <c r="V112" s="332"/>
      <c r="W112" s="332"/>
      <c r="X112" s="332"/>
      <c r="Y112" s="332"/>
      <c r="Z112" s="198">
        <f t="shared" si="128"/>
        <v>0</v>
      </c>
      <c r="AA112" s="249">
        <f t="shared" si="135"/>
        <v>0</v>
      </c>
    </row>
    <row r="113" spans="2:27" hidden="1">
      <c r="B113" s="239" t="s">
        <v>752</v>
      </c>
      <c r="C113" s="250">
        <f>C114+C115</f>
        <v>17</v>
      </c>
      <c r="D113" s="240"/>
      <c r="E113" s="240"/>
      <c r="F113" s="240"/>
      <c r="G113" s="240"/>
      <c r="H113" s="240">
        <f>H114+H115</f>
        <v>42.006016604999992</v>
      </c>
      <c r="I113" s="240">
        <f t="shared" ref="I113" si="136">I114+I115</f>
        <v>0</v>
      </c>
      <c r="J113" s="240">
        <f>J114+J115</f>
        <v>87.85</v>
      </c>
      <c r="K113" s="240">
        <f t="shared" ref="K113:Z113" si="137">K114+K115</f>
        <v>0</v>
      </c>
      <c r="L113" s="240"/>
      <c r="M113" s="240"/>
      <c r="N113" s="240">
        <f t="shared" si="137"/>
        <v>30.034301872574996</v>
      </c>
      <c r="O113" s="240">
        <f t="shared" si="137"/>
        <v>0</v>
      </c>
      <c r="P113" s="240">
        <f t="shared" si="137"/>
        <v>0</v>
      </c>
      <c r="Q113" s="240">
        <f t="shared" si="137"/>
        <v>5.7385199999999997E-2</v>
      </c>
      <c r="R113" s="240">
        <f t="shared" si="137"/>
        <v>0</v>
      </c>
      <c r="S113" s="240">
        <f t="shared" si="137"/>
        <v>30.091687072574995</v>
      </c>
      <c r="T113" s="240">
        <f t="shared" si="137"/>
        <v>0</v>
      </c>
      <c r="U113" s="240">
        <f t="shared" si="137"/>
        <v>30.091687072574995</v>
      </c>
      <c r="V113" s="240">
        <f t="shared" si="137"/>
        <v>0</v>
      </c>
      <c r="W113" s="240">
        <f t="shared" si="137"/>
        <v>0</v>
      </c>
      <c r="X113" s="240">
        <f t="shared" si="137"/>
        <v>0</v>
      </c>
      <c r="Y113" s="240">
        <f t="shared" si="137"/>
        <v>0</v>
      </c>
      <c r="Z113" s="240">
        <f t="shared" si="137"/>
        <v>0.63073455073684093</v>
      </c>
      <c r="AA113" s="240">
        <f t="shared" ref="AA113" si="138">AA114+AA115</f>
        <v>30.722421623311835</v>
      </c>
    </row>
    <row r="114" spans="2:27" hidden="1">
      <c r="B114" s="253" t="s">
        <v>760</v>
      </c>
      <c r="C114" s="193">
        <f>'[4]FY23 Revenue'!E110</f>
        <v>0</v>
      </c>
      <c r="D114" s="203">
        <v>3.85</v>
      </c>
      <c r="E114" s="237">
        <f>30*12</f>
        <v>360</v>
      </c>
      <c r="F114" s="237"/>
      <c r="G114" s="237">
        <v>2813</v>
      </c>
      <c r="H114" s="191">
        <v>0</v>
      </c>
      <c r="I114" s="203"/>
      <c r="J114" s="191">
        <f>'[4]FY23 Revenue'!K110</f>
        <v>0</v>
      </c>
      <c r="K114" s="191"/>
      <c r="L114" s="191"/>
      <c r="M114" s="191"/>
      <c r="N114" s="195">
        <f t="shared" ref="N114:N115" si="139">H114*D114*$P$180/10</f>
        <v>0</v>
      </c>
      <c r="O114" s="196">
        <f>IF(E114&gt;0,(J114*10^3*E114/10^7)+(K114*0.7457*E114/10^7),(K114*F114/10^7)+(J114*(10^3)*(1/0.7457)*F114/10^7))</f>
        <v>0</v>
      </c>
      <c r="P114" s="332"/>
      <c r="Q114" s="196">
        <f t="shared" ref="Q114:Q115" si="140">G114*C114*12/10^7</f>
        <v>0</v>
      </c>
      <c r="R114" s="332"/>
      <c r="S114" s="196">
        <f>N114+O114+P114+Q114+R114</f>
        <v>0</v>
      </c>
      <c r="T114" s="332"/>
      <c r="U114" s="196">
        <f t="shared" ref="U114:U115" si="141">S114-T114</f>
        <v>0</v>
      </c>
      <c r="V114" s="332"/>
      <c r="W114" s="332"/>
      <c r="X114" s="332"/>
      <c r="Y114" s="332"/>
      <c r="Z114" s="198">
        <f t="shared" si="128"/>
        <v>0</v>
      </c>
      <c r="AA114" s="249">
        <f t="shared" ref="AA114:AA115" si="142">U114+Z114</f>
        <v>0</v>
      </c>
    </row>
    <row r="115" spans="2:27" hidden="1">
      <c r="B115" s="253" t="s">
        <v>761</v>
      </c>
      <c r="C115" s="193">
        <f>'[4]FY23 Revenue'!E111</f>
        <v>17</v>
      </c>
      <c r="D115" s="203">
        <v>7.15</v>
      </c>
      <c r="E115" s="237">
        <v>0</v>
      </c>
      <c r="F115" s="237"/>
      <c r="G115" s="237">
        <v>2813</v>
      </c>
      <c r="H115" s="191">
        <v>42.006016604999992</v>
      </c>
      <c r="I115" s="203"/>
      <c r="J115" s="191">
        <f>'[4]FY23 Revenue'!K111</f>
        <v>87.85</v>
      </c>
      <c r="K115" s="191"/>
      <c r="L115" s="191"/>
      <c r="M115" s="191"/>
      <c r="N115" s="195">
        <f t="shared" si="139"/>
        <v>30.034301872574996</v>
      </c>
      <c r="O115" s="196">
        <f>IF(E115&gt;0,(J115*10^3*E115/10^7)+(K115*0.7457*E115/10^7),(K115*F115/10^7)+(J115*(10^3)*(1/0.7457)*F115/10^7))</f>
        <v>0</v>
      </c>
      <c r="P115" s="332"/>
      <c r="Q115" s="196">
        <f t="shared" si="140"/>
        <v>5.7385199999999997E-2</v>
      </c>
      <c r="R115" s="332"/>
      <c r="S115" s="196">
        <f>N115+O115+P115+Q115+R115</f>
        <v>30.091687072574995</v>
      </c>
      <c r="T115" s="332"/>
      <c r="U115" s="196">
        <f t="shared" si="141"/>
        <v>30.091687072574995</v>
      </c>
      <c r="V115" s="332"/>
      <c r="W115" s="332"/>
      <c r="X115" s="332"/>
      <c r="Y115" s="332"/>
      <c r="Z115" s="198">
        <f t="shared" si="128"/>
        <v>0.63073455073684093</v>
      </c>
      <c r="AA115" s="249">
        <f t="shared" si="142"/>
        <v>30.722421623311835</v>
      </c>
    </row>
    <row r="116" spans="2:27" hidden="1">
      <c r="B116" s="253"/>
      <c r="C116" s="193"/>
      <c r="D116" s="203"/>
      <c r="E116" s="237"/>
      <c r="F116" s="237"/>
      <c r="G116" s="237"/>
      <c r="H116" s="191"/>
      <c r="I116" s="203"/>
      <c r="J116" s="191"/>
      <c r="K116" s="191"/>
      <c r="L116" s="191"/>
      <c r="M116" s="191"/>
      <c r="N116" s="195"/>
      <c r="O116" s="196"/>
      <c r="P116" s="332"/>
      <c r="Q116" s="196"/>
      <c r="R116" s="332"/>
      <c r="S116" s="196"/>
      <c r="T116" s="332"/>
      <c r="U116" s="196"/>
      <c r="V116" s="332"/>
      <c r="W116" s="332"/>
      <c r="X116" s="332"/>
      <c r="Y116" s="332"/>
      <c r="Z116" s="198"/>
      <c r="AA116" s="361"/>
    </row>
    <row r="117" spans="2:27" hidden="1">
      <c r="B117" s="232" t="s">
        <v>170</v>
      </c>
      <c r="C117" s="255">
        <f>C118+C119+C126+C139+C144</f>
        <v>68</v>
      </c>
      <c r="D117" s="233"/>
      <c r="E117" s="233"/>
      <c r="F117" s="233"/>
      <c r="G117" s="234"/>
      <c r="H117" s="233">
        <f>H118+H119+H126+H139+H144</f>
        <v>4941.687942361099</v>
      </c>
      <c r="I117" s="233">
        <f t="shared" ref="I117" si="143">I118+I119+I126+I139+I144</f>
        <v>0</v>
      </c>
      <c r="J117" s="233">
        <f>J118+J119+J126+J139+J144</f>
        <v>1051.9259999999999</v>
      </c>
      <c r="K117" s="233">
        <f t="shared" ref="K117:AA117" si="144">K118+K119+K126+K139+K144</f>
        <v>0</v>
      </c>
      <c r="L117" s="233"/>
      <c r="M117" s="233"/>
      <c r="N117" s="233">
        <f t="shared" si="144"/>
        <v>2593.1937111767106</v>
      </c>
      <c r="O117" s="233">
        <f t="shared" si="144"/>
        <v>327.89666999999997</v>
      </c>
      <c r="P117" s="233">
        <f t="shared" si="144"/>
        <v>0</v>
      </c>
      <c r="Q117" s="233">
        <f t="shared" si="144"/>
        <v>0.22954079999999999</v>
      </c>
      <c r="R117" s="233">
        <f t="shared" si="144"/>
        <v>0</v>
      </c>
      <c r="S117" s="233">
        <f t="shared" si="144"/>
        <v>2921.3199219767107</v>
      </c>
      <c r="T117" s="233">
        <f t="shared" si="144"/>
        <v>0</v>
      </c>
      <c r="U117" s="233">
        <f t="shared" si="144"/>
        <v>2921.3199219767107</v>
      </c>
      <c r="V117" s="233">
        <f t="shared" si="144"/>
        <v>0</v>
      </c>
      <c r="W117" s="233">
        <f t="shared" si="144"/>
        <v>0</v>
      </c>
      <c r="X117" s="233">
        <f t="shared" si="144"/>
        <v>0</v>
      </c>
      <c r="Y117" s="233">
        <f t="shared" si="144"/>
        <v>0</v>
      </c>
      <c r="Z117" s="233">
        <f t="shared" si="144"/>
        <v>74.201116319031954</v>
      </c>
      <c r="AA117" s="233">
        <f t="shared" si="144"/>
        <v>2995.521038295743</v>
      </c>
    </row>
    <row r="118" spans="2:27" hidden="1">
      <c r="B118" s="253" t="s">
        <v>743</v>
      </c>
      <c r="C118" s="193">
        <f>'[4]FY23 Revenue'!E114</f>
        <v>0</v>
      </c>
      <c r="D118" s="203">
        <v>7</v>
      </c>
      <c r="E118" s="237">
        <f>75*12</f>
        <v>900</v>
      </c>
      <c r="F118" s="237"/>
      <c r="G118" s="237">
        <v>2813</v>
      </c>
      <c r="H118" s="191">
        <v>0</v>
      </c>
      <c r="I118" s="203"/>
      <c r="J118" s="191">
        <f>'[4]FY23 Revenue'!K114</f>
        <v>0</v>
      </c>
      <c r="K118" s="191"/>
      <c r="L118" s="191"/>
      <c r="M118" s="191"/>
      <c r="N118" s="195">
        <f t="shared" ref="N118" si="145">H118*D118*$P$180/10</f>
        <v>0</v>
      </c>
      <c r="O118" s="196">
        <f>IF(E118&gt;0,(J118*10^3*E118/10^7)+(K118*0.7457*E118/10^7),(K118*F118/10^7)+(J118*(10^3)*(1/0.7457)*F118/10^7))</f>
        <v>0</v>
      </c>
      <c r="P118" s="332"/>
      <c r="Q118" s="196">
        <f t="shared" ref="Q118" si="146">G118*C118*12/10^7</f>
        <v>0</v>
      </c>
      <c r="R118" s="332"/>
      <c r="S118" s="196">
        <f>N118+O118+P118+Q118+R118</f>
        <v>0</v>
      </c>
      <c r="T118" s="332"/>
      <c r="U118" s="196">
        <f t="shared" ref="U118" si="147">S118-T118</f>
        <v>0</v>
      </c>
      <c r="V118" s="332"/>
      <c r="W118" s="332"/>
      <c r="X118" s="332"/>
      <c r="Y118" s="332"/>
      <c r="Z118" s="198">
        <f t="shared" ref="Z118" si="148">(H118*$Z$179)/($H$179-$H$43-$H$45-$H$46)</f>
        <v>0</v>
      </c>
      <c r="AA118" s="249">
        <f t="shared" ref="AA118" si="149">U118+Z118</f>
        <v>0</v>
      </c>
    </row>
    <row r="119" spans="2:27" hidden="1">
      <c r="B119" s="239" t="s">
        <v>744</v>
      </c>
      <c r="C119" s="250">
        <f>SUM(C120:C125)</f>
        <v>10</v>
      </c>
      <c r="D119" s="240"/>
      <c r="E119" s="240"/>
      <c r="F119" s="240"/>
      <c r="G119" s="240"/>
      <c r="H119" s="240">
        <f>SUM(H120:H125)</f>
        <v>32.206620999999998</v>
      </c>
      <c r="I119" s="240">
        <f t="shared" ref="I119" si="150">SUM(I120:I125)</f>
        <v>0</v>
      </c>
      <c r="J119" s="240">
        <f>SUM(J120:J125)</f>
        <v>21.2</v>
      </c>
      <c r="K119" s="240">
        <f t="shared" ref="K119:AA119" si="151">SUM(K120:K125)</f>
        <v>0</v>
      </c>
      <c r="L119" s="240"/>
      <c r="M119" s="240"/>
      <c r="N119" s="240">
        <f t="shared" si="151"/>
        <v>23.102149536666669</v>
      </c>
      <c r="O119" s="240">
        <f t="shared" si="151"/>
        <v>6.5549999999999997</v>
      </c>
      <c r="P119" s="240">
        <f t="shared" si="151"/>
        <v>0</v>
      </c>
      <c r="Q119" s="240">
        <f t="shared" si="151"/>
        <v>3.3756000000000001E-2</v>
      </c>
      <c r="R119" s="240">
        <f t="shared" si="151"/>
        <v>0</v>
      </c>
      <c r="S119" s="240">
        <f t="shared" si="151"/>
        <v>29.690905536666669</v>
      </c>
      <c r="T119" s="240">
        <f t="shared" si="151"/>
        <v>0</v>
      </c>
      <c r="U119" s="240">
        <f t="shared" si="151"/>
        <v>29.690905536666669</v>
      </c>
      <c r="V119" s="240">
        <f t="shared" si="151"/>
        <v>0</v>
      </c>
      <c r="W119" s="240">
        <f t="shared" si="151"/>
        <v>0</v>
      </c>
      <c r="X119" s="240">
        <f t="shared" si="151"/>
        <v>0</v>
      </c>
      <c r="Y119" s="240">
        <f t="shared" si="151"/>
        <v>0</v>
      </c>
      <c r="Z119" s="240">
        <f t="shared" si="151"/>
        <v>0.48359331041088871</v>
      </c>
      <c r="AA119" s="240">
        <f t="shared" si="151"/>
        <v>30.174498847077555</v>
      </c>
    </row>
    <row r="120" spans="2:27" hidden="1">
      <c r="B120" s="253" t="s">
        <v>745</v>
      </c>
      <c r="C120" s="193">
        <f>'[4]FY23 Revenue'!E116</f>
        <v>4</v>
      </c>
      <c r="D120" s="203">
        <v>6.7</v>
      </c>
      <c r="E120" s="237">
        <f>475*12</f>
        <v>5700</v>
      </c>
      <c r="F120" s="237"/>
      <c r="G120" s="237">
        <v>2813</v>
      </c>
      <c r="H120" s="191">
        <v>25.231285333333332</v>
      </c>
      <c r="I120" s="203"/>
      <c r="J120" s="191">
        <f>'[4]FY23 Revenue'!K116</f>
        <v>11.5</v>
      </c>
      <c r="K120" s="191"/>
      <c r="L120" s="191"/>
      <c r="M120" s="191"/>
      <c r="N120" s="195">
        <f t="shared" ref="N120:N125" si="152">H120*D120*$P$180/10</f>
        <v>16.904961173333334</v>
      </c>
      <c r="O120" s="196">
        <f t="shared" ref="O120:O125" si="153">IF(E120&gt;0,(J120*10^3*E120/10^7)+(K120*0.7457*E120/10^7),(K120*F120/10^7)+(J120*(10^3)*(1/0.7457)*F120/10^7))</f>
        <v>6.5549999999999997</v>
      </c>
      <c r="P120" s="332"/>
      <c r="Q120" s="196">
        <f t="shared" ref="Q120:Q125" si="154">G120*C120*12/10^7</f>
        <v>1.3502399999999999E-2</v>
      </c>
      <c r="R120" s="332"/>
      <c r="S120" s="196">
        <f t="shared" ref="S120:S125" si="155">N120+O120+P120+Q120+R120</f>
        <v>23.473463573333333</v>
      </c>
      <c r="T120" s="332"/>
      <c r="U120" s="196">
        <f t="shared" ref="U120:U125" si="156">S120-T120</f>
        <v>23.473463573333333</v>
      </c>
      <c r="V120" s="332"/>
      <c r="W120" s="332"/>
      <c r="X120" s="332"/>
      <c r="Y120" s="332"/>
      <c r="Z120" s="198">
        <f t="shared" ref="Z120:Z125" si="157">(H120*$Z$179)/($H$179-$H$43-$H$45-$H$46)</f>
        <v>0.37885628549074957</v>
      </c>
      <c r="AA120" s="249">
        <f t="shared" ref="AA120:AA125" si="158">U120+Z120</f>
        <v>23.852319858824082</v>
      </c>
    </row>
    <row r="121" spans="2:27" hidden="1">
      <c r="B121" s="253" t="s">
        <v>697</v>
      </c>
      <c r="C121" s="193">
        <f>'[4]FY23 Revenue'!E117</f>
        <v>0</v>
      </c>
      <c r="D121" s="203">
        <v>7.7</v>
      </c>
      <c r="E121" s="237">
        <f>475*12</f>
        <v>5700</v>
      </c>
      <c r="F121" s="237"/>
      <c r="G121" s="237"/>
      <c r="H121" s="191">
        <v>5.1595556666666669</v>
      </c>
      <c r="I121" s="203"/>
      <c r="J121" s="191">
        <f>'[4]FY23 Revenue'!K117</f>
        <v>0</v>
      </c>
      <c r="K121" s="191"/>
      <c r="L121" s="191"/>
      <c r="M121" s="191"/>
      <c r="N121" s="195">
        <f t="shared" si="152"/>
        <v>3.9728578633333336</v>
      </c>
      <c r="O121" s="196">
        <f t="shared" si="153"/>
        <v>0</v>
      </c>
      <c r="P121" s="332"/>
      <c r="Q121" s="196">
        <f t="shared" si="154"/>
        <v>0</v>
      </c>
      <c r="R121" s="332"/>
      <c r="S121" s="196">
        <f t="shared" si="155"/>
        <v>3.9728578633333336</v>
      </c>
      <c r="T121" s="332"/>
      <c r="U121" s="196">
        <f t="shared" si="156"/>
        <v>3.9728578633333336</v>
      </c>
      <c r="V121" s="332"/>
      <c r="W121" s="332"/>
      <c r="X121" s="332"/>
      <c r="Y121" s="332"/>
      <c r="Z121" s="198">
        <f t="shared" si="157"/>
        <v>7.7472473908162962E-2</v>
      </c>
      <c r="AA121" s="249">
        <f t="shared" si="158"/>
        <v>4.0503303372414967</v>
      </c>
    </row>
    <row r="122" spans="2:27" hidden="1">
      <c r="B122" s="253" t="s">
        <v>746</v>
      </c>
      <c r="C122" s="193">
        <f>'[4]FY23 Revenue'!E118</f>
        <v>0</v>
      </c>
      <c r="D122" s="203">
        <v>12.25</v>
      </c>
      <c r="E122" s="237">
        <v>0</v>
      </c>
      <c r="F122" s="237"/>
      <c r="G122" s="237">
        <v>2813</v>
      </c>
      <c r="H122" s="191">
        <v>0</v>
      </c>
      <c r="I122" s="203"/>
      <c r="J122" s="191">
        <f>'[4]FY23 Revenue'!K118</f>
        <v>0</v>
      </c>
      <c r="K122" s="191"/>
      <c r="L122" s="191"/>
      <c r="M122" s="191"/>
      <c r="N122" s="195">
        <f t="shared" si="152"/>
        <v>0</v>
      </c>
      <c r="O122" s="196">
        <f t="shared" si="153"/>
        <v>0</v>
      </c>
      <c r="P122" s="332"/>
      <c r="Q122" s="196">
        <f t="shared" si="154"/>
        <v>0</v>
      </c>
      <c r="R122" s="332"/>
      <c r="S122" s="196">
        <f t="shared" si="155"/>
        <v>0</v>
      </c>
      <c r="T122" s="332"/>
      <c r="U122" s="196">
        <f t="shared" si="156"/>
        <v>0</v>
      </c>
      <c r="V122" s="332"/>
      <c r="W122" s="332"/>
      <c r="X122" s="332"/>
      <c r="Y122" s="332"/>
      <c r="Z122" s="198">
        <f t="shared" si="157"/>
        <v>0</v>
      </c>
      <c r="AA122" s="249">
        <f t="shared" si="158"/>
        <v>0</v>
      </c>
    </row>
    <row r="123" spans="2:27" hidden="1">
      <c r="B123" s="253" t="s">
        <v>747</v>
      </c>
      <c r="C123" s="193">
        <f>'[4]FY23 Revenue'!E119</f>
        <v>6</v>
      </c>
      <c r="D123" s="203">
        <v>12.25</v>
      </c>
      <c r="E123" s="237">
        <v>0</v>
      </c>
      <c r="F123" s="237"/>
      <c r="G123" s="237">
        <v>2813</v>
      </c>
      <c r="H123" s="191">
        <v>1.8157799999999999</v>
      </c>
      <c r="I123" s="203"/>
      <c r="J123" s="191">
        <f>'[4]FY23 Revenue'!K119</f>
        <v>9.6999999999999993</v>
      </c>
      <c r="K123" s="191"/>
      <c r="L123" s="191"/>
      <c r="M123" s="191"/>
      <c r="N123" s="195">
        <f t="shared" si="152"/>
        <v>2.2243304999999998</v>
      </c>
      <c r="O123" s="196">
        <f t="shared" si="153"/>
        <v>0</v>
      </c>
      <c r="P123" s="332"/>
      <c r="Q123" s="196">
        <f t="shared" si="154"/>
        <v>2.02536E-2</v>
      </c>
      <c r="R123" s="332"/>
      <c r="S123" s="196">
        <f t="shared" si="155"/>
        <v>2.2445841</v>
      </c>
      <c r="T123" s="332"/>
      <c r="U123" s="196">
        <f t="shared" si="156"/>
        <v>2.2445841</v>
      </c>
      <c r="V123" s="332"/>
      <c r="W123" s="332"/>
      <c r="X123" s="332"/>
      <c r="Y123" s="332"/>
      <c r="Z123" s="198">
        <f t="shared" si="157"/>
        <v>2.7264551011976185E-2</v>
      </c>
      <c r="AA123" s="249">
        <f t="shared" si="158"/>
        <v>2.2718486510119762</v>
      </c>
    </row>
    <row r="124" spans="2:27" hidden="1">
      <c r="B124" s="253" t="s">
        <v>748</v>
      </c>
      <c r="C124" s="193">
        <f>'[4]FY23 Revenue'!E120</f>
        <v>0</v>
      </c>
      <c r="D124" s="203">
        <v>6.7</v>
      </c>
      <c r="E124" s="237">
        <v>0</v>
      </c>
      <c r="F124" s="237"/>
      <c r="G124" s="237">
        <v>2813</v>
      </c>
      <c r="H124" s="191">
        <v>0</v>
      </c>
      <c r="I124" s="203"/>
      <c r="J124" s="191">
        <f>'[4]FY23 Revenue'!K120</f>
        <v>0</v>
      </c>
      <c r="K124" s="191"/>
      <c r="L124" s="191"/>
      <c r="M124" s="191"/>
      <c r="N124" s="195">
        <f t="shared" si="152"/>
        <v>0</v>
      </c>
      <c r="O124" s="196">
        <f t="shared" si="153"/>
        <v>0</v>
      </c>
      <c r="P124" s="332"/>
      <c r="Q124" s="196">
        <f t="shared" si="154"/>
        <v>0</v>
      </c>
      <c r="R124" s="332"/>
      <c r="S124" s="196">
        <f t="shared" si="155"/>
        <v>0</v>
      </c>
      <c r="T124" s="332"/>
      <c r="U124" s="196">
        <f t="shared" si="156"/>
        <v>0</v>
      </c>
      <c r="V124" s="332"/>
      <c r="W124" s="332"/>
      <c r="X124" s="332"/>
      <c r="Y124" s="332"/>
      <c r="Z124" s="198">
        <f t="shared" si="157"/>
        <v>0</v>
      </c>
      <c r="AA124" s="249">
        <f t="shared" si="158"/>
        <v>0</v>
      </c>
    </row>
    <row r="125" spans="2:27" hidden="1">
      <c r="B125" s="253" t="s">
        <v>749</v>
      </c>
      <c r="C125" s="193">
        <f>'[4]FY23 Revenue'!E121</f>
        <v>0</v>
      </c>
      <c r="D125" s="203">
        <v>12.25</v>
      </c>
      <c r="E125" s="237">
        <v>0</v>
      </c>
      <c r="F125" s="237"/>
      <c r="G125" s="237">
        <v>2813</v>
      </c>
      <c r="H125" s="191">
        <v>0</v>
      </c>
      <c r="I125" s="203"/>
      <c r="J125" s="191">
        <f>'[4]FY23 Revenue'!K121</f>
        <v>0</v>
      </c>
      <c r="K125" s="191"/>
      <c r="L125" s="191"/>
      <c r="M125" s="191"/>
      <c r="N125" s="195">
        <f t="shared" si="152"/>
        <v>0</v>
      </c>
      <c r="O125" s="196">
        <f t="shared" si="153"/>
        <v>0</v>
      </c>
      <c r="P125" s="332"/>
      <c r="Q125" s="196">
        <f t="shared" si="154"/>
        <v>0</v>
      </c>
      <c r="R125" s="332"/>
      <c r="S125" s="196">
        <f t="shared" si="155"/>
        <v>0</v>
      </c>
      <c r="T125" s="332"/>
      <c r="U125" s="196">
        <f t="shared" si="156"/>
        <v>0</v>
      </c>
      <c r="V125" s="332"/>
      <c r="W125" s="332"/>
      <c r="X125" s="332"/>
      <c r="Y125" s="332"/>
      <c r="Z125" s="198">
        <f t="shared" si="157"/>
        <v>0</v>
      </c>
      <c r="AA125" s="249">
        <f t="shared" si="158"/>
        <v>0</v>
      </c>
    </row>
    <row r="126" spans="2:27" hidden="1">
      <c r="B126" s="239" t="s">
        <v>750</v>
      </c>
      <c r="C126" s="250">
        <f>C127+C137+C138</f>
        <v>39</v>
      </c>
      <c r="D126" s="240"/>
      <c r="E126" s="240"/>
      <c r="F126" s="240"/>
      <c r="G126" s="240"/>
      <c r="H126" s="240">
        <f>H127+H137+H138</f>
        <v>3990.1084593610994</v>
      </c>
      <c r="I126" s="240">
        <f t="shared" ref="I126" si="159">I127+I137+I138</f>
        <v>0</v>
      </c>
      <c r="J126" s="240">
        <f>J127+J137+J138</f>
        <v>746.22500000000002</v>
      </c>
      <c r="K126" s="240">
        <f t="shared" ref="K126:AA126" si="160">K127+K137+K138</f>
        <v>0</v>
      </c>
      <c r="L126" s="240"/>
      <c r="M126" s="240"/>
      <c r="N126" s="240">
        <f t="shared" si="160"/>
        <v>2064.4364875400438</v>
      </c>
      <c r="O126" s="240">
        <f t="shared" si="160"/>
        <v>201.85124999999999</v>
      </c>
      <c r="P126" s="240">
        <f t="shared" si="160"/>
        <v>0</v>
      </c>
      <c r="Q126" s="240">
        <f t="shared" si="160"/>
        <v>0.1316484</v>
      </c>
      <c r="R126" s="240">
        <f t="shared" si="160"/>
        <v>0</v>
      </c>
      <c r="S126" s="240">
        <f t="shared" si="160"/>
        <v>2266.4193859400439</v>
      </c>
      <c r="T126" s="240">
        <f t="shared" si="160"/>
        <v>0</v>
      </c>
      <c r="U126" s="240">
        <f t="shared" si="160"/>
        <v>2266.4193859400439</v>
      </c>
      <c r="V126" s="240">
        <f t="shared" si="160"/>
        <v>0</v>
      </c>
      <c r="W126" s="240">
        <f t="shared" si="160"/>
        <v>0</v>
      </c>
      <c r="X126" s="240">
        <f t="shared" si="160"/>
        <v>0</v>
      </c>
      <c r="Y126" s="240">
        <f t="shared" si="160"/>
        <v>0</v>
      </c>
      <c r="Z126" s="240">
        <f t="shared" si="160"/>
        <v>59.912828444838254</v>
      </c>
      <c r="AA126" s="240">
        <f t="shared" si="160"/>
        <v>2326.3322143848823</v>
      </c>
    </row>
    <row r="127" spans="2:27" hidden="1">
      <c r="B127" s="215" t="s">
        <v>753</v>
      </c>
      <c r="C127" s="216">
        <f>C129+C130+C131+C133+C134+C135+C136</f>
        <v>28</v>
      </c>
      <c r="D127" s="217"/>
      <c r="E127" s="207"/>
      <c r="F127" s="217"/>
      <c r="G127" s="218"/>
      <c r="H127" s="217">
        <f>H129+H130+H131+H133+H134+H135+H136</f>
        <v>1596.7745220510999</v>
      </c>
      <c r="I127" s="217">
        <f t="shared" ref="I127" si="161">I129+I130+I131+I133+I134+I135+I136</f>
        <v>0</v>
      </c>
      <c r="J127" s="217">
        <f>J129+J130+J131+J133+J134+J135+J136</f>
        <v>354.125</v>
      </c>
      <c r="K127" s="217">
        <f t="shared" ref="K127:AA127" si="162">K129+K130+K131+K133+K134+K135+K136</f>
        <v>0</v>
      </c>
      <c r="L127" s="217"/>
      <c r="M127" s="217"/>
      <c r="N127" s="217">
        <f t="shared" si="162"/>
        <v>879.73618857159397</v>
      </c>
      <c r="O127" s="217">
        <f t="shared" si="162"/>
        <v>201.85124999999999</v>
      </c>
      <c r="P127" s="217">
        <f t="shared" si="162"/>
        <v>0</v>
      </c>
      <c r="Q127" s="217">
        <f t="shared" si="162"/>
        <v>9.4516799999999998E-2</v>
      </c>
      <c r="R127" s="217">
        <f t="shared" si="162"/>
        <v>0</v>
      </c>
      <c r="S127" s="217">
        <f t="shared" si="162"/>
        <v>1081.6819553715941</v>
      </c>
      <c r="T127" s="217">
        <f t="shared" si="162"/>
        <v>0</v>
      </c>
      <c r="U127" s="217">
        <f t="shared" si="162"/>
        <v>1081.6819553715941</v>
      </c>
      <c r="V127" s="217">
        <f t="shared" si="162"/>
        <v>0</v>
      </c>
      <c r="W127" s="217">
        <f t="shared" si="162"/>
        <v>0</v>
      </c>
      <c r="X127" s="217">
        <f t="shared" si="162"/>
        <v>0</v>
      </c>
      <c r="Y127" s="217">
        <f t="shared" si="162"/>
        <v>0</v>
      </c>
      <c r="Z127" s="217">
        <f t="shared" si="162"/>
        <v>23.976109666967421</v>
      </c>
      <c r="AA127" s="217">
        <f t="shared" si="162"/>
        <v>1105.6580650385615</v>
      </c>
    </row>
    <row r="128" spans="2:27" hidden="1">
      <c r="B128" s="253" t="s">
        <v>918</v>
      </c>
      <c r="C128" s="193"/>
      <c r="D128" s="203"/>
      <c r="E128" s="237"/>
      <c r="F128" s="237"/>
      <c r="G128" s="237"/>
      <c r="H128" s="191"/>
      <c r="I128" s="203"/>
      <c r="J128" s="191"/>
      <c r="K128" s="191"/>
      <c r="L128" s="191"/>
      <c r="M128" s="191"/>
      <c r="N128" s="195">
        <f t="shared" ref="N128:N138" si="163">H128*D128*$P$180/10</f>
        <v>0</v>
      </c>
      <c r="O128" s="196">
        <f t="shared" ref="O128:O138" si="164">IF(E128&gt;0,(J128*10^3*E128/10^7)+(K128*0.7457*E128/10^7),(K128*F128/10^7)+(J128*(10^3)*(1/0.7457)*F128/10^7))</f>
        <v>0</v>
      </c>
      <c r="P128" s="332"/>
      <c r="Q128" s="196">
        <f t="shared" ref="Q128:Q138" si="165">G128*C128*12/10^7</f>
        <v>0</v>
      </c>
      <c r="R128" s="332"/>
      <c r="S128" s="196">
        <f t="shared" ref="S128:S138" si="166">N128+O128+P128+Q128+R128</f>
        <v>0</v>
      </c>
      <c r="T128" s="332"/>
      <c r="U128" s="196">
        <f t="shared" ref="U128:U138" si="167">S128-T128</f>
        <v>0</v>
      </c>
      <c r="V128" s="332"/>
      <c r="W128" s="332"/>
      <c r="X128" s="332"/>
      <c r="Y128" s="332"/>
      <c r="Z128" s="198"/>
      <c r="AA128" s="249">
        <f t="shared" ref="AA128:AA138" si="168">U128+Z128</f>
        <v>0</v>
      </c>
    </row>
    <row r="129" spans="2:27" hidden="1">
      <c r="B129" s="253" t="s">
        <v>914</v>
      </c>
      <c r="C129" s="193"/>
      <c r="D129" s="203">
        <v>6.9</v>
      </c>
      <c r="E129" s="237">
        <f>475*12</f>
        <v>5700</v>
      </c>
      <c r="F129" s="237"/>
      <c r="G129" s="237">
        <v>2813</v>
      </c>
      <c r="H129" s="191">
        <v>258.4358125</v>
      </c>
      <c r="I129" s="203"/>
      <c r="J129" s="191"/>
      <c r="K129" s="191"/>
      <c r="L129" s="191"/>
      <c r="M129" s="191"/>
      <c r="N129" s="195">
        <f t="shared" si="163"/>
        <v>178.320710625</v>
      </c>
      <c r="O129" s="196">
        <f t="shared" si="164"/>
        <v>0</v>
      </c>
      <c r="P129" s="332"/>
      <c r="Q129" s="196">
        <f t="shared" si="165"/>
        <v>0</v>
      </c>
      <c r="R129" s="332"/>
      <c r="S129" s="196">
        <f t="shared" si="166"/>
        <v>178.320710625</v>
      </c>
      <c r="T129" s="332"/>
      <c r="U129" s="196">
        <f t="shared" si="167"/>
        <v>178.320710625</v>
      </c>
      <c r="V129" s="332"/>
      <c r="W129" s="332"/>
      <c r="X129" s="332"/>
      <c r="Y129" s="332"/>
      <c r="Z129" s="198"/>
      <c r="AA129" s="249">
        <f t="shared" si="168"/>
        <v>178.320710625</v>
      </c>
    </row>
    <row r="130" spans="2:27" hidden="1">
      <c r="B130" s="253" t="s">
        <v>915</v>
      </c>
      <c r="C130" s="193"/>
      <c r="D130" s="203">
        <v>4.6500000000000004</v>
      </c>
      <c r="E130" s="237">
        <f>475*12</f>
        <v>5700</v>
      </c>
      <c r="F130" s="237"/>
      <c r="G130" s="237">
        <v>2813</v>
      </c>
      <c r="H130" s="191">
        <v>356.39521701333331</v>
      </c>
      <c r="I130" s="203"/>
      <c r="J130" s="191"/>
      <c r="K130" s="191"/>
      <c r="L130" s="191"/>
      <c r="M130" s="191"/>
      <c r="N130" s="195">
        <f t="shared" si="163"/>
        <v>165.72377591119999</v>
      </c>
      <c r="O130" s="196">
        <f t="shared" si="164"/>
        <v>0</v>
      </c>
      <c r="P130" s="332"/>
      <c r="Q130" s="196">
        <f t="shared" si="165"/>
        <v>0</v>
      </c>
      <c r="R130" s="332"/>
      <c r="S130" s="196">
        <f t="shared" si="166"/>
        <v>165.72377591119999</v>
      </c>
      <c r="T130" s="332"/>
      <c r="U130" s="196">
        <f t="shared" si="167"/>
        <v>165.72377591119999</v>
      </c>
      <c r="V130" s="332"/>
      <c r="W130" s="332"/>
      <c r="X130" s="332"/>
      <c r="Y130" s="332"/>
      <c r="Z130" s="198"/>
      <c r="AA130" s="249">
        <f t="shared" si="168"/>
        <v>165.72377591119999</v>
      </c>
    </row>
    <row r="131" spans="2:27" hidden="1">
      <c r="B131" s="253" t="s">
        <v>916</v>
      </c>
      <c r="C131" s="193">
        <f>'[4]FY23 Revenue'!E127</f>
        <v>28</v>
      </c>
      <c r="D131" s="203">
        <v>5.4</v>
      </c>
      <c r="E131" s="237">
        <f>475*12</f>
        <v>5700</v>
      </c>
      <c r="F131" s="237"/>
      <c r="G131" s="237">
        <v>2813</v>
      </c>
      <c r="H131" s="191">
        <v>146.89359650796666</v>
      </c>
      <c r="I131" s="203"/>
      <c r="J131" s="191">
        <f>'[4]FY23 Revenue'!K127</f>
        <v>354.125</v>
      </c>
      <c r="K131" s="191"/>
      <c r="L131" s="191"/>
      <c r="M131" s="191"/>
      <c r="N131" s="195">
        <f t="shared" si="163"/>
        <v>79.32254211430201</v>
      </c>
      <c r="O131" s="196">
        <f t="shared" si="164"/>
        <v>201.85124999999999</v>
      </c>
      <c r="P131" s="332"/>
      <c r="Q131" s="196">
        <f t="shared" si="165"/>
        <v>9.4516799999999998E-2</v>
      </c>
      <c r="R131" s="332"/>
      <c r="S131" s="196">
        <f t="shared" si="166"/>
        <v>281.268308914302</v>
      </c>
      <c r="T131" s="332"/>
      <c r="U131" s="196">
        <f t="shared" si="167"/>
        <v>281.268308914302</v>
      </c>
      <c r="V131" s="332"/>
      <c r="W131" s="332"/>
      <c r="X131" s="332"/>
      <c r="Y131" s="332"/>
      <c r="Z131" s="198">
        <f>(H127*$Z$179)/($H$179-$H$43-$H$45-$H$46)</f>
        <v>23.976109666967421</v>
      </c>
      <c r="AA131" s="249">
        <f t="shared" si="168"/>
        <v>305.24441858126943</v>
      </c>
    </row>
    <row r="132" spans="2:27" hidden="1">
      <c r="B132" s="253" t="s">
        <v>917</v>
      </c>
      <c r="C132" s="193"/>
      <c r="D132" s="203"/>
      <c r="E132" s="237"/>
      <c r="F132" s="237"/>
      <c r="G132" s="237"/>
      <c r="H132" s="191"/>
      <c r="I132" s="203"/>
      <c r="J132" s="191"/>
      <c r="K132" s="191"/>
      <c r="L132" s="191"/>
      <c r="M132" s="191"/>
      <c r="N132" s="195">
        <f t="shared" si="163"/>
        <v>0</v>
      </c>
      <c r="O132" s="196">
        <f t="shared" si="164"/>
        <v>0</v>
      </c>
      <c r="P132" s="332"/>
      <c r="Q132" s="196">
        <f t="shared" si="165"/>
        <v>0</v>
      </c>
      <c r="R132" s="332"/>
      <c r="S132" s="196">
        <f t="shared" si="166"/>
        <v>0</v>
      </c>
      <c r="T132" s="332"/>
      <c r="U132" s="196">
        <f t="shared" si="167"/>
        <v>0</v>
      </c>
      <c r="V132" s="332"/>
      <c r="W132" s="332"/>
      <c r="X132" s="332"/>
      <c r="Y132" s="332"/>
      <c r="Z132" s="198"/>
      <c r="AA132" s="249">
        <f t="shared" si="168"/>
        <v>0</v>
      </c>
    </row>
    <row r="133" spans="2:27" hidden="1">
      <c r="B133" s="253" t="s">
        <v>914</v>
      </c>
      <c r="C133" s="193"/>
      <c r="D133" s="203">
        <v>6.4</v>
      </c>
      <c r="E133" s="237">
        <f>475*12</f>
        <v>5700</v>
      </c>
      <c r="F133" s="237"/>
      <c r="G133" s="237">
        <v>2813</v>
      </c>
      <c r="H133" s="191">
        <v>277.89417149999997</v>
      </c>
      <c r="I133" s="203"/>
      <c r="J133" s="191"/>
      <c r="K133" s="191"/>
      <c r="L133" s="191"/>
      <c r="M133" s="191"/>
      <c r="N133" s="195">
        <f t="shared" si="163"/>
        <v>177.85226975999998</v>
      </c>
      <c r="O133" s="196">
        <f t="shared" si="164"/>
        <v>0</v>
      </c>
      <c r="P133" s="332"/>
      <c r="Q133" s="196">
        <f t="shared" si="165"/>
        <v>0</v>
      </c>
      <c r="R133" s="332"/>
      <c r="S133" s="196">
        <f t="shared" si="166"/>
        <v>177.85226975999998</v>
      </c>
      <c r="T133" s="332"/>
      <c r="U133" s="196">
        <f t="shared" si="167"/>
        <v>177.85226975999998</v>
      </c>
      <c r="V133" s="332"/>
      <c r="W133" s="332"/>
      <c r="X133" s="332"/>
      <c r="Y133" s="332"/>
      <c r="Z133" s="198"/>
      <c r="AA133" s="249">
        <f t="shared" si="168"/>
        <v>177.85226975999998</v>
      </c>
    </row>
    <row r="134" spans="2:27" hidden="1">
      <c r="B134" s="253" t="s">
        <v>915</v>
      </c>
      <c r="C134" s="193"/>
      <c r="D134" s="203">
        <v>4.6500000000000004</v>
      </c>
      <c r="E134" s="237">
        <f>475*12</f>
        <v>5700</v>
      </c>
      <c r="F134" s="237"/>
      <c r="G134" s="237">
        <v>2813</v>
      </c>
      <c r="H134" s="191">
        <v>373.30216699999994</v>
      </c>
      <c r="I134" s="203"/>
      <c r="J134" s="191"/>
      <c r="K134" s="191"/>
      <c r="L134" s="191"/>
      <c r="M134" s="191"/>
      <c r="N134" s="195">
        <f t="shared" si="163"/>
        <v>173.58550765499999</v>
      </c>
      <c r="O134" s="196">
        <f t="shared" si="164"/>
        <v>0</v>
      </c>
      <c r="P134" s="332"/>
      <c r="Q134" s="196">
        <f t="shared" si="165"/>
        <v>0</v>
      </c>
      <c r="R134" s="332"/>
      <c r="S134" s="196">
        <f t="shared" si="166"/>
        <v>173.58550765499999</v>
      </c>
      <c r="T134" s="332"/>
      <c r="U134" s="196">
        <f t="shared" si="167"/>
        <v>173.58550765499999</v>
      </c>
      <c r="V134" s="332"/>
      <c r="W134" s="332"/>
      <c r="X134" s="332"/>
      <c r="Y134" s="332"/>
      <c r="Z134" s="198"/>
      <c r="AA134" s="249">
        <f t="shared" si="168"/>
        <v>173.58550765499999</v>
      </c>
    </row>
    <row r="135" spans="2:27" hidden="1">
      <c r="B135" s="253" t="s">
        <v>916</v>
      </c>
      <c r="C135" s="193"/>
      <c r="D135" s="203">
        <v>5.4</v>
      </c>
      <c r="E135" s="237">
        <f>475*12</f>
        <v>5700</v>
      </c>
      <c r="F135" s="237"/>
      <c r="G135" s="237">
        <v>2813</v>
      </c>
      <c r="H135" s="191">
        <v>148.53817352979999</v>
      </c>
      <c r="I135" s="203"/>
      <c r="J135" s="191"/>
      <c r="K135" s="191"/>
      <c r="L135" s="191"/>
      <c r="M135" s="191"/>
      <c r="N135" s="195">
        <f t="shared" si="163"/>
        <v>80.210613706092005</v>
      </c>
      <c r="O135" s="196">
        <f t="shared" si="164"/>
        <v>0</v>
      </c>
      <c r="P135" s="332"/>
      <c r="Q135" s="196">
        <f t="shared" si="165"/>
        <v>0</v>
      </c>
      <c r="R135" s="332"/>
      <c r="S135" s="196">
        <f t="shared" si="166"/>
        <v>80.210613706092005</v>
      </c>
      <c r="T135" s="332"/>
      <c r="U135" s="196">
        <f t="shared" si="167"/>
        <v>80.210613706092005</v>
      </c>
      <c r="V135" s="332"/>
      <c r="W135" s="332"/>
      <c r="X135" s="332"/>
      <c r="Y135" s="332"/>
      <c r="Z135" s="198"/>
      <c r="AA135" s="249">
        <f t="shared" si="168"/>
        <v>80.210613706092005</v>
      </c>
    </row>
    <row r="136" spans="2:27" hidden="1">
      <c r="B136" s="253" t="s">
        <v>592</v>
      </c>
      <c r="C136" s="193">
        <f>'[4]FY23 Revenue'!E131</f>
        <v>0</v>
      </c>
      <c r="D136" s="203">
        <v>7</v>
      </c>
      <c r="E136" s="237">
        <v>0</v>
      </c>
      <c r="F136" s="237"/>
      <c r="G136" s="237"/>
      <c r="H136" s="191">
        <v>35.315384000000002</v>
      </c>
      <c r="I136" s="203"/>
      <c r="J136" s="191">
        <f>'[4]FY23 Revenue'!K131</f>
        <v>0</v>
      </c>
      <c r="K136" s="191"/>
      <c r="L136" s="191"/>
      <c r="M136" s="191"/>
      <c r="N136" s="195">
        <f t="shared" si="163"/>
        <v>24.720768800000002</v>
      </c>
      <c r="O136" s="196">
        <f t="shared" si="164"/>
        <v>0</v>
      </c>
      <c r="P136" s="332"/>
      <c r="Q136" s="196">
        <f t="shared" si="165"/>
        <v>0</v>
      </c>
      <c r="R136" s="332"/>
      <c r="S136" s="196">
        <f t="shared" si="166"/>
        <v>24.720768800000002</v>
      </c>
      <c r="T136" s="332"/>
      <c r="U136" s="196">
        <f t="shared" si="167"/>
        <v>24.720768800000002</v>
      </c>
      <c r="V136" s="332"/>
      <c r="W136" s="332"/>
      <c r="X136" s="332"/>
      <c r="Y136" s="332"/>
      <c r="Z136" s="198"/>
      <c r="AA136" s="249">
        <f t="shared" si="168"/>
        <v>24.720768800000002</v>
      </c>
    </row>
    <row r="137" spans="2:27" hidden="1">
      <c r="B137" s="215" t="s">
        <v>754</v>
      </c>
      <c r="C137" s="193">
        <f>'[4]FY23 Revenue'!E132</f>
        <v>0</v>
      </c>
      <c r="D137" s="217">
        <v>6.7</v>
      </c>
      <c r="E137" s="360">
        <f>475*12</f>
        <v>5700</v>
      </c>
      <c r="F137" s="217"/>
      <c r="G137" s="222">
        <v>2813</v>
      </c>
      <c r="H137" s="191">
        <v>0</v>
      </c>
      <c r="I137" s="217"/>
      <c r="J137" s="191">
        <f>'[4]FY23 Revenue'!K132</f>
        <v>0</v>
      </c>
      <c r="K137" s="217"/>
      <c r="L137" s="191"/>
      <c r="M137" s="217"/>
      <c r="N137" s="217">
        <f t="shared" si="163"/>
        <v>0</v>
      </c>
      <c r="O137" s="217">
        <f t="shared" si="164"/>
        <v>0</v>
      </c>
      <c r="P137" s="217"/>
      <c r="Q137" s="217">
        <f t="shared" si="165"/>
        <v>0</v>
      </c>
      <c r="R137" s="217"/>
      <c r="S137" s="217">
        <f t="shared" si="166"/>
        <v>0</v>
      </c>
      <c r="T137" s="217"/>
      <c r="U137" s="217">
        <f t="shared" si="167"/>
        <v>0</v>
      </c>
      <c r="V137" s="217"/>
      <c r="W137" s="217"/>
      <c r="X137" s="217"/>
      <c r="Y137" s="217"/>
      <c r="Z137" s="198"/>
      <c r="AA137" s="217">
        <f t="shared" si="168"/>
        <v>0</v>
      </c>
    </row>
    <row r="138" spans="2:27" hidden="1">
      <c r="B138" s="215" t="s">
        <v>755</v>
      </c>
      <c r="C138" s="193">
        <f>'[4]FY23 Revenue'!E133</f>
        <v>11</v>
      </c>
      <c r="D138" s="217">
        <v>4.95</v>
      </c>
      <c r="E138" s="207">
        <v>0</v>
      </c>
      <c r="F138" s="217"/>
      <c r="G138" s="222">
        <v>2813</v>
      </c>
      <c r="H138" s="191">
        <v>2393.3339373099998</v>
      </c>
      <c r="I138" s="217"/>
      <c r="J138" s="191">
        <f>'[4]FY23 Revenue'!K133</f>
        <v>392.1</v>
      </c>
      <c r="K138" s="217"/>
      <c r="L138" s="191"/>
      <c r="M138" s="217"/>
      <c r="N138" s="217">
        <f t="shared" si="163"/>
        <v>1184.7002989684499</v>
      </c>
      <c r="O138" s="217">
        <f t="shared" si="164"/>
        <v>0</v>
      </c>
      <c r="P138" s="217"/>
      <c r="Q138" s="217">
        <f t="shared" si="165"/>
        <v>3.7131600000000001E-2</v>
      </c>
      <c r="R138" s="217"/>
      <c r="S138" s="217">
        <f t="shared" si="166"/>
        <v>1184.73743056845</v>
      </c>
      <c r="T138" s="217"/>
      <c r="U138" s="217">
        <f t="shared" si="167"/>
        <v>1184.73743056845</v>
      </c>
      <c r="V138" s="217"/>
      <c r="W138" s="217"/>
      <c r="X138" s="217"/>
      <c r="Y138" s="217"/>
      <c r="Z138" s="198">
        <f t="shared" ref="Z138:Z146" si="169">(H138*$Z$179)/($H$179-$H$43-$H$45-$H$46)</f>
        <v>35.936718777870837</v>
      </c>
      <c r="AA138" s="217">
        <f t="shared" si="168"/>
        <v>1220.6741493463207</v>
      </c>
    </row>
    <row r="139" spans="2:27" hidden="1">
      <c r="B139" s="239" t="s">
        <v>751</v>
      </c>
      <c r="C139" s="250">
        <f>SUM(C140:C143)</f>
        <v>19</v>
      </c>
      <c r="D139" s="240"/>
      <c r="E139" s="240"/>
      <c r="F139" s="240"/>
      <c r="G139" s="240"/>
      <c r="H139" s="240">
        <f>SUM(H140:H143)</f>
        <v>919.37286199999994</v>
      </c>
      <c r="I139" s="240">
        <f t="shared" ref="I139" si="170">SUM(I140:I143)</f>
        <v>0</v>
      </c>
      <c r="J139" s="240">
        <f>SUM(J140:J143)</f>
        <v>284.50099999999998</v>
      </c>
      <c r="K139" s="240">
        <f t="shared" ref="K139:AA139" si="171">SUM(K140:K143)</f>
        <v>0</v>
      </c>
      <c r="L139" s="240"/>
      <c r="M139" s="240"/>
      <c r="N139" s="240">
        <f t="shared" si="171"/>
        <v>505.65507409999998</v>
      </c>
      <c r="O139" s="240">
        <f t="shared" si="171"/>
        <v>119.49042</v>
      </c>
      <c r="P139" s="240">
        <f t="shared" si="171"/>
        <v>0</v>
      </c>
      <c r="Q139" s="240">
        <f t="shared" si="171"/>
        <v>6.4136399999999996E-2</v>
      </c>
      <c r="R139" s="240">
        <f t="shared" si="171"/>
        <v>0</v>
      </c>
      <c r="S139" s="240">
        <f t="shared" si="171"/>
        <v>625.2096305</v>
      </c>
      <c r="T139" s="240">
        <f t="shared" si="171"/>
        <v>0</v>
      </c>
      <c r="U139" s="240">
        <f t="shared" si="171"/>
        <v>625.2096305</v>
      </c>
      <c r="V139" s="240">
        <f t="shared" si="171"/>
        <v>0</v>
      </c>
      <c r="W139" s="240">
        <f t="shared" si="171"/>
        <v>0</v>
      </c>
      <c r="X139" s="240">
        <f t="shared" si="171"/>
        <v>0</v>
      </c>
      <c r="Y139" s="240">
        <f t="shared" si="171"/>
        <v>0</v>
      </c>
      <c r="Z139" s="240">
        <f t="shared" si="171"/>
        <v>13.804694563782805</v>
      </c>
      <c r="AA139" s="240">
        <f t="shared" si="171"/>
        <v>639.01432506378285</v>
      </c>
    </row>
    <row r="140" spans="2:27" ht="21" hidden="1">
      <c r="B140" s="253" t="s">
        <v>756</v>
      </c>
      <c r="C140" s="193">
        <f>'[4]FY23 Revenue'!E135</f>
        <v>0</v>
      </c>
      <c r="D140" s="203">
        <v>6.7</v>
      </c>
      <c r="E140" s="237">
        <f>475*12</f>
        <v>5700</v>
      </c>
      <c r="F140" s="237"/>
      <c r="G140" s="237">
        <v>2813</v>
      </c>
      <c r="H140" s="191">
        <v>0</v>
      </c>
      <c r="I140" s="203"/>
      <c r="J140" s="191">
        <f>'[4]FY23 Revenue'!K135</f>
        <v>0</v>
      </c>
      <c r="K140" s="191"/>
      <c r="L140" s="191"/>
      <c r="M140" s="191"/>
      <c r="N140" s="195">
        <f t="shared" ref="N140:N143" si="172">H140*D140*$P$180/10</f>
        <v>0</v>
      </c>
      <c r="O140" s="196">
        <f>IF(E140&gt;0,(J140*10^3*E140/10^7)+(K140*0.7457*E140/10^7),(K140*F140/10^7)+(J140*(10^3)*(1/0.7457)*F140/10^7))</f>
        <v>0</v>
      </c>
      <c r="P140" s="332"/>
      <c r="Q140" s="196">
        <f t="shared" ref="Q140:Q143" si="173">G140*C140*12/10^7</f>
        <v>0</v>
      </c>
      <c r="R140" s="332"/>
      <c r="S140" s="196">
        <f>N140+O140+P140+Q140+R140</f>
        <v>0</v>
      </c>
      <c r="T140" s="332"/>
      <c r="U140" s="196">
        <f t="shared" ref="U140:U143" si="174">S140-T140</f>
        <v>0</v>
      </c>
      <c r="V140" s="332"/>
      <c r="W140" s="332"/>
      <c r="X140" s="332"/>
      <c r="Y140" s="332"/>
      <c r="Z140" s="198">
        <f t="shared" si="169"/>
        <v>0</v>
      </c>
      <c r="AA140" s="249">
        <f t="shared" ref="AA140:AA143" si="175">U140+Z140</f>
        <v>0</v>
      </c>
    </row>
    <row r="141" spans="2:27" hidden="1">
      <c r="B141" s="253" t="s">
        <v>757</v>
      </c>
      <c r="C141" s="193">
        <f>'[4]FY23 Revenue'!E136</f>
        <v>0</v>
      </c>
      <c r="D141" s="203">
        <v>7</v>
      </c>
      <c r="E141" s="237">
        <f>475*12</f>
        <v>5700</v>
      </c>
      <c r="F141" s="237"/>
      <c r="G141" s="237">
        <v>2813</v>
      </c>
      <c r="H141" s="191">
        <v>0</v>
      </c>
      <c r="I141" s="203"/>
      <c r="J141" s="191">
        <f>'[4]FY23 Revenue'!K136</f>
        <v>0</v>
      </c>
      <c r="K141" s="191"/>
      <c r="L141" s="191"/>
      <c r="M141" s="191"/>
      <c r="N141" s="195">
        <f t="shared" si="172"/>
        <v>0</v>
      </c>
      <c r="O141" s="196">
        <f>IF(E141&gt;0,(J141*10^3*E141/10^7)+(K141*0.7457*E141/10^7),(K141*F141/10^7)+(J141*(10^3)*(1/0.7457)*F141/10^7))</f>
        <v>0</v>
      </c>
      <c r="P141" s="332"/>
      <c r="Q141" s="196">
        <f t="shared" si="173"/>
        <v>0</v>
      </c>
      <c r="R141" s="332"/>
      <c r="S141" s="196">
        <f>N141+O141+P141+Q141+R141</f>
        <v>0</v>
      </c>
      <c r="T141" s="332"/>
      <c r="U141" s="196">
        <f t="shared" si="174"/>
        <v>0</v>
      </c>
      <c r="V141" s="332"/>
      <c r="W141" s="332"/>
      <c r="X141" s="332"/>
      <c r="Y141" s="332"/>
      <c r="Z141" s="198">
        <f t="shared" si="169"/>
        <v>0</v>
      </c>
      <c r="AA141" s="249">
        <f t="shared" si="175"/>
        <v>0</v>
      </c>
    </row>
    <row r="142" spans="2:27" hidden="1">
      <c r="B142" s="253" t="s">
        <v>758</v>
      </c>
      <c r="C142" s="193">
        <f>'[4]FY23 Revenue'!E137</f>
        <v>0</v>
      </c>
      <c r="D142" s="203">
        <v>5</v>
      </c>
      <c r="E142" s="237">
        <f>30*12</f>
        <v>360</v>
      </c>
      <c r="F142" s="237"/>
      <c r="G142" s="237">
        <v>2813</v>
      </c>
      <c r="H142" s="191">
        <v>0</v>
      </c>
      <c r="I142" s="203"/>
      <c r="J142" s="191">
        <f>'[4]FY23 Revenue'!K137</f>
        <v>0</v>
      </c>
      <c r="K142" s="191"/>
      <c r="L142" s="191"/>
      <c r="M142" s="191"/>
      <c r="N142" s="195">
        <f t="shared" si="172"/>
        <v>0</v>
      </c>
      <c r="O142" s="196">
        <f>IF(E142&gt;0,(J142*10^3*E142/10^7)+(K142*0.7457*E142/10^7),(K142*F142/10^7)+(J142*(10^3)*(1/0.7457)*F142/10^7))</f>
        <v>0</v>
      </c>
      <c r="P142" s="332"/>
      <c r="Q142" s="196">
        <f t="shared" si="173"/>
        <v>0</v>
      </c>
      <c r="R142" s="332"/>
      <c r="S142" s="196">
        <f>N142+O142+P142+Q142+R142</f>
        <v>0</v>
      </c>
      <c r="T142" s="332"/>
      <c r="U142" s="196">
        <f t="shared" si="174"/>
        <v>0</v>
      </c>
      <c r="V142" s="332"/>
      <c r="W142" s="332"/>
      <c r="X142" s="332"/>
      <c r="Y142" s="332"/>
      <c r="Z142" s="198">
        <f t="shared" si="169"/>
        <v>0</v>
      </c>
      <c r="AA142" s="249">
        <f t="shared" si="175"/>
        <v>0</v>
      </c>
    </row>
    <row r="143" spans="2:27" hidden="1">
      <c r="B143" s="253" t="s">
        <v>759</v>
      </c>
      <c r="C143" s="193">
        <f>'[4]FY23 Revenue'!E138</f>
        <v>19</v>
      </c>
      <c r="D143" s="203">
        <v>5.5</v>
      </c>
      <c r="E143" s="237">
        <f>350*12</f>
        <v>4200</v>
      </c>
      <c r="F143" s="237"/>
      <c r="G143" s="237">
        <v>2813</v>
      </c>
      <c r="H143" s="191">
        <v>919.37286199999994</v>
      </c>
      <c r="I143" s="203"/>
      <c r="J143" s="191">
        <f>'[4]FY23 Revenue'!K138</f>
        <v>284.50099999999998</v>
      </c>
      <c r="K143" s="191"/>
      <c r="L143" s="191"/>
      <c r="M143" s="191"/>
      <c r="N143" s="195">
        <f t="shared" si="172"/>
        <v>505.65507409999998</v>
      </c>
      <c r="O143" s="196">
        <f>IF(E143&gt;0,(J143*10^3*E143/10^7)+(K143*0.7457*E143/10^7),(K143*F143/10^7)+(J143*(10^3)*(1/0.7457)*F143/10^7))</f>
        <v>119.49042</v>
      </c>
      <c r="P143" s="332"/>
      <c r="Q143" s="196">
        <f t="shared" si="173"/>
        <v>6.4136399999999996E-2</v>
      </c>
      <c r="R143" s="332"/>
      <c r="S143" s="196">
        <f>N143+O143+P143+Q143+R143</f>
        <v>625.2096305</v>
      </c>
      <c r="T143" s="332"/>
      <c r="U143" s="196">
        <f t="shared" si="174"/>
        <v>625.2096305</v>
      </c>
      <c r="V143" s="332"/>
      <c r="W143" s="332"/>
      <c r="X143" s="332"/>
      <c r="Y143" s="332"/>
      <c r="Z143" s="198">
        <f t="shared" si="169"/>
        <v>13.804694563782805</v>
      </c>
      <c r="AA143" s="249">
        <f t="shared" si="175"/>
        <v>639.01432506378285</v>
      </c>
    </row>
    <row r="144" spans="2:27" hidden="1">
      <c r="B144" s="239" t="s">
        <v>752</v>
      </c>
      <c r="C144" s="250">
        <f t="shared" ref="C144" si="176">C145+C146</f>
        <v>0</v>
      </c>
      <c r="D144" s="240"/>
      <c r="E144" s="240"/>
      <c r="F144" s="240"/>
      <c r="G144" s="240"/>
      <c r="H144" s="240">
        <f t="shared" ref="H144:AA144" si="177">H145+H146</f>
        <v>0</v>
      </c>
      <c r="I144" s="240">
        <f t="shared" si="177"/>
        <v>0</v>
      </c>
      <c r="J144" s="240">
        <f t="shared" si="177"/>
        <v>0</v>
      </c>
      <c r="K144" s="240">
        <f t="shared" si="177"/>
        <v>0</v>
      </c>
      <c r="L144" s="240"/>
      <c r="M144" s="240"/>
      <c r="N144" s="240">
        <f t="shared" si="177"/>
        <v>0</v>
      </c>
      <c r="O144" s="240">
        <f t="shared" si="177"/>
        <v>0</v>
      </c>
      <c r="P144" s="240">
        <f t="shared" si="177"/>
        <v>0</v>
      </c>
      <c r="Q144" s="240">
        <f t="shared" si="177"/>
        <v>0</v>
      </c>
      <c r="R144" s="240">
        <f t="shared" si="177"/>
        <v>0</v>
      </c>
      <c r="S144" s="240">
        <f t="shared" si="177"/>
        <v>0</v>
      </c>
      <c r="T144" s="240">
        <f t="shared" si="177"/>
        <v>0</v>
      </c>
      <c r="U144" s="240">
        <f t="shared" si="177"/>
        <v>0</v>
      </c>
      <c r="V144" s="240">
        <f t="shared" si="177"/>
        <v>0</v>
      </c>
      <c r="W144" s="240">
        <f t="shared" si="177"/>
        <v>0</v>
      </c>
      <c r="X144" s="240">
        <f t="shared" si="177"/>
        <v>0</v>
      </c>
      <c r="Y144" s="240">
        <f t="shared" si="177"/>
        <v>0</v>
      </c>
      <c r="Z144" s="240">
        <f t="shared" si="177"/>
        <v>0</v>
      </c>
      <c r="AA144" s="240">
        <f t="shared" si="177"/>
        <v>0</v>
      </c>
    </row>
    <row r="145" spans="2:27" hidden="1">
      <c r="B145" s="253" t="s">
        <v>760</v>
      </c>
      <c r="C145" s="193">
        <f>'[4]FY23 Revenue'!E140</f>
        <v>0</v>
      </c>
      <c r="D145" s="203">
        <v>3.85</v>
      </c>
      <c r="E145" s="237">
        <f>30*12</f>
        <v>360</v>
      </c>
      <c r="F145" s="237"/>
      <c r="G145" s="237">
        <v>2813</v>
      </c>
      <c r="H145" s="191">
        <v>0</v>
      </c>
      <c r="I145" s="203"/>
      <c r="J145" s="191">
        <f>'[4]FY23 Revenue'!K140</f>
        <v>0</v>
      </c>
      <c r="K145" s="191"/>
      <c r="L145" s="191"/>
      <c r="M145" s="191"/>
      <c r="N145" s="195">
        <f t="shared" ref="N145:N146" si="178">H145*D145*$P$180/10</f>
        <v>0</v>
      </c>
      <c r="O145" s="196">
        <f>IF(E145&gt;0,(J145*10^3*E145/10^7)+(K145*0.7457*E145/10^7),(K145*F145/10^7)+(J145*(10^3)*(1/0.7457)*F145/10^7))</f>
        <v>0</v>
      </c>
      <c r="P145" s="332"/>
      <c r="Q145" s="196">
        <f t="shared" ref="Q145:Q146" si="179">G145*C145*12/10^7</f>
        <v>0</v>
      </c>
      <c r="R145" s="332"/>
      <c r="S145" s="196">
        <f>N145+O145+P145+Q145+R145</f>
        <v>0</v>
      </c>
      <c r="T145" s="332"/>
      <c r="U145" s="196">
        <f t="shared" ref="U145:U146" si="180">S145-T145</f>
        <v>0</v>
      </c>
      <c r="V145" s="332"/>
      <c r="W145" s="332"/>
      <c r="X145" s="332"/>
      <c r="Y145" s="332"/>
      <c r="Z145" s="198">
        <f t="shared" si="169"/>
        <v>0</v>
      </c>
      <c r="AA145" s="249">
        <f t="shared" ref="AA145:AA146" si="181">U145+Z145</f>
        <v>0</v>
      </c>
    </row>
    <row r="146" spans="2:27" hidden="1">
      <c r="B146" s="253" t="s">
        <v>761</v>
      </c>
      <c r="C146" s="193">
        <f>'[4]FY23 Revenue'!E141</f>
        <v>0</v>
      </c>
      <c r="D146" s="203">
        <v>7.15</v>
      </c>
      <c r="E146" s="237">
        <v>0</v>
      </c>
      <c r="F146" s="237"/>
      <c r="G146" s="237">
        <v>2813</v>
      </c>
      <c r="H146" s="191">
        <v>0</v>
      </c>
      <c r="I146" s="203"/>
      <c r="J146" s="191">
        <f>'[4]FY23 Revenue'!K141</f>
        <v>0</v>
      </c>
      <c r="K146" s="191"/>
      <c r="L146" s="191"/>
      <c r="M146" s="191"/>
      <c r="N146" s="195">
        <f t="shared" si="178"/>
        <v>0</v>
      </c>
      <c r="O146" s="196">
        <f>IF(E146&gt;0,(J146*10^3*E146/10^7)+(K146*0.7457*E146/10^7),(K146*F146/10^7)+(J146*(10^3)*(1/0.7457)*F146/10^7))</f>
        <v>0</v>
      </c>
      <c r="P146" s="332"/>
      <c r="Q146" s="196">
        <f t="shared" si="179"/>
        <v>0</v>
      </c>
      <c r="R146" s="332"/>
      <c r="S146" s="196">
        <f>N146+O146+P146+Q146+R146</f>
        <v>0</v>
      </c>
      <c r="T146" s="332"/>
      <c r="U146" s="196">
        <f t="shared" si="180"/>
        <v>0</v>
      </c>
      <c r="V146" s="332"/>
      <c r="W146" s="332"/>
      <c r="X146" s="332"/>
      <c r="Y146" s="332"/>
      <c r="Z146" s="198">
        <f t="shared" si="169"/>
        <v>0</v>
      </c>
      <c r="AA146" s="249">
        <f t="shared" si="181"/>
        <v>0</v>
      </c>
    </row>
    <row r="147" spans="2:27" hidden="1">
      <c r="B147" s="253"/>
      <c r="C147" s="193"/>
      <c r="D147" s="203"/>
      <c r="E147" s="237"/>
      <c r="F147" s="237"/>
      <c r="G147" s="237"/>
      <c r="H147" s="191"/>
      <c r="I147" s="203"/>
      <c r="J147" s="191"/>
      <c r="K147" s="191"/>
      <c r="L147" s="191"/>
      <c r="M147" s="191"/>
      <c r="N147" s="195"/>
      <c r="O147" s="196"/>
      <c r="P147" s="332"/>
      <c r="Q147" s="196"/>
      <c r="R147" s="332"/>
      <c r="S147" s="196"/>
      <c r="T147" s="332"/>
      <c r="U147" s="196"/>
      <c r="V147" s="332"/>
      <c r="W147" s="332"/>
      <c r="X147" s="332"/>
      <c r="Y147" s="332"/>
      <c r="Z147" s="198"/>
      <c r="AA147" s="361"/>
    </row>
    <row r="148" spans="2:27" ht="17.25" hidden="1" customHeight="1">
      <c r="B148" s="232" t="s">
        <v>919</v>
      </c>
      <c r="C148" s="255">
        <f>C149+C150+C157+C170+C175</f>
        <v>12</v>
      </c>
      <c r="D148" s="233"/>
      <c r="E148" s="233"/>
      <c r="F148" s="233"/>
      <c r="G148" s="234"/>
      <c r="H148" s="233">
        <f>H149+H150+H157+H170+H175</f>
        <v>2830.1296748555101</v>
      </c>
      <c r="I148" s="233">
        <f t="shared" ref="I148" si="182">I149+I150+I157+I170+I175</f>
        <v>0</v>
      </c>
      <c r="J148" s="233">
        <f>J149+J150+J157+J170+J175</f>
        <v>814.41000000000008</v>
      </c>
      <c r="K148" s="233">
        <f t="shared" ref="K148:AA148" si="183">K149+K150+K157+K170+K175</f>
        <v>0</v>
      </c>
      <c r="L148" s="233"/>
      <c r="M148" s="233"/>
      <c r="N148" s="233">
        <f t="shared" si="183"/>
        <v>1481.786476595581</v>
      </c>
      <c r="O148" s="233">
        <f t="shared" si="183"/>
        <v>178.125</v>
      </c>
      <c r="P148" s="233">
        <f t="shared" si="183"/>
        <v>0</v>
      </c>
      <c r="Q148" s="233">
        <f t="shared" si="183"/>
        <v>4.05072E-2</v>
      </c>
      <c r="R148" s="233">
        <f t="shared" si="183"/>
        <v>0</v>
      </c>
      <c r="S148" s="233">
        <f t="shared" si="183"/>
        <v>1659.9519837955809</v>
      </c>
      <c r="T148" s="233">
        <f t="shared" si="183"/>
        <v>0</v>
      </c>
      <c r="U148" s="233">
        <f t="shared" si="183"/>
        <v>1659.9519837955809</v>
      </c>
      <c r="V148" s="233">
        <f t="shared" si="183"/>
        <v>0</v>
      </c>
      <c r="W148" s="233">
        <f t="shared" si="183"/>
        <v>0</v>
      </c>
      <c r="X148" s="233">
        <f t="shared" si="183"/>
        <v>0</v>
      </c>
      <c r="Y148" s="233">
        <f t="shared" si="183"/>
        <v>0</v>
      </c>
      <c r="Z148" s="233">
        <f t="shared" si="183"/>
        <v>42.49535455319787</v>
      </c>
      <c r="AA148" s="233">
        <f t="shared" si="183"/>
        <v>1702.4473383487787</v>
      </c>
    </row>
    <row r="149" spans="2:27" ht="17.25" hidden="1" customHeight="1">
      <c r="B149" s="253" t="s">
        <v>743</v>
      </c>
      <c r="C149" s="193">
        <f>'[4]FY23 Revenue'!E144</f>
        <v>0</v>
      </c>
      <c r="D149" s="203">
        <v>7</v>
      </c>
      <c r="E149" s="237">
        <f>75*12</f>
        <v>900</v>
      </c>
      <c r="F149" s="237"/>
      <c r="G149" s="237">
        <v>2813</v>
      </c>
      <c r="H149" s="191">
        <v>0</v>
      </c>
      <c r="I149" s="203"/>
      <c r="J149" s="191">
        <f>'[4]FY23 Revenue'!K144</f>
        <v>0</v>
      </c>
      <c r="K149" s="191"/>
      <c r="L149" s="191"/>
      <c r="M149" s="191"/>
      <c r="N149" s="195">
        <f t="shared" ref="N149" si="184">H149*D149*$P$180/10</f>
        <v>0</v>
      </c>
      <c r="O149" s="196">
        <f>IF(E149&gt;0,(J149*10^3*E149/10^7)+(K149*0.7457*E149/10^7),(K149*F149/10^7)+(J149*(10^3)*(1/0.7457)*F149/10^7))</f>
        <v>0</v>
      </c>
      <c r="P149" s="332"/>
      <c r="Q149" s="196">
        <f t="shared" ref="Q149" si="185">G149*C149*12/10^7</f>
        <v>0</v>
      </c>
      <c r="R149" s="332"/>
      <c r="S149" s="196">
        <f>N149+O149+P149+Q149+R149</f>
        <v>0</v>
      </c>
      <c r="T149" s="332"/>
      <c r="U149" s="196">
        <f t="shared" ref="U149" si="186">S149-T149</f>
        <v>0</v>
      </c>
      <c r="V149" s="332"/>
      <c r="W149" s="332"/>
      <c r="X149" s="332"/>
      <c r="Y149" s="332"/>
      <c r="Z149" s="198">
        <f t="shared" ref="Z149" si="187">(H149*$Z$179)/($H$179-$H$43-$H$45-$H$46)</f>
        <v>0</v>
      </c>
      <c r="AA149" s="249">
        <f t="shared" ref="AA149" si="188">U149+Z149</f>
        <v>0</v>
      </c>
    </row>
    <row r="150" spans="2:27" hidden="1">
      <c r="B150" s="239" t="s">
        <v>744</v>
      </c>
      <c r="C150" s="250">
        <f>SUM(C151:C156)</f>
        <v>5</v>
      </c>
      <c r="D150" s="240"/>
      <c r="E150" s="240"/>
      <c r="F150" s="240"/>
      <c r="G150" s="240"/>
      <c r="H150" s="240">
        <f>SUM(H151:H156)</f>
        <v>86.105854855509989</v>
      </c>
      <c r="I150" s="240">
        <f t="shared" ref="I150" si="189">SUM(I151:I156)</f>
        <v>0</v>
      </c>
      <c r="J150" s="240">
        <f>SUM(J151:J156)</f>
        <v>90.5</v>
      </c>
      <c r="K150" s="240">
        <f t="shared" ref="K150:AA150" si="190">SUM(K151:K156)</f>
        <v>0</v>
      </c>
      <c r="L150" s="240"/>
      <c r="M150" s="240"/>
      <c r="N150" s="240">
        <f t="shared" si="190"/>
        <v>61.203690145580822</v>
      </c>
      <c r="O150" s="240">
        <f t="shared" si="190"/>
        <v>44.174999999999997</v>
      </c>
      <c r="P150" s="240">
        <f t="shared" si="190"/>
        <v>0</v>
      </c>
      <c r="Q150" s="240">
        <f t="shared" si="190"/>
        <v>1.6878000000000001E-2</v>
      </c>
      <c r="R150" s="240">
        <f t="shared" si="190"/>
        <v>0</v>
      </c>
      <c r="S150" s="240">
        <f t="shared" si="190"/>
        <v>105.39556814558081</v>
      </c>
      <c r="T150" s="240">
        <f t="shared" si="190"/>
        <v>0</v>
      </c>
      <c r="U150" s="240">
        <f t="shared" si="190"/>
        <v>105.39556814558081</v>
      </c>
      <c r="V150" s="240">
        <f t="shared" si="190"/>
        <v>0</v>
      </c>
      <c r="W150" s="240">
        <f t="shared" si="190"/>
        <v>0</v>
      </c>
      <c r="X150" s="240">
        <f t="shared" si="190"/>
        <v>0</v>
      </c>
      <c r="Y150" s="240">
        <f t="shared" si="190"/>
        <v>0</v>
      </c>
      <c r="Z150" s="240">
        <f t="shared" si="190"/>
        <v>1.2929085418596249</v>
      </c>
      <c r="AA150" s="240">
        <f t="shared" si="190"/>
        <v>106.68847668744044</v>
      </c>
    </row>
    <row r="151" spans="2:27" hidden="1">
      <c r="B151" s="253" t="s">
        <v>745</v>
      </c>
      <c r="C151" s="193">
        <f>'[4]FY23 Revenue'!E146</f>
        <v>3</v>
      </c>
      <c r="D151" s="203">
        <v>6.65</v>
      </c>
      <c r="E151" s="237">
        <f>475*12</f>
        <v>5700</v>
      </c>
      <c r="F151" s="237"/>
      <c r="G151" s="237">
        <v>2813</v>
      </c>
      <c r="H151" s="191">
        <v>67.409688188843333</v>
      </c>
      <c r="I151" s="203"/>
      <c r="J151" s="191">
        <f>'[4]FY23 Revenue'!K146</f>
        <v>77.5</v>
      </c>
      <c r="K151" s="191"/>
      <c r="L151" s="191"/>
      <c r="M151" s="191"/>
      <c r="N151" s="195">
        <f t="shared" ref="N151:N156" si="191">H151*D151*$P$180/10</f>
        <v>44.827442645580817</v>
      </c>
      <c r="O151" s="196">
        <f t="shared" ref="O151:O156" si="192">IF(E151&gt;0,(J151*10^3*E151/10^7)+(K151*0.7457*E151/10^7),(K151*F151/10^7)+(J151*(10^3)*(1/0.7457)*F151/10^7))</f>
        <v>44.174999999999997</v>
      </c>
      <c r="P151" s="332"/>
      <c r="Q151" s="196">
        <f t="shared" ref="Q151:Q156" si="193">G151*C151*12/10^7</f>
        <v>1.01268E-2</v>
      </c>
      <c r="R151" s="332"/>
      <c r="S151" s="196">
        <f t="shared" ref="S151:S156" si="194">N151+O151+P151+Q151+R151</f>
        <v>89.012569445580809</v>
      </c>
      <c r="T151" s="332"/>
      <c r="U151" s="196">
        <f t="shared" ref="U151:U156" si="195">S151-T151</f>
        <v>89.012569445580809</v>
      </c>
      <c r="V151" s="332"/>
      <c r="W151" s="332"/>
      <c r="X151" s="332"/>
      <c r="Y151" s="332"/>
      <c r="Z151" s="198">
        <f t="shared" ref="Z151:Z156" si="196">(H151*$Z$179)/($H$179-$H$43-$H$45-$H$46)</f>
        <v>1.0121792741004569</v>
      </c>
      <c r="AA151" s="249">
        <f t="shared" ref="AA151:AA156" si="197">U151+Z151</f>
        <v>90.02474871968127</v>
      </c>
    </row>
    <row r="152" spans="2:27" hidden="1">
      <c r="B152" s="253" t="s">
        <v>697</v>
      </c>
      <c r="C152" s="193">
        <f>'[4]FY23 Revenue'!E147</f>
        <v>0</v>
      </c>
      <c r="D152" s="203">
        <v>7.65</v>
      </c>
      <c r="E152" s="237">
        <f>475*12</f>
        <v>5700</v>
      </c>
      <c r="F152" s="237"/>
      <c r="G152" s="237"/>
      <c r="H152" s="191">
        <v>14.188166666666666</v>
      </c>
      <c r="I152" s="203"/>
      <c r="J152" s="191">
        <f>'[4]FY23 Revenue'!K147</f>
        <v>0</v>
      </c>
      <c r="K152" s="191"/>
      <c r="L152" s="191"/>
      <c r="M152" s="191"/>
      <c r="N152" s="195">
        <f t="shared" si="191"/>
        <v>10.8539475</v>
      </c>
      <c r="O152" s="196">
        <f t="shared" si="192"/>
        <v>0</v>
      </c>
      <c r="P152" s="332"/>
      <c r="Q152" s="196">
        <f t="shared" si="193"/>
        <v>0</v>
      </c>
      <c r="R152" s="332"/>
      <c r="S152" s="196">
        <f t="shared" si="194"/>
        <v>10.8539475</v>
      </c>
      <c r="T152" s="332"/>
      <c r="U152" s="196">
        <f t="shared" si="195"/>
        <v>10.8539475</v>
      </c>
      <c r="V152" s="332"/>
      <c r="W152" s="332"/>
      <c r="X152" s="332"/>
      <c r="Y152" s="332"/>
      <c r="Z152" s="198">
        <f t="shared" si="196"/>
        <v>0.21304012261934455</v>
      </c>
      <c r="AA152" s="249">
        <f t="shared" si="197"/>
        <v>11.066987622619346</v>
      </c>
    </row>
    <row r="153" spans="2:27" hidden="1">
      <c r="B153" s="253" t="s">
        <v>746</v>
      </c>
      <c r="C153" s="193">
        <f>'[4]FY23 Revenue'!E148</f>
        <v>0</v>
      </c>
      <c r="D153" s="203">
        <v>12.25</v>
      </c>
      <c r="E153" s="237">
        <v>0</v>
      </c>
      <c r="F153" s="237"/>
      <c r="G153" s="237">
        <v>2813</v>
      </c>
      <c r="H153" s="191">
        <v>0</v>
      </c>
      <c r="I153" s="203"/>
      <c r="J153" s="191">
        <f>'[4]FY23 Revenue'!K148</f>
        <v>0</v>
      </c>
      <c r="K153" s="191"/>
      <c r="L153" s="191"/>
      <c r="M153" s="191"/>
      <c r="N153" s="195">
        <f t="shared" si="191"/>
        <v>0</v>
      </c>
      <c r="O153" s="196">
        <f t="shared" si="192"/>
        <v>0</v>
      </c>
      <c r="P153" s="332"/>
      <c r="Q153" s="196">
        <f t="shared" si="193"/>
        <v>0</v>
      </c>
      <c r="R153" s="332"/>
      <c r="S153" s="196">
        <f t="shared" si="194"/>
        <v>0</v>
      </c>
      <c r="T153" s="332"/>
      <c r="U153" s="196">
        <f t="shared" si="195"/>
        <v>0</v>
      </c>
      <c r="V153" s="332"/>
      <c r="W153" s="332"/>
      <c r="X153" s="332"/>
      <c r="Y153" s="332"/>
      <c r="Z153" s="198">
        <f t="shared" si="196"/>
        <v>0</v>
      </c>
      <c r="AA153" s="249">
        <f t="shared" si="197"/>
        <v>0</v>
      </c>
    </row>
    <row r="154" spans="2:27" hidden="1">
      <c r="B154" s="253" t="s">
        <v>747</v>
      </c>
      <c r="C154" s="193">
        <f>'[4]FY23 Revenue'!E149</f>
        <v>2</v>
      </c>
      <c r="D154" s="203">
        <v>12.25</v>
      </c>
      <c r="E154" s="237">
        <v>0</v>
      </c>
      <c r="F154" s="237"/>
      <c r="G154" s="237">
        <v>2813</v>
      </c>
      <c r="H154" s="191">
        <v>4.5079999999999991</v>
      </c>
      <c r="I154" s="203"/>
      <c r="J154" s="191">
        <f>'[4]FY23 Revenue'!K149</f>
        <v>13</v>
      </c>
      <c r="K154" s="191"/>
      <c r="L154" s="191"/>
      <c r="M154" s="191"/>
      <c r="N154" s="195">
        <f t="shared" si="191"/>
        <v>5.5222999999999995</v>
      </c>
      <c r="O154" s="196">
        <f t="shared" si="192"/>
        <v>0</v>
      </c>
      <c r="P154" s="332"/>
      <c r="Q154" s="196">
        <f t="shared" si="193"/>
        <v>6.7511999999999997E-3</v>
      </c>
      <c r="R154" s="332"/>
      <c r="S154" s="196">
        <f t="shared" si="194"/>
        <v>5.5290511999999996</v>
      </c>
      <c r="T154" s="332"/>
      <c r="U154" s="196">
        <f t="shared" si="195"/>
        <v>5.5290511999999996</v>
      </c>
      <c r="V154" s="332"/>
      <c r="W154" s="332"/>
      <c r="X154" s="332"/>
      <c r="Y154" s="332"/>
      <c r="Z154" s="198">
        <f t="shared" si="196"/>
        <v>6.7689145139823451E-2</v>
      </c>
      <c r="AA154" s="249">
        <f t="shared" si="197"/>
        <v>5.596740345139823</v>
      </c>
    </row>
    <row r="155" spans="2:27" hidden="1">
      <c r="B155" s="253" t="s">
        <v>748</v>
      </c>
      <c r="C155" s="193">
        <f>'[4]FY23 Revenue'!E150</f>
        <v>0</v>
      </c>
      <c r="D155" s="203">
        <v>6.7</v>
      </c>
      <c r="E155" s="237">
        <v>0</v>
      </c>
      <c r="F155" s="237"/>
      <c r="G155" s="237">
        <v>2813</v>
      </c>
      <c r="H155" s="191">
        <v>0</v>
      </c>
      <c r="I155" s="203"/>
      <c r="J155" s="191">
        <f>'[4]FY23 Revenue'!K150</f>
        <v>0</v>
      </c>
      <c r="K155" s="191"/>
      <c r="L155" s="191"/>
      <c r="M155" s="191"/>
      <c r="N155" s="195">
        <f t="shared" si="191"/>
        <v>0</v>
      </c>
      <c r="O155" s="196">
        <f t="shared" si="192"/>
        <v>0</v>
      </c>
      <c r="P155" s="332"/>
      <c r="Q155" s="196">
        <f t="shared" si="193"/>
        <v>0</v>
      </c>
      <c r="R155" s="332"/>
      <c r="S155" s="196">
        <f t="shared" si="194"/>
        <v>0</v>
      </c>
      <c r="T155" s="332"/>
      <c r="U155" s="196">
        <f t="shared" si="195"/>
        <v>0</v>
      </c>
      <c r="V155" s="332"/>
      <c r="W155" s="332"/>
      <c r="X155" s="332"/>
      <c r="Y155" s="332"/>
      <c r="Z155" s="198">
        <f t="shared" si="196"/>
        <v>0</v>
      </c>
      <c r="AA155" s="249">
        <f t="shared" si="197"/>
        <v>0</v>
      </c>
    </row>
    <row r="156" spans="2:27" hidden="1">
      <c r="B156" s="253" t="s">
        <v>749</v>
      </c>
      <c r="C156" s="193">
        <f>'[4]FY23 Revenue'!E151</f>
        <v>0</v>
      </c>
      <c r="D156" s="203">
        <v>12.25</v>
      </c>
      <c r="E156" s="237">
        <v>0</v>
      </c>
      <c r="F156" s="237"/>
      <c r="G156" s="237">
        <v>2813</v>
      </c>
      <c r="H156" s="191">
        <v>0</v>
      </c>
      <c r="I156" s="203"/>
      <c r="J156" s="191">
        <f>'[4]FY23 Revenue'!K151</f>
        <v>0</v>
      </c>
      <c r="K156" s="191"/>
      <c r="L156" s="191"/>
      <c r="M156" s="191"/>
      <c r="N156" s="195">
        <f t="shared" si="191"/>
        <v>0</v>
      </c>
      <c r="O156" s="196">
        <f t="shared" si="192"/>
        <v>0</v>
      </c>
      <c r="P156" s="332"/>
      <c r="Q156" s="196">
        <f t="shared" si="193"/>
        <v>0</v>
      </c>
      <c r="R156" s="332"/>
      <c r="S156" s="196">
        <f t="shared" si="194"/>
        <v>0</v>
      </c>
      <c r="T156" s="332"/>
      <c r="U156" s="196">
        <f t="shared" si="195"/>
        <v>0</v>
      </c>
      <c r="V156" s="332"/>
      <c r="W156" s="332"/>
      <c r="X156" s="332"/>
      <c r="Y156" s="332"/>
      <c r="Z156" s="198">
        <f t="shared" si="196"/>
        <v>0</v>
      </c>
      <c r="AA156" s="249">
        <f t="shared" si="197"/>
        <v>0</v>
      </c>
    </row>
    <row r="157" spans="2:27" hidden="1">
      <c r="B157" s="239" t="s">
        <v>750</v>
      </c>
      <c r="C157" s="250">
        <f t="shared" ref="C157" si="198">C158+C168+C169</f>
        <v>4</v>
      </c>
      <c r="D157" s="240"/>
      <c r="E157" s="240"/>
      <c r="F157" s="240"/>
      <c r="G157" s="240"/>
      <c r="H157" s="240">
        <f t="shared" ref="H157:AA157" si="199">H158+H168+H169</f>
        <v>2741.8816999999999</v>
      </c>
      <c r="I157" s="240">
        <f t="shared" si="199"/>
        <v>0</v>
      </c>
      <c r="J157" s="240">
        <f t="shared" si="199"/>
        <v>479</v>
      </c>
      <c r="K157" s="240">
        <f t="shared" si="199"/>
        <v>0</v>
      </c>
      <c r="L157" s="240"/>
      <c r="M157" s="240"/>
      <c r="N157" s="240">
        <f t="shared" si="199"/>
        <v>1419.0511706500001</v>
      </c>
      <c r="O157" s="240">
        <f t="shared" si="199"/>
        <v>133.94999999999999</v>
      </c>
      <c r="P157" s="240">
        <f t="shared" si="199"/>
        <v>0</v>
      </c>
      <c r="Q157" s="240">
        <f t="shared" si="199"/>
        <v>1.3502399999999999E-2</v>
      </c>
      <c r="R157" s="240">
        <f t="shared" si="199"/>
        <v>0</v>
      </c>
      <c r="S157" s="240">
        <f t="shared" si="199"/>
        <v>1553.0146730500001</v>
      </c>
      <c r="T157" s="240">
        <f t="shared" si="199"/>
        <v>0</v>
      </c>
      <c r="U157" s="240">
        <f t="shared" si="199"/>
        <v>1553.0146730500001</v>
      </c>
      <c r="V157" s="240">
        <f t="shared" si="199"/>
        <v>0</v>
      </c>
      <c r="W157" s="240">
        <f t="shared" si="199"/>
        <v>0</v>
      </c>
      <c r="X157" s="240">
        <f t="shared" si="199"/>
        <v>0</v>
      </c>
      <c r="Y157" s="240">
        <f t="shared" si="199"/>
        <v>0</v>
      </c>
      <c r="Z157" s="240">
        <f t="shared" si="199"/>
        <v>41.170281354819409</v>
      </c>
      <c r="AA157" s="240">
        <f t="shared" si="199"/>
        <v>1594.1849544048193</v>
      </c>
    </row>
    <row r="158" spans="2:27" hidden="1">
      <c r="B158" s="215" t="s">
        <v>753</v>
      </c>
      <c r="C158" s="216">
        <f t="shared" ref="C158" si="200">C160+C161+C162+C164+C165+C166+C167</f>
        <v>1</v>
      </c>
      <c r="D158" s="217"/>
      <c r="E158" s="207"/>
      <c r="F158" s="217"/>
      <c r="G158" s="218"/>
      <c r="H158" s="217">
        <f t="shared" ref="H158:AA158" si="201">H160+H161+H162+H164+H165+H166+H167</f>
        <v>1326.1595999999997</v>
      </c>
      <c r="I158" s="217">
        <f t="shared" si="201"/>
        <v>0</v>
      </c>
      <c r="J158" s="217">
        <f t="shared" si="201"/>
        <v>235</v>
      </c>
      <c r="K158" s="217">
        <f t="shared" si="201"/>
        <v>0</v>
      </c>
      <c r="L158" s="217"/>
      <c r="M158" s="217"/>
      <c r="N158" s="217">
        <f t="shared" si="201"/>
        <v>725.34734164999998</v>
      </c>
      <c r="O158" s="217">
        <f t="shared" si="201"/>
        <v>133.94999999999999</v>
      </c>
      <c r="P158" s="217">
        <f t="shared" si="201"/>
        <v>0</v>
      </c>
      <c r="Q158" s="217">
        <f t="shared" si="201"/>
        <v>3.3755999999999999E-3</v>
      </c>
      <c r="R158" s="217">
        <f t="shared" si="201"/>
        <v>0</v>
      </c>
      <c r="S158" s="217">
        <f t="shared" si="201"/>
        <v>859.30071724999993</v>
      </c>
      <c r="T158" s="217">
        <f t="shared" si="201"/>
        <v>0</v>
      </c>
      <c r="U158" s="217">
        <f t="shared" si="201"/>
        <v>859.30071724999993</v>
      </c>
      <c r="V158" s="217">
        <f t="shared" si="201"/>
        <v>0</v>
      </c>
      <c r="W158" s="217">
        <f t="shared" si="201"/>
        <v>0</v>
      </c>
      <c r="X158" s="217">
        <f t="shared" si="201"/>
        <v>0</v>
      </c>
      <c r="Y158" s="217">
        <f t="shared" si="201"/>
        <v>0</v>
      </c>
      <c r="Z158" s="217">
        <f t="shared" si="201"/>
        <v>19.912735058334121</v>
      </c>
      <c r="AA158" s="217">
        <f t="shared" si="201"/>
        <v>879.21345230833401</v>
      </c>
    </row>
    <row r="159" spans="2:27" hidden="1">
      <c r="B159" s="253" t="s">
        <v>918</v>
      </c>
      <c r="C159" s="193"/>
      <c r="D159" s="203"/>
      <c r="E159" s="237"/>
      <c r="F159" s="237"/>
      <c r="G159" s="237"/>
      <c r="H159" s="191"/>
      <c r="I159" s="203"/>
      <c r="J159" s="191"/>
      <c r="K159" s="191"/>
      <c r="L159" s="191"/>
      <c r="M159" s="191"/>
      <c r="N159" s="195">
        <f t="shared" ref="N159:N169" si="202">H159*D159*$P$180/10</f>
        <v>0</v>
      </c>
      <c r="O159" s="196">
        <f t="shared" ref="O159:O169" si="203">IF(E159&gt;0,(J159*10^3*E159/10^7)+(K159*0.7457*E159/10^7),(K159*F159/10^7)+(J159*(10^3)*(1/0.7457)*F159/10^7))</f>
        <v>0</v>
      </c>
      <c r="P159" s="332"/>
      <c r="Q159" s="196">
        <f t="shared" ref="Q159:Q169" si="204">G159*C159*12/10^7</f>
        <v>0</v>
      </c>
      <c r="R159" s="332"/>
      <c r="S159" s="196">
        <f t="shared" ref="S159:S169" si="205">N159+O159+P159+Q159+R159</f>
        <v>0</v>
      </c>
      <c r="T159" s="332"/>
      <c r="U159" s="196">
        <f t="shared" ref="U159:U169" si="206">S159-T159</f>
        <v>0</v>
      </c>
      <c r="V159" s="332"/>
      <c r="W159" s="332"/>
      <c r="X159" s="332"/>
      <c r="Y159" s="332"/>
      <c r="Z159" s="198"/>
      <c r="AA159" s="249">
        <f t="shared" ref="AA159:AA169" si="207">U159+Z159</f>
        <v>0</v>
      </c>
    </row>
    <row r="160" spans="2:27" hidden="1">
      <c r="B160" s="253" t="s">
        <v>914</v>
      </c>
      <c r="C160" s="193"/>
      <c r="D160" s="203">
        <v>6.85</v>
      </c>
      <c r="E160" s="237">
        <f>475*12</f>
        <v>5700</v>
      </c>
      <c r="F160" s="237"/>
      <c r="G160" s="237">
        <v>2813</v>
      </c>
      <c r="H160" s="191">
        <v>206.02666099999999</v>
      </c>
      <c r="I160" s="203"/>
      <c r="J160" s="191"/>
      <c r="K160" s="191"/>
      <c r="L160" s="191"/>
      <c r="M160" s="191"/>
      <c r="N160" s="195">
        <f t="shared" si="202"/>
        <v>141.128262785</v>
      </c>
      <c r="O160" s="196">
        <f t="shared" si="203"/>
        <v>0</v>
      </c>
      <c r="P160" s="332"/>
      <c r="Q160" s="196">
        <f t="shared" si="204"/>
        <v>0</v>
      </c>
      <c r="R160" s="332"/>
      <c r="S160" s="196">
        <f t="shared" si="205"/>
        <v>141.128262785</v>
      </c>
      <c r="T160" s="332"/>
      <c r="U160" s="196">
        <f t="shared" si="206"/>
        <v>141.128262785</v>
      </c>
      <c r="V160" s="332"/>
      <c r="W160" s="332"/>
      <c r="X160" s="332"/>
      <c r="Y160" s="332"/>
      <c r="Z160" s="198"/>
      <c r="AA160" s="249">
        <f t="shared" si="207"/>
        <v>141.128262785</v>
      </c>
    </row>
    <row r="161" spans="2:27" hidden="1">
      <c r="B161" s="253" t="s">
        <v>915</v>
      </c>
      <c r="C161" s="193"/>
      <c r="D161" s="203">
        <v>4.5999999999999996</v>
      </c>
      <c r="E161" s="237">
        <f>475*12</f>
        <v>5700</v>
      </c>
      <c r="F161" s="237"/>
      <c r="G161" s="237">
        <v>2813</v>
      </c>
      <c r="H161" s="191">
        <v>288.87668600000001</v>
      </c>
      <c r="I161" s="203"/>
      <c r="J161" s="191"/>
      <c r="K161" s="191"/>
      <c r="L161" s="191"/>
      <c r="M161" s="191"/>
      <c r="N161" s="195">
        <f t="shared" si="202"/>
        <v>132.88327555999999</v>
      </c>
      <c r="O161" s="196">
        <f t="shared" si="203"/>
        <v>0</v>
      </c>
      <c r="P161" s="332"/>
      <c r="Q161" s="196">
        <f t="shared" si="204"/>
        <v>0</v>
      </c>
      <c r="R161" s="332"/>
      <c r="S161" s="196">
        <f t="shared" si="205"/>
        <v>132.88327555999999</v>
      </c>
      <c r="T161" s="332"/>
      <c r="U161" s="196">
        <f t="shared" si="206"/>
        <v>132.88327555999999</v>
      </c>
      <c r="V161" s="332"/>
      <c r="W161" s="332"/>
      <c r="X161" s="332"/>
      <c r="Y161" s="332"/>
      <c r="Z161" s="198"/>
      <c r="AA161" s="249">
        <f t="shared" si="207"/>
        <v>132.88327555999999</v>
      </c>
    </row>
    <row r="162" spans="2:27" hidden="1">
      <c r="B162" s="253" t="s">
        <v>916</v>
      </c>
      <c r="C162" s="193">
        <f>'[4]FY23 Revenue'!E157</f>
        <v>1</v>
      </c>
      <c r="D162" s="203">
        <v>5.35</v>
      </c>
      <c r="E162" s="237">
        <f>475*12</f>
        <v>5700</v>
      </c>
      <c r="F162" s="237"/>
      <c r="G162" s="237">
        <v>2813</v>
      </c>
      <c r="H162" s="191">
        <v>100.24720400000001</v>
      </c>
      <c r="I162" s="203"/>
      <c r="J162" s="191">
        <f>'[4]FY23 Revenue'!K157</f>
        <v>235</v>
      </c>
      <c r="K162" s="191"/>
      <c r="L162" s="191"/>
      <c r="M162" s="191"/>
      <c r="N162" s="195">
        <f t="shared" si="202"/>
        <v>53.632254140000001</v>
      </c>
      <c r="O162" s="196">
        <f t="shared" si="203"/>
        <v>133.94999999999999</v>
      </c>
      <c r="P162" s="332"/>
      <c r="Q162" s="196">
        <f t="shared" si="204"/>
        <v>3.3755999999999999E-3</v>
      </c>
      <c r="R162" s="332"/>
      <c r="S162" s="196">
        <f t="shared" si="205"/>
        <v>187.58562973999997</v>
      </c>
      <c r="T162" s="332"/>
      <c r="U162" s="196">
        <f t="shared" si="206"/>
        <v>187.58562973999997</v>
      </c>
      <c r="V162" s="332"/>
      <c r="W162" s="332"/>
      <c r="X162" s="332"/>
      <c r="Y162" s="332"/>
      <c r="Z162" s="198">
        <f>(H158*$Z$179)/($H$179-$H$43-$H$45-$H$46)</f>
        <v>19.912735058334121</v>
      </c>
      <c r="AA162" s="249">
        <f t="shared" si="207"/>
        <v>207.49836479833408</v>
      </c>
    </row>
    <row r="163" spans="2:27" hidden="1">
      <c r="B163" s="253" t="s">
        <v>917</v>
      </c>
      <c r="C163" s="193"/>
      <c r="D163" s="203"/>
      <c r="E163" s="237"/>
      <c r="F163" s="237"/>
      <c r="G163" s="237"/>
      <c r="H163" s="191"/>
      <c r="I163" s="203"/>
      <c r="J163" s="191"/>
      <c r="K163" s="191"/>
      <c r="L163" s="191"/>
      <c r="M163" s="191"/>
      <c r="N163" s="195">
        <f t="shared" si="202"/>
        <v>0</v>
      </c>
      <c r="O163" s="196">
        <f t="shared" si="203"/>
        <v>0</v>
      </c>
      <c r="P163" s="332"/>
      <c r="Q163" s="196">
        <f t="shared" si="204"/>
        <v>0</v>
      </c>
      <c r="R163" s="332"/>
      <c r="S163" s="196">
        <f t="shared" si="205"/>
        <v>0</v>
      </c>
      <c r="T163" s="332"/>
      <c r="U163" s="196">
        <f t="shared" si="206"/>
        <v>0</v>
      </c>
      <c r="V163" s="332"/>
      <c r="W163" s="332"/>
      <c r="X163" s="332"/>
      <c r="Y163" s="332"/>
      <c r="Z163" s="198"/>
      <c r="AA163" s="249">
        <f t="shared" si="207"/>
        <v>0</v>
      </c>
    </row>
    <row r="164" spans="2:27" hidden="1">
      <c r="B164" s="253" t="s">
        <v>914</v>
      </c>
      <c r="C164" s="193"/>
      <c r="D164" s="203">
        <v>6.35</v>
      </c>
      <c r="E164" s="237">
        <f>475*12</f>
        <v>5700</v>
      </c>
      <c r="F164" s="237"/>
      <c r="G164" s="237">
        <v>2813</v>
      </c>
      <c r="H164" s="191">
        <v>242.62293800000003</v>
      </c>
      <c r="I164" s="203"/>
      <c r="J164" s="191"/>
      <c r="K164" s="191"/>
      <c r="L164" s="191"/>
      <c r="M164" s="191"/>
      <c r="N164" s="195">
        <f t="shared" si="202"/>
        <v>154.06556563000001</v>
      </c>
      <c r="O164" s="196">
        <f t="shared" si="203"/>
        <v>0</v>
      </c>
      <c r="P164" s="332"/>
      <c r="Q164" s="196">
        <f t="shared" si="204"/>
        <v>0</v>
      </c>
      <c r="R164" s="332"/>
      <c r="S164" s="196">
        <f t="shared" si="205"/>
        <v>154.06556563000001</v>
      </c>
      <c r="T164" s="332"/>
      <c r="U164" s="196">
        <f t="shared" si="206"/>
        <v>154.06556563000001</v>
      </c>
      <c r="V164" s="332"/>
      <c r="W164" s="332"/>
      <c r="X164" s="332"/>
      <c r="Y164" s="332"/>
      <c r="Z164" s="198"/>
      <c r="AA164" s="249">
        <f t="shared" si="207"/>
        <v>154.06556563000001</v>
      </c>
    </row>
    <row r="165" spans="2:27" hidden="1">
      <c r="B165" s="253" t="s">
        <v>915</v>
      </c>
      <c r="C165" s="193"/>
      <c r="D165" s="203">
        <v>4.5999999999999996</v>
      </c>
      <c r="E165" s="237">
        <f>475*12</f>
        <v>5700</v>
      </c>
      <c r="F165" s="237"/>
      <c r="G165" s="237">
        <v>2813</v>
      </c>
      <c r="H165" s="191">
        <v>317.44927799999994</v>
      </c>
      <c r="I165" s="203"/>
      <c r="J165" s="191"/>
      <c r="K165" s="191"/>
      <c r="L165" s="191"/>
      <c r="M165" s="191"/>
      <c r="N165" s="195">
        <f t="shared" si="202"/>
        <v>146.02666787999996</v>
      </c>
      <c r="O165" s="196">
        <f t="shared" si="203"/>
        <v>0</v>
      </c>
      <c r="P165" s="332"/>
      <c r="Q165" s="196">
        <f t="shared" si="204"/>
        <v>0</v>
      </c>
      <c r="R165" s="332"/>
      <c r="S165" s="196">
        <f t="shared" si="205"/>
        <v>146.02666787999996</v>
      </c>
      <c r="T165" s="332"/>
      <c r="U165" s="196">
        <f t="shared" si="206"/>
        <v>146.02666787999996</v>
      </c>
      <c r="V165" s="332"/>
      <c r="W165" s="332"/>
      <c r="X165" s="332"/>
      <c r="Y165" s="332"/>
      <c r="Z165" s="198"/>
      <c r="AA165" s="249">
        <f t="shared" si="207"/>
        <v>146.02666787999996</v>
      </c>
    </row>
    <row r="166" spans="2:27" hidden="1">
      <c r="B166" s="253" t="s">
        <v>916</v>
      </c>
      <c r="C166" s="193"/>
      <c r="D166" s="203">
        <v>5.35</v>
      </c>
      <c r="E166" s="237">
        <f>475*12</f>
        <v>5700</v>
      </c>
      <c r="F166" s="237"/>
      <c r="G166" s="237">
        <v>2813</v>
      </c>
      <c r="H166" s="191">
        <v>133.602833</v>
      </c>
      <c r="I166" s="203"/>
      <c r="J166" s="191"/>
      <c r="K166" s="191"/>
      <c r="L166" s="191"/>
      <c r="M166" s="191"/>
      <c r="N166" s="195">
        <f t="shared" si="202"/>
        <v>71.477515655000005</v>
      </c>
      <c r="O166" s="196">
        <f t="shared" si="203"/>
        <v>0</v>
      </c>
      <c r="P166" s="332"/>
      <c r="Q166" s="196">
        <f t="shared" si="204"/>
        <v>0</v>
      </c>
      <c r="R166" s="332"/>
      <c r="S166" s="196">
        <f t="shared" si="205"/>
        <v>71.477515655000005</v>
      </c>
      <c r="T166" s="332"/>
      <c r="U166" s="196">
        <f t="shared" si="206"/>
        <v>71.477515655000005</v>
      </c>
      <c r="V166" s="332"/>
      <c r="W166" s="332"/>
      <c r="X166" s="332"/>
      <c r="Y166" s="332"/>
      <c r="Z166" s="198"/>
      <c r="AA166" s="249">
        <f t="shared" si="207"/>
        <v>71.477515655000005</v>
      </c>
    </row>
    <row r="167" spans="2:27" hidden="1">
      <c r="B167" s="253" t="s">
        <v>592</v>
      </c>
      <c r="C167" s="193">
        <f>'[4]FY23 Revenue'!E161</f>
        <v>0</v>
      </c>
      <c r="D167" s="203">
        <v>7</v>
      </c>
      <c r="E167" s="237">
        <v>0</v>
      </c>
      <c r="F167" s="237"/>
      <c r="G167" s="237">
        <v>2813</v>
      </c>
      <c r="H167" s="191">
        <v>37.334000000000003</v>
      </c>
      <c r="I167" s="203"/>
      <c r="J167" s="191">
        <f>'[4]FY23 Revenue'!K161</f>
        <v>0</v>
      </c>
      <c r="K167" s="191"/>
      <c r="L167" s="191"/>
      <c r="M167" s="191"/>
      <c r="N167" s="195">
        <f t="shared" si="202"/>
        <v>26.133800000000001</v>
      </c>
      <c r="O167" s="196">
        <f t="shared" si="203"/>
        <v>0</v>
      </c>
      <c r="P167" s="332"/>
      <c r="Q167" s="196">
        <f t="shared" si="204"/>
        <v>0</v>
      </c>
      <c r="R167" s="332"/>
      <c r="S167" s="196">
        <f t="shared" si="205"/>
        <v>26.133800000000001</v>
      </c>
      <c r="T167" s="332"/>
      <c r="U167" s="196">
        <f t="shared" si="206"/>
        <v>26.133800000000001</v>
      </c>
      <c r="V167" s="332"/>
      <c r="W167" s="332"/>
      <c r="X167" s="332"/>
      <c r="Y167" s="332"/>
      <c r="Z167" s="198"/>
      <c r="AA167" s="249">
        <f t="shared" si="207"/>
        <v>26.133800000000001</v>
      </c>
    </row>
    <row r="168" spans="2:27" hidden="1">
      <c r="B168" s="215" t="s">
        <v>754</v>
      </c>
      <c r="C168" s="193">
        <f>'[4]FY23 Revenue'!E162</f>
        <v>0</v>
      </c>
      <c r="D168" s="217">
        <v>6.65</v>
      </c>
      <c r="E168" s="360">
        <f>475*12</f>
        <v>5700</v>
      </c>
      <c r="F168" s="217"/>
      <c r="G168" s="222">
        <v>2813</v>
      </c>
      <c r="H168" s="191">
        <v>0</v>
      </c>
      <c r="I168" s="217"/>
      <c r="J168" s="191">
        <f>'[4]FY23 Revenue'!K162</f>
        <v>0</v>
      </c>
      <c r="K168" s="217"/>
      <c r="L168" s="191"/>
      <c r="M168" s="217"/>
      <c r="N168" s="217">
        <f t="shared" si="202"/>
        <v>0</v>
      </c>
      <c r="O168" s="217">
        <f t="shared" si="203"/>
        <v>0</v>
      </c>
      <c r="P168" s="217"/>
      <c r="Q168" s="217">
        <f t="shared" si="204"/>
        <v>0</v>
      </c>
      <c r="R168" s="217"/>
      <c r="S168" s="217">
        <f t="shared" si="205"/>
        <v>0</v>
      </c>
      <c r="T168" s="217"/>
      <c r="U168" s="217">
        <f t="shared" si="206"/>
        <v>0</v>
      </c>
      <c r="V168" s="217"/>
      <c r="W168" s="217"/>
      <c r="X168" s="217"/>
      <c r="Y168" s="217"/>
      <c r="Z168" s="198"/>
      <c r="AA168" s="217">
        <f t="shared" si="207"/>
        <v>0</v>
      </c>
    </row>
    <row r="169" spans="2:27" hidden="1">
      <c r="B169" s="215" t="s">
        <v>755</v>
      </c>
      <c r="C169" s="193">
        <f>'[4]FY23 Revenue'!E163</f>
        <v>3</v>
      </c>
      <c r="D169" s="217">
        <v>4.9000000000000004</v>
      </c>
      <c r="E169" s="207">
        <v>0</v>
      </c>
      <c r="F169" s="217"/>
      <c r="G169" s="222">
        <v>2813</v>
      </c>
      <c r="H169" s="191">
        <v>1415.7221</v>
      </c>
      <c r="I169" s="217"/>
      <c r="J169" s="191">
        <f>'[4]FY23 Revenue'!K163</f>
        <v>244</v>
      </c>
      <c r="K169" s="217"/>
      <c r="L169" s="191"/>
      <c r="M169" s="217"/>
      <c r="N169" s="217">
        <f t="shared" si="202"/>
        <v>693.70382900000004</v>
      </c>
      <c r="O169" s="217">
        <f t="shared" si="203"/>
        <v>0</v>
      </c>
      <c r="P169" s="217"/>
      <c r="Q169" s="217">
        <f t="shared" si="204"/>
        <v>1.01268E-2</v>
      </c>
      <c r="R169" s="217"/>
      <c r="S169" s="217">
        <f t="shared" si="205"/>
        <v>693.71395580000001</v>
      </c>
      <c r="T169" s="217"/>
      <c r="U169" s="217">
        <f t="shared" si="206"/>
        <v>693.71395580000001</v>
      </c>
      <c r="V169" s="217"/>
      <c r="W169" s="217"/>
      <c r="X169" s="217"/>
      <c r="Y169" s="217"/>
      <c r="Z169" s="198">
        <f t="shared" ref="Z169:Z177" si="208">(H169*$Z$179)/($H$179-$H$43-$H$45-$H$46)</f>
        <v>21.257546296485284</v>
      </c>
      <c r="AA169" s="217">
        <f t="shared" si="207"/>
        <v>714.97150209648532</v>
      </c>
    </row>
    <row r="170" spans="2:27" hidden="1">
      <c r="B170" s="239" t="s">
        <v>751</v>
      </c>
      <c r="C170" s="250">
        <f>SUM(C171:C174)</f>
        <v>0</v>
      </c>
      <c r="D170" s="240"/>
      <c r="E170" s="240"/>
      <c r="F170" s="240"/>
      <c r="G170" s="240"/>
      <c r="H170" s="240">
        <f>SUM(H171:H174)</f>
        <v>0</v>
      </c>
      <c r="I170" s="240">
        <f t="shared" ref="I170" si="209">SUM(I171:I174)</f>
        <v>0</v>
      </c>
      <c r="J170" s="240">
        <f>SUM(J171:J174)</f>
        <v>0</v>
      </c>
      <c r="K170" s="240">
        <f t="shared" ref="K170:AA170" si="210">SUM(K171:K174)</f>
        <v>0</v>
      </c>
      <c r="L170" s="240"/>
      <c r="M170" s="240"/>
      <c r="N170" s="240">
        <f t="shared" si="210"/>
        <v>0</v>
      </c>
      <c r="O170" s="240">
        <f t="shared" si="210"/>
        <v>0</v>
      </c>
      <c r="P170" s="240">
        <f t="shared" si="210"/>
        <v>0</v>
      </c>
      <c r="Q170" s="240">
        <f t="shared" si="210"/>
        <v>0</v>
      </c>
      <c r="R170" s="240">
        <f t="shared" si="210"/>
        <v>0</v>
      </c>
      <c r="S170" s="240">
        <f t="shared" si="210"/>
        <v>0</v>
      </c>
      <c r="T170" s="240">
        <f t="shared" si="210"/>
        <v>0</v>
      </c>
      <c r="U170" s="240">
        <f t="shared" si="210"/>
        <v>0</v>
      </c>
      <c r="V170" s="240">
        <f t="shared" si="210"/>
        <v>0</v>
      </c>
      <c r="W170" s="240">
        <f t="shared" si="210"/>
        <v>0</v>
      </c>
      <c r="X170" s="240">
        <f t="shared" si="210"/>
        <v>0</v>
      </c>
      <c r="Y170" s="240">
        <f t="shared" si="210"/>
        <v>0</v>
      </c>
      <c r="Z170" s="240">
        <f t="shared" si="210"/>
        <v>0</v>
      </c>
      <c r="AA170" s="240">
        <f t="shared" si="210"/>
        <v>0</v>
      </c>
    </row>
    <row r="171" spans="2:27" ht="28.5" hidden="1" customHeight="1">
      <c r="B171" s="253" t="s">
        <v>756</v>
      </c>
      <c r="C171" s="193">
        <f>'[4]FY23 Revenue'!E165</f>
        <v>0</v>
      </c>
      <c r="D171" s="203">
        <v>6.65</v>
      </c>
      <c r="E171" s="237">
        <f>475*12</f>
        <v>5700</v>
      </c>
      <c r="F171" s="237"/>
      <c r="G171" s="237">
        <v>2813</v>
      </c>
      <c r="H171" s="191">
        <v>0</v>
      </c>
      <c r="I171" s="203"/>
      <c r="J171" s="191">
        <f>'[4]FY23 Revenue'!K165</f>
        <v>0</v>
      </c>
      <c r="K171" s="191"/>
      <c r="L171" s="191"/>
      <c r="M171" s="191"/>
      <c r="N171" s="195">
        <f t="shared" ref="N171:N174" si="211">H171*D171*$P$180/10</f>
        <v>0</v>
      </c>
      <c r="O171" s="196">
        <f>IF(E171&gt;0,(J171*10^3*E171/10^7)+(K171*0.7457*E171/10^7),(K171*F171/10^7)+(J171*(10^3)*(1/0.7457)*F171/10^7))</f>
        <v>0</v>
      </c>
      <c r="P171" s="332"/>
      <c r="Q171" s="196">
        <f t="shared" ref="Q171:Q174" si="212">G171*C171*12/10^7</f>
        <v>0</v>
      </c>
      <c r="R171" s="332"/>
      <c r="S171" s="196">
        <f>N171+O171+P171+Q171+R171</f>
        <v>0</v>
      </c>
      <c r="T171" s="332"/>
      <c r="U171" s="196">
        <f t="shared" ref="U171:U174" si="213">S171-T171</f>
        <v>0</v>
      </c>
      <c r="V171" s="332"/>
      <c r="W171" s="332"/>
      <c r="X171" s="332"/>
      <c r="Y171" s="332"/>
      <c r="Z171" s="198">
        <f t="shared" si="208"/>
        <v>0</v>
      </c>
      <c r="AA171" s="249">
        <f t="shared" ref="AA171:AA174" si="214">U171+Z171</f>
        <v>0</v>
      </c>
    </row>
    <row r="172" spans="2:27" hidden="1">
      <c r="B172" s="253" t="s">
        <v>757</v>
      </c>
      <c r="C172" s="193">
        <f>'[4]FY23 Revenue'!E166</f>
        <v>0</v>
      </c>
      <c r="D172" s="203">
        <v>6.95</v>
      </c>
      <c r="E172" s="237">
        <f>475*12</f>
        <v>5700</v>
      </c>
      <c r="F172" s="237"/>
      <c r="G172" s="237">
        <v>2813</v>
      </c>
      <c r="H172" s="191">
        <v>0</v>
      </c>
      <c r="I172" s="203"/>
      <c r="J172" s="191">
        <f>'[4]FY23 Revenue'!K166</f>
        <v>0</v>
      </c>
      <c r="K172" s="191"/>
      <c r="L172" s="191"/>
      <c r="M172" s="191"/>
      <c r="N172" s="195">
        <f t="shared" si="211"/>
        <v>0</v>
      </c>
      <c r="O172" s="196">
        <f>IF(E172&gt;0,(J172*10^3*E172/10^7)+(K172*0.7457*E172/10^7),(K172*F172/10^7)+(J172*(10^3)*(1/0.7457)*F172/10^7))</f>
        <v>0</v>
      </c>
      <c r="P172" s="332"/>
      <c r="Q172" s="196">
        <f t="shared" si="212"/>
        <v>0</v>
      </c>
      <c r="R172" s="332"/>
      <c r="S172" s="196">
        <f>N172+O172+P172+Q172+R172</f>
        <v>0</v>
      </c>
      <c r="T172" s="332"/>
      <c r="U172" s="196">
        <f t="shared" si="213"/>
        <v>0</v>
      </c>
      <c r="V172" s="332"/>
      <c r="W172" s="332"/>
      <c r="X172" s="332"/>
      <c r="Y172" s="332"/>
      <c r="Z172" s="198">
        <f t="shared" si="208"/>
        <v>0</v>
      </c>
      <c r="AA172" s="249">
        <f t="shared" si="214"/>
        <v>0</v>
      </c>
    </row>
    <row r="173" spans="2:27" hidden="1">
      <c r="B173" s="253" t="s">
        <v>758</v>
      </c>
      <c r="C173" s="193">
        <f>'[4]FY23 Revenue'!E167</f>
        <v>0</v>
      </c>
      <c r="D173" s="203">
        <v>5</v>
      </c>
      <c r="E173" s="237">
        <f>30*12</f>
        <v>360</v>
      </c>
      <c r="F173" s="237"/>
      <c r="G173" s="237">
        <v>2813</v>
      </c>
      <c r="H173" s="191">
        <v>0</v>
      </c>
      <c r="I173" s="203"/>
      <c r="J173" s="191">
        <f>'[4]FY23 Revenue'!K167</f>
        <v>0</v>
      </c>
      <c r="K173" s="191"/>
      <c r="L173" s="191"/>
      <c r="M173" s="191"/>
      <c r="N173" s="195">
        <f t="shared" si="211"/>
        <v>0</v>
      </c>
      <c r="O173" s="196">
        <f>IF(E173&gt;0,(J173*10^3*E173/10^7)+(K173*0.7457*E173/10^7),(K173*F173/10^7)+(J173*(10^3)*(1/0.7457)*F173/10^7))</f>
        <v>0</v>
      </c>
      <c r="P173" s="332"/>
      <c r="Q173" s="196">
        <f t="shared" si="212"/>
        <v>0</v>
      </c>
      <c r="R173" s="332"/>
      <c r="S173" s="196">
        <f>N173+O173+P173+Q173+R173</f>
        <v>0</v>
      </c>
      <c r="T173" s="332"/>
      <c r="U173" s="196">
        <f t="shared" si="213"/>
        <v>0</v>
      </c>
      <c r="V173" s="332"/>
      <c r="W173" s="332"/>
      <c r="X173" s="332"/>
      <c r="Y173" s="332"/>
      <c r="Z173" s="198">
        <f t="shared" si="208"/>
        <v>0</v>
      </c>
      <c r="AA173" s="249">
        <f t="shared" si="214"/>
        <v>0</v>
      </c>
    </row>
    <row r="174" spans="2:27" hidden="1">
      <c r="B174" s="253" t="s">
        <v>759</v>
      </c>
      <c r="C174" s="193">
        <f>'[4]FY23 Revenue'!E168</f>
        <v>0</v>
      </c>
      <c r="D174" s="203">
        <v>5.5</v>
      </c>
      <c r="E174" s="237">
        <f>350*12</f>
        <v>4200</v>
      </c>
      <c r="F174" s="237"/>
      <c r="G174" s="237">
        <v>2813</v>
      </c>
      <c r="H174" s="191">
        <v>0</v>
      </c>
      <c r="I174" s="203"/>
      <c r="J174" s="191">
        <f>'[4]FY23 Revenue'!K168</f>
        <v>0</v>
      </c>
      <c r="K174" s="191"/>
      <c r="L174" s="191"/>
      <c r="M174" s="191"/>
      <c r="N174" s="195">
        <f t="shared" si="211"/>
        <v>0</v>
      </c>
      <c r="O174" s="196">
        <f>IF(E174&gt;0,(J174*10^3*E174/10^7)+(K174*0.7457*E174/10^7),(K174*F174/10^7)+(J174*(10^3)*(1/0.7457)*F174/10^7))</f>
        <v>0</v>
      </c>
      <c r="P174" s="332"/>
      <c r="Q174" s="196">
        <f t="shared" si="212"/>
        <v>0</v>
      </c>
      <c r="R174" s="332"/>
      <c r="S174" s="196">
        <f>N174+O174+P174+Q174+R174</f>
        <v>0</v>
      </c>
      <c r="T174" s="332"/>
      <c r="U174" s="196">
        <f t="shared" si="213"/>
        <v>0</v>
      </c>
      <c r="V174" s="332"/>
      <c r="W174" s="332"/>
      <c r="X174" s="332"/>
      <c r="Y174" s="332"/>
      <c r="Z174" s="198">
        <f t="shared" si="208"/>
        <v>0</v>
      </c>
      <c r="AA174" s="249">
        <f t="shared" si="214"/>
        <v>0</v>
      </c>
    </row>
    <row r="175" spans="2:27" hidden="1">
      <c r="B175" s="239" t="s">
        <v>752</v>
      </c>
      <c r="C175" s="250">
        <f t="shared" ref="C175" si="215">C176+C177</f>
        <v>3</v>
      </c>
      <c r="D175" s="240"/>
      <c r="E175" s="240"/>
      <c r="F175" s="240"/>
      <c r="G175" s="240"/>
      <c r="H175" s="240">
        <f t="shared" ref="H175:AA175" si="216">H176+H177</f>
        <v>2.1421199999999998</v>
      </c>
      <c r="I175" s="240">
        <f t="shared" si="216"/>
        <v>0</v>
      </c>
      <c r="J175" s="240">
        <f t="shared" si="216"/>
        <v>244.91000000000003</v>
      </c>
      <c r="K175" s="240">
        <f t="shared" si="216"/>
        <v>0</v>
      </c>
      <c r="L175" s="240"/>
      <c r="M175" s="240"/>
      <c r="N175" s="240">
        <f t="shared" si="216"/>
        <v>1.5316158</v>
      </c>
      <c r="O175" s="240">
        <f t="shared" si="216"/>
        <v>0</v>
      </c>
      <c r="P175" s="240">
        <f t="shared" si="216"/>
        <v>0</v>
      </c>
      <c r="Q175" s="240">
        <f t="shared" si="216"/>
        <v>1.01268E-2</v>
      </c>
      <c r="R175" s="240">
        <f t="shared" si="216"/>
        <v>0</v>
      </c>
      <c r="S175" s="240">
        <f t="shared" si="216"/>
        <v>1.5417426000000001</v>
      </c>
      <c r="T175" s="240">
        <f t="shared" si="216"/>
        <v>0</v>
      </c>
      <c r="U175" s="240">
        <f t="shared" si="216"/>
        <v>1.5417426000000001</v>
      </c>
      <c r="V175" s="240">
        <f t="shared" si="216"/>
        <v>0</v>
      </c>
      <c r="W175" s="240">
        <f t="shared" si="216"/>
        <v>0</v>
      </c>
      <c r="X175" s="240">
        <f t="shared" si="216"/>
        <v>0</v>
      </c>
      <c r="Y175" s="240">
        <f t="shared" si="216"/>
        <v>0</v>
      </c>
      <c r="Z175" s="240">
        <f t="shared" si="216"/>
        <v>3.216465651883732E-2</v>
      </c>
      <c r="AA175" s="240">
        <f t="shared" si="216"/>
        <v>1.5739072565188374</v>
      </c>
    </row>
    <row r="176" spans="2:27" hidden="1">
      <c r="B176" s="253" t="s">
        <v>760</v>
      </c>
      <c r="C176" s="193">
        <f>'[4]FY23 Revenue'!E170</f>
        <v>0</v>
      </c>
      <c r="D176" s="203">
        <v>3.85</v>
      </c>
      <c r="E176" s="237">
        <f>30*12</f>
        <v>360</v>
      </c>
      <c r="F176" s="237"/>
      <c r="G176" s="237">
        <v>2813</v>
      </c>
      <c r="H176" s="191">
        <v>0</v>
      </c>
      <c r="I176" s="203"/>
      <c r="J176" s="191">
        <f>'[4]FY23 Revenue'!K170</f>
        <v>0</v>
      </c>
      <c r="K176" s="191"/>
      <c r="L176" s="191"/>
      <c r="M176" s="191"/>
      <c r="N176" s="195">
        <f t="shared" ref="N176" si="217">H176*D176*$P$180/10</f>
        <v>0</v>
      </c>
      <c r="O176" s="196">
        <f>IF(E176&gt;0,(J176*10^3*E176/10^7)+(K176*0.7457*E176/10^7),(K176*F176/10^7)+(J176*(10^3)*(1/0.7457)*F176/10^7))</f>
        <v>0</v>
      </c>
      <c r="P176" s="332"/>
      <c r="Q176" s="196">
        <f t="shared" ref="Q176:Q177" si="218">G176*C176*12/10^7</f>
        <v>0</v>
      </c>
      <c r="R176" s="332"/>
      <c r="S176" s="196">
        <f>N176+O176+P176+Q176+R176</f>
        <v>0</v>
      </c>
      <c r="T176" s="332"/>
      <c r="U176" s="196">
        <f t="shared" ref="U176:U177" si="219">S176-T176</f>
        <v>0</v>
      </c>
      <c r="V176" s="332"/>
      <c r="W176" s="332"/>
      <c r="X176" s="332"/>
      <c r="Y176" s="332"/>
      <c r="Z176" s="198">
        <f t="shared" si="208"/>
        <v>0</v>
      </c>
      <c r="AA176" s="249">
        <f t="shared" ref="AA176:AA177" si="220">U176+Z176</f>
        <v>0</v>
      </c>
    </row>
    <row r="177" spans="2:29" hidden="1">
      <c r="B177" s="253" t="s">
        <v>761</v>
      </c>
      <c r="C177" s="193">
        <f>'[4]FY23 Revenue'!E171</f>
        <v>3</v>
      </c>
      <c r="D177" s="203">
        <v>7.15</v>
      </c>
      <c r="E177" s="237">
        <v>0</v>
      </c>
      <c r="F177" s="237"/>
      <c r="G177" s="237">
        <v>2813</v>
      </c>
      <c r="H177" s="191">
        <v>2.1421199999999998</v>
      </c>
      <c r="I177" s="203"/>
      <c r="J177" s="191">
        <f>'[4]FY23 Revenue'!K171</f>
        <v>244.91000000000003</v>
      </c>
      <c r="K177" s="191"/>
      <c r="L177" s="191"/>
      <c r="M177" s="191"/>
      <c r="N177" s="195">
        <f>H177*D177*$P$180/10</f>
        <v>1.5316158</v>
      </c>
      <c r="O177" s="196">
        <f>IF(E177&gt;0,(J177*10^3*E177/10^7)+(K177*0.7457*E177/10^7),(K177*F177/10^7)+(J177*(10^3)*(1/0.7457)*F177/10^7))</f>
        <v>0</v>
      </c>
      <c r="P177" s="332"/>
      <c r="Q177" s="196">
        <f t="shared" si="218"/>
        <v>1.01268E-2</v>
      </c>
      <c r="R177" s="332"/>
      <c r="S177" s="196">
        <f>N177+O177+P177+Q177+R177</f>
        <v>1.5417426000000001</v>
      </c>
      <c r="T177" s="332"/>
      <c r="U177" s="196">
        <f t="shared" si="219"/>
        <v>1.5417426000000001</v>
      </c>
      <c r="V177" s="332"/>
      <c r="W177" s="332"/>
      <c r="X177" s="332"/>
      <c r="Y177" s="332"/>
      <c r="Z177" s="198">
        <f t="shared" si="208"/>
        <v>3.216465651883732E-2</v>
      </c>
      <c r="AA177" s="249">
        <f t="shared" si="220"/>
        <v>1.5739072565188374</v>
      </c>
    </row>
    <row r="178" spans="2:29" hidden="1">
      <c r="B178" s="239" t="s">
        <v>643</v>
      </c>
      <c r="C178" s="250">
        <f>C54+C86+C117+C148</f>
        <v>4684</v>
      </c>
      <c r="D178" s="240">
        <v>0</v>
      </c>
      <c r="E178" s="250">
        <v>0</v>
      </c>
      <c r="F178" s="250">
        <v>0</v>
      </c>
      <c r="G178" s="250">
        <v>0</v>
      </c>
      <c r="H178" s="240">
        <f>H54+H86+H117+H148</f>
        <v>12481.867257100079</v>
      </c>
      <c r="I178" s="240">
        <f t="shared" ref="I178" si="221">I54+I86+I117+I148</f>
        <v>0</v>
      </c>
      <c r="J178" s="240">
        <f>J54+J86+J117+J148</f>
        <v>3753.0868600000003</v>
      </c>
      <c r="K178" s="240">
        <f t="shared" ref="K178:AA178" si="222">K54+K86+K117+K148</f>
        <v>0</v>
      </c>
      <c r="L178" s="240"/>
      <c r="M178" s="240"/>
      <c r="N178" s="240">
        <f t="shared" si="222"/>
        <v>7093.2364521058453</v>
      </c>
      <c r="O178" s="240">
        <f t="shared" si="222"/>
        <v>1434.2902591799998</v>
      </c>
      <c r="P178" s="240">
        <f t="shared" si="222"/>
        <v>0</v>
      </c>
      <c r="Q178" s="240">
        <f t="shared" si="222"/>
        <v>8.6001540000000016</v>
      </c>
      <c r="R178" s="240">
        <f t="shared" si="222"/>
        <v>0</v>
      </c>
      <c r="S178" s="240">
        <f t="shared" si="222"/>
        <v>8536.1268652858453</v>
      </c>
      <c r="T178" s="240">
        <f t="shared" si="222"/>
        <v>0</v>
      </c>
      <c r="U178" s="240">
        <f t="shared" si="222"/>
        <v>8536.1268652858453</v>
      </c>
      <c r="V178" s="240">
        <f t="shared" si="222"/>
        <v>0</v>
      </c>
      <c r="W178" s="240">
        <f t="shared" si="222"/>
        <v>0</v>
      </c>
      <c r="X178" s="240">
        <f t="shared" si="222"/>
        <v>0</v>
      </c>
      <c r="Y178" s="240">
        <f t="shared" si="222"/>
        <v>0</v>
      </c>
      <c r="Z178" s="240">
        <f t="shared" si="222"/>
        <v>187.41945971203583</v>
      </c>
      <c r="AA178" s="240">
        <f t="shared" si="222"/>
        <v>8723.546324997882</v>
      </c>
    </row>
    <row r="179" spans="2:29" ht="11.25" hidden="1" thickBot="1">
      <c r="B179" s="262" t="s">
        <v>644</v>
      </c>
      <c r="C179" s="263">
        <f>C51+C178</f>
        <v>6850899</v>
      </c>
      <c r="D179" s="264">
        <v>0</v>
      </c>
      <c r="E179" s="263">
        <v>0</v>
      </c>
      <c r="F179" s="263">
        <v>0</v>
      </c>
      <c r="G179" s="263">
        <v>0</v>
      </c>
      <c r="H179" s="264">
        <f>H51+H178</f>
        <v>25344.209159481186</v>
      </c>
      <c r="I179" s="264">
        <f t="shared" ref="I179" si="223">I51+I178</f>
        <v>0</v>
      </c>
      <c r="J179" s="264">
        <f>J51+J178</f>
        <v>13149.238025586197</v>
      </c>
      <c r="K179" s="264">
        <f t="shared" ref="K179:AA179" si="224">K51+K178</f>
        <v>2234210.3685092218</v>
      </c>
      <c r="L179" s="264"/>
      <c r="M179" s="264"/>
      <c r="N179" s="264">
        <f t="shared" si="224"/>
        <v>12272.11517673872</v>
      </c>
      <c r="O179" s="264">
        <f t="shared" si="224"/>
        <v>1741.0818213236741</v>
      </c>
      <c r="P179" s="264">
        <f t="shared" si="224"/>
        <v>16.009953151000001</v>
      </c>
      <c r="Q179" s="264">
        <f t="shared" si="224"/>
        <v>339.94786919999996</v>
      </c>
      <c r="R179" s="264">
        <f t="shared" si="224"/>
        <v>0</v>
      </c>
      <c r="S179" s="264">
        <f t="shared" si="224"/>
        <v>14369.154820413396</v>
      </c>
      <c r="T179" s="264">
        <f t="shared" si="224"/>
        <v>0</v>
      </c>
      <c r="U179" s="264">
        <f t="shared" si="224"/>
        <v>14369.154820413396</v>
      </c>
      <c r="V179" s="264">
        <f t="shared" si="224"/>
        <v>0</v>
      </c>
      <c r="W179" s="264">
        <f t="shared" si="224"/>
        <v>0</v>
      </c>
      <c r="X179" s="264">
        <f t="shared" si="224"/>
        <v>0</v>
      </c>
      <c r="Y179" s="264">
        <f t="shared" si="224"/>
        <v>0</v>
      </c>
      <c r="Z179" s="264">
        <f>'6|NTI current'!E17</f>
        <v>350.16459793600006</v>
      </c>
      <c r="AA179" s="264">
        <f t="shared" si="224"/>
        <v>14719.319418349398</v>
      </c>
    </row>
    <row r="180" spans="2:29" ht="18" customHeight="1" thickBot="1">
      <c r="B180" s="91" t="str">
        <f>Notes!$C$5</f>
        <v>Base Year</v>
      </c>
      <c r="P180" s="324">
        <v>1</v>
      </c>
    </row>
    <row r="181" spans="2:29" ht="21.75" customHeight="1">
      <c r="B181" s="1925" t="s">
        <v>205</v>
      </c>
      <c r="C181" s="1919" t="s">
        <v>201</v>
      </c>
      <c r="D181" s="1919" t="s">
        <v>202</v>
      </c>
      <c r="E181" s="1919"/>
      <c r="F181" s="1919"/>
      <c r="G181" s="1919"/>
      <c r="H181" s="1919" t="s">
        <v>203</v>
      </c>
      <c r="I181" s="1919"/>
      <c r="J181" s="1919"/>
      <c r="K181" s="1919"/>
      <c r="L181" s="1928" t="s">
        <v>1111</v>
      </c>
      <c r="M181" s="1929"/>
      <c r="N181" s="1919" t="s">
        <v>204</v>
      </c>
      <c r="O181" s="1919"/>
      <c r="P181" s="1919"/>
      <c r="Q181" s="1919"/>
      <c r="R181" s="1919"/>
      <c r="S181" s="1919"/>
      <c r="T181" s="1919" t="s">
        <v>1</v>
      </c>
      <c r="U181" s="1919" t="s">
        <v>522</v>
      </c>
      <c r="V181" s="1928" t="s">
        <v>523</v>
      </c>
      <c r="W181" s="1929"/>
      <c r="X181" s="1919" t="s">
        <v>524</v>
      </c>
      <c r="Y181" s="1928" t="s">
        <v>525</v>
      </c>
      <c r="Z181" s="1929"/>
      <c r="AA181" s="1930" t="s">
        <v>526</v>
      </c>
    </row>
    <row r="182" spans="2:29" ht="63">
      <c r="B182" s="1926"/>
      <c r="C182" s="1927"/>
      <c r="D182" s="329" t="s">
        <v>24</v>
      </c>
      <c r="E182" s="329" t="s">
        <v>23</v>
      </c>
      <c r="F182" s="329" t="s">
        <v>0</v>
      </c>
      <c r="G182" s="329" t="s">
        <v>920</v>
      </c>
      <c r="H182" s="1523" t="s">
        <v>9</v>
      </c>
      <c r="I182" s="1523" t="s">
        <v>22</v>
      </c>
      <c r="J182" s="1523" t="s">
        <v>527</v>
      </c>
      <c r="K182" s="1523" t="s">
        <v>528</v>
      </c>
      <c r="L182" s="329" t="s">
        <v>24</v>
      </c>
      <c r="M182" s="1523" t="s">
        <v>9</v>
      </c>
      <c r="N182" s="1523" t="s">
        <v>8</v>
      </c>
      <c r="O182" s="1523" t="s">
        <v>7</v>
      </c>
      <c r="P182" s="1523" t="s">
        <v>6</v>
      </c>
      <c r="Q182" s="1523" t="s">
        <v>529</v>
      </c>
      <c r="R182" s="1523" t="s">
        <v>5</v>
      </c>
      <c r="S182" s="1523" t="s">
        <v>4</v>
      </c>
      <c r="T182" s="1920"/>
      <c r="U182" s="1920"/>
      <c r="V182" s="1523" t="s">
        <v>2</v>
      </c>
      <c r="W182" s="1523" t="s">
        <v>3</v>
      </c>
      <c r="X182" s="1923"/>
      <c r="Y182" s="1523" t="s">
        <v>471</v>
      </c>
      <c r="Z182" s="1523" t="s">
        <v>450</v>
      </c>
      <c r="AA182" s="1931"/>
    </row>
    <row r="183" spans="2:29">
      <c r="B183" s="230" t="s">
        <v>598</v>
      </c>
      <c r="C183" s="175"/>
      <c r="D183" s="331"/>
      <c r="E183" s="331"/>
      <c r="F183" s="331"/>
      <c r="G183" s="331"/>
      <c r="H183" s="175"/>
      <c r="I183" s="175"/>
      <c r="J183" s="175"/>
      <c r="K183" s="175"/>
      <c r="L183" s="175"/>
      <c r="M183" s="175"/>
      <c r="N183" s="175"/>
      <c r="O183" s="175"/>
      <c r="P183" s="175"/>
      <c r="Q183" s="175"/>
      <c r="R183" s="175"/>
      <c r="S183" s="175"/>
      <c r="T183" s="175"/>
      <c r="U183" s="175"/>
      <c r="V183" s="175"/>
      <c r="W183" s="175"/>
      <c r="X183" s="175"/>
      <c r="Y183" s="175"/>
      <c r="Z183" s="175"/>
      <c r="AA183" s="231"/>
    </row>
    <row r="184" spans="2:29">
      <c r="B184" s="204" t="s">
        <v>923</v>
      </c>
      <c r="C184" s="179">
        <f>C185</f>
        <v>7175139</v>
      </c>
      <c r="D184" s="214"/>
      <c r="E184" s="214"/>
      <c r="F184" s="214"/>
      <c r="G184" s="180"/>
      <c r="H184" s="181">
        <f>H185</f>
        <v>7261.9061308171113</v>
      </c>
      <c r="I184" s="181">
        <f t="shared" ref="I184:AA184" si="225">I185</f>
        <v>0</v>
      </c>
      <c r="J184" s="181">
        <f>J185</f>
        <v>6462.2570603000004</v>
      </c>
      <c r="K184" s="181">
        <f t="shared" si="225"/>
        <v>0</v>
      </c>
      <c r="L184" s="181"/>
      <c r="M184" s="181"/>
      <c r="N184" s="181">
        <f t="shared" si="225"/>
        <v>3027.7285558027197</v>
      </c>
      <c r="O184" s="181">
        <f t="shared" si="225"/>
        <v>77.547084723600008</v>
      </c>
      <c r="P184" s="181">
        <f t="shared" si="225"/>
        <v>0</v>
      </c>
      <c r="Q184" s="181">
        <f t="shared" si="225"/>
        <v>355.65804599999996</v>
      </c>
      <c r="R184" s="181">
        <f t="shared" si="225"/>
        <v>0</v>
      </c>
      <c r="S184" s="181">
        <f t="shared" si="225"/>
        <v>3460.9336865263194</v>
      </c>
      <c r="T184" s="181">
        <f t="shared" si="225"/>
        <v>0</v>
      </c>
      <c r="U184" s="181">
        <f t="shared" si="225"/>
        <v>3460.9336865263194</v>
      </c>
      <c r="V184" s="181">
        <f t="shared" si="225"/>
        <v>0</v>
      </c>
      <c r="W184" s="181">
        <f t="shared" si="225"/>
        <v>0</v>
      </c>
      <c r="X184" s="181">
        <f t="shared" si="225"/>
        <v>0</v>
      </c>
      <c r="Y184" s="181">
        <f t="shared" si="225"/>
        <v>0</v>
      </c>
      <c r="Z184" s="181">
        <f t="shared" si="225"/>
        <v>118.42199596052961</v>
      </c>
      <c r="AA184" s="182">
        <f t="shared" si="225"/>
        <v>3579.3556824868497</v>
      </c>
    </row>
    <row r="185" spans="2:29">
      <c r="B185" s="183" t="s">
        <v>921</v>
      </c>
      <c r="C185" s="184">
        <f>SUM(C186:C192)</f>
        <v>7175139</v>
      </c>
      <c r="D185" s="186"/>
      <c r="E185" s="186"/>
      <c r="F185" s="186"/>
      <c r="G185" s="185"/>
      <c r="H185" s="186">
        <f>SUM(H186:H192)</f>
        <v>7261.9061308171113</v>
      </c>
      <c r="I185" s="186">
        <f t="shared" ref="I185" si="226">SUM(I186:I192)</f>
        <v>0</v>
      </c>
      <c r="J185" s="186">
        <f>SUM(J186:J192)</f>
        <v>6462.2570603000004</v>
      </c>
      <c r="K185" s="186">
        <f t="shared" ref="K185:AA185" si="227">SUM(K186:K192)</f>
        <v>0</v>
      </c>
      <c r="L185" s="186"/>
      <c r="M185" s="186"/>
      <c r="N185" s="186">
        <f t="shared" si="227"/>
        <v>3027.7285558027197</v>
      </c>
      <c r="O185" s="186">
        <f t="shared" si="227"/>
        <v>77.547084723600008</v>
      </c>
      <c r="P185" s="186">
        <f t="shared" si="227"/>
        <v>0</v>
      </c>
      <c r="Q185" s="186">
        <f t="shared" si="227"/>
        <v>355.65804599999996</v>
      </c>
      <c r="R185" s="186">
        <f t="shared" si="227"/>
        <v>0</v>
      </c>
      <c r="S185" s="186">
        <f t="shared" si="227"/>
        <v>3460.9336865263194</v>
      </c>
      <c r="T185" s="186">
        <f t="shared" si="227"/>
        <v>0</v>
      </c>
      <c r="U185" s="186">
        <f t="shared" si="227"/>
        <v>3460.9336865263194</v>
      </c>
      <c r="V185" s="186">
        <f t="shared" si="227"/>
        <v>0</v>
      </c>
      <c r="W185" s="186">
        <f t="shared" si="227"/>
        <v>0</v>
      </c>
      <c r="X185" s="186">
        <f t="shared" si="227"/>
        <v>0</v>
      </c>
      <c r="Y185" s="186">
        <f t="shared" si="227"/>
        <v>0</v>
      </c>
      <c r="Z185" s="186">
        <f t="shared" si="227"/>
        <v>118.42199596052961</v>
      </c>
      <c r="AA185" s="187">
        <f t="shared" si="227"/>
        <v>3579.3556824868497</v>
      </c>
    </row>
    <row r="186" spans="2:29">
      <c r="B186" s="189" t="s">
        <v>854</v>
      </c>
      <c r="C186" s="193">
        <f>'[4]FY24 Sales'!$E8</f>
        <v>1273075</v>
      </c>
      <c r="D186" s="191">
        <v>1.9</v>
      </c>
      <c r="E186" s="192">
        <f>10*12</f>
        <v>120</v>
      </c>
      <c r="F186" s="193"/>
      <c r="G186" s="190">
        <v>25</v>
      </c>
      <c r="H186" s="191">
        <v>1806.1220210013016</v>
      </c>
      <c r="I186" s="191"/>
      <c r="J186" s="191">
        <v>1160.8302348967168</v>
      </c>
      <c r="K186" s="191"/>
      <c r="L186" s="191"/>
      <c r="M186" s="191"/>
      <c r="N186" s="195">
        <f>H186*D186/10</f>
        <v>343.16318399024732</v>
      </c>
      <c r="O186" s="196">
        <f t="shared" ref="O186:O192" si="228">IF(E186&gt;0,(J186*10^3*E186/10^7)+(K186*0.7457*E186/10^7),(K186*F186/10^7)+(J186*(10^3)*(1/0.7457)*F186/10^7))</f>
        <v>13.9299628187606</v>
      </c>
      <c r="P186" s="332"/>
      <c r="Q186" s="196">
        <f>G186*C186*12/10^7</f>
        <v>38.192250000000001</v>
      </c>
      <c r="R186" s="332"/>
      <c r="S186" s="196">
        <f t="shared" ref="S186:S192" si="229">N186+O186+P186+Q186+R186</f>
        <v>395.28539680900792</v>
      </c>
      <c r="T186" s="332"/>
      <c r="U186" s="196">
        <f>S186-T186</f>
        <v>395.28539680900792</v>
      </c>
      <c r="V186" s="332"/>
      <c r="W186" s="332"/>
      <c r="X186" s="332"/>
      <c r="Y186" s="332"/>
      <c r="Z186" s="198">
        <f t="shared" ref="Z186:Z192" si="230">(H186*$Z$354)/($H$354-$H$218-$H$220-$H$221)</f>
        <v>29.452952272074242</v>
      </c>
      <c r="AA186" s="249">
        <f>U186+Z186</f>
        <v>424.73834908108216</v>
      </c>
      <c r="AC186" s="177">
        <f>Z185+Z193+Z205+Z209+Z215+Z223</f>
        <v>226.22520468375436</v>
      </c>
    </row>
    <row r="187" spans="2:29">
      <c r="B187" s="189" t="s">
        <v>855</v>
      </c>
      <c r="C187" s="193">
        <v>1273075</v>
      </c>
      <c r="D187" s="191">
        <v>3</v>
      </c>
      <c r="E187" s="192">
        <f t="shared" ref="E187:E191" si="231">10*12</f>
        <v>120</v>
      </c>
      <c r="F187" s="193"/>
      <c r="G187" s="190">
        <v>30</v>
      </c>
      <c r="H187" s="191">
        <v>2093.3402996729728</v>
      </c>
      <c r="I187" s="191"/>
      <c r="J187" s="191">
        <v>1446.2032620274331</v>
      </c>
      <c r="K187" s="191"/>
      <c r="L187" s="191"/>
      <c r="M187" s="191"/>
      <c r="N187" s="195">
        <f t="shared" ref="N187:N192" si="232">H187*D187/10</f>
        <v>628.00208990189185</v>
      </c>
      <c r="O187" s="196">
        <f t="shared" si="228"/>
        <v>17.354439144329195</v>
      </c>
      <c r="P187" s="332"/>
      <c r="Q187" s="196">
        <f t="shared" ref="Q187:Q192" si="233">G187*C187*12/10^7</f>
        <v>45.8307</v>
      </c>
      <c r="R187" s="332"/>
      <c r="S187" s="196">
        <f t="shared" si="229"/>
        <v>691.18722904622098</v>
      </c>
      <c r="T187" s="332"/>
      <c r="U187" s="196">
        <f t="shared" ref="U187:U192" si="234">S187-T187</f>
        <v>691.18722904622098</v>
      </c>
      <c r="V187" s="332"/>
      <c r="W187" s="332"/>
      <c r="X187" s="332"/>
      <c r="Y187" s="332"/>
      <c r="Z187" s="198">
        <f t="shared" si="230"/>
        <v>34.136703510926985</v>
      </c>
      <c r="AA187" s="249">
        <f t="shared" ref="AA187:AA192" si="235">U187+Z187</f>
        <v>725.32393255714794</v>
      </c>
      <c r="AC187" s="177">
        <f>Z229+Z261+Z292+Z323</f>
        <v>225.171575114495</v>
      </c>
    </row>
    <row r="188" spans="2:29">
      <c r="B188" s="189" t="s">
        <v>906</v>
      </c>
      <c r="C188" s="193">
        <v>1577755</v>
      </c>
      <c r="D188" s="191">
        <v>4.5</v>
      </c>
      <c r="E188" s="192">
        <f t="shared" si="231"/>
        <v>120</v>
      </c>
      <c r="F188" s="193"/>
      <c r="G188" s="190">
        <v>45</v>
      </c>
      <c r="H188" s="191">
        <v>1409.0244613987409</v>
      </c>
      <c r="I188" s="191"/>
      <c r="J188" s="191">
        <v>1634.1323760171504</v>
      </c>
      <c r="K188" s="191"/>
      <c r="L188" s="191"/>
      <c r="M188" s="191"/>
      <c r="N188" s="195">
        <f t="shared" si="232"/>
        <v>634.06100762943345</v>
      </c>
      <c r="O188" s="196">
        <f t="shared" si="228"/>
        <v>19.609588512205807</v>
      </c>
      <c r="P188" s="332"/>
      <c r="Q188" s="196">
        <f t="shared" si="233"/>
        <v>85.198769999999996</v>
      </c>
      <c r="R188" s="332"/>
      <c r="S188" s="196">
        <f t="shared" si="229"/>
        <v>738.86936614163926</v>
      </c>
      <c r="T188" s="332"/>
      <c r="U188" s="196">
        <f t="shared" si="234"/>
        <v>738.86936614163926</v>
      </c>
      <c r="V188" s="332"/>
      <c r="W188" s="332"/>
      <c r="X188" s="332"/>
      <c r="Y188" s="332"/>
      <c r="Z188" s="198">
        <f t="shared" si="230"/>
        <v>22.977367934839172</v>
      </c>
      <c r="AA188" s="249">
        <f t="shared" si="235"/>
        <v>761.84673407647847</v>
      </c>
    </row>
    <row r="189" spans="2:29">
      <c r="B189" s="189" t="s">
        <v>907</v>
      </c>
      <c r="C189" s="193">
        <v>1451716</v>
      </c>
      <c r="D189" s="191">
        <v>6</v>
      </c>
      <c r="E189" s="192">
        <f t="shared" si="231"/>
        <v>120</v>
      </c>
      <c r="F189" s="193"/>
      <c r="G189" s="190">
        <v>50</v>
      </c>
      <c r="H189" s="191">
        <v>1161.2508176501292</v>
      </c>
      <c r="I189" s="191"/>
      <c r="J189" s="191">
        <v>1557.0119696254119</v>
      </c>
      <c r="K189" s="191"/>
      <c r="L189" s="191"/>
      <c r="M189" s="191"/>
      <c r="N189" s="195">
        <f t="shared" si="232"/>
        <v>696.75049059007756</v>
      </c>
      <c r="O189" s="196">
        <f t="shared" si="228"/>
        <v>18.684143635504942</v>
      </c>
      <c r="P189" s="332"/>
      <c r="Q189" s="196">
        <f t="shared" si="233"/>
        <v>87.102959999999996</v>
      </c>
      <c r="R189" s="332"/>
      <c r="S189" s="196">
        <f t="shared" si="229"/>
        <v>802.53759422558255</v>
      </c>
      <c r="T189" s="332"/>
      <c r="U189" s="196">
        <f t="shared" si="234"/>
        <v>802.53759422558255</v>
      </c>
      <c r="V189" s="332"/>
      <c r="W189" s="332"/>
      <c r="X189" s="332"/>
      <c r="Y189" s="332"/>
      <c r="Z189" s="198">
        <f t="shared" si="230"/>
        <v>18.936851724555655</v>
      </c>
      <c r="AA189" s="249">
        <f t="shared" si="235"/>
        <v>821.47444595013826</v>
      </c>
    </row>
    <row r="190" spans="2:29">
      <c r="B190" s="189" t="s">
        <v>908</v>
      </c>
      <c r="C190" s="193">
        <v>1148290</v>
      </c>
      <c r="D190" s="191">
        <v>8.75</v>
      </c>
      <c r="E190" s="192">
        <f t="shared" si="231"/>
        <v>120</v>
      </c>
      <c r="F190" s="193"/>
      <c r="G190" s="190">
        <v>55</v>
      </c>
      <c r="H190" s="191">
        <v>466.12534125547734</v>
      </c>
      <c r="I190" s="191"/>
      <c r="J190" s="191">
        <v>514.87419052816813</v>
      </c>
      <c r="K190" s="191"/>
      <c r="L190" s="191"/>
      <c r="M190" s="191"/>
      <c r="N190" s="195">
        <f t="shared" si="232"/>
        <v>407.85967359854266</v>
      </c>
      <c r="O190" s="196">
        <f t="shared" si="228"/>
        <v>6.1784902863380173</v>
      </c>
      <c r="P190" s="332"/>
      <c r="Q190" s="196">
        <f t="shared" si="233"/>
        <v>75.787139999999994</v>
      </c>
      <c r="R190" s="332"/>
      <c r="S190" s="196">
        <f t="shared" si="229"/>
        <v>489.82530388488067</v>
      </c>
      <c r="T190" s="332"/>
      <c r="U190" s="196">
        <f t="shared" si="234"/>
        <v>489.82530388488067</v>
      </c>
      <c r="V190" s="332"/>
      <c r="W190" s="332"/>
      <c r="X190" s="332"/>
      <c r="Y190" s="332"/>
      <c r="Z190" s="198">
        <f t="shared" si="230"/>
        <v>7.6012402645922892</v>
      </c>
      <c r="AA190" s="249">
        <f t="shared" si="235"/>
        <v>497.42654414947293</v>
      </c>
    </row>
    <row r="191" spans="2:29">
      <c r="B191" s="189" t="s">
        <v>909</v>
      </c>
      <c r="C191" s="193">
        <v>356761</v>
      </c>
      <c r="D191" s="191">
        <v>9.75</v>
      </c>
      <c r="E191" s="192">
        <f t="shared" si="231"/>
        <v>120</v>
      </c>
      <c r="F191" s="193"/>
      <c r="G191" s="190">
        <v>55</v>
      </c>
      <c r="H191" s="191">
        <v>326.04318983848913</v>
      </c>
      <c r="I191" s="191"/>
      <c r="J191" s="191">
        <v>149.2050272051199</v>
      </c>
      <c r="K191" s="191"/>
      <c r="L191" s="191"/>
      <c r="M191" s="191"/>
      <c r="N191" s="195">
        <f t="shared" si="232"/>
        <v>317.89211009252688</v>
      </c>
      <c r="O191" s="196">
        <f t="shared" si="228"/>
        <v>1.7904603264614389</v>
      </c>
      <c r="P191" s="332"/>
      <c r="Q191" s="196">
        <f t="shared" si="233"/>
        <v>23.546226000000001</v>
      </c>
      <c r="R191" s="332"/>
      <c r="S191" s="196">
        <f t="shared" si="229"/>
        <v>343.22879641898828</v>
      </c>
      <c r="T191" s="332"/>
      <c r="U191" s="196">
        <f t="shared" si="234"/>
        <v>343.22879641898828</v>
      </c>
      <c r="V191" s="332"/>
      <c r="W191" s="332"/>
      <c r="X191" s="332"/>
      <c r="Y191" s="332"/>
      <c r="Z191" s="198">
        <f t="shared" si="230"/>
        <v>5.3168802535412647</v>
      </c>
      <c r="AA191" s="249">
        <f t="shared" si="235"/>
        <v>348.54567667252957</v>
      </c>
    </row>
    <row r="192" spans="2:29" ht="33.75" customHeight="1">
      <c r="B192" s="189" t="s">
        <v>910</v>
      </c>
      <c r="C192" s="191">
        <v>94467</v>
      </c>
      <c r="D192" s="191"/>
      <c r="E192" s="192"/>
      <c r="F192" s="193"/>
      <c r="G192" s="190"/>
      <c r="H192" s="191"/>
      <c r="I192" s="191"/>
      <c r="J192" s="191"/>
      <c r="K192" s="191"/>
      <c r="L192" s="191"/>
      <c r="M192" s="191"/>
      <c r="N192" s="195">
        <f t="shared" si="232"/>
        <v>0</v>
      </c>
      <c r="O192" s="196">
        <f t="shared" si="228"/>
        <v>0</v>
      </c>
      <c r="P192" s="332"/>
      <c r="Q192" s="196">
        <f t="shared" si="233"/>
        <v>0</v>
      </c>
      <c r="R192" s="332"/>
      <c r="S192" s="196">
        <f t="shared" si="229"/>
        <v>0</v>
      </c>
      <c r="T192" s="332"/>
      <c r="U192" s="196">
        <f t="shared" si="234"/>
        <v>0</v>
      </c>
      <c r="V192" s="332"/>
      <c r="W192" s="332"/>
      <c r="X192" s="332"/>
      <c r="Y192" s="332"/>
      <c r="Z192" s="198">
        <f t="shared" si="230"/>
        <v>0</v>
      </c>
      <c r="AA192" s="249">
        <f t="shared" si="235"/>
        <v>0</v>
      </c>
    </row>
    <row r="193" spans="2:27" ht="17.25" customHeight="1">
      <c r="B193" s="204" t="s">
        <v>922</v>
      </c>
      <c r="C193" s="179"/>
      <c r="D193" s="181"/>
      <c r="E193" s="205"/>
      <c r="F193" s="181"/>
      <c r="G193" s="206"/>
      <c r="H193" s="181">
        <f t="shared" ref="H193:AA193" si="236">H194+H202+H203+H204</f>
        <v>1382.6770099031276</v>
      </c>
      <c r="I193" s="181">
        <f t="shared" si="236"/>
        <v>0</v>
      </c>
      <c r="J193" s="181">
        <f t="shared" ref="J193" si="237">J194+J202+J203+J204</f>
        <v>1523.0728682999998</v>
      </c>
      <c r="K193" s="181">
        <f t="shared" si="236"/>
        <v>0</v>
      </c>
      <c r="L193" s="181"/>
      <c r="M193" s="181"/>
      <c r="N193" s="181">
        <f t="shared" si="236"/>
        <v>1215.3878415170698</v>
      </c>
      <c r="O193" s="181">
        <f t="shared" si="236"/>
        <v>134.3291746798987</v>
      </c>
      <c r="P193" s="181">
        <f t="shared" si="236"/>
        <v>16.810450808550002</v>
      </c>
      <c r="Q193" s="181">
        <f t="shared" si="236"/>
        <v>28.391891999999999</v>
      </c>
      <c r="R193" s="181">
        <f t="shared" si="236"/>
        <v>0</v>
      </c>
      <c r="S193" s="181">
        <f t="shared" si="236"/>
        <v>1394.9193590055188</v>
      </c>
      <c r="T193" s="181">
        <f t="shared" si="236"/>
        <v>0</v>
      </c>
      <c r="U193" s="181">
        <f t="shared" si="236"/>
        <v>1394.9193590055188</v>
      </c>
      <c r="V193" s="181">
        <f t="shared" si="236"/>
        <v>0</v>
      </c>
      <c r="W193" s="181">
        <f t="shared" si="236"/>
        <v>0</v>
      </c>
      <c r="X193" s="181">
        <f t="shared" si="236"/>
        <v>0</v>
      </c>
      <c r="Y193" s="181">
        <f t="shared" si="236"/>
        <v>0</v>
      </c>
      <c r="Z193" s="181">
        <f t="shared" si="236"/>
        <v>22.547712450676006</v>
      </c>
      <c r="AA193" s="182">
        <f t="shared" si="236"/>
        <v>1417.4670714561946</v>
      </c>
    </row>
    <row r="194" spans="2:27" ht="17.25" customHeight="1">
      <c r="B194" s="183" t="s">
        <v>924</v>
      </c>
      <c r="C194" s="184">
        <f>SUM(C195:C201)</f>
        <v>664818</v>
      </c>
      <c r="D194" s="186"/>
      <c r="E194" s="207"/>
      <c r="F194" s="186"/>
      <c r="G194" s="185"/>
      <c r="H194" s="186">
        <f>SUM(H195:H201)</f>
        <v>1382.4060313391781</v>
      </c>
      <c r="I194" s="186">
        <f t="shared" ref="I194:AA194" si="238">SUM(I195:I201)</f>
        <v>0</v>
      </c>
      <c r="J194" s="186">
        <f>SUM(J195:J201)</f>
        <v>1522.0135390739822</v>
      </c>
      <c r="K194" s="186">
        <f t="shared" si="238"/>
        <v>0</v>
      </c>
      <c r="L194" s="186"/>
      <c r="M194" s="186"/>
      <c r="N194" s="186">
        <f t="shared" si="238"/>
        <v>1215.2041108342237</v>
      </c>
      <c r="O194" s="186">
        <f t="shared" si="238"/>
        <v>134.3291746798987</v>
      </c>
      <c r="P194" s="186">
        <f t="shared" si="238"/>
        <v>16.810450808550002</v>
      </c>
      <c r="Q194" s="186">
        <f t="shared" si="238"/>
        <v>28.371492</v>
      </c>
      <c r="R194" s="186">
        <f t="shared" si="238"/>
        <v>0</v>
      </c>
      <c r="S194" s="186">
        <f t="shared" si="238"/>
        <v>1394.7152283226726</v>
      </c>
      <c r="T194" s="186">
        <f t="shared" si="238"/>
        <v>0</v>
      </c>
      <c r="U194" s="186">
        <f t="shared" si="238"/>
        <v>1394.7152283226726</v>
      </c>
      <c r="V194" s="186">
        <f t="shared" si="238"/>
        <v>0</v>
      </c>
      <c r="W194" s="186">
        <f t="shared" si="238"/>
        <v>0</v>
      </c>
      <c r="X194" s="186">
        <f t="shared" si="238"/>
        <v>0</v>
      </c>
      <c r="Y194" s="186">
        <f t="shared" si="238"/>
        <v>0</v>
      </c>
      <c r="Z194" s="186">
        <f t="shared" si="238"/>
        <v>22.543293525144971</v>
      </c>
      <c r="AA194" s="187">
        <f t="shared" si="238"/>
        <v>1417.2585218478173</v>
      </c>
    </row>
    <row r="195" spans="2:27">
      <c r="B195" s="189" t="s">
        <v>583</v>
      </c>
      <c r="C195" s="193">
        <v>382133</v>
      </c>
      <c r="D195" s="191">
        <v>5.4</v>
      </c>
      <c r="E195" s="192">
        <f>75*12</f>
        <v>900</v>
      </c>
      <c r="F195" s="193"/>
      <c r="G195" s="190">
        <v>30</v>
      </c>
      <c r="H195" s="191">
        <v>250.54025968998647</v>
      </c>
      <c r="I195" s="191"/>
      <c r="J195" s="191">
        <v>492.3917067174886</v>
      </c>
      <c r="K195" s="191"/>
      <c r="L195" s="191"/>
      <c r="M195" s="191"/>
      <c r="N195" s="195">
        <f>H195*D195/10</f>
        <v>135.2917402325927</v>
      </c>
      <c r="O195" s="196">
        <f t="shared" ref="O195:O204" si="239">IF(E195&gt;0,(J195*10^3*E195/10^7)+(K195*0.7457*E195/10^7),(K195*F195/10^7)+(J195*(10^3)*(1/0.7457)*F195/10^7))</f>
        <v>44.315253604573968</v>
      </c>
      <c r="P195" s="332">
        <f>'[4]FY24 Revenue '!$O16</f>
        <v>16.703315350050001</v>
      </c>
      <c r="Q195" s="196">
        <f>G195*C195*12/10^7</f>
        <v>13.756788</v>
      </c>
      <c r="R195" s="332"/>
      <c r="S195" s="196">
        <f t="shared" ref="S195:S204" si="240">N195+O195+P195+Q195+R195</f>
        <v>210.06709718721666</v>
      </c>
      <c r="T195" s="332"/>
      <c r="U195" s="196">
        <f t="shared" ref="U195:U204" si="241">S195-T195</f>
        <v>210.06709718721666</v>
      </c>
      <c r="V195" s="332"/>
      <c r="W195" s="332"/>
      <c r="X195" s="332"/>
      <c r="Y195" s="332"/>
      <c r="Z195" s="198">
        <f t="shared" ref="Z195:Z204" si="242">(H195*$Z$354)/($H$354-$H$218-$H$220-$H$221)</f>
        <v>4.0856322137035397</v>
      </c>
      <c r="AA195" s="249">
        <f t="shared" ref="AA195:AA204" si="243">U195+Z195</f>
        <v>214.15272940092021</v>
      </c>
    </row>
    <row r="196" spans="2:27">
      <c r="B196" s="189" t="s">
        <v>584</v>
      </c>
      <c r="C196" s="193">
        <v>111158</v>
      </c>
      <c r="D196" s="191">
        <v>7.65</v>
      </c>
      <c r="E196" s="192">
        <f>75*12</f>
        <v>900</v>
      </c>
      <c r="F196" s="193"/>
      <c r="G196" s="190">
        <v>40</v>
      </c>
      <c r="H196" s="191">
        <v>142.59066404331156</v>
      </c>
      <c r="I196" s="191"/>
      <c r="J196" s="191">
        <v>156.17982493442605</v>
      </c>
      <c r="K196" s="191"/>
      <c r="L196" s="191"/>
      <c r="M196" s="191"/>
      <c r="N196" s="195">
        <f t="shared" ref="N196:N214" si="244">H196*D196/10</f>
        <v>109.08185799313335</v>
      </c>
      <c r="O196" s="196">
        <f t="shared" si="239"/>
        <v>14.056184244098345</v>
      </c>
      <c r="P196" s="332"/>
      <c r="Q196" s="196">
        <f t="shared" ref="Q196:Q204" si="245">G196*C196*12/10^7</f>
        <v>5.3355839999999999</v>
      </c>
      <c r="R196" s="332"/>
      <c r="S196" s="196">
        <f t="shared" si="240"/>
        <v>128.47362623723171</v>
      </c>
      <c r="T196" s="332"/>
      <c r="U196" s="196">
        <f t="shared" si="241"/>
        <v>128.47362623723171</v>
      </c>
      <c r="V196" s="332"/>
      <c r="W196" s="332"/>
      <c r="X196" s="332"/>
      <c r="Y196" s="332"/>
      <c r="Z196" s="198">
        <f t="shared" si="242"/>
        <v>2.3252670493340948</v>
      </c>
      <c r="AA196" s="249">
        <f t="shared" si="243"/>
        <v>130.7988932865658</v>
      </c>
    </row>
    <row r="197" spans="2:27">
      <c r="B197" s="189" t="s">
        <v>585</v>
      </c>
      <c r="C197" s="193">
        <v>108202</v>
      </c>
      <c r="D197" s="191">
        <v>9.0500000000000007</v>
      </c>
      <c r="E197" s="192">
        <f>75*12</f>
        <v>900</v>
      </c>
      <c r="F197" s="193"/>
      <c r="G197" s="190">
        <v>45</v>
      </c>
      <c r="H197" s="191">
        <v>263.97990820162181</v>
      </c>
      <c r="I197" s="191"/>
      <c r="J197" s="191">
        <v>236.78071120398431</v>
      </c>
      <c r="K197" s="191"/>
      <c r="L197" s="191"/>
      <c r="M197" s="191"/>
      <c r="N197" s="195">
        <f t="shared" si="244"/>
        <v>238.90181692246773</v>
      </c>
      <c r="O197" s="196">
        <f t="shared" si="239"/>
        <v>21.31026400835859</v>
      </c>
      <c r="P197" s="332"/>
      <c r="Q197" s="196">
        <f t="shared" si="245"/>
        <v>5.8429080000000004</v>
      </c>
      <c r="R197" s="332"/>
      <c r="S197" s="196">
        <f t="shared" si="240"/>
        <v>266.05498893082637</v>
      </c>
      <c r="T197" s="332"/>
      <c r="U197" s="196">
        <f t="shared" si="241"/>
        <v>266.05498893082637</v>
      </c>
      <c r="V197" s="332"/>
      <c r="W197" s="332"/>
      <c r="X197" s="332"/>
      <c r="Y197" s="332"/>
      <c r="Z197" s="198">
        <f t="shared" si="242"/>
        <v>4.3047964349266437</v>
      </c>
      <c r="AA197" s="249">
        <f t="shared" si="243"/>
        <v>270.359785365753</v>
      </c>
    </row>
    <row r="198" spans="2:27">
      <c r="B198" s="189" t="s">
        <v>586</v>
      </c>
      <c r="C198" s="193">
        <v>23368</v>
      </c>
      <c r="D198" s="191">
        <v>9.6</v>
      </c>
      <c r="E198" s="192">
        <f>75*12</f>
        <v>900</v>
      </c>
      <c r="F198" s="193"/>
      <c r="G198" s="190">
        <v>45</v>
      </c>
      <c r="H198" s="191">
        <v>126.82121117935336</v>
      </c>
      <c r="I198" s="191"/>
      <c r="J198" s="191">
        <v>99.903503203662055</v>
      </c>
      <c r="K198" s="191"/>
      <c r="L198" s="191"/>
      <c r="M198" s="191"/>
      <c r="N198" s="195">
        <f t="shared" si="244"/>
        <v>121.74836273217923</v>
      </c>
      <c r="O198" s="196">
        <f t="shared" si="239"/>
        <v>8.9913152883295844</v>
      </c>
      <c r="P198" s="332"/>
      <c r="Q198" s="196">
        <f t="shared" si="245"/>
        <v>1.2618720000000001</v>
      </c>
      <c r="R198" s="332"/>
      <c r="S198" s="196">
        <f t="shared" si="240"/>
        <v>132.00155002050883</v>
      </c>
      <c r="T198" s="332"/>
      <c r="U198" s="196">
        <f t="shared" si="241"/>
        <v>132.00155002050883</v>
      </c>
      <c r="V198" s="332"/>
      <c r="W198" s="332"/>
      <c r="X198" s="332"/>
      <c r="Y198" s="332"/>
      <c r="Z198" s="198">
        <f t="shared" si="242"/>
        <v>2.0681100371509458</v>
      </c>
      <c r="AA198" s="249">
        <f t="shared" si="243"/>
        <v>134.06966005765977</v>
      </c>
    </row>
    <row r="199" spans="2:27">
      <c r="B199" s="189" t="s">
        <v>587</v>
      </c>
      <c r="C199" s="193">
        <v>37180</v>
      </c>
      <c r="D199" s="191">
        <v>10.15</v>
      </c>
      <c r="E199" s="192">
        <f>75*12</f>
        <v>900</v>
      </c>
      <c r="F199" s="193"/>
      <c r="G199" s="190">
        <v>45</v>
      </c>
      <c r="H199" s="191">
        <v>585.47763153170513</v>
      </c>
      <c r="I199" s="191"/>
      <c r="J199" s="191">
        <v>503.97234475055006</v>
      </c>
      <c r="K199" s="191"/>
      <c r="L199" s="191"/>
      <c r="M199" s="191"/>
      <c r="N199" s="195">
        <f t="shared" si="244"/>
        <v>594.25979600468077</v>
      </c>
      <c r="O199" s="196">
        <f t="shared" si="239"/>
        <v>45.357511027549506</v>
      </c>
      <c r="P199" s="332"/>
      <c r="Q199" s="196">
        <f t="shared" si="245"/>
        <v>2.0077199999999999</v>
      </c>
      <c r="R199" s="332"/>
      <c r="S199" s="196">
        <f t="shared" si="240"/>
        <v>641.62502703223026</v>
      </c>
      <c r="T199" s="332"/>
      <c r="U199" s="196">
        <f t="shared" si="241"/>
        <v>641.62502703223026</v>
      </c>
      <c r="V199" s="332"/>
      <c r="W199" s="332"/>
      <c r="X199" s="332"/>
      <c r="Y199" s="332"/>
      <c r="Z199" s="198">
        <f t="shared" si="242"/>
        <v>9.5475524562346017</v>
      </c>
      <c r="AA199" s="249">
        <f t="shared" si="243"/>
        <v>651.17257948846486</v>
      </c>
    </row>
    <row r="200" spans="2:27">
      <c r="B200" s="183" t="s">
        <v>911</v>
      </c>
      <c r="C200" s="193">
        <v>1114</v>
      </c>
      <c r="D200" s="191">
        <v>12.25</v>
      </c>
      <c r="E200" s="192">
        <f>100*12</f>
        <v>1200</v>
      </c>
      <c r="F200" s="193"/>
      <c r="G200" s="190">
        <v>50</v>
      </c>
      <c r="H200" s="191">
        <v>1.5204414626894762</v>
      </c>
      <c r="I200" s="191"/>
      <c r="J200" s="191">
        <v>2.4887208915723362</v>
      </c>
      <c r="K200" s="191"/>
      <c r="L200" s="191"/>
      <c r="M200" s="191"/>
      <c r="N200" s="195">
        <f t="shared" si="244"/>
        <v>1.8625407917946084</v>
      </c>
      <c r="O200" s="196">
        <f t="shared" si="239"/>
        <v>0.29864650698868034</v>
      </c>
      <c r="P200" s="332">
        <f>'[4]FY24 Revenue '!$O21</f>
        <v>0.10713545850000002</v>
      </c>
      <c r="Q200" s="196">
        <f t="shared" si="245"/>
        <v>6.6839999999999997E-2</v>
      </c>
      <c r="R200" s="332"/>
      <c r="S200" s="196">
        <f t="shared" si="240"/>
        <v>2.3351627572832889</v>
      </c>
      <c r="T200" s="332"/>
      <c r="U200" s="196">
        <f t="shared" si="241"/>
        <v>2.3351627572832889</v>
      </c>
      <c r="V200" s="332"/>
      <c r="W200" s="332"/>
      <c r="X200" s="332"/>
      <c r="Y200" s="332"/>
      <c r="Z200" s="198">
        <f t="shared" si="242"/>
        <v>2.4794277082259012E-2</v>
      </c>
      <c r="AA200" s="249">
        <f t="shared" si="243"/>
        <v>2.3599570343655478</v>
      </c>
    </row>
    <row r="201" spans="2:27">
      <c r="B201" s="183" t="s">
        <v>925</v>
      </c>
      <c r="C201" s="193">
        <v>1663</v>
      </c>
      <c r="D201" s="191">
        <v>12.25</v>
      </c>
      <c r="E201" s="192">
        <v>0</v>
      </c>
      <c r="F201" s="193"/>
      <c r="G201" s="190">
        <v>50</v>
      </c>
      <c r="H201" s="191">
        <v>11.475915230510491</v>
      </c>
      <c r="I201" s="191"/>
      <c r="J201" s="191">
        <v>30.296727372298879</v>
      </c>
      <c r="K201" s="191"/>
      <c r="L201" s="191"/>
      <c r="M201" s="191"/>
      <c r="N201" s="195">
        <f t="shared" si="244"/>
        <v>14.057996157375351</v>
      </c>
      <c r="O201" s="196">
        <f t="shared" si="239"/>
        <v>0</v>
      </c>
      <c r="P201" s="332">
        <f>'[4]FY24 Revenue '!$O22</f>
        <v>0</v>
      </c>
      <c r="Q201" s="196">
        <f t="shared" si="245"/>
        <v>9.9779999999999994E-2</v>
      </c>
      <c r="R201" s="332"/>
      <c r="S201" s="196">
        <f t="shared" si="240"/>
        <v>14.157776157375352</v>
      </c>
      <c r="T201" s="332"/>
      <c r="U201" s="196">
        <f t="shared" si="241"/>
        <v>14.157776157375352</v>
      </c>
      <c r="V201" s="332"/>
      <c r="W201" s="332"/>
      <c r="X201" s="332"/>
      <c r="Y201" s="332"/>
      <c r="Z201" s="198">
        <f t="shared" si="242"/>
        <v>0.1871410567128852</v>
      </c>
      <c r="AA201" s="249">
        <f t="shared" si="243"/>
        <v>14.344917214088238</v>
      </c>
    </row>
    <row r="202" spans="2:27">
      <c r="B202" s="183" t="s">
        <v>723</v>
      </c>
      <c r="C202" s="193">
        <v>5</v>
      </c>
      <c r="D202" s="191">
        <v>12.25</v>
      </c>
      <c r="E202" s="192">
        <v>0</v>
      </c>
      <c r="F202" s="193"/>
      <c r="G202" s="190">
        <v>500</v>
      </c>
      <c r="H202" s="191">
        <v>3.9190000000000006E-3</v>
      </c>
      <c r="I202" s="191"/>
      <c r="J202" s="191">
        <v>7.2028213522325139E-3</v>
      </c>
      <c r="K202" s="191"/>
      <c r="L202" s="191"/>
      <c r="M202" s="191"/>
      <c r="N202" s="195">
        <f t="shared" si="244"/>
        <v>4.800775000000001E-3</v>
      </c>
      <c r="O202" s="196">
        <f t="shared" si="239"/>
        <v>0</v>
      </c>
      <c r="P202" s="332">
        <f>'[4]FY24 Revenue '!$O23</f>
        <v>0</v>
      </c>
      <c r="Q202" s="196">
        <f t="shared" si="245"/>
        <v>3.0000000000000001E-3</v>
      </c>
      <c r="R202" s="332"/>
      <c r="S202" s="196">
        <f t="shared" si="240"/>
        <v>7.8007750000000011E-3</v>
      </c>
      <c r="T202" s="332"/>
      <c r="U202" s="196">
        <f t="shared" si="241"/>
        <v>7.8007750000000011E-3</v>
      </c>
      <c r="V202" s="332"/>
      <c r="W202" s="332"/>
      <c r="X202" s="332"/>
      <c r="Y202" s="332"/>
      <c r="Z202" s="198">
        <f t="shared" si="242"/>
        <v>6.390826234999756E-5</v>
      </c>
      <c r="AA202" s="249">
        <f t="shared" si="243"/>
        <v>7.8646832623499984E-3</v>
      </c>
    </row>
    <row r="203" spans="2:27">
      <c r="B203" s="183" t="s">
        <v>724</v>
      </c>
      <c r="C203" s="193">
        <v>58</v>
      </c>
      <c r="D203" s="191">
        <v>6.7</v>
      </c>
      <c r="E203" s="192">
        <v>0</v>
      </c>
      <c r="F203" s="193"/>
      <c r="G203" s="190">
        <v>250</v>
      </c>
      <c r="H203" s="191">
        <v>0.26705956394958441</v>
      </c>
      <c r="I203" s="191"/>
      <c r="J203" s="191">
        <v>1.0521264046653922</v>
      </c>
      <c r="K203" s="191"/>
      <c r="L203" s="191"/>
      <c r="M203" s="191"/>
      <c r="N203" s="195">
        <f t="shared" si="244"/>
        <v>0.17892990784622156</v>
      </c>
      <c r="O203" s="196">
        <f t="shared" si="239"/>
        <v>0</v>
      </c>
      <c r="P203" s="332">
        <f>'[4]FY24 Revenue '!$O24</f>
        <v>0</v>
      </c>
      <c r="Q203" s="196">
        <f t="shared" si="245"/>
        <v>1.7399999999999999E-2</v>
      </c>
      <c r="R203" s="332"/>
      <c r="S203" s="196">
        <f t="shared" si="240"/>
        <v>0.19632990784622156</v>
      </c>
      <c r="T203" s="332"/>
      <c r="U203" s="196">
        <f t="shared" si="241"/>
        <v>0.19632990784622156</v>
      </c>
      <c r="V203" s="332"/>
      <c r="W203" s="332"/>
      <c r="X203" s="332"/>
      <c r="Y203" s="332"/>
      <c r="Z203" s="198">
        <f t="shared" si="242"/>
        <v>4.3550172686823143E-3</v>
      </c>
      <c r="AA203" s="249">
        <f t="shared" si="243"/>
        <v>0.20068492511490388</v>
      </c>
    </row>
    <row r="204" spans="2:27">
      <c r="B204" s="183" t="s">
        <v>725</v>
      </c>
      <c r="C204" s="193">
        <v>0</v>
      </c>
      <c r="D204" s="191">
        <v>12.25</v>
      </c>
      <c r="E204" s="192">
        <v>0</v>
      </c>
      <c r="F204" s="193"/>
      <c r="G204" s="191"/>
      <c r="H204" s="191">
        <v>0</v>
      </c>
      <c r="I204" s="191"/>
      <c r="J204" s="191">
        <v>0</v>
      </c>
      <c r="K204" s="191"/>
      <c r="L204" s="191"/>
      <c r="M204" s="191"/>
      <c r="N204" s="195">
        <f t="shared" si="244"/>
        <v>0</v>
      </c>
      <c r="O204" s="196">
        <f t="shared" si="239"/>
        <v>0</v>
      </c>
      <c r="P204" s="332"/>
      <c r="Q204" s="196">
        <f t="shared" si="245"/>
        <v>0</v>
      </c>
      <c r="R204" s="332"/>
      <c r="S204" s="196">
        <f t="shared" si="240"/>
        <v>0</v>
      </c>
      <c r="T204" s="332"/>
      <c r="U204" s="196">
        <f t="shared" si="241"/>
        <v>0</v>
      </c>
      <c r="V204" s="332"/>
      <c r="W204" s="332"/>
      <c r="X204" s="332"/>
      <c r="Y204" s="332"/>
      <c r="Z204" s="198">
        <f t="shared" si="242"/>
        <v>0</v>
      </c>
      <c r="AA204" s="249">
        <f t="shared" si="243"/>
        <v>0</v>
      </c>
    </row>
    <row r="205" spans="2:27">
      <c r="B205" s="204" t="s">
        <v>926</v>
      </c>
      <c r="C205" s="179">
        <f t="shared" ref="C205" si="246">C206+C207+C208</f>
        <v>21266</v>
      </c>
      <c r="D205" s="181"/>
      <c r="E205" s="211"/>
      <c r="F205" s="179"/>
      <c r="G205" s="212"/>
      <c r="H205" s="181">
        <f t="shared" ref="H205:I205" si="247">H206+H207+H208</f>
        <v>474.80160169849592</v>
      </c>
      <c r="I205" s="181">
        <f t="shared" si="247"/>
        <v>0</v>
      </c>
      <c r="J205" s="181">
        <f t="shared" ref="J205" si="248">J206+J207+J208</f>
        <v>508.27285378720006</v>
      </c>
      <c r="K205" s="181">
        <f>K206+K207+K208</f>
        <v>0</v>
      </c>
      <c r="L205" s="181"/>
      <c r="M205" s="181"/>
      <c r="N205" s="181">
        <f t="shared" ref="N205:P205" si="249">N206+N207+N208</f>
        <v>317.27081658854127</v>
      </c>
      <c r="O205" s="181">
        <f t="shared" si="249"/>
        <v>45.502942082702845</v>
      </c>
      <c r="P205" s="181">
        <f t="shared" si="249"/>
        <v>0</v>
      </c>
      <c r="Q205" s="181">
        <f>Q206+Q207+Q208</f>
        <v>22.131305999999999</v>
      </c>
      <c r="R205" s="181">
        <f t="shared" ref="R205:AA205" si="250">R206+R207+R208</f>
        <v>0</v>
      </c>
      <c r="S205" s="181">
        <f t="shared" si="250"/>
        <v>384.90506467124413</v>
      </c>
      <c r="T205" s="181">
        <f t="shared" si="250"/>
        <v>0</v>
      </c>
      <c r="U205" s="181">
        <f t="shared" si="250"/>
        <v>384.90506467124413</v>
      </c>
      <c r="V205" s="181">
        <f t="shared" si="250"/>
        <v>0</v>
      </c>
      <c r="W205" s="181">
        <f t="shared" si="250"/>
        <v>0</v>
      </c>
      <c r="X205" s="181">
        <f t="shared" si="250"/>
        <v>0</v>
      </c>
      <c r="Y205" s="181">
        <f t="shared" si="250"/>
        <v>0</v>
      </c>
      <c r="Z205" s="181">
        <f t="shared" si="250"/>
        <v>7.7427265439006163</v>
      </c>
      <c r="AA205" s="182">
        <f t="shared" si="250"/>
        <v>392.64779121514471</v>
      </c>
    </row>
    <row r="206" spans="2:27">
      <c r="B206" s="189" t="s">
        <v>927</v>
      </c>
      <c r="C206" s="193">
        <v>19545</v>
      </c>
      <c r="D206" s="191">
        <v>6.7</v>
      </c>
      <c r="E206" s="192">
        <f>75*12</f>
        <v>900</v>
      </c>
      <c r="F206" s="193"/>
      <c r="G206" s="190">
        <v>938</v>
      </c>
      <c r="H206" s="191">
        <v>470.71471194272408</v>
      </c>
      <c r="I206" s="191"/>
      <c r="J206" s="191">
        <v>504.3631076186922</v>
      </c>
      <c r="K206" s="191"/>
      <c r="L206" s="191"/>
      <c r="M206" s="191"/>
      <c r="N206" s="195">
        <f t="shared" si="244"/>
        <v>315.37885700162514</v>
      </c>
      <c r="O206" s="196">
        <f>IF(E206&gt;0,(J206*10^3*E206/10^7)+(K206*0.7457*E206/10^7),(K206*F206/10^7)+(J206*(10^3)*(1/0.7457)*F206/10^7))</f>
        <v>45.392679685682296</v>
      </c>
      <c r="P206" s="332"/>
      <c r="Q206" s="196">
        <f t="shared" ref="Q206:Q208" si="251">G206*C206*12/10^7</f>
        <v>21.999852000000001</v>
      </c>
      <c r="R206" s="332"/>
      <c r="S206" s="196">
        <f>N206+O206+P206+Q206+R206</f>
        <v>382.77138868730742</v>
      </c>
      <c r="T206" s="332"/>
      <c r="U206" s="196">
        <f t="shared" ref="U206:U208" si="252">S206-T206</f>
        <v>382.77138868730742</v>
      </c>
      <c r="V206" s="332"/>
      <c r="W206" s="332"/>
      <c r="X206" s="332"/>
      <c r="Y206" s="332"/>
      <c r="Z206" s="198">
        <f>(H206*$Z$354)/($H$354-$H$218-$H$220-$H$221)</f>
        <v>7.6760804549219532</v>
      </c>
      <c r="AA206" s="249">
        <f t="shared" ref="AA206:AA208" si="253">U206+Z206</f>
        <v>390.44746914222935</v>
      </c>
    </row>
    <row r="207" spans="2:27">
      <c r="B207" s="189" t="s">
        <v>726</v>
      </c>
      <c r="C207" s="193">
        <v>6</v>
      </c>
      <c r="D207" s="191">
        <v>7.45</v>
      </c>
      <c r="E207" s="192">
        <f>75*12</f>
        <v>900</v>
      </c>
      <c r="F207" s="193"/>
      <c r="G207" s="190">
        <v>250</v>
      </c>
      <c r="H207" s="191">
        <v>0.97128629324792215</v>
      </c>
      <c r="I207" s="191"/>
      <c r="J207" s="191">
        <v>0.24891649964182355</v>
      </c>
      <c r="K207" s="191"/>
      <c r="L207" s="191"/>
      <c r="M207" s="191"/>
      <c r="N207" s="195">
        <f t="shared" si="244"/>
        <v>0.72360828846970204</v>
      </c>
      <c r="O207" s="196">
        <f>IF(E207&gt;0,(J207*10^3*E207/10^7)+(K207*0.7457*E207/10^7),(K207*F207/10^7)+(J207*(10^3)*(1/0.7457)*F207/10^7))</f>
        <v>2.2402484967764119E-2</v>
      </c>
      <c r="P207" s="332"/>
      <c r="Q207" s="196">
        <f t="shared" si="251"/>
        <v>1.8E-3</v>
      </c>
      <c r="R207" s="332"/>
      <c r="S207" s="196">
        <f>N207+O207+P207+Q207+R207</f>
        <v>0.74781077343746616</v>
      </c>
      <c r="T207" s="332"/>
      <c r="U207" s="196">
        <f t="shared" si="252"/>
        <v>0.74781077343746616</v>
      </c>
      <c r="V207" s="332"/>
      <c r="W207" s="332"/>
      <c r="X207" s="332"/>
      <c r="Y207" s="332"/>
      <c r="Z207" s="198">
        <f>(H207*$Z$354)/($H$354-$H$218-$H$220-$H$221)</f>
        <v>1.5839045482481467E-2</v>
      </c>
      <c r="AA207" s="249">
        <f t="shared" si="253"/>
        <v>0.76364981891994765</v>
      </c>
    </row>
    <row r="208" spans="2:27">
      <c r="B208" s="189" t="s">
        <v>928</v>
      </c>
      <c r="C208" s="193">
        <v>1715</v>
      </c>
      <c r="D208" s="191">
        <v>3.75</v>
      </c>
      <c r="E208" s="192">
        <f>20*12</f>
        <v>240</v>
      </c>
      <c r="F208" s="193"/>
      <c r="G208" s="190">
        <v>63</v>
      </c>
      <c r="H208" s="191">
        <v>3.1156034625238762</v>
      </c>
      <c r="I208" s="191"/>
      <c r="J208" s="191">
        <v>3.6608296688660493</v>
      </c>
      <c r="K208" s="191"/>
      <c r="L208" s="191"/>
      <c r="M208" s="191"/>
      <c r="N208" s="195">
        <f t="shared" si="244"/>
        <v>1.1683512984464535</v>
      </c>
      <c r="O208" s="196">
        <f>IF(E208&gt;0,(J208*10^3*E208/10^7)+(K208*0.7457*E208/10^7),(K208*F208/10^7)+(J208*(10^3)*(1/0.7457)*F208/10^7))</f>
        <v>8.7859912052785191E-2</v>
      </c>
      <c r="P208" s="332"/>
      <c r="Q208" s="196">
        <f t="shared" si="251"/>
        <v>0.12965399999999999</v>
      </c>
      <c r="R208" s="332"/>
      <c r="S208" s="196">
        <f>N208+O208+P208+Q208+R208</f>
        <v>1.3858652104992386</v>
      </c>
      <c r="T208" s="332"/>
      <c r="U208" s="196">
        <f t="shared" si="252"/>
        <v>1.3858652104992386</v>
      </c>
      <c r="V208" s="332"/>
      <c r="W208" s="332"/>
      <c r="X208" s="332"/>
      <c r="Y208" s="332"/>
      <c r="Z208" s="198">
        <f>(H208*$Z$354)/($H$354-$H$218-$H$220-$H$221)</f>
        <v>5.0807043496181849E-2</v>
      </c>
      <c r="AA208" s="249">
        <f t="shared" si="253"/>
        <v>1.4366722539954204</v>
      </c>
    </row>
    <row r="209" spans="2:27">
      <c r="B209" s="204" t="s">
        <v>727</v>
      </c>
      <c r="C209" s="179">
        <f t="shared" ref="C209" si="254">C210+C211+C212</f>
        <v>136130</v>
      </c>
      <c r="D209" s="181"/>
      <c r="E209" s="211"/>
      <c r="F209" s="179"/>
      <c r="G209" s="212"/>
      <c r="H209" s="181">
        <f t="shared" ref="H209:AA209" si="255">H210+H211+H212</f>
        <v>482.61645911654188</v>
      </c>
      <c r="I209" s="181">
        <f t="shared" si="255"/>
        <v>0</v>
      </c>
      <c r="J209" s="181">
        <f t="shared" ref="J209" si="256">J210+J211+J212</f>
        <v>283.46208005779994</v>
      </c>
      <c r="K209" s="181">
        <f t="shared" si="255"/>
        <v>0</v>
      </c>
      <c r="L209" s="181"/>
      <c r="M209" s="181"/>
      <c r="N209" s="181">
        <f t="shared" si="255"/>
        <v>323.01935259775763</v>
      </c>
      <c r="O209" s="181">
        <f t="shared" si="255"/>
        <v>24.466332436001998</v>
      </c>
      <c r="P209" s="181">
        <f t="shared" si="255"/>
        <v>0</v>
      </c>
      <c r="Q209" s="181">
        <f t="shared" si="255"/>
        <v>6.3112680000000001</v>
      </c>
      <c r="R209" s="181">
        <f t="shared" si="255"/>
        <v>0</v>
      </c>
      <c r="S209" s="181">
        <f t="shared" si="255"/>
        <v>353.79695303375962</v>
      </c>
      <c r="T209" s="181">
        <f t="shared" si="255"/>
        <v>0</v>
      </c>
      <c r="U209" s="181">
        <f t="shared" si="255"/>
        <v>353.79695303375962</v>
      </c>
      <c r="V209" s="181">
        <f t="shared" si="255"/>
        <v>0</v>
      </c>
      <c r="W209" s="181">
        <f t="shared" si="255"/>
        <v>0</v>
      </c>
      <c r="X209" s="181">
        <f t="shared" si="255"/>
        <v>0</v>
      </c>
      <c r="Y209" s="181">
        <f t="shared" si="255"/>
        <v>0</v>
      </c>
      <c r="Z209" s="181">
        <f t="shared" si="255"/>
        <v>7.8701656758476197</v>
      </c>
      <c r="AA209" s="182">
        <f t="shared" si="255"/>
        <v>361.66711870960728</v>
      </c>
    </row>
    <row r="210" spans="2:27" ht="21">
      <c r="B210" s="183" t="s">
        <v>728</v>
      </c>
      <c r="C210" s="193">
        <v>58092</v>
      </c>
      <c r="D210" s="191">
        <v>7</v>
      </c>
      <c r="E210" s="192">
        <v>900</v>
      </c>
      <c r="F210" s="193"/>
      <c r="G210" s="190">
        <v>35</v>
      </c>
      <c r="H210" s="191">
        <v>311.15943092575702</v>
      </c>
      <c r="I210" s="191"/>
      <c r="J210" s="191">
        <v>141.86161275779997</v>
      </c>
      <c r="K210" s="191"/>
      <c r="L210" s="191"/>
      <c r="M210" s="191"/>
      <c r="N210" s="195">
        <f t="shared" si="244"/>
        <v>217.81160164802992</v>
      </c>
      <c r="O210" s="196">
        <f>IF(E210&gt;0,(J210*10^3*E210/10^7)+(K210*0.7457*E210/10^7),(K210*F210/10^7)+(J210*(10^3)*(1/0.7457)*F210/10^7))</f>
        <v>12.767545148201998</v>
      </c>
      <c r="P210" s="332"/>
      <c r="Q210" s="196">
        <f t="shared" ref="Q210:Q211" si="257">G210*C210*12/10^7</f>
        <v>2.439864</v>
      </c>
      <c r="R210" s="332"/>
      <c r="S210" s="196">
        <f>N210+O210+P210+Q210+R210</f>
        <v>233.01901079623192</v>
      </c>
      <c r="T210" s="332"/>
      <c r="U210" s="196">
        <f t="shared" ref="U210:U211" si="258">S210-T210</f>
        <v>233.01901079623192</v>
      </c>
      <c r="V210" s="332"/>
      <c r="W210" s="332"/>
      <c r="X210" s="332"/>
      <c r="Y210" s="332"/>
      <c r="Z210" s="198">
        <f>(H210*$Z$354)/($H$354-$H$218-$H$220-$H$221)</f>
        <v>5.0741665078538452</v>
      </c>
      <c r="AA210" s="249">
        <f t="shared" ref="AA210:AA211" si="259">U210+Z210</f>
        <v>238.09317730408577</v>
      </c>
    </row>
    <row r="211" spans="2:27">
      <c r="B211" s="183" t="s">
        <v>729</v>
      </c>
      <c r="C211" s="193">
        <v>59002</v>
      </c>
      <c r="D211" s="191">
        <v>7</v>
      </c>
      <c r="E211" s="192">
        <v>900</v>
      </c>
      <c r="F211" s="193"/>
      <c r="G211" s="190">
        <v>45</v>
      </c>
      <c r="H211" s="191">
        <v>122.77037589795877</v>
      </c>
      <c r="I211" s="191"/>
      <c r="J211" s="191">
        <v>122.24389749999999</v>
      </c>
      <c r="K211" s="191"/>
      <c r="L211" s="191"/>
      <c r="M211" s="191"/>
      <c r="N211" s="195">
        <f t="shared" si="244"/>
        <v>85.939263128571142</v>
      </c>
      <c r="O211" s="196">
        <f>IF(E211&gt;0,(J211*10^3*E211/10^7)+(K211*0.7457*E211/10^7),(K211*F211/10^7)+(J211*(10^3)*(1/0.7457)*F211/10^7))</f>
        <v>11.001950774999999</v>
      </c>
      <c r="P211" s="332"/>
      <c r="Q211" s="196">
        <f t="shared" si="257"/>
        <v>3.1861079999999999</v>
      </c>
      <c r="R211" s="332"/>
      <c r="S211" s="196">
        <f>N211+O211+P211+Q211+R211</f>
        <v>100.12732190357114</v>
      </c>
      <c r="T211" s="332"/>
      <c r="U211" s="196">
        <f t="shared" si="258"/>
        <v>100.12732190357114</v>
      </c>
      <c r="V211" s="332"/>
      <c r="W211" s="332"/>
      <c r="X211" s="332"/>
      <c r="Y211" s="332"/>
      <c r="Z211" s="198">
        <f>(H211*$Z$354)/($H$354-$H$218-$H$220-$H$221)</f>
        <v>2.002051898875878</v>
      </c>
      <c r="AA211" s="249">
        <f t="shared" si="259"/>
        <v>102.12937380244702</v>
      </c>
    </row>
    <row r="212" spans="2:27">
      <c r="B212" s="183" t="s">
        <v>730</v>
      </c>
      <c r="C212" s="184">
        <f t="shared" ref="C212" si="260">C213+C214</f>
        <v>19036</v>
      </c>
      <c r="D212" s="186"/>
      <c r="E212" s="207"/>
      <c r="F212" s="186"/>
      <c r="G212" s="185"/>
      <c r="H212" s="186">
        <f t="shared" ref="H212:AA212" si="261">H213+H214</f>
        <v>48.686652292826068</v>
      </c>
      <c r="I212" s="186">
        <f t="shared" si="261"/>
        <v>0</v>
      </c>
      <c r="J212" s="186">
        <f t="shared" ref="J212" si="262">J213+J214</f>
        <v>19.356569799999995</v>
      </c>
      <c r="K212" s="186">
        <f t="shared" si="261"/>
        <v>0</v>
      </c>
      <c r="L212" s="186"/>
      <c r="M212" s="186"/>
      <c r="N212" s="186">
        <f t="shared" si="261"/>
        <v>19.268487821156569</v>
      </c>
      <c r="O212" s="186">
        <f t="shared" si="261"/>
        <v>0.69683651279999981</v>
      </c>
      <c r="P212" s="186">
        <f t="shared" si="261"/>
        <v>0</v>
      </c>
      <c r="Q212" s="186">
        <f t="shared" si="261"/>
        <v>0.68529600000000002</v>
      </c>
      <c r="R212" s="186">
        <f t="shared" si="261"/>
        <v>0</v>
      </c>
      <c r="S212" s="186">
        <f t="shared" si="261"/>
        <v>20.650620333956567</v>
      </c>
      <c r="T212" s="186">
        <f t="shared" si="261"/>
        <v>0</v>
      </c>
      <c r="U212" s="186">
        <f t="shared" si="261"/>
        <v>20.650620333956567</v>
      </c>
      <c r="V212" s="186">
        <f t="shared" si="261"/>
        <v>0</v>
      </c>
      <c r="W212" s="186">
        <f t="shared" si="261"/>
        <v>0</v>
      </c>
      <c r="X212" s="186">
        <f t="shared" si="261"/>
        <v>0</v>
      </c>
      <c r="Y212" s="186">
        <f t="shared" si="261"/>
        <v>0</v>
      </c>
      <c r="Z212" s="186">
        <f t="shared" si="261"/>
        <v>0.79394726911789693</v>
      </c>
      <c r="AA212" s="187">
        <f t="shared" si="261"/>
        <v>21.444567603074464</v>
      </c>
    </row>
    <row r="213" spans="2:27">
      <c r="B213" s="140" t="s">
        <v>689</v>
      </c>
      <c r="C213" s="193">
        <v>18343</v>
      </c>
      <c r="D213" s="191">
        <v>3.85</v>
      </c>
      <c r="E213" s="192">
        <v>360</v>
      </c>
      <c r="F213" s="193"/>
      <c r="G213" s="190">
        <v>30</v>
      </c>
      <c r="H213" s="191">
        <v>44.129028915273608</v>
      </c>
      <c r="I213" s="191"/>
      <c r="J213" s="191">
        <v>13.730413799999994</v>
      </c>
      <c r="K213" s="191"/>
      <c r="L213" s="191"/>
      <c r="M213" s="191"/>
      <c r="N213" s="195">
        <f t="shared" si="244"/>
        <v>16.989676132380339</v>
      </c>
      <c r="O213" s="196">
        <f>IF(E213&gt;0,(J213*10^3*E213/10^7)+(K213*0.7457*E213/10^7),(K213*F213/10^7)+(J213*(10^3)*(1/0.7457)*F213/10^7))</f>
        <v>0.49429489679999977</v>
      </c>
      <c r="P213" s="332"/>
      <c r="Q213" s="196">
        <f t="shared" ref="Q213:Q214" si="263">G213*C213*12/10^7</f>
        <v>0.66034800000000005</v>
      </c>
      <c r="R213" s="332"/>
      <c r="S213" s="196">
        <f>N213+O213+P213+Q213+R213</f>
        <v>18.144319029180338</v>
      </c>
      <c r="T213" s="332"/>
      <c r="U213" s="196">
        <f t="shared" ref="U213:U214" si="264">S213-T213</f>
        <v>18.144319029180338</v>
      </c>
      <c r="V213" s="332"/>
      <c r="W213" s="332"/>
      <c r="X213" s="332"/>
      <c r="Y213" s="332"/>
      <c r="Z213" s="198">
        <f>(H213*$Z$354)/($H$354-$H$218-$H$220-$H$221)</f>
        <v>0.7196247913161351</v>
      </c>
      <c r="AA213" s="249">
        <f t="shared" ref="AA213:AA214" si="265">U213+Z213</f>
        <v>18.863943820496473</v>
      </c>
    </row>
    <row r="214" spans="2:27">
      <c r="B214" s="140" t="s">
        <v>690</v>
      </c>
      <c r="C214" s="193">
        <v>693</v>
      </c>
      <c r="D214" s="191">
        <v>5</v>
      </c>
      <c r="E214" s="192">
        <v>360</v>
      </c>
      <c r="F214" s="193"/>
      <c r="G214" s="190">
        <v>30</v>
      </c>
      <c r="H214" s="191">
        <v>4.5576233775524591</v>
      </c>
      <c r="I214" s="191"/>
      <c r="J214" s="191">
        <v>5.6261559999999999</v>
      </c>
      <c r="K214" s="191"/>
      <c r="L214" s="191"/>
      <c r="M214" s="191"/>
      <c r="N214" s="195">
        <f t="shared" si="244"/>
        <v>2.2788116887762295</v>
      </c>
      <c r="O214" s="196">
        <f>IF(E214&gt;0,(J214*10^3*E214/10^7)+(K214*0.7457*E214/10^7),(K214*F214/10^7)+(J214*(10^3)*(1/0.7457)*F214/10^7))</f>
        <v>0.20254161599999998</v>
      </c>
      <c r="P214" s="332"/>
      <c r="Q214" s="196">
        <f t="shared" si="263"/>
        <v>2.4948000000000001E-2</v>
      </c>
      <c r="R214" s="332"/>
      <c r="S214" s="196">
        <f>N214+O214+P214+Q214+R214</f>
        <v>2.5063013047762297</v>
      </c>
      <c r="T214" s="332"/>
      <c r="U214" s="196">
        <f t="shared" si="264"/>
        <v>2.5063013047762297</v>
      </c>
      <c r="V214" s="332"/>
      <c r="W214" s="332"/>
      <c r="X214" s="332"/>
      <c r="Y214" s="332"/>
      <c r="Z214" s="198">
        <f>(H214*$Z$354)/($H$354-$H$218-$H$220-$H$221)</f>
        <v>7.4322477801761794E-2</v>
      </c>
      <c r="AA214" s="249">
        <f t="shared" si="265"/>
        <v>2.5806237825779914</v>
      </c>
    </row>
    <row r="215" spans="2:27">
      <c r="B215" s="204" t="s">
        <v>731</v>
      </c>
      <c r="C215" s="179">
        <f t="shared" ref="C215" si="266">C216+C223</f>
        <v>321987</v>
      </c>
      <c r="D215" s="214"/>
      <c r="E215" s="205"/>
      <c r="F215" s="214"/>
      <c r="G215" s="180"/>
      <c r="H215" s="181">
        <f t="shared" ref="H215:AA215" si="267">H216+H223</f>
        <v>4454.29175848861</v>
      </c>
      <c r="I215" s="181">
        <f t="shared" si="267"/>
        <v>0</v>
      </c>
      <c r="J215" s="181">
        <f t="shared" ref="J215" si="268">J216+J223</f>
        <v>1386.9110909999997</v>
      </c>
      <c r="K215" s="181">
        <f t="shared" si="267"/>
        <v>2323578.7823040001</v>
      </c>
      <c r="L215" s="181"/>
      <c r="M215" s="181"/>
      <c r="N215" s="181">
        <f t="shared" si="267"/>
        <v>823.40474263289582</v>
      </c>
      <c r="O215" s="181">
        <f t="shared" si="267"/>
        <v>49.922851475999984</v>
      </c>
      <c r="P215" s="181">
        <f t="shared" si="267"/>
        <v>0</v>
      </c>
      <c r="Q215" s="181">
        <f t="shared" si="267"/>
        <v>11.591532000000001</v>
      </c>
      <c r="R215" s="181">
        <f t="shared" si="267"/>
        <v>0</v>
      </c>
      <c r="S215" s="181">
        <f t="shared" si="267"/>
        <v>884.91912610889574</v>
      </c>
      <c r="T215" s="181">
        <f t="shared" si="267"/>
        <v>0</v>
      </c>
      <c r="U215" s="181">
        <f t="shared" si="267"/>
        <v>884.91912610889574</v>
      </c>
      <c r="V215" s="181">
        <f t="shared" si="267"/>
        <v>0</v>
      </c>
      <c r="W215" s="181">
        <f t="shared" si="267"/>
        <v>0</v>
      </c>
      <c r="X215" s="181">
        <f t="shared" si="267"/>
        <v>0</v>
      </c>
      <c r="Y215" s="181">
        <f t="shared" si="267"/>
        <v>0</v>
      </c>
      <c r="Z215" s="181">
        <f t="shared" si="267"/>
        <v>34.895824254551123</v>
      </c>
      <c r="AA215" s="182">
        <f t="shared" si="267"/>
        <v>919.814950363447</v>
      </c>
    </row>
    <row r="216" spans="2:27">
      <c r="B216" s="215" t="s">
        <v>732</v>
      </c>
      <c r="C216" s="216">
        <f>SUM(C217:C222)</f>
        <v>288575</v>
      </c>
      <c r="D216" s="217"/>
      <c r="E216" s="207"/>
      <c r="F216" s="217"/>
      <c r="G216" s="218"/>
      <c r="H216" s="217">
        <f>SUM(H217:H222)</f>
        <v>2323.5401933219423</v>
      </c>
      <c r="I216" s="217">
        <f t="shared" ref="I216" si="269">SUM(I217:I222)</f>
        <v>0</v>
      </c>
      <c r="J216" s="217">
        <f>SUM(J217:J222)</f>
        <v>2.2880000000000001E-2</v>
      </c>
      <c r="K216" s="217">
        <f t="shared" ref="K216:AA216" si="270">SUM(K217:K222)</f>
        <v>2323578.7823040001</v>
      </c>
      <c r="L216" s="217"/>
      <c r="M216" s="217"/>
      <c r="N216" s="217">
        <f t="shared" si="270"/>
        <v>3.0744307935400164</v>
      </c>
      <c r="O216" s="217">
        <f t="shared" si="270"/>
        <v>2.0592000000000002E-3</v>
      </c>
      <c r="P216" s="217">
        <f t="shared" si="270"/>
        <v>0</v>
      </c>
      <c r="Q216" s="217">
        <f t="shared" si="270"/>
        <v>10.388700000000002</v>
      </c>
      <c r="R216" s="217">
        <f t="shared" si="270"/>
        <v>0</v>
      </c>
      <c r="S216" s="217">
        <f t="shared" si="270"/>
        <v>13.465189993540019</v>
      </c>
      <c r="T216" s="217">
        <f t="shared" si="270"/>
        <v>0</v>
      </c>
      <c r="U216" s="217">
        <f t="shared" si="270"/>
        <v>13.465189993540019</v>
      </c>
      <c r="V216" s="217">
        <f t="shared" si="270"/>
        <v>0</v>
      </c>
      <c r="W216" s="217">
        <f t="shared" si="270"/>
        <v>0</v>
      </c>
      <c r="X216" s="217">
        <f t="shared" si="270"/>
        <v>0</v>
      </c>
      <c r="Y216" s="217">
        <f t="shared" si="270"/>
        <v>0</v>
      </c>
      <c r="Z216" s="217">
        <f t="shared" si="270"/>
        <v>0.14904445630174903</v>
      </c>
      <c r="AA216" s="219">
        <f t="shared" si="270"/>
        <v>13.614234449841767</v>
      </c>
    </row>
    <row r="217" spans="2:27">
      <c r="B217" s="189" t="s">
        <v>912</v>
      </c>
      <c r="C217" s="193">
        <f>'[4]FY24 Sales'!$E38</f>
        <v>2934</v>
      </c>
      <c r="D217" s="191">
        <v>3.5</v>
      </c>
      <c r="E217" s="192"/>
      <c r="F217" s="190"/>
      <c r="G217" s="190">
        <v>30</v>
      </c>
      <c r="H217" s="191">
        <f>'[4]FY24 Sales'!$T38</f>
        <v>7.7927543090429046</v>
      </c>
      <c r="I217" s="191"/>
      <c r="J217" s="191">
        <f>'[4]FY24 Sales'!$F38</f>
        <v>0</v>
      </c>
      <c r="K217" s="191">
        <f>'[4]FY24 Sales'!$G38</f>
        <v>16454.786400000001</v>
      </c>
      <c r="L217" s="191"/>
      <c r="M217" s="191"/>
      <c r="N217" s="195">
        <f t="shared" ref="N217:N222" si="271">H217*D217/10</f>
        <v>2.7274640081650166</v>
      </c>
      <c r="O217" s="196">
        <f t="shared" ref="O217:O222" si="272">IF(E217&gt;0,(J217*10^3*E217/10^7)+(K217*0.7457*E217/10^7),(K217*F217/10^7)+(J217*(10^3)*(1/0.7457)*F217/10^7))</f>
        <v>0</v>
      </c>
      <c r="P217" s="332"/>
      <c r="Q217" s="196">
        <f t="shared" ref="Q217:Q222" si="273">G217*C217*12/10^7</f>
        <v>0.105624</v>
      </c>
      <c r="R217" s="332"/>
      <c r="S217" s="196">
        <f t="shared" ref="S217:S222" si="274">N217+O217+P217+Q217+R217</f>
        <v>2.8330880081650167</v>
      </c>
      <c r="T217" s="332"/>
      <c r="U217" s="196">
        <f t="shared" ref="U217:U222" si="275">S217-T217</f>
        <v>2.8330880081650167</v>
      </c>
      <c r="V217" s="332"/>
      <c r="W217" s="332"/>
      <c r="X217" s="332"/>
      <c r="Y217" s="332"/>
      <c r="Z217" s="198">
        <f>(H217*$Z$354)/($H$354-$H$218-$H$220-$H$221)</f>
        <v>0.12707869017897111</v>
      </c>
      <c r="AA217" s="249">
        <f t="shared" ref="AA217:AA222" si="276">U217+Z217</f>
        <v>2.960166698343988</v>
      </c>
    </row>
    <row r="218" spans="2:27">
      <c r="B218" s="189" t="s">
        <v>913</v>
      </c>
      <c r="C218" s="193">
        <f>'[4]FY24 Sales'!$E39</f>
        <v>283658</v>
      </c>
      <c r="D218" s="191"/>
      <c r="E218" s="192"/>
      <c r="F218" s="190"/>
      <c r="G218" s="190">
        <v>30</v>
      </c>
      <c r="H218" s="191">
        <f>'[4]FY24 Sales'!$T39</f>
        <v>2299.2668890278997</v>
      </c>
      <c r="I218" s="191"/>
      <c r="J218" s="191">
        <f>'[4]FY24 Sales'!$F39</f>
        <v>0</v>
      </c>
      <c r="K218" s="191">
        <f>'[4]FY24 Sales'!$G39</f>
        <v>2296838.2751600002</v>
      </c>
      <c r="L218" s="191"/>
      <c r="M218" s="191"/>
      <c r="N218" s="195">
        <f t="shared" si="271"/>
        <v>0</v>
      </c>
      <c r="O218" s="196">
        <f t="shared" si="272"/>
        <v>0</v>
      </c>
      <c r="P218" s="332"/>
      <c r="Q218" s="196">
        <f t="shared" si="273"/>
        <v>10.211688000000001</v>
      </c>
      <c r="R218" s="332"/>
      <c r="S218" s="196">
        <f t="shared" si="274"/>
        <v>10.211688000000001</v>
      </c>
      <c r="T218" s="332"/>
      <c r="U218" s="196">
        <f t="shared" si="275"/>
        <v>10.211688000000001</v>
      </c>
      <c r="V218" s="332"/>
      <c r="W218" s="332"/>
      <c r="X218" s="332"/>
      <c r="Y218" s="332"/>
      <c r="Z218" s="198"/>
      <c r="AA218" s="249">
        <f t="shared" si="276"/>
        <v>10.211688000000001</v>
      </c>
    </row>
    <row r="219" spans="2:27">
      <c r="B219" s="189" t="s">
        <v>733</v>
      </c>
      <c r="C219" s="193">
        <f>'[4]FY24 Sales'!$E40</f>
        <v>84</v>
      </c>
      <c r="D219" s="191">
        <v>2.5</v>
      </c>
      <c r="E219" s="192"/>
      <c r="F219" s="190"/>
      <c r="G219" s="190">
        <v>30</v>
      </c>
      <c r="H219" s="191">
        <f>'[4]FY24 Sales'!$T40</f>
        <v>1.2958952325000002</v>
      </c>
      <c r="I219" s="191"/>
      <c r="J219" s="191">
        <f>'[4]FY24 Sales'!$F40</f>
        <v>0</v>
      </c>
      <c r="K219" s="191">
        <f>'[4]FY24 Sales'!$G40</f>
        <v>534.0775440000001</v>
      </c>
      <c r="L219" s="191"/>
      <c r="M219" s="191"/>
      <c r="N219" s="195">
        <f t="shared" si="271"/>
        <v>0.32397380812500004</v>
      </c>
      <c r="O219" s="196">
        <f t="shared" si="272"/>
        <v>0</v>
      </c>
      <c r="P219" s="332"/>
      <c r="Q219" s="196">
        <f t="shared" si="273"/>
        <v>3.0240000000000002E-3</v>
      </c>
      <c r="R219" s="332"/>
      <c r="S219" s="196">
        <f t="shared" si="274"/>
        <v>0.32699780812500007</v>
      </c>
      <c r="T219" s="332"/>
      <c r="U219" s="196">
        <f t="shared" si="275"/>
        <v>0.32699780812500007</v>
      </c>
      <c r="V219" s="332"/>
      <c r="W219" s="332"/>
      <c r="X219" s="332"/>
      <c r="Y219" s="332"/>
      <c r="Z219" s="198">
        <f>(H219*$Z$354)/($H$354-$H$218-$H$220-$H$221)</f>
        <v>2.1132536998397823E-2</v>
      </c>
      <c r="AA219" s="249">
        <f t="shared" si="276"/>
        <v>0.34813034512339791</v>
      </c>
    </row>
    <row r="220" spans="2:27">
      <c r="B220" s="189" t="s">
        <v>734</v>
      </c>
      <c r="C220" s="193">
        <f>'[4]FY24 Sales'!$E41</f>
        <v>30</v>
      </c>
      <c r="D220" s="191"/>
      <c r="E220" s="192"/>
      <c r="F220" s="190"/>
      <c r="G220" s="190">
        <v>30</v>
      </c>
      <c r="H220" s="191">
        <f>'[4]FY24 Sales'!$T41</f>
        <v>0.20401415000000001</v>
      </c>
      <c r="I220" s="191"/>
      <c r="J220" s="191">
        <f>'[4]FY24 Sales'!$F41</f>
        <v>0</v>
      </c>
      <c r="K220" s="191">
        <f>'[4]FY24 Sales'!$G41</f>
        <v>258.55440000000004</v>
      </c>
      <c r="L220" s="191"/>
      <c r="M220" s="191"/>
      <c r="N220" s="195">
        <f t="shared" si="271"/>
        <v>0</v>
      </c>
      <c r="O220" s="196">
        <f t="shared" si="272"/>
        <v>0</v>
      </c>
      <c r="P220" s="332"/>
      <c r="Q220" s="196">
        <f t="shared" si="273"/>
        <v>1.08E-3</v>
      </c>
      <c r="R220" s="332"/>
      <c r="S220" s="196">
        <f t="shared" si="274"/>
        <v>1.08E-3</v>
      </c>
      <c r="T220" s="332"/>
      <c r="U220" s="196">
        <f t="shared" si="275"/>
        <v>1.08E-3</v>
      </c>
      <c r="V220" s="332"/>
      <c r="W220" s="332"/>
      <c r="X220" s="332"/>
      <c r="Y220" s="332"/>
      <c r="Z220" s="198"/>
      <c r="AA220" s="249">
        <f t="shared" si="276"/>
        <v>1.08E-3</v>
      </c>
    </row>
    <row r="221" spans="2:27">
      <c r="B221" s="189" t="s">
        <v>735</v>
      </c>
      <c r="C221" s="193">
        <f>'[4]FY24 Sales'!$E42</f>
        <v>1863</v>
      </c>
      <c r="D221" s="191"/>
      <c r="E221" s="192"/>
      <c r="F221" s="190"/>
      <c r="G221" s="190">
        <v>30</v>
      </c>
      <c r="H221" s="191">
        <f>'[4]FY24 Sales'!$T42</f>
        <v>14.9295450975</v>
      </c>
      <c r="I221" s="191"/>
      <c r="J221" s="191">
        <f>'[4]FY24 Sales'!$F42</f>
        <v>0</v>
      </c>
      <c r="K221" s="191">
        <f>'[4]FY24 Sales'!$G42</f>
        <v>9493.0887999999995</v>
      </c>
      <c r="L221" s="191"/>
      <c r="M221" s="191"/>
      <c r="N221" s="195">
        <f t="shared" si="271"/>
        <v>0</v>
      </c>
      <c r="O221" s="196">
        <f t="shared" si="272"/>
        <v>0</v>
      </c>
      <c r="P221" s="332"/>
      <c r="Q221" s="196">
        <f t="shared" si="273"/>
        <v>6.7068000000000003E-2</v>
      </c>
      <c r="R221" s="332"/>
      <c r="S221" s="196">
        <f t="shared" si="274"/>
        <v>6.7068000000000003E-2</v>
      </c>
      <c r="T221" s="332"/>
      <c r="U221" s="196">
        <f t="shared" si="275"/>
        <v>6.7068000000000003E-2</v>
      </c>
      <c r="V221" s="332"/>
      <c r="W221" s="332"/>
      <c r="X221" s="332"/>
      <c r="Y221" s="332"/>
      <c r="Z221" s="198"/>
      <c r="AA221" s="249">
        <f t="shared" si="276"/>
        <v>6.7068000000000003E-2</v>
      </c>
    </row>
    <row r="222" spans="2:27">
      <c r="B222" s="220" t="s">
        <v>736</v>
      </c>
      <c r="C222" s="193">
        <f>'[4]FY24 Sales'!$E43</f>
        <v>6</v>
      </c>
      <c r="D222" s="191">
        <v>4.5</v>
      </c>
      <c r="E222" s="192">
        <f>75*12</f>
        <v>900</v>
      </c>
      <c r="F222" s="190"/>
      <c r="G222" s="190">
        <v>30</v>
      </c>
      <c r="H222" s="191">
        <f>'[4]FY24 Sales'!$T43</f>
        <v>5.1095504999999999E-2</v>
      </c>
      <c r="I222" s="191"/>
      <c r="J222" s="191">
        <f>'[4]FY24 Sales'!$F43</f>
        <v>2.2880000000000001E-2</v>
      </c>
      <c r="K222" s="191"/>
      <c r="L222" s="191"/>
      <c r="M222" s="191"/>
      <c r="N222" s="195">
        <f t="shared" si="271"/>
        <v>2.2992977249999998E-2</v>
      </c>
      <c r="O222" s="196">
        <f t="shared" si="272"/>
        <v>2.0592000000000002E-3</v>
      </c>
      <c r="P222" s="332"/>
      <c r="Q222" s="196">
        <f t="shared" si="273"/>
        <v>2.1599999999999999E-4</v>
      </c>
      <c r="R222" s="332"/>
      <c r="S222" s="196">
        <f t="shared" si="274"/>
        <v>2.5268177249999999E-2</v>
      </c>
      <c r="T222" s="332"/>
      <c r="U222" s="196">
        <f t="shared" si="275"/>
        <v>2.5268177249999999E-2</v>
      </c>
      <c r="V222" s="332"/>
      <c r="W222" s="332"/>
      <c r="X222" s="332"/>
      <c r="Y222" s="332"/>
      <c r="Z222" s="198">
        <f>(H222*$Z$354)/($H$354-$H$218-$H$220-$H$221)</f>
        <v>8.3322912438009986E-4</v>
      </c>
      <c r="AA222" s="249">
        <f t="shared" si="276"/>
        <v>2.61014063743801E-2</v>
      </c>
    </row>
    <row r="223" spans="2:27">
      <c r="B223" s="215" t="s">
        <v>691</v>
      </c>
      <c r="C223" s="216">
        <f t="shared" ref="C223" si="277">C224+C225</f>
        <v>33412</v>
      </c>
      <c r="D223" s="217"/>
      <c r="E223" s="207"/>
      <c r="F223" s="217"/>
      <c r="G223" s="222"/>
      <c r="H223" s="217">
        <f t="shared" ref="H223:AA223" si="278">H224+H225</f>
        <v>2130.7515651666677</v>
      </c>
      <c r="I223" s="217">
        <f t="shared" si="278"/>
        <v>0</v>
      </c>
      <c r="J223" s="217">
        <f t="shared" ref="J223" si="279">J224+J225</f>
        <v>1386.8882109999997</v>
      </c>
      <c r="K223" s="217">
        <f t="shared" si="278"/>
        <v>0</v>
      </c>
      <c r="L223" s="217"/>
      <c r="M223" s="217"/>
      <c r="N223" s="217">
        <f t="shared" si="278"/>
        <v>820.33031183935577</v>
      </c>
      <c r="O223" s="217">
        <f t="shared" si="278"/>
        <v>49.920792275999986</v>
      </c>
      <c r="P223" s="217">
        <f t="shared" si="278"/>
        <v>0</v>
      </c>
      <c r="Q223" s="217">
        <f t="shared" si="278"/>
        <v>1.2028319999999999</v>
      </c>
      <c r="R223" s="217">
        <f t="shared" si="278"/>
        <v>0</v>
      </c>
      <c r="S223" s="217">
        <f t="shared" si="278"/>
        <v>871.45393611535576</v>
      </c>
      <c r="T223" s="217">
        <f t="shared" si="278"/>
        <v>0</v>
      </c>
      <c r="U223" s="217">
        <f t="shared" si="278"/>
        <v>871.45393611535576</v>
      </c>
      <c r="V223" s="217">
        <f t="shared" si="278"/>
        <v>0</v>
      </c>
      <c r="W223" s="217">
        <f t="shared" si="278"/>
        <v>0</v>
      </c>
      <c r="X223" s="217">
        <f t="shared" si="278"/>
        <v>0</v>
      </c>
      <c r="Y223" s="217">
        <f t="shared" si="278"/>
        <v>0</v>
      </c>
      <c r="Z223" s="217">
        <f t="shared" si="278"/>
        <v>34.746779798249371</v>
      </c>
      <c r="AA223" s="219">
        <f t="shared" si="278"/>
        <v>906.20071591360522</v>
      </c>
    </row>
    <row r="224" spans="2:27">
      <c r="B224" s="189" t="s">
        <v>737</v>
      </c>
      <c r="C224" s="193">
        <v>33242</v>
      </c>
      <c r="D224" s="191">
        <v>3.85</v>
      </c>
      <c r="E224" s="192">
        <v>360</v>
      </c>
      <c r="F224" s="193"/>
      <c r="G224" s="190">
        <v>30</v>
      </c>
      <c r="H224" s="191">
        <v>2129.8474901855247</v>
      </c>
      <c r="I224" s="191"/>
      <c r="J224" s="191">
        <v>1386.2896009999997</v>
      </c>
      <c r="K224" s="191"/>
      <c r="L224" s="191"/>
      <c r="M224" s="191"/>
      <c r="N224" s="195">
        <f t="shared" ref="N224:N225" si="280">H224*D224/10</f>
        <v>819.99128372142718</v>
      </c>
      <c r="O224" s="196">
        <f>IF(E224&gt;0,(J224*10^3*E224/10^7)+(K224*0.7457*E224/10^7),(K224*F224/10^7)+(J224*(10^3)*(1/0.7457)*F224/10^7))</f>
        <v>49.906425635999987</v>
      </c>
      <c r="P224" s="332"/>
      <c r="Q224" s="196">
        <f t="shared" ref="Q224:Q225" si="281">G224*C224*12/10^7</f>
        <v>1.196712</v>
      </c>
      <c r="R224" s="332"/>
      <c r="S224" s="196">
        <f>N224+O224+P224+Q224+R224</f>
        <v>871.09442135742722</v>
      </c>
      <c r="T224" s="332"/>
      <c r="U224" s="196">
        <f t="shared" ref="U224:U225" si="282">S224-T224</f>
        <v>871.09442135742722</v>
      </c>
      <c r="V224" s="332"/>
      <c r="W224" s="332"/>
      <c r="X224" s="332"/>
      <c r="Y224" s="332"/>
      <c r="Z224" s="198">
        <f>(H224*$Z$354)/($H$354-$H$218-$H$220-$H$221)</f>
        <v>34.732036787001874</v>
      </c>
      <c r="AA224" s="249">
        <f t="shared" ref="AA224:AA225" si="283">U224+Z224</f>
        <v>905.82645814442913</v>
      </c>
    </row>
    <row r="225" spans="2:29">
      <c r="B225" s="189" t="s">
        <v>741</v>
      </c>
      <c r="C225" s="193">
        <v>170</v>
      </c>
      <c r="D225" s="191">
        <v>3.75</v>
      </c>
      <c r="E225" s="192">
        <v>240</v>
      </c>
      <c r="F225" s="193"/>
      <c r="G225" s="190">
        <v>30</v>
      </c>
      <c r="H225" s="191">
        <v>0.90407498114279838</v>
      </c>
      <c r="I225" s="191"/>
      <c r="J225" s="191">
        <v>0.59861000000000009</v>
      </c>
      <c r="K225" s="191"/>
      <c r="L225" s="191"/>
      <c r="M225" s="191"/>
      <c r="N225" s="195">
        <f t="shared" si="280"/>
        <v>0.33902811792854937</v>
      </c>
      <c r="O225" s="196">
        <f>IF(E225&gt;0,(J225*10^3*E225/10^7)+(K225*0.7457*E225/10^7),(K225*F225/10^7)+(J225*(10^3)*(1/0.7457)*F225/10^7))</f>
        <v>1.4366640000000002E-2</v>
      </c>
      <c r="P225" s="332"/>
      <c r="Q225" s="196">
        <f t="shared" si="281"/>
        <v>6.1199999999999996E-3</v>
      </c>
      <c r="R225" s="332"/>
      <c r="S225" s="196">
        <f>N225+O225+P225+Q225+R225</f>
        <v>0.35951475792854937</v>
      </c>
      <c r="T225" s="332"/>
      <c r="U225" s="196">
        <f t="shared" si="282"/>
        <v>0.35951475792854937</v>
      </c>
      <c r="V225" s="332"/>
      <c r="W225" s="332"/>
      <c r="X225" s="332"/>
      <c r="Y225" s="332"/>
      <c r="Z225" s="198">
        <f>(H225*$Z$354)/($H$354-$H$218-$H$220-$H$221)</f>
        <v>1.4743011247497589E-2</v>
      </c>
      <c r="AA225" s="249">
        <f t="shared" si="283"/>
        <v>0.37425776917604697</v>
      </c>
    </row>
    <row r="226" spans="2:29">
      <c r="B226" s="223" t="s">
        <v>600</v>
      </c>
      <c r="C226" s="224">
        <f t="shared" ref="C226" si="284">C184+C193+C205+C209+C215</f>
        <v>7654522</v>
      </c>
      <c r="D226" s="174">
        <v>0</v>
      </c>
      <c r="E226" s="174">
        <v>0</v>
      </c>
      <c r="F226" s="174">
        <v>0</v>
      </c>
      <c r="G226" s="174">
        <v>0</v>
      </c>
      <c r="H226" s="174">
        <f t="shared" ref="H226:T226" si="285">H184+H193+H205+H209+H215</f>
        <v>14056.292960023886</v>
      </c>
      <c r="I226" s="174">
        <f t="shared" si="285"/>
        <v>0</v>
      </c>
      <c r="J226" s="174">
        <f t="shared" ref="J226" si="286">J184+J193+J205+J209+J215</f>
        <v>10163.975953445</v>
      </c>
      <c r="K226" s="174">
        <f t="shared" si="285"/>
        <v>2323578.7823040001</v>
      </c>
      <c r="L226" s="174"/>
      <c r="M226" s="174"/>
      <c r="N226" s="174">
        <f t="shared" si="285"/>
        <v>5706.8113091389841</v>
      </c>
      <c r="O226" s="174">
        <f t="shared" si="285"/>
        <v>331.76838539820352</v>
      </c>
      <c r="P226" s="174">
        <f t="shared" si="285"/>
        <v>16.810450808550002</v>
      </c>
      <c r="Q226" s="174">
        <f t="shared" si="285"/>
        <v>424.08404399999995</v>
      </c>
      <c r="R226" s="174">
        <f t="shared" si="285"/>
        <v>0</v>
      </c>
      <c r="S226" s="174">
        <f t="shared" si="285"/>
        <v>6479.4741893457367</v>
      </c>
      <c r="T226" s="174">
        <f t="shared" si="285"/>
        <v>0</v>
      </c>
      <c r="U226" s="174">
        <f>U184+U193+U205+U209+U215</f>
        <v>6479.4741893457367</v>
      </c>
      <c r="V226" s="174">
        <f t="shared" ref="V226:AA226" si="287">V184+V193+V205+V209+V215</f>
        <v>0</v>
      </c>
      <c r="W226" s="174">
        <f t="shared" si="287"/>
        <v>0</v>
      </c>
      <c r="X226" s="174">
        <f t="shared" si="287"/>
        <v>0</v>
      </c>
      <c r="Y226" s="174">
        <f t="shared" si="287"/>
        <v>0</v>
      </c>
      <c r="Z226" s="174">
        <f t="shared" si="287"/>
        <v>191.47842488550498</v>
      </c>
      <c r="AA226" s="225">
        <f t="shared" si="287"/>
        <v>6670.9526142312434</v>
      </c>
    </row>
    <row r="227" spans="2:29">
      <c r="B227" s="226"/>
      <c r="C227" s="333"/>
      <c r="D227" s="227"/>
      <c r="E227" s="227"/>
      <c r="F227" s="227"/>
      <c r="G227" s="228"/>
      <c r="H227" s="227"/>
      <c r="I227" s="227"/>
      <c r="J227" s="227"/>
      <c r="K227" s="227"/>
      <c r="L227" s="227"/>
      <c r="M227" s="227"/>
      <c r="N227" s="195"/>
      <c r="O227" s="196"/>
      <c r="P227" s="332"/>
      <c r="Q227" s="196">
        <f>G227*C227*12/10^7</f>
        <v>0</v>
      </c>
      <c r="R227" s="332"/>
      <c r="S227" s="199"/>
      <c r="T227" s="332"/>
      <c r="U227" s="199"/>
      <c r="V227" s="332"/>
      <c r="W227" s="332"/>
      <c r="X227" s="332"/>
      <c r="Y227" s="332"/>
      <c r="Z227" s="198"/>
      <c r="AA227" s="249"/>
    </row>
    <row r="228" spans="2:29">
      <c r="B228" s="334" t="s">
        <v>601</v>
      </c>
      <c r="C228" s="335"/>
      <c r="D228" s="175"/>
      <c r="E228" s="175"/>
      <c r="F228" s="175"/>
      <c r="G228" s="174"/>
      <c r="H228" s="175"/>
      <c r="I228" s="175"/>
      <c r="J228" s="175"/>
      <c r="K228" s="175"/>
      <c r="L228" s="175"/>
      <c r="M228" s="175"/>
      <c r="N228" s="175"/>
      <c r="O228" s="175"/>
      <c r="P228" s="175"/>
      <c r="Q228" s="175"/>
      <c r="R228" s="175"/>
      <c r="S228" s="175"/>
      <c r="T228" s="175"/>
      <c r="U228" s="175"/>
      <c r="V228" s="175"/>
      <c r="W228" s="175"/>
      <c r="X228" s="175"/>
      <c r="Y228" s="175"/>
      <c r="Z228" s="175"/>
      <c r="AA228" s="231"/>
    </row>
    <row r="229" spans="2:29">
      <c r="B229" s="232" t="s">
        <v>742</v>
      </c>
      <c r="C229" s="255">
        <f>C230+C231+C238+C251+C256</f>
        <v>4457</v>
      </c>
      <c r="D229" s="233"/>
      <c r="E229" s="233"/>
      <c r="F229" s="233"/>
      <c r="G229" s="234"/>
      <c r="H229" s="233">
        <f>H230+H231+H238+H251+H256</f>
        <v>2431.048489363196</v>
      </c>
      <c r="I229" s="233">
        <f t="shared" ref="I229" si="288">I230+I231+I238+I251+I256</f>
        <v>0</v>
      </c>
      <c r="J229" s="233">
        <f>J230+J231+J238+J251+J256</f>
        <v>1138.7457799999997</v>
      </c>
      <c r="K229" s="233">
        <f t="shared" ref="K229:AA229" si="289">K230+K231+K238+K251+K256</f>
        <v>0</v>
      </c>
      <c r="L229" s="233"/>
      <c r="M229" s="233"/>
      <c r="N229" s="233">
        <f t="shared" si="289"/>
        <v>1663.922071380242</v>
      </c>
      <c r="O229" s="233">
        <f t="shared" si="289"/>
        <v>590.29609818000006</v>
      </c>
      <c r="P229" s="233">
        <f t="shared" si="289"/>
        <v>0</v>
      </c>
      <c r="Q229" s="233">
        <f t="shared" si="289"/>
        <v>7.519850400000001</v>
      </c>
      <c r="R229" s="233">
        <f t="shared" si="289"/>
        <v>0</v>
      </c>
      <c r="S229" s="233">
        <f t="shared" si="289"/>
        <v>2261.7380199602417</v>
      </c>
      <c r="T229" s="233">
        <f t="shared" si="289"/>
        <v>0</v>
      </c>
      <c r="U229" s="233">
        <f t="shared" si="289"/>
        <v>2261.7380199602417</v>
      </c>
      <c r="V229" s="233">
        <f t="shared" si="289"/>
        <v>0</v>
      </c>
      <c r="W229" s="233">
        <f t="shared" si="289"/>
        <v>0</v>
      </c>
      <c r="X229" s="233">
        <f t="shared" si="289"/>
        <v>0</v>
      </c>
      <c r="Y229" s="233">
        <f t="shared" si="289"/>
        <v>0</v>
      </c>
      <c r="Z229" s="233">
        <f t="shared" si="289"/>
        <v>39.643808278588516</v>
      </c>
      <c r="AA229" s="235">
        <f t="shared" si="289"/>
        <v>2301.3818282388306</v>
      </c>
    </row>
    <row r="230" spans="2:29">
      <c r="B230" s="253" t="s">
        <v>743</v>
      </c>
      <c r="C230" s="193">
        <v>46</v>
      </c>
      <c r="D230" s="203">
        <v>7</v>
      </c>
      <c r="E230" s="237">
        <v>900</v>
      </c>
      <c r="F230" s="237"/>
      <c r="G230" s="237">
        <v>1406</v>
      </c>
      <c r="H230" s="191">
        <v>22.16752093240224</v>
      </c>
      <c r="I230" s="203"/>
      <c r="J230" s="191">
        <v>11.959999999999997</v>
      </c>
      <c r="K230" s="191"/>
      <c r="L230" s="191"/>
      <c r="M230" s="191"/>
      <c r="N230" s="195">
        <f t="shared" ref="N230" si="290">H230*D230/10</f>
        <v>15.51726465268157</v>
      </c>
      <c r="O230" s="196">
        <f>IF(E230&gt;0,(J230*10^3*E230/10^7)+(K230*0.7457*E230/10^7),(K230*F230/10^7)+(J230*(10^3)*(1/0.7457)*F230/10^7))</f>
        <v>1.0763999999999998</v>
      </c>
      <c r="P230" s="332"/>
      <c r="Q230" s="196">
        <f t="shared" ref="Q230" si="291">G230*C230*12/10^7</f>
        <v>7.7611200000000005E-2</v>
      </c>
      <c r="R230" s="332"/>
      <c r="S230" s="196">
        <f>N230+O230+P230+Q230+R230</f>
        <v>16.671275852681571</v>
      </c>
      <c r="T230" s="336"/>
      <c r="U230" s="196">
        <f t="shared" ref="U230" si="292">S230-T230</f>
        <v>16.671275852681571</v>
      </c>
      <c r="V230" s="336"/>
      <c r="W230" s="336"/>
      <c r="X230" s="336"/>
      <c r="Y230" s="336"/>
      <c r="Z230" s="198">
        <f>(H230*$Z$354)/($H$354-$H$218-$H$220-$H$221)</f>
        <v>0.36149215192575268</v>
      </c>
      <c r="AA230" s="249">
        <f t="shared" ref="AA230" si="293">U230+Z230</f>
        <v>17.032768004607323</v>
      </c>
      <c r="AC230" s="177">
        <f>Z230+Z262+Z293+Z324</f>
        <v>0.55520375984047243</v>
      </c>
    </row>
    <row r="231" spans="2:29">
      <c r="B231" s="239" t="s">
        <v>744</v>
      </c>
      <c r="C231" s="250">
        <f>SUM(C232:C237)</f>
        <v>1967</v>
      </c>
      <c r="D231" s="240"/>
      <c r="E231" s="240"/>
      <c r="F231" s="240"/>
      <c r="G231" s="240"/>
      <c r="H231" s="240">
        <f>SUM(H232:H237)</f>
        <v>610.28079966459552</v>
      </c>
      <c r="I231" s="240">
        <f t="shared" ref="I231" si="294">SUM(I232:I237)</f>
        <v>0</v>
      </c>
      <c r="J231" s="240">
        <f>SUM(J232:J237)</f>
        <v>386.59000000000003</v>
      </c>
      <c r="K231" s="240">
        <f t="shared" ref="K231:AA231" si="295">SUM(K232:K237)</f>
        <v>0</v>
      </c>
      <c r="L231" s="240"/>
      <c r="M231" s="240"/>
      <c r="N231" s="240">
        <f t="shared" si="295"/>
        <v>486.10229919614915</v>
      </c>
      <c r="O231" s="240">
        <f t="shared" si="295"/>
        <v>196.53657000000001</v>
      </c>
      <c r="P231" s="240">
        <f t="shared" si="295"/>
        <v>0</v>
      </c>
      <c r="Q231" s="240">
        <f t="shared" si="295"/>
        <v>3.3187224000000004</v>
      </c>
      <c r="R231" s="240">
        <f t="shared" si="295"/>
        <v>0</v>
      </c>
      <c r="S231" s="240">
        <f t="shared" si="295"/>
        <v>685.95759159614897</v>
      </c>
      <c r="T231" s="240">
        <f t="shared" si="295"/>
        <v>0</v>
      </c>
      <c r="U231" s="240">
        <f t="shared" si="295"/>
        <v>685.95759159614897</v>
      </c>
      <c r="V231" s="240">
        <f t="shared" si="295"/>
        <v>0</v>
      </c>
      <c r="W231" s="240">
        <f t="shared" si="295"/>
        <v>0</v>
      </c>
      <c r="X231" s="240">
        <f t="shared" si="295"/>
        <v>0</v>
      </c>
      <c r="Y231" s="240">
        <f t="shared" si="295"/>
        <v>0</v>
      </c>
      <c r="Z231" s="240">
        <f t="shared" si="295"/>
        <v>9.9520248665810858</v>
      </c>
      <c r="AA231" s="241">
        <f t="shared" si="295"/>
        <v>695.90961646273024</v>
      </c>
      <c r="AC231" s="177">
        <f>Z231+Z263+Z294+Z325</f>
        <v>16.671292569861642</v>
      </c>
    </row>
    <row r="232" spans="2:29">
      <c r="B232" s="253" t="s">
        <v>745</v>
      </c>
      <c r="C232" s="193">
        <v>1752</v>
      </c>
      <c r="D232" s="203">
        <v>7.65</v>
      </c>
      <c r="E232" s="237">
        <v>5700</v>
      </c>
      <c r="F232" s="237"/>
      <c r="G232" s="237">
        <v>1406</v>
      </c>
      <c r="H232" s="191">
        <v>463.1460477391559</v>
      </c>
      <c r="I232" s="203"/>
      <c r="J232" s="191">
        <v>344.80100000000004</v>
      </c>
      <c r="K232" s="191"/>
      <c r="L232" s="191"/>
      <c r="M232" s="191"/>
      <c r="N232" s="195">
        <f t="shared" ref="N232:N237" si="296">H232*D232/10</f>
        <v>354.30672652045428</v>
      </c>
      <c r="O232" s="196">
        <f t="shared" ref="O232:O237" si="297">IF(E232&gt;0,(J232*10^3*E232/10^7)+(K232*0.7457*E232/10^7),(K232*F232/10^7)+(J232*(10^3)*(1/0.7457)*F232/10^7))</f>
        <v>196.53657000000001</v>
      </c>
      <c r="P232" s="332"/>
      <c r="Q232" s="196">
        <f t="shared" ref="Q232:Q237" si="298">G232*C232*12/10^7</f>
        <v>2.9559744000000001</v>
      </c>
      <c r="R232" s="332"/>
      <c r="S232" s="196">
        <f t="shared" ref="S232:S237" si="299">N232+O232+P232+Q232+R232</f>
        <v>553.79927092045421</v>
      </c>
      <c r="T232" s="332"/>
      <c r="U232" s="196">
        <f t="shared" ref="U232:U237" si="300">S232-T232</f>
        <v>553.79927092045421</v>
      </c>
      <c r="V232" s="332"/>
      <c r="W232" s="332"/>
      <c r="X232" s="332"/>
      <c r="Y232" s="332"/>
      <c r="Z232" s="198">
        <f t="shared" ref="Z232:Z237" si="301">(H232*$Z$354)/($H$354-$H$218-$H$220-$H$221)</f>
        <v>7.5526560666696776</v>
      </c>
      <c r="AA232" s="249">
        <f t="shared" ref="AA232:AA237" si="302">U232+Z232</f>
        <v>561.35192698712387</v>
      </c>
      <c r="AC232" s="177">
        <f>Z238+Z270+Z301+Z332</f>
        <v>184.63109214826119</v>
      </c>
    </row>
    <row r="233" spans="2:29">
      <c r="B233" s="253" t="s">
        <v>697</v>
      </c>
      <c r="C233" s="193">
        <v>0</v>
      </c>
      <c r="D233" s="203">
        <v>8.65</v>
      </c>
      <c r="E233" s="237">
        <v>5700</v>
      </c>
      <c r="F233" s="237"/>
      <c r="G233" s="237"/>
      <c r="H233" s="191">
        <v>132.83198807769065</v>
      </c>
      <c r="I233" s="203"/>
      <c r="J233" s="191">
        <v>0</v>
      </c>
      <c r="K233" s="191"/>
      <c r="L233" s="191"/>
      <c r="M233" s="191"/>
      <c r="N233" s="195">
        <f t="shared" si="296"/>
        <v>114.89966968720242</v>
      </c>
      <c r="O233" s="196">
        <f t="shared" si="297"/>
        <v>0</v>
      </c>
      <c r="P233" s="332"/>
      <c r="Q233" s="196">
        <f t="shared" si="298"/>
        <v>0</v>
      </c>
      <c r="R233" s="332"/>
      <c r="S233" s="196">
        <f t="shared" si="299"/>
        <v>114.89966968720242</v>
      </c>
      <c r="T233" s="332"/>
      <c r="U233" s="196">
        <f t="shared" si="300"/>
        <v>114.89966968720242</v>
      </c>
      <c r="V233" s="332"/>
      <c r="W233" s="332"/>
      <c r="X233" s="332"/>
      <c r="Y233" s="332"/>
      <c r="Z233" s="198">
        <f t="shared" si="301"/>
        <v>2.1661295081757594</v>
      </c>
      <c r="AA233" s="249">
        <f t="shared" si="302"/>
        <v>117.06579919537818</v>
      </c>
      <c r="AC233" s="177">
        <f>Z251+Z283+Z314+Z350</f>
        <v>21.792545602042193</v>
      </c>
    </row>
    <row r="234" spans="2:29">
      <c r="B234" s="253" t="s">
        <v>746</v>
      </c>
      <c r="C234" s="193">
        <v>210</v>
      </c>
      <c r="D234" s="203">
        <v>12.25</v>
      </c>
      <c r="E234" s="237">
        <v>0</v>
      </c>
      <c r="F234" s="237"/>
      <c r="G234" s="237">
        <v>1406</v>
      </c>
      <c r="H234" s="191">
        <v>13.162209563964415</v>
      </c>
      <c r="I234" s="203"/>
      <c r="J234" s="191">
        <v>40.919000000000004</v>
      </c>
      <c r="K234" s="191"/>
      <c r="L234" s="191"/>
      <c r="M234" s="191"/>
      <c r="N234" s="195">
        <f t="shared" si="296"/>
        <v>16.123706715856407</v>
      </c>
      <c r="O234" s="196">
        <f t="shared" si="297"/>
        <v>0</v>
      </c>
      <c r="P234" s="332"/>
      <c r="Q234" s="196">
        <f t="shared" si="298"/>
        <v>0.35431200000000002</v>
      </c>
      <c r="R234" s="332"/>
      <c r="S234" s="196">
        <f t="shared" si="299"/>
        <v>16.478018715856408</v>
      </c>
      <c r="T234" s="332"/>
      <c r="U234" s="196">
        <f t="shared" si="300"/>
        <v>16.478018715856408</v>
      </c>
      <c r="V234" s="332"/>
      <c r="W234" s="332"/>
      <c r="X234" s="332"/>
      <c r="Y234" s="332"/>
      <c r="Z234" s="198">
        <f t="shared" si="301"/>
        <v>0.21463994435301983</v>
      </c>
      <c r="AA234" s="249">
        <f t="shared" si="302"/>
        <v>16.692658660209428</v>
      </c>
      <c r="AC234" s="177">
        <f>Z318</f>
        <v>15.691878228876067</v>
      </c>
    </row>
    <row r="235" spans="2:29">
      <c r="B235" s="253" t="s">
        <v>747</v>
      </c>
      <c r="C235" s="193">
        <v>2</v>
      </c>
      <c r="D235" s="203">
        <v>12.25</v>
      </c>
      <c r="E235" s="237">
        <v>0</v>
      </c>
      <c r="F235" s="237"/>
      <c r="G235" s="237">
        <v>1406</v>
      </c>
      <c r="H235" s="191">
        <v>1.4459283784524546E-2</v>
      </c>
      <c r="I235" s="203"/>
      <c r="J235" s="191">
        <v>0.87000000000000011</v>
      </c>
      <c r="K235" s="191"/>
      <c r="L235" s="191"/>
      <c r="M235" s="191"/>
      <c r="N235" s="195">
        <f t="shared" si="296"/>
        <v>1.771262263604257E-2</v>
      </c>
      <c r="O235" s="196">
        <f t="shared" si="297"/>
        <v>0</v>
      </c>
      <c r="P235" s="332"/>
      <c r="Q235" s="196">
        <f t="shared" si="298"/>
        <v>3.3744000000000001E-3</v>
      </c>
      <c r="R235" s="332"/>
      <c r="S235" s="196">
        <f t="shared" si="299"/>
        <v>2.108702263604257E-2</v>
      </c>
      <c r="T235" s="332"/>
      <c r="U235" s="196">
        <f t="shared" si="300"/>
        <v>2.108702263604257E-2</v>
      </c>
      <c r="V235" s="332"/>
      <c r="W235" s="332"/>
      <c r="X235" s="332"/>
      <c r="Y235" s="332"/>
      <c r="Z235" s="198">
        <f t="shared" si="301"/>
        <v>2.3579170744946672E-4</v>
      </c>
      <c r="AA235" s="249">
        <f t="shared" si="302"/>
        <v>2.1322814343492036E-2</v>
      </c>
    </row>
    <row r="236" spans="2:29">
      <c r="B236" s="253" t="s">
        <v>748</v>
      </c>
      <c r="C236" s="193">
        <v>3</v>
      </c>
      <c r="D236" s="203">
        <v>6.7</v>
      </c>
      <c r="E236" s="237">
        <v>0</v>
      </c>
      <c r="F236" s="237"/>
      <c r="G236" s="237">
        <v>1406</v>
      </c>
      <c r="H236" s="191">
        <v>1.1260950000000001</v>
      </c>
      <c r="I236" s="203"/>
      <c r="J236" s="191">
        <v>0</v>
      </c>
      <c r="K236" s="191"/>
      <c r="L236" s="191"/>
      <c r="M236" s="191"/>
      <c r="N236" s="195">
        <f t="shared" si="296"/>
        <v>0.75448365000000006</v>
      </c>
      <c r="O236" s="196">
        <f t="shared" si="297"/>
        <v>0</v>
      </c>
      <c r="P236" s="332"/>
      <c r="Q236" s="196">
        <f t="shared" si="298"/>
        <v>5.0616000000000003E-3</v>
      </c>
      <c r="R236" s="332"/>
      <c r="S236" s="196">
        <f t="shared" si="299"/>
        <v>0.75954525000000006</v>
      </c>
      <c r="T236" s="332"/>
      <c r="U236" s="196">
        <f t="shared" si="300"/>
        <v>0.75954525000000006</v>
      </c>
      <c r="V236" s="332"/>
      <c r="W236" s="332"/>
      <c r="X236" s="332"/>
      <c r="Y236" s="332"/>
      <c r="Z236" s="198">
        <f t="shared" si="301"/>
        <v>1.836355567517747E-2</v>
      </c>
      <c r="AA236" s="249">
        <f t="shared" si="302"/>
        <v>0.77790880567517751</v>
      </c>
    </row>
    <row r="237" spans="2:29">
      <c r="B237" s="253" t="s">
        <v>749</v>
      </c>
      <c r="C237" s="193">
        <v>0</v>
      </c>
      <c r="D237" s="203">
        <v>12.25</v>
      </c>
      <c r="E237" s="237">
        <v>0</v>
      </c>
      <c r="F237" s="237"/>
      <c r="G237" s="237">
        <v>1406</v>
      </c>
      <c r="H237" s="191">
        <v>0</v>
      </c>
      <c r="I237" s="203"/>
      <c r="J237" s="191">
        <v>0</v>
      </c>
      <c r="K237" s="191"/>
      <c r="L237" s="191"/>
      <c r="M237" s="191"/>
      <c r="N237" s="195">
        <f t="shared" si="296"/>
        <v>0</v>
      </c>
      <c r="O237" s="196">
        <f t="shared" si="297"/>
        <v>0</v>
      </c>
      <c r="P237" s="332"/>
      <c r="Q237" s="196">
        <f t="shared" si="298"/>
        <v>0</v>
      </c>
      <c r="R237" s="332"/>
      <c r="S237" s="196">
        <f t="shared" si="299"/>
        <v>0</v>
      </c>
      <c r="T237" s="332"/>
      <c r="U237" s="196">
        <f t="shared" si="300"/>
        <v>0</v>
      </c>
      <c r="V237" s="332"/>
      <c r="W237" s="332"/>
      <c r="X237" s="332"/>
      <c r="Y237" s="332"/>
      <c r="Z237" s="198">
        <f t="shared" si="301"/>
        <v>0</v>
      </c>
      <c r="AA237" s="249">
        <f t="shared" si="302"/>
        <v>0</v>
      </c>
    </row>
    <row r="238" spans="2:29">
      <c r="B238" s="239" t="s">
        <v>750</v>
      </c>
      <c r="C238" s="250">
        <f>C239+C249+C250</f>
        <v>2017</v>
      </c>
      <c r="D238" s="240"/>
      <c r="E238" s="240"/>
      <c r="F238" s="240"/>
      <c r="G238" s="240"/>
      <c r="H238" s="240">
        <f>H239+H249+H250</f>
        <v>1606.0304100530445</v>
      </c>
      <c r="I238" s="240">
        <f t="shared" ref="I238" si="303">I239+I249+I250</f>
        <v>0</v>
      </c>
      <c r="J238" s="240">
        <f>J239+J249+J250</f>
        <v>627.43975</v>
      </c>
      <c r="K238" s="240">
        <f t="shared" ref="K238:AA238" si="304">K239+K249+K250</f>
        <v>0</v>
      </c>
      <c r="L238" s="240"/>
      <c r="M238" s="240"/>
      <c r="N238" s="240">
        <f t="shared" si="304"/>
        <v>1025.0480513067789</v>
      </c>
      <c r="O238" s="240">
        <f t="shared" si="304"/>
        <v>357.64065749999997</v>
      </c>
      <c r="P238" s="240">
        <f t="shared" si="304"/>
        <v>0</v>
      </c>
      <c r="Q238" s="240">
        <f t="shared" si="304"/>
        <v>3.4030824000000002</v>
      </c>
      <c r="R238" s="240">
        <f t="shared" si="304"/>
        <v>0</v>
      </c>
      <c r="S238" s="240">
        <f t="shared" si="304"/>
        <v>1386.0917912067789</v>
      </c>
      <c r="T238" s="240">
        <f t="shared" si="304"/>
        <v>0</v>
      </c>
      <c r="U238" s="240">
        <f t="shared" si="304"/>
        <v>1386.0917912067789</v>
      </c>
      <c r="V238" s="240">
        <f t="shared" si="304"/>
        <v>0</v>
      </c>
      <c r="W238" s="240">
        <f t="shared" si="304"/>
        <v>0</v>
      </c>
      <c r="X238" s="240">
        <f t="shared" si="304"/>
        <v>0</v>
      </c>
      <c r="Y238" s="240">
        <f t="shared" si="304"/>
        <v>0</v>
      </c>
      <c r="Z238" s="240">
        <f t="shared" si="304"/>
        <v>26.190000711340677</v>
      </c>
      <c r="AA238" s="241">
        <f t="shared" si="304"/>
        <v>1412.2817919181196</v>
      </c>
    </row>
    <row r="239" spans="2:29" ht="15" customHeight="1">
      <c r="B239" s="215" t="s">
        <v>753</v>
      </c>
      <c r="C239" s="216">
        <f>C241+C242+C243+C245+C246+C247+C248</f>
        <v>1921</v>
      </c>
      <c r="D239" s="217"/>
      <c r="E239" s="207"/>
      <c r="F239" s="217"/>
      <c r="G239" s="218"/>
      <c r="H239" s="217">
        <f>H241+H242+H243+H245+H246+H247+H248</f>
        <v>1590.991154833011</v>
      </c>
      <c r="I239" s="217">
        <f t="shared" ref="I239" si="305">I241+I242+I243+I245+I246+I247+I248</f>
        <v>0</v>
      </c>
      <c r="J239" s="217">
        <f>J241+J242+J243+J245+J246+J247+J248</f>
        <v>602.97515999999996</v>
      </c>
      <c r="K239" s="217">
        <f t="shared" ref="K239:AA239" si="306">K241+K242+K243+K245+K246+K247+K248</f>
        <v>0</v>
      </c>
      <c r="L239" s="217"/>
      <c r="M239" s="217"/>
      <c r="N239" s="217">
        <f t="shared" si="306"/>
        <v>1013.5430210634532</v>
      </c>
      <c r="O239" s="217">
        <f t="shared" si="306"/>
        <v>343.69584119999996</v>
      </c>
      <c r="P239" s="217">
        <f t="shared" si="306"/>
        <v>0</v>
      </c>
      <c r="Q239" s="217">
        <f t="shared" si="306"/>
        <v>3.2411112000000002</v>
      </c>
      <c r="R239" s="217">
        <f t="shared" si="306"/>
        <v>0</v>
      </c>
      <c r="S239" s="217">
        <f t="shared" si="306"/>
        <v>1360.4799734634532</v>
      </c>
      <c r="T239" s="217">
        <f t="shared" si="306"/>
        <v>0</v>
      </c>
      <c r="U239" s="217">
        <f t="shared" si="306"/>
        <v>1360.4799734634532</v>
      </c>
      <c r="V239" s="217">
        <f t="shared" si="306"/>
        <v>0</v>
      </c>
      <c r="W239" s="217">
        <f t="shared" si="306"/>
        <v>0</v>
      </c>
      <c r="X239" s="217">
        <f t="shared" si="306"/>
        <v>0</v>
      </c>
      <c r="Y239" s="217">
        <f t="shared" si="306"/>
        <v>0</v>
      </c>
      <c r="Z239" s="217">
        <f t="shared" si="306"/>
        <v>25.944751242560255</v>
      </c>
      <c r="AA239" s="219">
        <f t="shared" si="306"/>
        <v>1386.4247247060134</v>
      </c>
    </row>
    <row r="240" spans="2:29">
      <c r="B240" s="253" t="s">
        <v>918</v>
      </c>
      <c r="C240" s="193"/>
      <c r="D240" s="203"/>
      <c r="E240" s="237"/>
      <c r="F240" s="237"/>
      <c r="G240" s="237"/>
      <c r="H240" s="191"/>
      <c r="I240" s="203"/>
      <c r="J240" s="191"/>
      <c r="K240" s="191"/>
      <c r="L240" s="191"/>
      <c r="M240" s="191"/>
      <c r="N240" s="195">
        <f t="shared" ref="N240:N250" si="307">H240*D240/10</f>
        <v>0</v>
      </c>
      <c r="O240" s="196">
        <f t="shared" ref="O240:O250" si="308">IF(E240&gt;0,(J240*10^3*E240/10^7)+(K240*0.7457*E240/10^7),(K240*F240/10^7)+(J240*(10^3)*(1/0.7457)*F240/10^7))</f>
        <v>0</v>
      </c>
      <c r="P240" s="332"/>
      <c r="Q240" s="196">
        <f t="shared" ref="Q240:Q250" si="309">G240*C240*12/10^7</f>
        <v>0</v>
      </c>
      <c r="R240" s="332"/>
      <c r="S240" s="196">
        <f t="shared" ref="S240:S250" si="310">N240+O240+P240+Q240+R240</f>
        <v>0</v>
      </c>
      <c r="T240" s="332"/>
      <c r="U240" s="196">
        <f t="shared" ref="U240:U250" si="311">S240-T240</f>
        <v>0</v>
      </c>
      <c r="V240" s="332"/>
      <c r="W240" s="332"/>
      <c r="X240" s="332"/>
      <c r="Y240" s="332"/>
      <c r="Z240" s="198"/>
      <c r="AA240" s="249">
        <f t="shared" ref="AA240:AA250" si="312">U240+Z240</f>
        <v>0</v>
      </c>
    </row>
    <row r="241" spans="2:27">
      <c r="B241" s="253" t="s">
        <v>914</v>
      </c>
      <c r="C241" s="193"/>
      <c r="D241" s="203">
        <v>7.8</v>
      </c>
      <c r="E241" s="237">
        <v>5700</v>
      </c>
      <c r="F241" s="237"/>
      <c r="G241" s="237">
        <v>1406</v>
      </c>
      <c r="H241" s="191">
        <v>251.60367093212827</v>
      </c>
      <c r="I241" s="203"/>
      <c r="J241" s="191">
        <v>0</v>
      </c>
      <c r="K241" s="191"/>
      <c r="L241" s="191"/>
      <c r="M241" s="191"/>
      <c r="N241" s="195">
        <f t="shared" si="307"/>
        <v>196.25086332706005</v>
      </c>
      <c r="O241" s="196">
        <f t="shared" si="308"/>
        <v>0</v>
      </c>
      <c r="P241" s="332"/>
      <c r="Q241" s="196">
        <f t="shared" si="309"/>
        <v>0</v>
      </c>
      <c r="R241" s="332"/>
      <c r="S241" s="196">
        <f t="shared" si="310"/>
        <v>196.25086332706005</v>
      </c>
      <c r="T241" s="332"/>
      <c r="U241" s="196">
        <f t="shared" si="311"/>
        <v>196.25086332706005</v>
      </c>
      <c r="V241" s="332"/>
      <c r="W241" s="332"/>
      <c r="X241" s="332"/>
      <c r="Y241" s="332"/>
      <c r="Z241" s="198"/>
      <c r="AA241" s="249">
        <f t="shared" si="312"/>
        <v>196.25086332706005</v>
      </c>
    </row>
    <row r="242" spans="2:27">
      <c r="B242" s="253" t="s">
        <v>915</v>
      </c>
      <c r="C242" s="193"/>
      <c r="D242" s="203">
        <v>5.55</v>
      </c>
      <c r="E242" s="237">
        <v>5700</v>
      </c>
      <c r="F242" s="237"/>
      <c r="G242" s="237">
        <v>1406</v>
      </c>
      <c r="H242" s="191">
        <v>346.21331603593956</v>
      </c>
      <c r="I242" s="203"/>
      <c r="J242" s="191">
        <v>0</v>
      </c>
      <c r="K242" s="191"/>
      <c r="L242" s="191"/>
      <c r="M242" s="191"/>
      <c r="N242" s="195">
        <f t="shared" si="307"/>
        <v>192.14839039994644</v>
      </c>
      <c r="O242" s="196">
        <f t="shared" si="308"/>
        <v>0</v>
      </c>
      <c r="P242" s="332"/>
      <c r="Q242" s="196">
        <f t="shared" si="309"/>
        <v>0</v>
      </c>
      <c r="R242" s="332"/>
      <c r="S242" s="196">
        <f t="shared" si="310"/>
        <v>192.14839039994644</v>
      </c>
      <c r="T242" s="332"/>
      <c r="U242" s="196">
        <f t="shared" si="311"/>
        <v>192.14839039994644</v>
      </c>
      <c r="V242" s="332"/>
      <c r="W242" s="332"/>
      <c r="X242" s="332"/>
      <c r="Y242" s="332"/>
      <c r="Z242" s="198"/>
      <c r="AA242" s="249">
        <f t="shared" si="312"/>
        <v>192.14839039994644</v>
      </c>
    </row>
    <row r="243" spans="2:27">
      <c r="B243" s="253" t="s">
        <v>916</v>
      </c>
      <c r="C243" s="193">
        <v>1921</v>
      </c>
      <c r="D243" s="203">
        <v>6.3</v>
      </c>
      <c r="E243" s="237">
        <v>5700</v>
      </c>
      <c r="F243" s="237"/>
      <c r="G243" s="237">
        <v>1406</v>
      </c>
      <c r="H243" s="191">
        <v>183.48827745336115</v>
      </c>
      <c r="I243" s="203"/>
      <c r="J243" s="191">
        <v>602.97515999999996</v>
      </c>
      <c r="K243" s="191"/>
      <c r="L243" s="191"/>
      <c r="M243" s="191"/>
      <c r="N243" s="195">
        <f t="shared" si="307"/>
        <v>115.59761479561753</v>
      </c>
      <c r="O243" s="196">
        <f t="shared" si="308"/>
        <v>343.69584119999996</v>
      </c>
      <c r="P243" s="332"/>
      <c r="Q243" s="196">
        <f t="shared" si="309"/>
        <v>3.2411112000000002</v>
      </c>
      <c r="R243" s="332"/>
      <c r="S243" s="196">
        <f t="shared" si="310"/>
        <v>462.53456719561746</v>
      </c>
      <c r="T243" s="332"/>
      <c r="U243" s="196">
        <f t="shared" si="311"/>
        <v>462.53456719561746</v>
      </c>
      <c r="V243" s="332"/>
      <c r="W243" s="332"/>
      <c r="X243" s="332"/>
      <c r="Y243" s="332"/>
      <c r="Z243" s="198">
        <f>(H239*$Z$354)/($H$354-$H$218-$H$220-$H$221)</f>
        <v>25.944751242560255</v>
      </c>
      <c r="AA243" s="249">
        <f t="shared" si="312"/>
        <v>488.4793184381777</v>
      </c>
    </row>
    <row r="244" spans="2:27">
      <c r="B244" s="253" t="s">
        <v>917</v>
      </c>
      <c r="C244" s="193"/>
      <c r="D244" s="203"/>
      <c r="E244" s="237"/>
      <c r="F244" s="237"/>
      <c r="G244" s="237"/>
      <c r="H244" s="191"/>
      <c r="I244" s="203"/>
      <c r="J244" s="191"/>
      <c r="K244" s="191"/>
      <c r="L244" s="191"/>
      <c r="M244" s="191"/>
      <c r="N244" s="195">
        <f t="shared" si="307"/>
        <v>0</v>
      </c>
      <c r="O244" s="196">
        <f t="shared" si="308"/>
        <v>0</v>
      </c>
      <c r="P244" s="332"/>
      <c r="Q244" s="196">
        <f t="shared" si="309"/>
        <v>0</v>
      </c>
      <c r="R244" s="332"/>
      <c r="S244" s="196">
        <f t="shared" si="310"/>
        <v>0</v>
      </c>
      <c r="T244" s="332"/>
      <c r="U244" s="196">
        <f t="shared" si="311"/>
        <v>0</v>
      </c>
      <c r="V244" s="332"/>
      <c r="W244" s="332"/>
      <c r="X244" s="332"/>
      <c r="Y244" s="332"/>
      <c r="Z244" s="198"/>
      <c r="AA244" s="249">
        <f t="shared" si="312"/>
        <v>0</v>
      </c>
    </row>
    <row r="245" spans="2:27">
      <c r="B245" s="253" t="s">
        <v>914</v>
      </c>
      <c r="C245" s="193"/>
      <c r="D245" s="203">
        <v>7.3</v>
      </c>
      <c r="E245" s="237">
        <v>5700</v>
      </c>
      <c r="F245" s="237"/>
      <c r="G245" s="237">
        <v>1406</v>
      </c>
      <c r="H245" s="191">
        <v>259.85352652772224</v>
      </c>
      <c r="I245" s="203"/>
      <c r="J245" s="191"/>
      <c r="K245" s="191"/>
      <c r="L245" s="191"/>
      <c r="M245" s="191"/>
      <c r="N245" s="195">
        <f t="shared" si="307"/>
        <v>189.69307436523724</v>
      </c>
      <c r="O245" s="196">
        <f t="shared" si="308"/>
        <v>0</v>
      </c>
      <c r="P245" s="332"/>
      <c r="Q245" s="196">
        <f t="shared" si="309"/>
        <v>0</v>
      </c>
      <c r="R245" s="332"/>
      <c r="S245" s="196">
        <f t="shared" si="310"/>
        <v>189.69307436523724</v>
      </c>
      <c r="T245" s="332"/>
      <c r="U245" s="196">
        <f t="shared" si="311"/>
        <v>189.69307436523724</v>
      </c>
      <c r="V245" s="332"/>
      <c r="W245" s="332"/>
      <c r="X245" s="332"/>
      <c r="Y245" s="332"/>
      <c r="Z245" s="198"/>
      <c r="AA245" s="249">
        <f t="shared" si="312"/>
        <v>189.69307436523724</v>
      </c>
    </row>
    <row r="246" spans="2:27">
      <c r="B246" s="253" t="s">
        <v>915</v>
      </c>
      <c r="C246" s="193"/>
      <c r="D246" s="203">
        <v>5.55</v>
      </c>
      <c r="E246" s="237">
        <v>5700</v>
      </c>
      <c r="F246" s="237"/>
      <c r="G246" s="237">
        <v>1406</v>
      </c>
      <c r="H246" s="191">
        <v>356.37909954887732</v>
      </c>
      <c r="I246" s="203"/>
      <c r="J246" s="191"/>
      <c r="K246" s="191"/>
      <c r="L246" s="191"/>
      <c r="M246" s="191"/>
      <c r="N246" s="195">
        <f t="shared" si="307"/>
        <v>197.79040024962688</v>
      </c>
      <c r="O246" s="196">
        <f t="shared" si="308"/>
        <v>0</v>
      </c>
      <c r="P246" s="332"/>
      <c r="Q246" s="196">
        <f t="shared" si="309"/>
        <v>0</v>
      </c>
      <c r="R246" s="332"/>
      <c r="S246" s="196">
        <f t="shared" si="310"/>
        <v>197.79040024962688</v>
      </c>
      <c r="T246" s="332"/>
      <c r="U246" s="196">
        <f t="shared" si="311"/>
        <v>197.79040024962688</v>
      </c>
      <c r="V246" s="332"/>
      <c r="W246" s="332"/>
      <c r="X246" s="332"/>
      <c r="Y246" s="332"/>
      <c r="Z246" s="198"/>
      <c r="AA246" s="249">
        <f t="shared" si="312"/>
        <v>197.79040024962688</v>
      </c>
    </row>
    <row r="247" spans="2:27">
      <c r="B247" s="253" t="s">
        <v>916</v>
      </c>
      <c r="C247" s="193"/>
      <c r="D247" s="203">
        <v>6.3</v>
      </c>
      <c r="E247" s="237">
        <v>5700</v>
      </c>
      <c r="F247" s="237"/>
      <c r="G247" s="237">
        <v>1406</v>
      </c>
      <c r="H247" s="191">
        <v>190.78010155032132</v>
      </c>
      <c r="I247" s="203"/>
      <c r="J247" s="191"/>
      <c r="K247" s="191"/>
      <c r="L247" s="191"/>
      <c r="M247" s="191"/>
      <c r="N247" s="195">
        <f t="shared" si="307"/>
        <v>120.19146397670242</v>
      </c>
      <c r="O247" s="196">
        <f t="shared" si="308"/>
        <v>0</v>
      </c>
      <c r="P247" s="332"/>
      <c r="Q247" s="196">
        <f t="shared" si="309"/>
        <v>0</v>
      </c>
      <c r="R247" s="332"/>
      <c r="S247" s="196">
        <f t="shared" si="310"/>
        <v>120.19146397670242</v>
      </c>
      <c r="T247" s="332"/>
      <c r="U247" s="196">
        <f t="shared" si="311"/>
        <v>120.19146397670242</v>
      </c>
      <c r="V247" s="332"/>
      <c r="W247" s="332"/>
      <c r="X247" s="332"/>
      <c r="Y247" s="332"/>
      <c r="Z247" s="198"/>
      <c r="AA247" s="249">
        <f t="shared" si="312"/>
        <v>120.19146397670242</v>
      </c>
    </row>
    <row r="248" spans="2:27">
      <c r="B248" s="253" t="s">
        <v>592</v>
      </c>
      <c r="C248" s="193"/>
      <c r="D248" s="203">
        <v>7</v>
      </c>
      <c r="E248" s="237">
        <v>0</v>
      </c>
      <c r="F248" s="237"/>
      <c r="G248" s="237">
        <v>1406</v>
      </c>
      <c r="H248" s="191">
        <v>2.6731627846612418</v>
      </c>
      <c r="I248" s="203"/>
      <c r="J248" s="191">
        <v>0</v>
      </c>
      <c r="K248" s="191"/>
      <c r="L248" s="191"/>
      <c r="M248" s="191"/>
      <c r="N248" s="195">
        <f t="shared" si="307"/>
        <v>1.8712139492628694</v>
      </c>
      <c r="O248" s="196">
        <f t="shared" si="308"/>
        <v>0</v>
      </c>
      <c r="P248" s="332"/>
      <c r="Q248" s="196">
        <f t="shared" si="309"/>
        <v>0</v>
      </c>
      <c r="R248" s="332"/>
      <c r="S248" s="196">
        <f t="shared" si="310"/>
        <v>1.8712139492628694</v>
      </c>
      <c r="T248" s="332"/>
      <c r="U248" s="196">
        <f t="shared" si="311"/>
        <v>1.8712139492628694</v>
      </c>
      <c r="V248" s="332"/>
      <c r="W248" s="332"/>
      <c r="X248" s="332"/>
      <c r="Y248" s="332"/>
      <c r="Z248" s="198"/>
      <c r="AA248" s="249">
        <f t="shared" si="312"/>
        <v>1.8712139492628694</v>
      </c>
    </row>
    <row r="249" spans="2:27">
      <c r="B249" s="215" t="s">
        <v>754</v>
      </c>
      <c r="C249" s="193">
        <v>96</v>
      </c>
      <c r="D249" s="217">
        <v>7.65</v>
      </c>
      <c r="E249" s="207">
        <v>5700</v>
      </c>
      <c r="F249" s="217"/>
      <c r="G249" s="222">
        <v>1406</v>
      </c>
      <c r="H249" s="191">
        <v>15.039255220033604</v>
      </c>
      <c r="I249" s="217"/>
      <c r="J249" s="191">
        <v>24.464590000000001</v>
      </c>
      <c r="K249" s="217"/>
      <c r="L249" s="217"/>
      <c r="M249" s="217"/>
      <c r="N249" s="195">
        <f t="shared" si="307"/>
        <v>11.505030243325708</v>
      </c>
      <c r="O249" s="217">
        <f t="shared" si="308"/>
        <v>13.944816299999999</v>
      </c>
      <c r="P249" s="217"/>
      <c r="Q249" s="217">
        <f t="shared" si="309"/>
        <v>0.16197120000000001</v>
      </c>
      <c r="R249" s="217"/>
      <c r="S249" s="217">
        <f t="shared" si="310"/>
        <v>25.611817743325705</v>
      </c>
      <c r="T249" s="217"/>
      <c r="U249" s="217">
        <f t="shared" si="311"/>
        <v>25.611817743325705</v>
      </c>
      <c r="V249" s="217"/>
      <c r="W249" s="217"/>
      <c r="X249" s="217"/>
      <c r="Y249" s="217"/>
      <c r="Z249" s="198">
        <f>(H249*$Z$354)/($H$354-$H$218-$H$220-$H$221)</f>
        <v>0.24524946878042297</v>
      </c>
      <c r="AA249" s="219">
        <f t="shared" si="312"/>
        <v>25.857067212106127</v>
      </c>
    </row>
    <row r="250" spans="2:27">
      <c r="B250" s="215" t="s">
        <v>755</v>
      </c>
      <c r="C250" s="193">
        <v>0</v>
      </c>
      <c r="D250" s="217">
        <v>5.8</v>
      </c>
      <c r="E250" s="360">
        <v>5700</v>
      </c>
      <c r="F250" s="217"/>
      <c r="G250" s="222">
        <v>1406</v>
      </c>
      <c r="H250" s="191">
        <v>0</v>
      </c>
      <c r="I250" s="217"/>
      <c r="J250" s="191">
        <v>0</v>
      </c>
      <c r="K250" s="217"/>
      <c r="L250" s="217"/>
      <c r="M250" s="217"/>
      <c r="N250" s="195">
        <f t="shared" si="307"/>
        <v>0</v>
      </c>
      <c r="O250" s="217">
        <f t="shared" si="308"/>
        <v>0</v>
      </c>
      <c r="P250" s="217"/>
      <c r="Q250" s="217">
        <f t="shared" si="309"/>
        <v>0</v>
      </c>
      <c r="R250" s="217"/>
      <c r="S250" s="217">
        <f t="shared" si="310"/>
        <v>0</v>
      </c>
      <c r="T250" s="217"/>
      <c r="U250" s="217">
        <f t="shared" si="311"/>
        <v>0</v>
      </c>
      <c r="V250" s="217"/>
      <c r="W250" s="217"/>
      <c r="X250" s="217"/>
      <c r="Y250" s="217"/>
      <c r="Z250" s="198">
        <f>(H250*$Z$354)/($H$354-$H$218-$H$220-$H$221)</f>
        <v>0</v>
      </c>
      <c r="AA250" s="219">
        <f t="shared" si="312"/>
        <v>0</v>
      </c>
    </row>
    <row r="251" spans="2:27">
      <c r="B251" s="239" t="s">
        <v>751</v>
      </c>
      <c r="C251" s="250">
        <f>SUM(C252:C255)</f>
        <v>266</v>
      </c>
      <c r="D251" s="240"/>
      <c r="E251" s="240"/>
      <c r="F251" s="240"/>
      <c r="G251" s="240"/>
      <c r="H251" s="240">
        <f>SUM(H252:H255)</f>
        <v>148.48086568124342</v>
      </c>
      <c r="I251" s="240">
        <f t="shared" ref="I251" si="313">SUM(I252:I255)</f>
        <v>0</v>
      </c>
      <c r="J251" s="240">
        <f>SUM(J252:J255)</f>
        <v>64.533999999999992</v>
      </c>
      <c r="K251" s="240">
        <f t="shared" ref="K251:AA251" si="314">SUM(K252:K255)</f>
        <v>0</v>
      </c>
      <c r="L251" s="240"/>
      <c r="M251" s="240"/>
      <c r="N251" s="240">
        <f t="shared" si="314"/>
        <v>113.49622881104516</v>
      </c>
      <c r="O251" s="240">
        <f t="shared" si="314"/>
        <v>34.631292000000002</v>
      </c>
      <c r="P251" s="240">
        <f t="shared" si="314"/>
        <v>0</v>
      </c>
      <c r="Q251" s="240">
        <f t="shared" si="314"/>
        <v>0.44879520000000006</v>
      </c>
      <c r="R251" s="240">
        <f t="shared" si="314"/>
        <v>0</v>
      </c>
      <c r="S251" s="240">
        <f t="shared" si="314"/>
        <v>148.57631601104515</v>
      </c>
      <c r="T251" s="240">
        <f t="shared" si="314"/>
        <v>0</v>
      </c>
      <c r="U251" s="240">
        <f t="shared" si="314"/>
        <v>148.57631601104515</v>
      </c>
      <c r="V251" s="240">
        <f t="shared" si="314"/>
        <v>0</v>
      </c>
      <c r="W251" s="240">
        <f t="shared" si="314"/>
        <v>0</v>
      </c>
      <c r="X251" s="240">
        <f t="shared" si="314"/>
        <v>0</v>
      </c>
      <c r="Y251" s="240">
        <f t="shared" si="314"/>
        <v>0</v>
      </c>
      <c r="Z251" s="240">
        <f t="shared" si="314"/>
        <v>2.4213202648409422</v>
      </c>
      <c r="AA251" s="241">
        <f t="shared" si="314"/>
        <v>150.99763627588612</v>
      </c>
    </row>
    <row r="252" spans="2:27" ht="21">
      <c r="B252" s="245" t="s">
        <v>756</v>
      </c>
      <c r="C252" s="193">
        <v>152</v>
      </c>
      <c r="D252" s="203">
        <v>7.65</v>
      </c>
      <c r="E252" s="237">
        <v>5700</v>
      </c>
      <c r="F252" s="237"/>
      <c r="G252" s="237">
        <v>1406</v>
      </c>
      <c r="H252" s="191">
        <v>108.82679420805792</v>
      </c>
      <c r="I252" s="203"/>
      <c r="J252" s="191">
        <v>37.683999999999997</v>
      </c>
      <c r="K252" s="191"/>
      <c r="L252" s="191"/>
      <c r="M252" s="191"/>
      <c r="N252" s="195">
        <f t="shared" ref="N252:N255" si="315">H252*D252/10</f>
        <v>83.252497569164319</v>
      </c>
      <c r="O252" s="196">
        <f>IF(E252&gt;0,(J252*10^3*E252/10^7)+(K252*0.7457*E252/10^7),(K252*F252/10^7)+(J252*(10^3)*(1/0.7457)*F252/10^7))</f>
        <v>21.479880000000001</v>
      </c>
      <c r="P252" s="332"/>
      <c r="Q252" s="196">
        <f t="shared" ref="Q252:Q255" si="316">G252*C252*12/10^7</f>
        <v>0.25645440000000003</v>
      </c>
      <c r="R252" s="332"/>
      <c r="S252" s="196">
        <f>N252+O252+P252+Q252+R252</f>
        <v>104.98883196916432</v>
      </c>
      <c r="T252" s="332"/>
      <c r="U252" s="196">
        <f t="shared" ref="U252:U255" si="317">S252-T252</f>
        <v>104.98883196916432</v>
      </c>
      <c r="V252" s="332"/>
      <c r="W252" s="332"/>
      <c r="X252" s="332"/>
      <c r="Y252" s="332"/>
      <c r="Z252" s="198">
        <f>(H252*$Z$354)/($H$354-$H$218-$H$220-$H$221)</f>
        <v>1.7746698940948609</v>
      </c>
      <c r="AA252" s="249">
        <f t="shared" ref="AA252:AA255" si="318">U252+Z252</f>
        <v>106.76350186325918</v>
      </c>
    </row>
    <row r="253" spans="2:27">
      <c r="B253" s="245" t="s">
        <v>757</v>
      </c>
      <c r="C253" s="193">
        <v>99</v>
      </c>
      <c r="D253" s="203">
        <v>7.95</v>
      </c>
      <c r="E253" s="237">
        <v>5700</v>
      </c>
      <c r="F253" s="237"/>
      <c r="G253" s="237">
        <v>1406</v>
      </c>
      <c r="H253" s="191">
        <v>35.310832221315565</v>
      </c>
      <c r="I253" s="203"/>
      <c r="J253" s="191">
        <v>22.817999999999998</v>
      </c>
      <c r="K253" s="191"/>
      <c r="L253" s="191"/>
      <c r="M253" s="191"/>
      <c r="N253" s="195">
        <f t="shared" si="315"/>
        <v>28.072111615945875</v>
      </c>
      <c r="O253" s="196">
        <f>IF(E253&gt;0,(J253*10^3*E253/10^7)+(K253*0.7457*E253/10^7),(K253*F253/10^7)+(J253*(10^3)*(1/0.7457)*F253/10^7))</f>
        <v>13.006259999999999</v>
      </c>
      <c r="P253" s="332"/>
      <c r="Q253" s="196">
        <f t="shared" si="316"/>
        <v>0.16703280000000001</v>
      </c>
      <c r="R253" s="332"/>
      <c r="S253" s="196">
        <f>N253+O253+P253+Q253+R253</f>
        <v>41.245404415945877</v>
      </c>
      <c r="T253" s="332"/>
      <c r="U253" s="196">
        <f t="shared" si="317"/>
        <v>41.245404415945877</v>
      </c>
      <c r="V253" s="332"/>
      <c r="W253" s="332"/>
      <c r="X253" s="332"/>
      <c r="Y253" s="332"/>
      <c r="Z253" s="198">
        <f>(H253*$Z$354)/($H$354-$H$218-$H$220-$H$221)</f>
        <v>0.57582391666154165</v>
      </c>
      <c r="AA253" s="249">
        <f t="shared" si="318"/>
        <v>41.821228332607419</v>
      </c>
    </row>
    <row r="254" spans="2:27">
      <c r="B254" s="245" t="s">
        <v>758</v>
      </c>
      <c r="C254" s="193">
        <v>15</v>
      </c>
      <c r="D254" s="203">
        <v>5</v>
      </c>
      <c r="E254" s="237">
        <v>360</v>
      </c>
      <c r="F254" s="237"/>
      <c r="G254" s="237">
        <v>1406</v>
      </c>
      <c r="H254" s="191">
        <v>4.3432392518699423</v>
      </c>
      <c r="I254" s="203"/>
      <c r="J254" s="191">
        <v>4.032</v>
      </c>
      <c r="K254" s="191"/>
      <c r="L254" s="191"/>
      <c r="M254" s="191"/>
      <c r="N254" s="195">
        <f t="shared" si="315"/>
        <v>2.1716196259349712</v>
      </c>
      <c r="O254" s="196">
        <f>IF(E254&gt;0,(J254*10^3*E254/10^7)+(K254*0.7457*E254/10^7),(K254*F254/10^7)+(J254*(10^3)*(1/0.7457)*F254/10^7))</f>
        <v>0.145152</v>
      </c>
      <c r="P254" s="332"/>
      <c r="Q254" s="196">
        <f t="shared" si="316"/>
        <v>2.5308000000000001E-2</v>
      </c>
      <c r="R254" s="332"/>
      <c r="S254" s="196">
        <f>N254+O254+P254+Q254+R254</f>
        <v>2.342079625934971</v>
      </c>
      <c r="T254" s="332"/>
      <c r="U254" s="196">
        <f t="shared" si="317"/>
        <v>2.342079625934971</v>
      </c>
      <c r="V254" s="332"/>
      <c r="W254" s="332"/>
      <c r="X254" s="332"/>
      <c r="Y254" s="332"/>
      <c r="Z254" s="198">
        <f>(H254*$Z$354)/($H$354-$H$218-$H$220-$H$221)</f>
        <v>7.0826454084539775E-2</v>
      </c>
      <c r="AA254" s="249">
        <f t="shared" si="318"/>
        <v>2.4129060800195106</v>
      </c>
    </row>
    <row r="255" spans="2:27">
      <c r="B255" s="245" t="s">
        <v>759</v>
      </c>
      <c r="C255" s="193">
        <v>0</v>
      </c>
      <c r="D255" s="203">
        <v>5.5</v>
      </c>
      <c r="E255" s="237">
        <v>4200</v>
      </c>
      <c r="F255" s="237"/>
      <c r="G255" s="237">
        <v>1406</v>
      </c>
      <c r="H255" s="191">
        <v>0</v>
      </c>
      <c r="I255" s="203"/>
      <c r="J255" s="191">
        <v>0</v>
      </c>
      <c r="K255" s="191"/>
      <c r="L255" s="191"/>
      <c r="M255" s="191"/>
      <c r="N255" s="195">
        <f t="shared" si="315"/>
        <v>0</v>
      </c>
      <c r="O255" s="196">
        <f>IF(E255&gt;0,(J255*10^3*E255/10^7)+(K255*0.7457*E255/10^7),(K255*F255/10^7)+(J255*(10^3)*(1/0.7457)*F255/10^7))</f>
        <v>0</v>
      </c>
      <c r="P255" s="332"/>
      <c r="Q255" s="196">
        <f t="shared" si="316"/>
        <v>0</v>
      </c>
      <c r="R255" s="332"/>
      <c r="S255" s="196">
        <f>N255+O255+P255+Q255+R255</f>
        <v>0</v>
      </c>
      <c r="T255" s="332"/>
      <c r="U255" s="196">
        <f t="shared" si="317"/>
        <v>0</v>
      </c>
      <c r="V255" s="332"/>
      <c r="W255" s="332"/>
      <c r="X255" s="332"/>
      <c r="Y255" s="332"/>
      <c r="Z255" s="198">
        <f>(H255*$Z$354)/($H$354-$H$218-$H$220-$H$221)</f>
        <v>0</v>
      </c>
      <c r="AA255" s="249">
        <f t="shared" si="318"/>
        <v>0</v>
      </c>
    </row>
    <row r="256" spans="2:27">
      <c r="B256" s="239" t="s">
        <v>752</v>
      </c>
      <c r="C256" s="250">
        <f t="shared" ref="C256" si="319">C257+C258</f>
        <v>161</v>
      </c>
      <c r="D256" s="240"/>
      <c r="E256" s="240"/>
      <c r="F256" s="240"/>
      <c r="G256" s="240"/>
      <c r="H256" s="240">
        <f t="shared" ref="H256:AA256" si="320">H257+H258</f>
        <v>44.088893031910786</v>
      </c>
      <c r="I256" s="240">
        <f t="shared" si="320"/>
        <v>0</v>
      </c>
      <c r="J256" s="240">
        <f t="shared" ref="J256" si="321">J257+J258</f>
        <v>48.222030000000004</v>
      </c>
      <c r="K256" s="240">
        <f t="shared" si="320"/>
        <v>0</v>
      </c>
      <c r="L256" s="240"/>
      <c r="M256" s="240"/>
      <c r="N256" s="240">
        <f t="shared" si="320"/>
        <v>23.758227413587335</v>
      </c>
      <c r="O256" s="240">
        <f t="shared" si="320"/>
        <v>0.41117868000000002</v>
      </c>
      <c r="P256" s="240">
        <f t="shared" si="320"/>
        <v>0</v>
      </c>
      <c r="Q256" s="240">
        <f t="shared" si="320"/>
        <v>0.27163920000000003</v>
      </c>
      <c r="R256" s="240">
        <f t="shared" si="320"/>
        <v>0</v>
      </c>
      <c r="S256" s="240">
        <f t="shared" si="320"/>
        <v>24.441045293587337</v>
      </c>
      <c r="T256" s="240">
        <f t="shared" si="320"/>
        <v>0</v>
      </c>
      <c r="U256" s="240">
        <f t="shared" si="320"/>
        <v>24.441045293587337</v>
      </c>
      <c r="V256" s="240">
        <f t="shared" si="320"/>
        <v>0</v>
      </c>
      <c r="W256" s="240">
        <f t="shared" si="320"/>
        <v>0</v>
      </c>
      <c r="X256" s="240">
        <f t="shared" si="320"/>
        <v>0</v>
      </c>
      <c r="Y256" s="240">
        <f t="shared" si="320"/>
        <v>0</v>
      </c>
      <c r="Z256" s="240">
        <f t="shared" si="320"/>
        <v>0.71897028390005946</v>
      </c>
      <c r="AA256" s="241">
        <f t="shared" si="320"/>
        <v>25.1600155774874</v>
      </c>
    </row>
    <row r="257" spans="2:27">
      <c r="B257" s="253" t="s">
        <v>760</v>
      </c>
      <c r="C257" s="193">
        <v>43</v>
      </c>
      <c r="D257" s="203">
        <v>3.85</v>
      </c>
      <c r="E257" s="237">
        <v>360</v>
      </c>
      <c r="F257" s="237"/>
      <c r="G257" s="237">
        <v>1406</v>
      </c>
      <c r="H257" s="191">
        <v>23.531306376451127</v>
      </c>
      <c r="I257" s="203"/>
      <c r="J257" s="191">
        <v>11.42163</v>
      </c>
      <c r="K257" s="191"/>
      <c r="L257" s="191"/>
      <c r="M257" s="191"/>
      <c r="N257" s="195">
        <f t="shared" ref="N257:N258" si="322">H257*D257/10</f>
        <v>9.0595529549336842</v>
      </c>
      <c r="O257" s="196">
        <f>IF(E257&gt;0,(J257*10^3*E257/10^7)+(K257*0.7457*E257/10^7),(K257*F257/10^7)+(J257*(10^3)*(1/0.7457)*F257/10^7))</f>
        <v>0.41117868000000002</v>
      </c>
      <c r="P257" s="332"/>
      <c r="Q257" s="196">
        <f t="shared" ref="Q257:Q258" si="323">G257*C257*12/10^7</f>
        <v>7.2549600000000006E-2</v>
      </c>
      <c r="R257" s="332"/>
      <c r="S257" s="196">
        <f>N257+O257+P257+Q257+R257</f>
        <v>9.5432812349336853</v>
      </c>
      <c r="T257" s="332"/>
      <c r="U257" s="196">
        <f t="shared" ref="U257:U258" si="324">S257-T257</f>
        <v>9.5432812349336853</v>
      </c>
      <c r="V257" s="332"/>
      <c r="W257" s="332"/>
      <c r="X257" s="332"/>
      <c r="Y257" s="332"/>
      <c r="Z257" s="198">
        <f>(H257*$Z$354)/($H$354-$H$218-$H$220-$H$221)</f>
        <v>0.38373179416800429</v>
      </c>
      <c r="AA257" s="249">
        <f t="shared" ref="AA257:AA258" si="325">U257+Z257</f>
        <v>9.9270130291016905</v>
      </c>
    </row>
    <row r="258" spans="2:27">
      <c r="B258" s="337" t="s">
        <v>761</v>
      </c>
      <c r="C258" s="363">
        <v>118</v>
      </c>
      <c r="D258" s="338">
        <v>7.15</v>
      </c>
      <c r="E258" s="339">
        <v>0</v>
      </c>
      <c r="F258" s="339"/>
      <c r="G258" s="339">
        <v>1406</v>
      </c>
      <c r="H258" s="340">
        <v>20.557586655459655</v>
      </c>
      <c r="I258" s="338"/>
      <c r="J258" s="340">
        <v>36.800400000000003</v>
      </c>
      <c r="K258" s="340"/>
      <c r="L258" s="340"/>
      <c r="M258" s="340"/>
      <c r="N258" s="195">
        <f t="shared" si="322"/>
        <v>14.698674458653652</v>
      </c>
      <c r="O258" s="342">
        <f>IF(E258&gt;0,(J258*10^3*E258/10^7)+(K258*0.7457*E258/10^7),(K258*F258/10^7)+(J258*(10^3)*(1/0.7457)*F258/10^7))</f>
        <v>0</v>
      </c>
      <c r="P258" s="343"/>
      <c r="Q258" s="342">
        <f t="shared" si="323"/>
        <v>0.19908960000000001</v>
      </c>
      <c r="R258" s="343"/>
      <c r="S258" s="342">
        <f>N258+O258+P258+Q258+R258</f>
        <v>14.897764058653653</v>
      </c>
      <c r="T258" s="343"/>
      <c r="U258" s="342">
        <f t="shared" si="324"/>
        <v>14.897764058653653</v>
      </c>
      <c r="V258" s="343"/>
      <c r="W258" s="343"/>
      <c r="X258" s="343"/>
      <c r="Y258" s="343"/>
      <c r="Z258" s="198">
        <f>(H258*$Z$354)/($H$354-$H$218-$H$220-$H$221)</f>
        <v>0.33523848973205517</v>
      </c>
      <c r="AA258" s="344">
        <f t="shared" si="325"/>
        <v>15.233002548385707</v>
      </c>
    </row>
    <row r="259" spans="2:27">
      <c r="B259" s="1631"/>
      <c r="C259" s="345"/>
      <c r="D259" s="345"/>
      <c r="E259" s="345"/>
      <c r="F259" s="345"/>
      <c r="G259" s="345"/>
      <c r="H259" s="346"/>
      <c r="I259" s="346"/>
      <c r="J259" s="346"/>
      <c r="K259" s="346"/>
      <c r="L259" s="346"/>
      <c r="M259" s="346"/>
      <c r="N259" s="347"/>
      <c r="O259" s="348"/>
      <c r="P259" s="1632"/>
      <c r="Q259" s="348"/>
      <c r="R259" s="1632"/>
      <c r="S259" s="348"/>
      <c r="T259" s="346"/>
      <c r="U259" s="348"/>
      <c r="V259" s="346"/>
      <c r="W259" s="346"/>
      <c r="X259" s="346"/>
      <c r="Y259" s="346"/>
      <c r="Z259" s="350"/>
      <c r="AA259" s="1633"/>
    </row>
    <row r="260" spans="2:27">
      <c r="B260" s="1634"/>
      <c r="C260" s="352"/>
      <c r="D260" s="351"/>
      <c r="E260" s="351"/>
      <c r="F260" s="351"/>
      <c r="G260" s="353"/>
      <c r="H260" s="351"/>
      <c r="I260" s="351"/>
      <c r="J260" s="351"/>
      <c r="K260" s="351"/>
      <c r="L260" s="351"/>
      <c r="M260" s="351"/>
      <c r="N260" s="347"/>
      <c r="O260" s="348"/>
      <c r="P260" s="1632"/>
      <c r="Q260" s="348"/>
      <c r="R260" s="1632"/>
      <c r="S260" s="348"/>
      <c r="T260" s="1632"/>
      <c r="U260" s="348"/>
      <c r="V260" s="1632"/>
      <c r="W260" s="1632"/>
      <c r="X260" s="1632"/>
      <c r="Y260" s="1632"/>
      <c r="Z260" s="350"/>
      <c r="AA260" s="1633"/>
    </row>
    <row r="261" spans="2:27">
      <c r="B261" s="354" t="s">
        <v>721</v>
      </c>
      <c r="C261" s="355">
        <f>C262+C263+C270+C283+C288</f>
        <v>354</v>
      </c>
      <c r="D261" s="356"/>
      <c r="E261" s="357"/>
      <c r="F261" s="357"/>
      <c r="G261" s="358"/>
      <c r="H261" s="359">
        <f>H262+H263+H270+H283+H288</f>
        <v>2769.5805454304846</v>
      </c>
      <c r="I261" s="359">
        <f t="shared" ref="I261" si="326">I262+I263+I270+I283+I288</f>
        <v>0</v>
      </c>
      <c r="J261" s="359">
        <f>J262+J263+J270+J283+J288</f>
        <v>810.01457999999991</v>
      </c>
      <c r="K261" s="359">
        <f t="shared" ref="K261:AA261" si="327">K262+K263+K270+K283+K288</f>
        <v>0</v>
      </c>
      <c r="L261" s="359"/>
      <c r="M261" s="359"/>
      <c r="N261" s="359">
        <f t="shared" si="327"/>
        <v>1671.8870752795672</v>
      </c>
      <c r="O261" s="359">
        <f t="shared" si="327"/>
        <v>403.33955999999995</v>
      </c>
      <c r="P261" s="359">
        <f t="shared" si="327"/>
        <v>0</v>
      </c>
      <c r="Q261" s="359">
        <f t="shared" si="327"/>
        <v>1.1949623999999999</v>
      </c>
      <c r="R261" s="359">
        <f t="shared" si="327"/>
        <v>0</v>
      </c>
      <c r="S261" s="359">
        <f t="shared" si="327"/>
        <v>2076.4215976795672</v>
      </c>
      <c r="T261" s="359">
        <f t="shared" si="327"/>
        <v>0</v>
      </c>
      <c r="U261" s="359">
        <f t="shared" si="327"/>
        <v>2076.4215976795672</v>
      </c>
      <c r="V261" s="359">
        <f t="shared" si="327"/>
        <v>0</v>
      </c>
      <c r="W261" s="359">
        <f t="shared" si="327"/>
        <v>0</v>
      </c>
      <c r="X261" s="359">
        <f t="shared" si="327"/>
        <v>0</v>
      </c>
      <c r="Y261" s="359">
        <f t="shared" si="327"/>
        <v>0</v>
      </c>
      <c r="Z261" s="359">
        <f t="shared" si="327"/>
        <v>45.164348072676887</v>
      </c>
      <c r="AA261" s="1635">
        <f t="shared" si="327"/>
        <v>2121.5859457522433</v>
      </c>
    </row>
    <row r="262" spans="2:27">
      <c r="B262" s="253" t="s">
        <v>743</v>
      </c>
      <c r="C262" s="193">
        <v>3</v>
      </c>
      <c r="D262" s="203">
        <v>7</v>
      </c>
      <c r="E262" s="237">
        <v>900</v>
      </c>
      <c r="F262" s="237"/>
      <c r="G262" s="237">
        <v>2813</v>
      </c>
      <c r="H262" s="191">
        <v>11.878836374242551</v>
      </c>
      <c r="I262" s="203"/>
      <c r="J262" s="191">
        <v>4.1500000000000004</v>
      </c>
      <c r="K262" s="191"/>
      <c r="L262" s="191"/>
      <c r="M262" s="191"/>
      <c r="N262" s="195">
        <f t="shared" ref="N262" si="328">H262*D262/10</f>
        <v>8.3151854619697865</v>
      </c>
      <c r="O262" s="196">
        <f>IF(E262&gt;0,(J262*10^3*E262/10^7)+(K262*0.7457*E262/10^7),(K262*F262/10^7)+(J262*(10^3)*(1/0.7457)*F262/10^7))</f>
        <v>0.3735</v>
      </c>
      <c r="P262" s="332"/>
      <c r="Q262" s="196">
        <f t="shared" ref="Q262" si="329">G262*C262*12/10^7</f>
        <v>1.01268E-2</v>
      </c>
      <c r="R262" s="332"/>
      <c r="S262" s="196">
        <f>N262+O262+P262+Q262+R262</f>
        <v>8.6988122619697865</v>
      </c>
      <c r="T262" s="332"/>
      <c r="U262" s="196">
        <f t="shared" ref="U262" si="330">S262-T262</f>
        <v>8.6988122619697865</v>
      </c>
      <c r="V262" s="332"/>
      <c r="W262" s="332"/>
      <c r="X262" s="332"/>
      <c r="Y262" s="332"/>
      <c r="Z262" s="198">
        <f>(H262*$Z$354)/($H$354-$H$218-$H$220-$H$221)</f>
        <v>0.19371160791471972</v>
      </c>
      <c r="AA262" s="249">
        <f t="shared" ref="AA262" si="331">U262+Z262</f>
        <v>8.8925238698845064</v>
      </c>
    </row>
    <row r="263" spans="2:27">
      <c r="B263" s="239" t="s">
        <v>744</v>
      </c>
      <c r="C263" s="250">
        <f>SUM(C264:C269)</f>
        <v>92</v>
      </c>
      <c r="D263" s="240"/>
      <c r="E263" s="240"/>
      <c r="F263" s="250"/>
      <c r="G263" s="240"/>
      <c r="H263" s="240">
        <f>SUM(H264:H269)</f>
        <v>240.75928820407213</v>
      </c>
      <c r="I263" s="240">
        <f t="shared" ref="I263" si="332">SUM(I264:I269)</f>
        <v>0</v>
      </c>
      <c r="J263" s="240">
        <f>SUM(J264:J269)</f>
        <v>117.94758000000002</v>
      </c>
      <c r="K263" s="240">
        <f t="shared" ref="K263:AA263" si="333">SUM(K264:K269)</f>
        <v>0</v>
      </c>
      <c r="L263" s="240"/>
      <c r="M263" s="240"/>
      <c r="N263" s="240">
        <f t="shared" si="333"/>
        <v>173.31014091425223</v>
      </c>
      <c r="O263" s="240">
        <f t="shared" si="333"/>
        <v>60.927870000000013</v>
      </c>
      <c r="P263" s="240">
        <f t="shared" si="333"/>
        <v>0</v>
      </c>
      <c r="Q263" s="240">
        <f t="shared" si="333"/>
        <v>0.31055520000000003</v>
      </c>
      <c r="R263" s="240">
        <f t="shared" si="333"/>
        <v>0</v>
      </c>
      <c r="S263" s="240">
        <f t="shared" si="333"/>
        <v>234.54856611425228</v>
      </c>
      <c r="T263" s="240">
        <f t="shared" si="333"/>
        <v>0</v>
      </c>
      <c r="U263" s="240">
        <f t="shared" si="333"/>
        <v>234.54856611425228</v>
      </c>
      <c r="V263" s="240">
        <f t="shared" si="333"/>
        <v>0</v>
      </c>
      <c r="W263" s="240">
        <f t="shared" si="333"/>
        <v>0</v>
      </c>
      <c r="X263" s="240">
        <f t="shared" si="333"/>
        <v>0</v>
      </c>
      <c r="Y263" s="240">
        <f t="shared" si="333"/>
        <v>0</v>
      </c>
      <c r="Z263" s="240">
        <f t="shared" si="333"/>
        <v>3.9261310930708126</v>
      </c>
      <c r="AA263" s="241">
        <f t="shared" si="333"/>
        <v>238.47469720732306</v>
      </c>
    </row>
    <row r="264" spans="2:27">
      <c r="B264" s="253" t="s">
        <v>745</v>
      </c>
      <c r="C264" s="193">
        <v>66</v>
      </c>
      <c r="D264" s="203">
        <v>6.95</v>
      </c>
      <c r="E264" s="237">
        <v>5700</v>
      </c>
      <c r="F264" s="237"/>
      <c r="G264" s="237">
        <v>2813</v>
      </c>
      <c r="H264" s="191">
        <v>189.38164035860697</v>
      </c>
      <c r="I264" s="203"/>
      <c r="J264" s="191">
        <v>106.89100000000002</v>
      </c>
      <c r="K264" s="191"/>
      <c r="L264" s="191"/>
      <c r="M264" s="191"/>
      <c r="N264" s="195">
        <f t="shared" ref="N264:N269" si="334">H264*D264/10</f>
        <v>131.62024004923185</v>
      </c>
      <c r="O264" s="196">
        <f t="shared" ref="O264:O269" si="335">IF(E264&gt;0,(J264*10^3*E264/10^7)+(K264*0.7457*E264/10^7),(K264*F264/10^7)+(J264*(10^3)*(1/0.7457)*F264/10^7))</f>
        <v>60.927870000000013</v>
      </c>
      <c r="P264" s="332"/>
      <c r="Q264" s="196">
        <f t="shared" ref="Q264:Q269" si="336">G264*C264*12/10^7</f>
        <v>0.2227896</v>
      </c>
      <c r="R264" s="332"/>
      <c r="S264" s="196">
        <f t="shared" ref="S264:S269" si="337">N264+O264+P264+Q264+R264</f>
        <v>192.77089964923186</v>
      </c>
      <c r="T264" s="332"/>
      <c r="U264" s="196">
        <f t="shared" ref="U264:U269" si="338">S264-T264</f>
        <v>192.77089964923186</v>
      </c>
      <c r="V264" s="332"/>
      <c r="W264" s="332"/>
      <c r="X264" s="332"/>
      <c r="Y264" s="332"/>
      <c r="Z264" s="198">
        <f t="shared" ref="Z264:Z269" si="339">(H264*$Z$354)/($H$354-$H$218-$H$220-$H$221)</f>
        <v>3.088300984003761</v>
      </c>
      <c r="AA264" s="249">
        <f t="shared" ref="AA264:AA269" si="340">U264+Z264</f>
        <v>195.85920063323562</v>
      </c>
    </row>
    <row r="265" spans="2:27">
      <c r="B265" s="253" t="s">
        <v>697</v>
      </c>
      <c r="C265" s="193">
        <v>0</v>
      </c>
      <c r="D265" s="203">
        <v>7.95</v>
      </c>
      <c r="E265" s="237">
        <v>5700</v>
      </c>
      <c r="F265" s="237"/>
      <c r="G265" s="237"/>
      <c r="H265" s="191">
        <v>49.413297082963808</v>
      </c>
      <c r="I265" s="203"/>
      <c r="J265" s="191">
        <v>0</v>
      </c>
      <c r="K265" s="191"/>
      <c r="L265" s="191"/>
      <c r="M265" s="191"/>
      <c r="N265" s="195">
        <f t="shared" si="334"/>
        <v>39.28357118095623</v>
      </c>
      <c r="O265" s="196">
        <f t="shared" si="335"/>
        <v>0</v>
      </c>
      <c r="P265" s="332"/>
      <c r="Q265" s="196">
        <f t="shared" si="336"/>
        <v>0</v>
      </c>
      <c r="R265" s="332"/>
      <c r="S265" s="196">
        <f t="shared" si="337"/>
        <v>39.28357118095623</v>
      </c>
      <c r="T265" s="332"/>
      <c r="U265" s="196">
        <f t="shared" si="338"/>
        <v>39.28357118095623</v>
      </c>
      <c r="V265" s="332"/>
      <c r="W265" s="332"/>
      <c r="X265" s="332"/>
      <c r="Y265" s="332"/>
      <c r="Z265" s="198">
        <f t="shared" si="339"/>
        <v>0.80579687511008413</v>
      </c>
      <c r="AA265" s="249">
        <f t="shared" si="340"/>
        <v>40.089368056066313</v>
      </c>
    </row>
    <row r="266" spans="2:27">
      <c r="B266" s="253" t="s">
        <v>746</v>
      </c>
      <c r="C266" s="193">
        <v>0</v>
      </c>
      <c r="D266" s="203">
        <v>12.25</v>
      </c>
      <c r="E266" s="237">
        <v>0</v>
      </c>
      <c r="F266" s="237"/>
      <c r="G266" s="237">
        <v>2813</v>
      </c>
      <c r="H266" s="191">
        <v>0</v>
      </c>
      <c r="I266" s="203"/>
      <c r="J266" s="191">
        <v>0</v>
      </c>
      <c r="K266" s="191"/>
      <c r="L266" s="191"/>
      <c r="M266" s="191"/>
      <c r="N266" s="195">
        <f t="shared" si="334"/>
        <v>0</v>
      </c>
      <c r="O266" s="196">
        <f t="shared" si="335"/>
        <v>0</v>
      </c>
      <c r="P266" s="332"/>
      <c r="Q266" s="196">
        <f t="shared" si="336"/>
        <v>0</v>
      </c>
      <c r="R266" s="332"/>
      <c r="S266" s="196">
        <f t="shared" si="337"/>
        <v>0</v>
      </c>
      <c r="T266" s="332"/>
      <c r="U266" s="196">
        <f t="shared" si="338"/>
        <v>0</v>
      </c>
      <c r="V266" s="332"/>
      <c r="W266" s="332"/>
      <c r="X266" s="332"/>
      <c r="Y266" s="332"/>
      <c r="Z266" s="198">
        <f t="shared" si="339"/>
        <v>0</v>
      </c>
      <c r="AA266" s="249">
        <f t="shared" si="340"/>
        <v>0</v>
      </c>
    </row>
    <row r="267" spans="2:27">
      <c r="B267" s="253" t="s">
        <v>747</v>
      </c>
      <c r="C267" s="193">
        <v>26</v>
      </c>
      <c r="D267" s="203">
        <v>12.25</v>
      </c>
      <c r="E267" s="237">
        <v>0</v>
      </c>
      <c r="F267" s="237"/>
      <c r="G267" s="237">
        <v>2813</v>
      </c>
      <c r="H267" s="191">
        <v>1.9643507625013543</v>
      </c>
      <c r="I267" s="203"/>
      <c r="J267" s="191">
        <v>11.05658</v>
      </c>
      <c r="K267" s="191"/>
      <c r="L267" s="191"/>
      <c r="M267" s="191"/>
      <c r="N267" s="195">
        <f t="shared" si="334"/>
        <v>2.406329684064159</v>
      </c>
      <c r="O267" s="196">
        <f t="shared" si="335"/>
        <v>0</v>
      </c>
      <c r="P267" s="332"/>
      <c r="Q267" s="196">
        <f t="shared" si="336"/>
        <v>8.7765599999999999E-2</v>
      </c>
      <c r="R267" s="332"/>
      <c r="S267" s="196">
        <f t="shared" si="337"/>
        <v>2.494095284064159</v>
      </c>
      <c r="T267" s="332"/>
      <c r="U267" s="196">
        <f t="shared" si="338"/>
        <v>2.494095284064159</v>
      </c>
      <c r="V267" s="332"/>
      <c r="W267" s="332"/>
      <c r="X267" s="332"/>
      <c r="Y267" s="332"/>
      <c r="Z267" s="198">
        <f t="shared" si="339"/>
        <v>3.2033233956967153E-2</v>
      </c>
      <c r="AA267" s="249">
        <f t="shared" si="340"/>
        <v>2.5261285180211264</v>
      </c>
    </row>
    <row r="268" spans="2:27">
      <c r="B268" s="253" t="s">
        <v>748</v>
      </c>
      <c r="C268" s="193">
        <v>0</v>
      </c>
      <c r="D268" s="203">
        <v>6.7</v>
      </c>
      <c r="E268" s="237">
        <v>0</v>
      </c>
      <c r="F268" s="237"/>
      <c r="G268" s="237">
        <v>2813</v>
      </c>
      <c r="H268" s="191">
        <v>0</v>
      </c>
      <c r="I268" s="203"/>
      <c r="J268" s="191">
        <v>0</v>
      </c>
      <c r="K268" s="191"/>
      <c r="L268" s="191"/>
      <c r="M268" s="191"/>
      <c r="N268" s="195">
        <f t="shared" si="334"/>
        <v>0</v>
      </c>
      <c r="O268" s="196">
        <f t="shared" si="335"/>
        <v>0</v>
      </c>
      <c r="P268" s="332"/>
      <c r="Q268" s="196">
        <f t="shared" si="336"/>
        <v>0</v>
      </c>
      <c r="R268" s="332"/>
      <c r="S268" s="196">
        <f t="shared" si="337"/>
        <v>0</v>
      </c>
      <c r="T268" s="332"/>
      <c r="U268" s="196">
        <f t="shared" si="338"/>
        <v>0</v>
      </c>
      <c r="V268" s="332"/>
      <c r="W268" s="332"/>
      <c r="X268" s="332"/>
      <c r="Y268" s="332"/>
      <c r="Z268" s="198">
        <f t="shared" si="339"/>
        <v>0</v>
      </c>
      <c r="AA268" s="249">
        <f t="shared" si="340"/>
        <v>0</v>
      </c>
    </row>
    <row r="269" spans="2:27">
      <c r="B269" s="253" t="s">
        <v>749</v>
      </c>
      <c r="C269" s="193">
        <v>0</v>
      </c>
      <c r="D269" s="203">
        <v>12.25</v>
      </c>
      <c r="E269" s="237">
        <v>0</v>
      </c>
      <c r="F269" s="237"/>
      <c r="G269" s="237">
        <v>2813</v>
      </c>
      <c r="H269" s="191">
        <v>0</v>
      </c>
      <c r="I269" s="203"/>
      <c r="J269" s="191">
        <v>0</v>
      </c>
      <c r="K269" s="191"/>
      <c r="L269" s="191"/>
      <c r="M269" s="191"/>
      <c r="N269" s="195">
        <f t="shared" si="334"/>
        <v>0</v>
      </c>
      <c r="O269" s="196">
        <f t="shared" si="335"/>
        <v>0</v>
      </c>
      <c r="P269" s="332"/>
      <c r="Q269" s="196">
        <f t="shared" si="336"/>
        <v>0</v>
      </c>
      <c r="R269" s="332"/>
      <c r="S269" s="196">
        <f t="shared" si="337"/>
        <v>0</v>
      </c>
      <c r="T269" s="332"/>
      <c r="U269" s="196">
        <f t="shared" si="338"/>
        <v>0</v>
      </c>
      <c r="V269" s="332"/>
      <c r="W269" s="332"/>
      <c r="X269" s="332"/>
      <c r="Y269" s="332"/>
      <c r="Z269" s="198">
        <f t="shared" si="339"/>
        <v>0</v>
      </c>
      <c r="AA269" s="249">
        <f t="shared" si="340"/>
        <v>0</v>
      </c>
    </row>
    <row r="270" spans="2:27">
      <c r="B270" s="239" t="s">
        <v>750</v>
      </c>
      <c r="C270" s="250">
        <f>C271+C281+C282</f>
        <v>239</v>
      </c>
      <c r="D270" s="240"/>
      <c r="E270" s="240"/>
      <c r="F270" s="240"/>
      <c r="G270" s="240"/>
      <c r="H270" s="240">
        <f>H271+H281+H282</f>
        <v>2466.5088837897383</v>
      </c>
      <c r="I270" s="240">
        <f t="shared" ref="I270" si="341">I271+I281+I282</f>
        <v>0</v>
      </c>
      <c r="J270" s="240">
        <f>J271+J281+J282</f>
        <v>594.94199999999989</v>
      </c>
      <c r="K270" s="240">
        <f t="shared" ref="K270:AA270" si="342">K271+K281+K282</f>
        <v>0</v>
      </c>
      <c r="L270" s="240"/>
      <c r="M270" s="240"/>
      <c r="N270" s="240">
        <f t="shared" si="342"/>
        <v>1454.2262540137065</v>
      </c>
      <c r="O270" s="240">
        <f t="shared" si="342"/>
        <v>339.11693999999994</v>
      </c>
      <c r="P270" s="240">
        <f t="shared" si="342"/>
        <v>0</v>
      </c>
      <c r="Q270" s="240">
        <f t="shared" si="342"/>
        <v>0.80676839999999994</v>
      </c>
      <c r="R270" s="240">
        <f t="shared" si="342"/>
        <v>0</v>
      </c>
      <c r="S270" s="240">
        <f t="shared" si="342"/>
        <v>1794.1499624137064</v>
      </c>
      <c r="T270" s="240">
        <f t="shared" si="342"/>
        <v>0</v>
      </c>
      <c r="U270" s="240">
        <f t="shared" si="342"/>
        <v>1794.1499624137064</v>
      </c>
      <c r="V270" s="240">
        <f t="shared" si="342"/>
        <v>0</v>
      </c>
      <c r="W270" s="240">
        <f t="shared" si="342"/>
        <v>0</v>
      </c>
      <c r="X270" s="240">
        <f t="shared" si="342"/>
        <v>0</v>
      </c>
      <c r="Y270" s="240">
        <f t="shared" si="342"/>
        <v>0</v>
      </c>
      <c r="Z270" s="240">
        <f t="shared" si="342"/>
        <v>40.222071149230473</v>
      </c>
      <c r="AA270" s="241">
        <f t="shared" si="342"/>
        <v>1834.3720335629368</v>
      </c>
    </row>
    <row r="271" spans="2:27">
      <c r="B271" s="215" t="s">
        <v>753</v>
      </c>
      <c r="C271" s="216">
        <f>C273+C274+C275+C277+C278+C279+C280</f>
        <v>228</v>
      </c>
      <c r="D271" s="217"/>
      <c r="E271" s="207"/>
      <c r="F271" s="217"/>
      <c r="G271" s="218"/>
      <c r="H271" s="217">
        <f>H273+H274+H275+H277+H278+H279+H280</f>
        <v>2250.5322034007527</v>
      </c>
      <c r="I271" s="217">
        <f t="shared" ref="I271" si="343">I273+I274+I275+I277+I278+I279+I280</f>
        <v>0</v>
      </c>
      <c r="J271" s="217">
        <f>J273+J274+J275+J277+J278+J279+J280</f>
        <v>563.02699999999993</v>
      </c>
      <c r="K271" s="217">
        <f t="shared" ref="K271:AA271" si="344">K273+K274+K275+K277+K278+K279+K280</f>
        <v>0</v>
      </c>
      <c r="L271" s="217"/>
      <c r="M271" s="217"/>
      <c r="N271" s="217">
        <f t="shared" si="344"/>
        <v>1337.0980293085058</v>
      </c>
      <c r="O271" s="217">
        <f t="shared" si="344"/>
        <v>320.92538999999994</v>
      </c>
      <c r="P271" s="217">
        <f t="shared" si="344"/>
        <v>0</v>
      </c>
      <c r="Q271" s="217">
        <f t="shared" si="344"/>
        <v>0.76963680000000001</v>
      </c>
      <c r="R271" s="217">
        <f t="shared" si="344"/>
        <v>0</v>
      </c>
      <c r="S271" s="217">
        <f t="shared" si="344"/>
        <v>1658.7930561085057</v>
      </c>
      <c r="T271" s="217">
        <f t="shared" si="344"/>
        <v>0</v>
      </c>
      <c r="U271" s="217">
        <f t="shared" si="344"/>
        <v>1658.7930561085057</v>
      </c>
      <c r="V271" s="217">
        <f t="shared" si="344"/>
        <v>0</v>
      </c>
      <c r="W271" s="217">
        <f t="shared" si="344"/>
        <v>0</v>
      </c>
      <c r="X271" s="217">
        <f t="shared" si="344"/>
        <v>0</v>
      </c>
      <c r="Y271" s="217">
        <f t="shared" si="344"/>
        <v>0</v>
      </c>
      <c r="Z271" s="217">
        <f t="shared" si="344"/>
        <v>36.700077183478783</v>
      </c>
      <c r="AA271" s="219">
        <f t="shared" si="344"/>
        <v>1695.4931332919843</v>
      </c>
    </row>
    <row r="272" spans="2:27" ht="12.95" customHeight="1">
      <c r="B272" s="253" t="s">
        <v>918</v>
      </c>
      <c r="C272" s="193"/>
      <c r="D272" s="203"/>
      <c r="E272" s="237"/>
      <c r="F272" s="237"/>
      <c r="G272" s="237"/>
      <c r="H272" s="191"/>
      <c r="I272" s="203"/>
      <c r="J272" s="191"/>
      <c r="K272" s="191"/>
      <c r="L272" s="191"/>
      <c r="M272" s="191"/>
      <c r="N272" s="195">
        <f t="shared" ref="N272:N282" si="345">H272*D272/10</f>
        <v>0</v>
      </c>
      <c r="O272" s="196">
        <f t="shared" ref="O272:O282" si="346">IF(E272&gt;0,(J272*10^3*E272/10^7)+(K272*0.7457*E272/10^7),(K272*F272/10^7)+(J272*(10^3)*(1/0.7457)*F272/10^7))</f>
        <v>0</v>
      </c>
      <c r="P272" s="332"/>
      <c r="Q272" s="196">
        <f t="shared" ref="Q272:Q282" si="347">G272*C272*12/10^7</f>
        <v>0</v>
      </c>
      <c r="R272" s="332"/>
      <c r="S272" s="196">
        <f t="shared" ref="S272:S282" si="348">N272+O272+P272+Q272+R272</f>
        <v>0</v>
      </c>
      <c r="T272" s="332"/>
      <c r="U272" s="196">
        <f t="shared" ref="U272:U282" si="349">S272-T272</f>
        <v>0</v>
      </c>
      <c r="V272" s="332"/>
      <c r="W272" s="332"/>
      <c r="X272" s="332"/>
      <c r="Y272" s="332"/>
      <c r="Z272" s="198"/>
      <c r="AA272" s="249">
        <f t="shared" ref="AA272:AA282" si="350">U272+Z272</f>
        <v>0</v>
      </c>
    </row>
    <row r="273" spans="2:27" ht="12.95" customHeight="1">
      <c r="B273" s="253" t="s">
        <v>914</v>
      </c>
      <c r="C273" s="193"/>
      <c r="D273" s="203">
        <v>7.35</v>
      </c>
      <c r="E273" s="237">
        <v>5700</v>
      </c>
      <c r="F273" s="237"/>
      <c r="G273" s="237">
        <v>2813</v>
      </c>
      <c r="H273" s="191">
        <v>405.77094451986551</v>
      </c>
      <c r="I273" s="203"/>
      <c r="J273" s="191">
        <v>0</v>
      </c>
      <c r="K273" s="191"/>
      <c r="L273" s="191"/>
      <c r="M273" s="191"/>
      <c r="N273" s="195">
        <f t="shared" si="345"/>
        <v>298.24164422210117</v>
      </c>
      <c r="O273" s="196">
        <f t="shared" si="346"/>
        <v>0</v>
      </c>
      <c r="P273" s="332"/>
      <c r="Q273" s="196">
        <f t="shared" si="347"/>
        <v>0</v>
      </c>
      <c r="R273" s="332"/>
      <c r="S273" s="196">
        <f t="shared" si="348"/>
        <v>298.24164422210117</v>
      </c>
      <c r="T273" s="332"/>
      <c r="U273" s="196">
        <f t="shared" si="349"/>
        <v>298.24164422210117</v>
      </c>
      <c r="V273" s="332"/>
      <c r="W273" s="332"/>
      <c r="X273" s="332"/>
      <c r="Y273" s="332"/>
      <c r="Z273" s="198"/>
      <c r="AA273" s="249">
        <f t="shared" si="350"/>
        <v>298.24164422210117</v>
      </c>
    </row>
    <row r="274" spans="2:27" ht="12.95" customHeight="1">
      <c r="B274" s="253" t="s">
        <v>915</v>
      </c>
      <c r="C274" s="193"/>
      <c r="D274" s="203">
        <v>5.0999999999999996</v>
      </c>
      <c r="E274" s="237">
        <v>5700</v>
      </c>
      <c r="F274" s="237"/>
      <c r="G274" s="237">
        <v>2813</v>
      </c>
      <c r="H274" s="191">
        <v>544.9156150172297</v>
      </c>
      <c r="I274" s="203"/>
      <c r="J274" s="191">
        <v>0</v>
      </c>
      <c r="K274" s="191"/>
      <c r="L274" s="191"/>
      <c r="M274" s="191"/>
      <c r="N274" s="195">
        <f t="shared" si="345"/>
        <v>277.90696365878711</v>
      </c>
      <c r="O274" s="196">
        <f t="shared" si="346"/>
        <v>0</v>
      </c>
      <c r="P274" s="332"/>
      <c r="Q274" s="196">
        <f t="shared" si="347"/>
        <v>0</v>
      </c>
      <c r="R274" s="332"/>
      <c r="S274" s="196">
        <f t="shared" si="348"/>
        <v>277.90696365878711</v>
      </c>
      <c r="T274" s="332"/>
      <c r="U274" s="196">
        <f t="shared" si="349"/>
        <v>277.90696365878711</v>
      </c>
      <c r="V274" s="332"/>
      <c r="W274" s="332"/>
      <c r="X274" s="332"/>
      <c r="Y274" s="332"/>
      <c r="Z274" s="198"/>
      <c r="AA274" s="249">
        <f t="shared" si="350"/>
        <v>277.90696365878711</v>
      </c>
    </row>
    <row r="275" spans="2:27" ht="12.95" customHeight="1">
      <c r="B275" s="253" t="s">
        <v>916</v>
      </c>
      <c r="C275" s="193">
        <v>228</v>
      </c>
      <c r="D275" s="203">
        <v>5.85</v>
      </c>
      <c r="E275" s="237">
        <v>5700</v>
      </c>
      <c r="F275" s="237"/>
      <c r="G275" s="237">
        <v>2813</v>
      </c>
      <c r="H275" s="191">
        <v>184.23878460142356</v>
      </c>
      <c r="I275" s="203"/>
      <c r="J275" s="191">
        <v>563.02699999999993</v>
      </c>
      <c r="K275" s="191"/>
      <c r="L275" s="191"/>
      <c r="M275" s="191"/>
      <c r="N275" s="195">
        <f t="shared" si="345"/>
        <v>107.77968899183277</v>
      </c>
      <c r="O275" s="196">
        <f t="shared" si="346"/>
        <v>320.92538999999994</v>
      </c>
      <c r="P275" s="332"/>
      <c r="Q275" s="196">
        <f t="shared" si="347"/>
        <v>0.76963680000000001</v>
      </c>
      <c r="R275" s="332"/>
      <c r="S275" s="196">
        <f t="shared" si="348"/>
        <v>429.47471579183269</v>
      </c>
      <c r="T275" s="332"/>
      <c r="U275" s="196">
        <f t="shared" si="349"/>
        <v>429.47471579183269</v>
      </c>
      <c r="V275" s="332"/>
      <c r="W275" s="332"/>
      <c r="X275" s="332"/>
      <c r="Y275" s="332"/>
      <c r="Z275" s="198">
        <f>(H271*$Z$354)/($H$354-$H$218-$H$220-$H$221)</f>
        <v>36.700077183478783</v>
      </c>
      <c r="AA275" s="249">
        <f t="shared" si="350"/>
        <v>466.17479297531145</v>
      </c>
    </row>
    <row r="276" spans="2:27" ht="12.95" customHeight="1">
      <c r="B276" s="253" t="s">
        <v>917</v>
      </c>
      <c r="C276" s="193"/>
      <c r="D276" s="203"/>
      <c r="E276" s="237"/>
      <c r="F276" s="237"/>
      <c r="G276" s="237"/>
      <c r="H276" s="191"/>
      <c r="I276" s="203"/>
      <c r="J276" s="191"/>
      <c r="K276" s="191"/>
      <c r="L276" s="191"/>
      <c r="M276" s="191"/>
      <c r="N276" s="195">
        <f t="shared" si="345"/>
        <v>0</v>
      </c>
      <c r="O276" s="196">
        <f t="shared" si="346"/>
        <v>0</v>
      </c>
      <c r="P276" s="332"/>
      <c r="Q276" s="196">
        <f t="shared" si="347"/>
        <v>0</v>
      </c>
      <c r="R276" s="332"/>
      <c r="S276" s="196">
        <f t="shared" si="348"/>
        <v>0</v>
      </c>
      <c r="T276" s="332"/>
      <c r="U276" s="196">
        <f t="shared" si="349"/>
        <v>0</v>
      </c>
      <c r="V276" s="332"/>
      <c r="W276" s="332"/>
      <c r="X276" s="332"/>
      <c r="Y276" s="332"/>
      <c r="Z276" s="198"/>
      <c r="AA276" s="249">
        <f t="shared" si="350"/>
        <v>0</v>
      </c>
    </row>
    <row r="277" spans="2:27" ht="12.95" customHeight="1">
      <c r="B277" s="253" t="s">
        <v>914</v>
      </c>
      <c r="C277" s="193"/>
      <c r="D277" s="203">
        <v>6.85</v>
      </c>
      <c r="E277" s="237">
        <v>5700</v>
      </c>
      <c r="F277" s="237"/>
      <c r="G277" s="237">
        <v>2813</v>
      </c>
      <c r="H277" s="191">
        <v>389.33681540045581</v>
      </c>
      <c r="I277" s="203"/>
      <c r="J277" s="191"/>
      <c r="K277" s="191"/>
      <c r="L277" s="191"/>
      <c r="M277" s="191"/>
      <c r="N277" s="195">
        <f t="shared" si="345"/>
        <v>266.69571854931223</v>
      </c>
      <c r="O277" s="196">
        <f t="shared" si="346"/>
        <v>0</v>
      </c>
      <c r="P277" s="332"/>
      <c r="Q277" s="196">
        <f t="shared" si="347"/>
        <v>0</v>
      </c>
      <c r="R277" s="332"/>
      <c r="S277" s="196">
        <f t="shared" si="348"/>
        <v>266.69571854931223</v>
      </c>
      <c r="T277" s="332"/>
      <c r="U277" s="196">
        <f t="shared" si="349"/>
        <v>266.69571854931223</v>
      </c>
      <c r="V277" s="332"/>
      <c r="W277" s="332"/>
      <c r="X277" s="332"/>
      <c r="Y277" s="332"/>
      <c r="Z277" s="198"/>
      <c r="AA277" s="249">
        <f t="shared" si="350"/>
        <v>266.69571854931223</v>
      </c>
    </row>
    <row r="278" spans="2:27" ht="12.95" customHeight="1">
      <c r="B278" s="253" t="s">
        <v>915</v>
      </c>
      <c r="C278" s="193"/>
      <c r="D278" s="203">
        <v>5.0999999999999996</v>
      </c>
      <c r="E278" s="237">
        <v>5700</v>
      </c>
      <c r="F278" s="237"/>
      <c r="G278" s="237">
        <v>2813</v>
      </c>
      <c r="H278" s="191">
        <v>513.69701248693548</v>
      </c>
      <c r="I278" s="203"/>
      <c r="J278" s="191"/>
      <c r="K278" s="191"/>
      <c r="L278" s="191"/>
      <c r="M278" s="191"/>
      <c r="N278" s="195">
        <f t="shared" si="345"/>
        <v>261.98547636833712</v>
      </c>
      <c r="O278" s="196">
        <f t="shared" si="346"/>
        <v>0</v>
      </c>
      <c r="P278" s="332"/>
      <c r="Q278" s="196">
        <f t="shared" si="347"/>
        <v>0</v>
      </c>
      <c r="R278" s="332"/>
      <c r="S278" s="196">
        <f t="shared" si="348"/>
        <v>261.98547636833712</v>
      </c>
      <c r="T278" s="332"/>
      <c r="U278" s="196">
        <f t="shared" si="349"/>
        <v>261.98547636833712</v>
      </c>
      <c r="V278" s="332"/>
      <c r="W278" s="332"/>
      <c r="X278" s="332"/>
      <c r="Y278" s="332"/>
      <c r="Z278" s="198"/>
      <c r="AA278" s="249">
        <f t="shared" si="350"/>
        <v>261.98547636833712</v>
      </c>
    </row>
    <row r="279" spans="2:27" ht="12.95" customHeight="1">
      <c r="B279" s="253" t="s">
        <v>916</v>
      </c>
      <c r="C279" s="193"/>
      <c r="D279" s="203">
        <v>5.85</v>
      </c>
      <c r="E279" s="237">
        <v>5700</v>
      </c>
      <c r="F279" s="237"/>
      <c r="G279" s="237">
        <v>2813</v>
      </c>
      <c r="H279" s="191">
        <v>211.41377777612422</v>
      </c>
      <c r="I279" s="203"/>
      <c r="J279" s="191"/>
      <c r="K279" s="191"/>
      <c r="L279" s="191"/>
      <c r="M279" s="191"/>
      <c r="N279" s="195">
        <f t="shared" si="345"/>
        <v>123.67705999903266</v>
      </c>
      <c r="O279" s="196">
        <f t="shared" si="346"/>
        <v>0</v>
      </c>
      <c r="P279" s="332"/>
      <c r="Q279" s="196">
        <f t="shared" si="347"/>
        <v>0</v>
      </c>
      <c r="R279" s="332"/>
      <c r="S279" s="196">
        <f t="shared" si="348"/>
        <v>123.67705999903266</v>
      </c>
      <c r="T279" s="332"/>
      <c r="U279" s="196">
        <f t="shared" si="349"/>
        <v>123.67705999903266</v>
      </c>
      <c r="V279" s="332"/>
      <c r="W279" s="332"/>
      <c r="X279" s="332"/>
      <c r="Y279" s="332"/>
      <c r="Z279" s="198"/>
      <c r="AA279" s="249">
        <f t="shared" si="350"/>
        <v>123.67705999903266</v>
      </c>
    </row>
    <row r="280" spans="2:27" ht="12.95" customHeight="1">
      <c r="B280" s="253" t="s">
        <v>592</v>
      </c>
      <c r="C280" s="193">
        <v>0</v>
      </c>
      <c r="D280" s="203">
        <v>7</v>
      </c>
      <c r="E280" s="237">
        <v>0</v>
      </c>
      <c r="F280" s="237"/>
      <c r="G280" s="237">
        <v>2813</v>
      </c>
      <c r="H280" s="191">
        <v>1.1592535987181243</v>
      </c>
      <c r="I280" s="203"/>
      <c r="J280" s="191">
        <v>0</v>
      </c>
      <c r="K280" s="191"/>
      <c r="L280" s="191"/>
      <c r="M280" s="191"/>
      <c r="N280" s="195">
        <f t="shared" si="345"/>
        <v>0.81147751910268706</v>
      </c>
      <c r="O280" s="196">
        <f t="shared" si="346"/>
        <v>0</v>
      </c>
      <c r="P280" s="332"/>
      <c r="Q280" s="196">
        <f t="shared" si="347"/>
        <v>0</v>
      </c>
      <c r="R280" s="332"/>
      <c r="S280" s="196">
        <f t="shared" si="348"/>
        <v>0.81147751910268706</v>
      </c>
      <c r="T280" s="332"/>
      <c r="U280" s="196">
        <f t="shared" si="349"/>
        <v>0.81147751910268706</v>
      </c>
      <c r="V280" s="332"/>
      <c r="W280" s="332"/>
      <c r="X280" s="332"/>
      <c r="Y280" s="332"/>
      <c r="Z280" s="198"/>
      <c r="AA280" s="249">
        <f t="shared" si="350"/>
        <v>0.81147751910268706</v>
      </c>
    </row>
    <row r="281" spans="2:27">
      <c r="B281" s="215" t="s">
        <v>754</v>
      </c>
      <c r="C281" s="193">
        <v>2</v>
      </c>
      <c r="D281" s="217">
        <v>6.95</v>
      </c>
      <c r="E281" s="360">
        <v>5700</v>
      </c>
      <c r="F281" s="217"/>
      <c r="G281" s="222">
        <v>2813</v>
      </c>
      <c r="H281" s="191">
        <v>9.8793793568329473</v>
      </c>
      <c r="I281" s="217"/>
      <c r="J281" s="191">
        <v>4.55</v>
      </c>
      <c r="K281" s="217"/>
      <c r="L281" s="217"/>
      <c r="M281" s="217"/>
      <c r="N281" s="195">
        <f t="shared" si="345"/>
        <v>6.8661686529988986</v>
      </c>
      <c r="O281" s="217">
        <f t="shared" si="346"/>
        <v>2.5935000000000001</v>
      </c>
      <c r="P281" s="217"/>
      <c r="Q281" s="217">
        <f t="shared" si="347"/>
        <v>6.7511999999999997E-3</v>
      </c>
      <c r="R281" s="217"/>
      <c r="S281" s="217">
        <f t="shared" si="348"/>
        <v>9.4664198529988983</v>
      </c>
      <c r="T281" s="217"/>
      <c r="U281" s="217">
        <f t="shared" si="349"/>
        <v>9.4664198529988983</v>
      </c>
      <c r="V281" s="217"/>
      <c r="W281" s="217"/>
      <c r="X281" s="217"/>
      <c r="Y281" s="217"/>
      <c r="Z281" s="198">
        <f>(H281*$Z$354)/($H$354-$H$218-$H$220-$H$221)</f>
        <v>0.16110588614228885</v>
      </c>
      <c r="AA281" s="249">
        <f t="shared" si="350"/>
        <v>9.6275257391411877</v>
      </c>
    </row>
    <row r="282" spans="2:27">
      <c r="B282" s="215" t="s">
        <v>755</v>
      </c>
      <c r="C282" s="193">
        <v>9</v>
      </c>
      <c r="D282" s="217">
        <v>5.35</v>
      </c>
      <c r="E282" s="360">
        <v>5700</v>
      </c>
      <c r="F282" s="217"/>
      <c r="G282" s="222">
        <v>2813</v>
      </c>
      <c r="H282" s="191">
        <v>206.0973010321529</v>
      </c>
      <c r="I282" s="217"/>
      <c r="J282" s="191">
        <v>27.364999999999998</v>
      </c>
      <c r="K282" s="217"/>
      <c r="L282" s="217"/>
      <c r="M282" s="217"/>
      <c r="N282" s="195">
        <f t="shared" si="345"/>
        <v>110.2620560522018</v>
      </c>
      <c r="O282" s="217">
        <f t="shared" si="346"/>
        <v>15.598050000000001</v>
      </c>
      <c r="P282" s="217"/>
      <c r="Q282" s="217">
        <f t="shared" si="347"/>
        <v>3.0380399999999998E-2</v>
      </c>
      <c r="R282" s="217"/>
      <c r="S282" s="217">
        <f t="shared" si="348"/>
        <v>125.8904864522018</v>
      </c>
      <c r="T282" s="217"/>
      <c r="U282" s="217">
        <f t="shared" si="349"/>
        <v>125.8904864522018</v>
      </c>
      <c r="V282" s="217"/>
      <c r="W282" s="217"/>
      <c r="X282" s="217"/>
      <c r="Y282" s="217"/>
      <c r="Z282" s="198">
        <f>(H282*$Z$354)/($H$354-$H$218-$H$220-$H$221)</f>
        <v>3.3608880796094027</v>
      </c>
      <c r="AA282" s="249">
        <f t="shared" si="350"/>
        <v>129.25137453181119</v>
      </c>
    </row>
    <row r="283" spans="2:27">
      <c r="B283" s="239" t="s">
        <v>751</v>
      </c>
      <c r="C283" s="250">
        <f>SUM(C284:C287)</f>
        <v>3</v>
      </c>
      <c r="D283" s="240"/>
      <c r="E283" s="240"/>
      <c r="F283" s="240"/>
      <c r="G283" s="240"/>
      <c r="H283" s="240">
        <f>SUM(H284:H287)</f>
        <v>1.2242055000000003</v>
      </c>
      <c r="I283" s="240">
        <f t="shared" ref="I283" si="351">SUM(I284:I287)</f>
        <v>0</v>
      </c>
      <c r="J283" s="240">
        <f>SUM(J284:J287)</f>
        <v>5.125</v>
      </c>
      <c r="K283" s="240">
        <f t="shared" ref="K283:AA283" si="352">SUM(K284:K287)</f>
        <v>0</v>
      </c>
      <c r="L283" s="240"/>
      <c r="M283" s="240"/>
      <c r="N283" s="240">
        <f t="shared" si="352"/>
        <v>0.85082282250000019</v>
      </c>
      <c r="O283" s="240">
        <f t="shared" si="352"/>
        <v>2.9212500000000001</v>
      </c>
      <c r="P283" s="240">
        <f t="shared" si="352"/>
        <v>0</v>
      </c>
      <c r="Q283" s="240">
        <f t="shared" si="352"/>
        <v>1.01268E-2</v>
      </c>
      <c r="R283" s="240">
        <f t="shared" si="352"/>
        <v>0</v>
      </c>
      <c r="S283" s="240">
        <f t="shared" si="352"/>
        <v>3.7821996225000003</v>
      </c>
      <c r="T283" s="240">
        <f t="shared" si="352"/>
        <v>0</v>
      </c>
      <c r="U283" s="240">
        <f t="shared" si="352"/>
        <v>3.7821996225000003</v>
      </c>
      <c r="V283" s="240">
        <f t="shared" si="352"/>
        <v>0</v>
      </c>
      <c r="W283" s="240">
        <f t="shared" si="352"/>
        <v>0</v>
      </c>
      <c r="X283" s="240">
        <f t="shared" si="352"/>
        <v>0</v>
      </c>
      <c r="Y283" s="240">
        <f t="shared" si="352"/>
        <v>0</v>
      </c>
      <c r="Z283" s="240">
        <f t="shared" si="352"/>
        <v>1.9963471871474851E-2</v>
      </c>
      <c r="AA283" s="241">
        <f t="shared" si="352"/>
        <v>3.8021630943714753</v>
      </c>
    </row>
    <row r="284" spans="2:27" ht="21">
      <c r="B284" s="253" t="s">
        <v>756</v>
      </c>
      <c r="C284" s="193">
        <v>3</v>
      </c>
      <c r="D284" s="203">
        <v>6.95</v>
      </c>
      <c r="E284" s="237">
        <v>5700</v>
      </c>
      <c r="F284" s="237"/>
      <c r="G284" s="237">
        <v>2813</v>
      </c>
      <c r="H284" s="191">
        <v>1.2242055000000003</v>
      </c>
      <c r="I284" s="203"/>
      <c r="J284" s="191">
        <v>5.125</v>
      </c>
      <c r="K284" s="191"/>
      <c r="L284" s="191"/>
      <c r="M284" s="191"/>
      <c r="N284" s="195">
        <f t="shared" ref="N284:N287" si="353">H284*D284*$P$180/10</f>
        <v>0.85082282250000019</v>
      </c>
      <c r="O284" s="196">
        <f>IF(E284&gt;0,(J284*10^3*E284/10^7)+(K284*0.7457*E284/10^7),(K284*F284/10^7)+(J284*(10^3)*(1/0.7457)*F284/10^7))</f>
        <v>2.9212500000000001</v>
      </c>
      <c r="P284" s="332"/>
      <c r="Q284" s="196">
        <f t="shared" ref="Q284:Q287" si="354">G284*C284*12/10^7</f>
        <v>1.01268E-2</v>
      </c>
      <c r="R284" s="332"/>
      <c r="S284" s="196">
        <f>N284+O284+P284+Q284+R284</f>
        <v>3.7821996225000003</v>
      </c>
      <c r="T284" s="332"/>
      <c r="U284" s="196">
        <f t="shared" ref="U284:U287" si="355">S284-T284</f>
        <v>3.7821996225000003</v>
      </c>
      <c r="V284" s="332"/>
      <c r="W284" s="332"/>
      <c r="X284" s="332"/>
      <c r="Y284" s="332"/>
      <c r="Z284" s="198">
        <f>(H284*$Z$354)/($H$354-$H$218-$H$220-$H$221)</f>
        <v>1.9963471871474851E-2</v>
      </c>
      <c r="AA284" s="249">
        <f t="shared" ref="AA284:AA287" si="356">U284+Z284</f>
        <v>3.8021630943714753</v>
      </c>
    </row>
    <row r="285" spans="2:27">
      <c r="B285" s="253" t="s">
        <v>757</v>
      </c>
      <c r="C285" s="193">
        <v>0</v>
      </c>
      <c r="D285" s="203">
        <v>7.25</v>
      </c>
      <c r="E285" s="237">
        <v>5700</v>
      </c>
      <c r="F285" s="237"/>
      <c r="G285" s="237">
        <v>2813</v>
      </c>
      <c r="H285" s="191">
        <v>0</v>
      </c>
      <c r="I285" s="203"/>
      <c r="J285" s="191">
        <v>0</v>
      </c>
      <c r="K285" s="191"/>
      <c r="L285" s="191"/>
      <c r="M285" s="191"/>
      <c r="N285" s="195">
        <f t="shared" si="353"/>
        <v>0</v>
      </c>
      <c r="O285" s="196">
        <f>IF(E285&gt;0,(J285*10^3*E285/10^7)+(K285*0.7457*E285/10^7),(K285*F285/10^7)+(J285*(10^3)*(1/0.7457)*F285/10^7))</f>
        <v>0</v>
      </c>
      <c r="P285" s="332"/>
      <c r="Q285" s="196">
        <f t="shared" si="354"/>
        <v>0</v>
      </c>
      <c r="R285" s="332"/>
      <c r="S285" s="196">
        <f>N285+O285+P285+Q285+R285</f>
        <v>0</v>
      </c>
      <c r="T285" s="332"/>
      <c r="U285" s="196">
        <f t="shared" si="355"/>
        <v>0</v>
      </c>
      <c r="V285" s="332"/>
      <c r="W285" s="332"/>
      <c r="X285" s="332"/>
      <c r="Y285" s="332"/>
      <c r="Z285" s="198">
        <f>(H285*$Z$354)/($H$354-$H$218-$H$220-$H$221)</f>
        <v>0</v>
      </c>
      <c r="AA285" s="249">
        <f t="shared" si="356"/>
        <v>0</v>
      </c>
    </row>
    <row r="286" spans="2:27">
      <c r="B286" s="253" t="s">
        <v>758</v>
      </c>
      <c r="C286" s="193">
        <v>0</v>
      </c>
      <c r="D286" s="203">
        <v>5</v>
      </c>
      <c r="E286" s="237">
        <v>360</v>
      </c>
      <c r="F286" s="237"/>
      <c r="G286" s="237">
        <v>2813</v>
      </c>
      <c r="H286" s="191">
        <v>0</v>
      </c>
      <c r="I286" s="203"/>
      <c r="J286" s="191">
        <v>0</v>
      </c>
      <c r="K286" s="191"/>
      <c r="L286" s="191"/>
      <c r="M286" s="191"/>
      <c r="N286" s="195">
        <f t="shared" si="353"/>
        <v>0</v>
      </c>
      <c r="O286" s="196">
        <f>IF(E286&gt;0,(J286*10^3*E286/10^7)+(K286*0.7457*E286/10^7),(K286*F286/10^7)+(J286*(10^3)*(1/0.7457)*F286/10^7))</f>
        <v>0</v>
      </c>
      <c r="P286" s="332"/>
      <c r="Q286" s="196">
        <f t="shared" si="354"/>
        <v>0</v>
      </c>
      <c r="R286" s="332"/>
      <c r="S286" s="196">
        <f>N286+O286+P286+Q286+R286</f>
        <v>0</v>
      </c>
      <c r="T286" s="332"/>
      <c r="U286" s="196">
        <f t="shared" si="355"/>
        <v>0</v>
      </c>
      <c r="V286" s="332"/>
      <c r="W286" s="332"/>
      <c r="X286" s="332"/>
      <c r="Y286" s="332"/>
      <c r="Z286" s="198">
        <f>(H286*$Z$354)/($H$354-$H$218-$H$220-$H$221)</f>
        <v>0</v>
      </c>
      <c r="AA286" s="249">
        <f t="shared" si="356"/>
        <v>0</v>
      </c>
    </row>
    <row r="287" spans="2:27">
      <c r="B287" s="253" t="s">
        <v>759</v>
      </c>
      <c r="C287" s="193">
        <v>0</v>
      </c>
      <c r="D287" s="203">
        <v>5.5</v>
      </c>
      <c r="E287" s="237">
        <v>4200</v>
      </c>
      <c r="F287" s="237"/>
      <c r="G287" s="237">
        <v>2813</v>
      </c>
      <c r="H287" s="191">
        <v>0</v>
      </c>
      <c r="I287" s="203"/>
      <c r="J287" s="191">
        <v>0</v>
      </c>
      <c r="K287" s="191"/>
      <c r="L287" s="191"/>
      <c r="M287" s="191"/>
      <c r="N287" s="195">
        <f t="shared" si="353"/>
        <v>0</v>
      </c>
      <c r="O287" s="196">
        <f>IF(E287&gt;0,(J287*10^3*E287/10^7)+(K287*0.7457*E287/10^7),(K287*F287/10^7)+(J287*(10^3)*(1/0.7457)*F287/10^7))</f>
        <v>0</v>
      </c>
      <c r="P287" s="332"/>
      <c r="Q287" s="196">
        <f t="shared" si="354"/>
        <v>0</v>
      </c>
      <c r="R287" s="332"/>
      <c r="S287" s="196">
        <f>N287+O287+P287+Q287+R287</f>
        <v>0</v>
      </c>
      <c r="T287" s="332"/>
      <c r="U287" s="196">
        <f t="shared" si="355"/>
        <v>0</v>
      </c>
      <c r="V287" s="332"/>
      <c r="W287" s="332"/>
      <c r="X287" s="332"/>
      <c r="Y287" s="332"/>
      <c r="Z287" s="198">
        <f>(H287*$Z$354)/($H$354-$H$218-$H$220-$H$221)</f>
        <v>0</v>
      </c>
      <c r="AA287" s="249">
        <f t="shared" si="356"/>
        <v>0</v>
      </c>
    </row>
    <row r="288" spans="2:27">
      <c r="B288" s="239" t="s">
        <v>752</v>
      </c>
      <c r="C288" s="250">
        <f>C289+C290</f>
        <v>17</v>
      </c>
      <c r="D288" s="240"/>
      <c r="E288" s="240"/>
      <c r="F288" s="240"/>
      <c r="G288" s="240"/>
      <c r="H288" s="240">
        <f>H289+H290</f>
        <v>49.209331562431522</v>
      </c>
      <c r="I288" s="240">
        <f t="shared" ref="I288" si="357">I289+I290</f>
        <v>0</v>
      </c>
      <c r="J288" s="240">
        <f>J289+J290</f>
        <v>87.85</v>
      </c>
      <c r="K288" s="240">
        <f t="shared" ref="K288:Z288" si="358">K289+K290</f>
        <v>0</v>
      </c>
      <c r="L288" s="240"/>
      <c r="M288" s="240"/>
      <c r="N288" s="240">
        <f t="shared" si="358"/>
        <v>35.184672067138543</v>
      </c>
      <c r="O288" s="240">
        <f t="shared" si="358"/>
        <v>0</v>
      </c>
      <c r="P288" s="240">
        <f t="shared" si="358"/>
        <v>0</v>
      </c>
      <c r="Q288" s="240">
        <f t="shared" si="358"/>
        <v>5.7385199999999997E-2</v>
      </c>
      <c r="R288" s="240">
        <f t="shared" si="358"/>
        <v>0</v>
      </c>
      <c r="S288" s="240">
        <f t="shared" si="358"/>
        <v>35.242057267138541</v>
      </c>
      <c r="T288" s="240">
        <f t="shared" si="358"/>
        <v>0</v>
      </c>
      <c r="U288" s="240">
        <f t="shared" si="358"/>
        <v>35.242057267138541</v>
      </c>
      <c r="V288" s="240">
        <f t="shared" si="358"/>
        <v>0</v>
      </c>
      <c r="W288" s="240">
        <f t="shared" si="358"/>
        <v>0</v>
      </c>
      <c r="X288" s="240">
        <f t="shared" si="358"/>
        <v>0</v>
      </c>
      <c r="Y288" s="240">
        <f t="shared" si="358"/>
        <v>0</v>
      </c>
      <c r="Z288" s="240">
        <f t="shared" si="358"/>
        <v>0.80247075058940776</v>
      </c>
      <c r="AA288" s="241">
        <f t="shared" ref="AA288" si="359">AA289+AA290</f>
        <v>36.044528017727949</v>
      </c>
    </row>
    <row r="289" spans="2:28">
      <c r="B289" s="253" t="s">
        <v>760</v>
      </c>
      <c r="C289" s="193">
        <v>0</v>
      </c>
      <c r="D289" s="203">
        <v>3.85</v>
      </c>
      <c r="E289" s="237">
        <v>360</v>
      </c>
      <c r="F289" s="237"/>
      <c r="G289" s="237">
        <v>2813</v>
      </c>
      <c r="H289" s="191">
        <v>0</v>
      </c>
      <c r="I289" s="203"/>
      <c r="J289" s="191">
        <v>0</v>
      </c>
      <c r="K289" s="191"/>
      <c r="L289" s="191"/>
      <c r="M289" s="191"/>
      <c r="N289" s="195">
        <f t="shared" ref="N289:N290" si="360">H289*D289*$P$180/10</f>
        <v>0</v>
      </c>
      <c r="O289" s="196">
        <f>IF(E289&gt;0,(J289*10^3*E289/10^7)+(K289*0.7457*E289/10^7),(K289*F289/10^7)+(J289*(10^3)*(1/0.7457)*F289/10^7))</f>
        <v>0</v>
      </c>
      <c r="P289" s="332"/>
      <c r="Q289" s="196">
        <f t="shared" ref="Q289:Q290" si="361">G289*C289*12/10^7</f>
        <v>0</v>
      </c>
      <c r="R289" s="332"/>
      <c r="S289" s="196">
        <f>N289+O289+P289+Q289+R289</f>
        <v>0</v>
      </c>
      <c r="T289" s="332"/>
      <c r="U289" s="196">
        <f t="shared" ref="U289:U290" si="362">S289-T289</f>
        <v>0</v>
      </c>
      <c r="V289" s="332"/>
      <c r="W289" s="332"/>
      <c r="X289" s="332"/>
      <c r="Y289" s="332"/>
      <c r="Z289" s="198">
        <f>(H289*$Z$354)/($H$354-$H$218-$H$220-$H$221)</f>
        <v>0</v>
      </c>
      <c r="AA289" s="249">
        <f t="shared" ref="AA289:AA290" si="363">U289+Z289</f>
        <v>0</v>
      </c>
    </row>
    <row r="290" spans="2:28">
      <c r="B290" s="253" t="s">
        <v>761</v>
      </c>
      <c r="C290" s="193">
        <v>17</v>
      </c>
      <c r="D290" s="203">
        <v>7.15</v>
      </c>
      <c r="E290" s="237">
        <v>0</v>
      </c>
      <c r="F290" s="237"/>
      <c r="G290" s="237">
        <v>2813</v>
      </c>
      <c r="H290" s="191">
        <v>49.209331562431522</v>
      </c>
      <c r="I290" s="203"/>
      <c r="J290" s="191">
        <v>87.85</v>
      </c>
      <c r="K290" s="191"/>
      <c r="L290" s="191"/>
      <c r="M290" s="191"/>
      <c r="N290" s="195">
        <f t="shared" si="360"/>
        <v>35.184672067138543</v>
      </c>
      <c r="O290" s="196">
        <f>IF(E290&gt;0,(J290*10^3*E290/10^7)+(K290*0.7457*E290/10^7),(K290*F290/10^7)+(J290*(10^3)*(1/0.7457)*F290/10^7))</f>
        <v>0</v>
      </c>
      <c r="P290" s="332"/>
      <c r="Q290" s="196">
        <f t="shared" si="361"/>
        <v>5.7385199999999997E-2</v>
      </c>
      <c r="R290" s="332"/>
      <c r="S290" s="196">
        <f>N290+O290+P290+Q290+R290</f>
        <v>35.242057267138541</v>
      </c>
      <c r="T290" s="332"/>
      <c r="U290" s="196">
        <f t="shared" si="362"/>
        <v>35.242057267138541</v>
      </c>
      <c r="V290" s="332"/>
      <c r="W290" s="332"/>
      <c r="X290" s="332"/>
      <c r="Y290" s="332"/>
      <c r="Z290" s="198">
        <f>(H290*$Z$354)/($H$354-$H$218-$H$220-$H$221)</f>
        <v>0.80247075058940776</v>
      </c>
      <c r="AA290" s="249">
        <f t="shared" si="363"/>
        <v>36.044528017727949</v>
      </c>
    </row>
    <row r="291" spans="2:28">
      <c r="B291" s="253"/>
      <c r="C291" s="193"/>
      <c r="D291" s="203"/>
      <c r="E291" s="237"/>
      <c r="F291" s="237"/>
      <c r="G291" s="237"/>
      <c r="H291" s="191"/>
      <c r="I291" s="203"/>
      <c r="J291" s="191"/>
      <c r="K291" s="191"/>
      <c r="L291" s="191"/>
      <c r="M291" s="191"/>
      <c r="N291" s="195"/>
      <c r="O291" s="196"/>
      <c r="P291" s="332"/>
      <c r="Q291" s="196"/>
      <c r="R291" s="332"/>
      <c r="S291" s="196"/>
      <c r="T291" s="332"/>
      <c r="U291" s="196"/>
      <c r="V291" s="332"/>
      <c r="W291" s="332"/>
      <c r="X291" s="332"/>
      <c r="Y291" s="332"/>
      <c r="Z291" s="198"/>
      <c r="AA291" s="249"/>
    </row>
    <row r="292" spans="2:28">
      <c r="B292" s="232" t="s">
        <v>170</v>
      </c>
      <c r="C292" s="255">
        <f>C293+C294+C301+C314+C319</f>
        <v>73</v>
      </c>
      <c r="D292" s="233"/>
      <c r="E292" s="233"/>
      <c r="F292" s="233"/>
      <c r="G292" s="234"/>
      <c r="H292" s="233">
        <f>H293+H294+H301+H314+H319</f>
        <v>5072.2534534091674</v>
      </c>
      <c r="I292" s="233">
        <f t="shared" ref="I292" si="364">I293+I294+I301+I314+I319</f>
        <v>0</v>
      </c>
      <c r="J292" s="233">
        <f>J293+J294+J301+J314+J319</f>
        <v>1075.827</v>
      </c>
      <c r="K292" s="233">
        <f t="shared" ref="K292:AA292" si="365">K293+K294+K301+K314+K319</f>
        <v>0</v>
      </c>
      <c r="L292" s="233"/>
      <c r="M292" s="233"/>
      <c r="N292" s="233">
        <f t="shared" si="365"/>
        <v>2661.9575105694494</v>
      </c>
      <c r="O292" s="233">
        <f t="shared" si="365"/>
        <v>562.54208999999992</v>
      </c>
      <c r="P292" s="233">
        <f t="shared" si="365"/>
        <v>0</v>
      </c>
      <c r="Q292" s="233">
        <f t="shared" si="365"/>
        <v>0.24641880000000002</v>
      </c>
      <c r="R292" s="233">
        <f t="shared" si="365"/>
        <v>0</v>
      </c>
      <c r="S292" s="233">
        <f t="shared" si="365"/>
        <v>3224.7460193694487</v>
      </c>
      <c r="T292" s="233">
        <f t="shared" si="365"/>
        <v>0</v>
      </c>
      <c r="U292" s="233">
        <f t="shared" si="365"/>
        <v>3224.7460193694487</v>
      </c>
      <c r="V292" s="233">
        <f t="shared" si="365"/>
        <v>0</v>
      </c>
      <c r="W292" s="233">
        <f t="shared" si="365"/>
        <v>0</v>
      </c>
      <c r="X292" s="233">
        <f t="shared" si="365"/>
        <v>0</v>
      </c>
      <c r="Y292" s="233">
        <f t="shared" si="365"/>
        <v>0</v>
      </c>
      <c r="Z292" s="233">
        <f t="shared" si="365"/>
        <v>82.714698751251376</v>
      </c>
      <c r="AA292" s="235">
        <f t="shared" si="365"/>
        <v>3307.4607181206998</v>
      </c>
      <c r="AB292" s="177">
        <f>Z292+Z323+Z261+Z229</f>
        <v>225.171575114495</v>
      </c>
    </row>
    <row r="293" spans="2:28">
      <c r="B293" s="253" t="s">
        <v>743</v>
      </c>
      <c r="C293" s="193">
        <v>0</v>
      </c>
      <c r="D293" s="203">
        <v>7</v>
      </c>
      <c r="E293" s="237">
        <v>900</v>
      </c>
      <c r="F293" s="237"/>
      <c r="G293" s="237">
        <v>2813</v>
      </c>
      <c r="H293" s="191">
        <v>0</v>
      </c>
      <c r="I293" s="203"/>
      <c r="J293" s="191">
        <v>0</v>
      </c>
      <c r="K293" s="191"/>
      <c r="L293" s="191"/>
      <c r="M293" s="191"/>
      <c r="N293" s="195">
        <f t="shared" ref="N293" si="366">H293*D293*$P$180/10</f>
        <v>0</v>
      </c>
      <c r="O293" s="196">
        <f>IF(E293&gt;0,(J293*10^3*E293/10^7)+(K293*0.7457*E293/10^7),(K293*F293/10^7)+(J293*(10^3)*(1/0.7457)*F293/10^7))</f>
        <v>0</v>
      </c>
      <c r="P293" s="332"/>
      <c r="Q293" s="196">
        <f t="shared" ref="Q293" si="367">G293*C293*12/10^7</f>
        <v>0</v>
      </c>
      <c r="R293" s="332"/>
      <c r="S293" s="196">
        <f>N293+O293+P293+Q293+R293</f>
        <v>0</v>
      </c>
      <c r="T293" s="332"/>
      <c r="U293" s="196">
        <f t="shared" ref="U293" si="368">S293-T293</f>
        <v>0</v>
      </c>
      <c r="V293" s="332"/>
      <c r="W293" s="332"/>
      <c r="X293" s="332"/>
      <c r="Y293" s="332"/>
      <c r="Z293" s="198">
        <f>(H293*$Z$354)/($H$354-$H$218-$H$220-$H$221)</f>
        <v>0</v>
      </c>
      <c r="AA293" s="249">
        <f t="shared" ref="AA293" si="369">U293+Z293</f>
        <v>0</v>
      </c>
    </row>
    <row r="294" spans="2:28">
      <c r="B294" s="239" t="s">
        <v>744</v>
      </c>
      <c r="C294" s="250">
        <f>SUM(C295:C300)</f>
        <v>11</v>
      </c>
      <c r="D294" s="240"/>
      <c r="E294" s="240"/>
      <c r="F294" s="240"/>
      <c r="G294" s="240"/>
      <c r="H294" s="240">
        <f>SUM(H295:H300)</f>
        <v>31.974159038470901</v>
      </c>
      <c r="I294" s="240">
        <f t="shared" ref="I294" si="370">SUM(I295:I300)</f>
        <v>0</v>
      </c>
      <c r="J294" s="240">
        <f>SUM(J295:J300)</f>
        <v>46.2</v>
      </c>
      <c r="K294" s="240">
        <f t="shared" ref="K294:AA294" si="371">SUM(K295:K300)</f>
        <v>0</v>
      </c>
      <c r="L294" s="240"/>
      <c r="M294" s="240"/>
      <c r="N294" s="240">
        <f t="shared" si="371"/>
        <v>22.979784430799832</v>
      </c>
      <c r="O294" s="240">
        <f t="shared" si="371"/>
        <v>20.805</v>
      </c>
      <c r="P294" s="240">
        <f t="shared" si="371"/>
        <v>0</v>
      </c>
      <c r="Q294" s="240">
        <f t="shared" si="371"/>
        <v>3.7131600000000001E-2</v>
      </c>
      <c r="R294" s="240">
        <f t="shared" si="371"/>
        <v>0</v>
      </c>
      <c r="S294" s="240">
        <f t="shared" si="371"/>
        <v>43.821916030799819</v>
      </c>
      <c r="T294" s="240">
        <f t="shared" si="371"/>
        <v>0</v>
      </c>
      <c r="U294" s="240">
        <f t="shared" si="371"/>
        <v>43.821916030799819</v>
      </c>
      <c r="V294" s="240">
        <f t="shared" si="371"/>
        <v>0</v>
      </c>
      <c r="W294" s="240">
        <f t="shared" si="371"/>
        <v>0</v>
      </c>
      <c r="X294" s="240">
        <f t="shared" si="371"/>
        <v>0</v>
      </c>
      <c r="Y294" s="240">
        <f t="shared" si="371"/>
        <v>0</v>
      </c>
      <c r="Z294" s="240">
        <f t="shared" si="371"/>
        <v>0.52141182552976362</v>
      </c>
      <c r="AA294" s="241">
        <f t="shared" si="371"/>
        <v>44.343327856329587</v>
      </c>
    </row>
    <row r="295" spans="2:28">
      <c r="B295" s="253" t="s">
        <v>745</v>
      </c>
      <c r="C295" s="193">
        <v>5</v>
      </c>
      <c r="D295" s="203">
        <v>6.7</v>
      </c>
      <c r="E295" s="237">
        <v>5700</v>
      </c>
      <c r="F295" s="237"/>
      <c r="G295" s="237">
        <v>2813</v>
      </c>
      <c r="H295" s="191">
        <v>24.709215694389833</v>
      </c>
      <c r="I295" s="203"/>
      <c r="J295" s="191">
        <v>36.5</v>
      </c>
      <c r="K295" s="191"/>
      <c r="L295" s="191"/>
      <c r="M295" s="191"/>
      <c r="N295" s="195">
        <f t="shared" ref="N295:N300" si="372">H295*D295*$P$180/10</f>
        <v>16.555174515241188</v>
      </c>
      <c r="O295" s="196">
        <f t="shared" ref="O295:O300" si="373">IF(E295&gt;0,(J295*10^3*E295/10^7)+(K295*0.7457*E295/10^7),(K295*F295/10^7)+(J295*(10^3)*(1/0.7457)*F295/10^7))</f>
        <v>20.805</v>
      </c>
      <c r="P295" s="332"/>
      <c r="Q295" s="196">
        <f t="shared" ref="Q295:Q300" si="374">G295*C295*12/10^7</f>
        <v>1.6878000000000001E-2</v>
      </c>
      <c r="R295" s="332"/>
      <c r="S295" s="196">
        <f t="shared" ref="S295:S300" si="375">N295+O295+P295+Q295+R295</f>
        <v>37.377052515241182</v>
      </c>
      <c r="T295" s="332"/>
      <c r="U295" s="196">
        <f t="shared" ref="U295:U300" si="376">S295-T295</f>
        <v>37.377052515241182</v>
      </c>
      <c r="V295" s="332"/>
      <c r="W295" s="332"/>
      <c r="X295" s="332"/>
      <c r="Y295" s="332"/>
      <c r="Z295" s="198">
        <f t="shared" ref="Z295:Z300" si="377">(H295*$Z$354)/($H$354-$H$218-$H$220-$H$221)</f>
        <v>0.40294030085729582</v>
      </c>
      <c r="AA295" s="249">
        <f t="shared" ref="AA295:AA300" si="378">U295+Z295</f>
        <v>37.779992816098478</v>
      </c>
    </row>
    <row r="296" spans="2:28">
      <c r="B296" s="253" t="s">
        <v>697</v>
      </c>
      <c r="C296" s="193">
        <v>0</v>
      </c>
      <c r="D296" s="203">
        <v>7.7</v>
      </c>
      <c r="E296" s="237">
        <v>5700</v>
      </c>
      <c r="F296" s="237"/>
      <c r="G296" s="237"/>
      <c r="H296" s="191">
        <v>5.4394410570124547</v>
      </c>
      <c r="I296" s="203"/>
      <c r="J296" s="191">
        <v>0</v>
      </c>
      <c r="K296" s="191"/>
      <c r="L296" s="191"/>
      <c r="M296" s="191"/>
      <c r="N296" s="195">
        <f t="shared" si="372"/>
        <v>4.1883696138995905</v>
      </c>
      <c r="O296" s="196">
        <f t="shared" si="373"/>
        <v>0</v>
      </c>
      <c r="P296" s="332"/>
      <c r="Q296" s="196">
        <f t="shared" si="374"/>
        <v>0</v>
      </c>
      <c r="R296" s="332"/>
      <c r="S296" s="196">
        <f t="shared" si="375"/>
        <v>4.1883696138995905</v>
      </c>
      <c r="T296" s="332"/>
      <c r="U296" s="196">
        <f t="shared" si="376"/>
        <v>4.1883696138995905</v>
      </c>
      <c r="V296" s="332"/>
      <c r="W296" s="332"/>
      <c r="X296" s="332"/>
      <c r="Y296" s="332"/>
      <c r="Z296" s="198">
        <f t="shared" si="377"/>
        <v>8.8702532816764462E-2</v>
      </c>
      <c r="AA296" s="249">
        <f t="shared" si="378"/>
        <v>4.277072146716355</v>
      </c>
    </row>
    <row r="297" spans="2:28">
      <c r="B297" s="253" t="s">
        <v>746</v>
      </c>
      <c r="C297" s="193">
        <v>0</v>
      </c>
      <c r="D297" s="203">
        <v>12.25</v>
      </c>
      <c r="E297" s="237">
        <v>0</v>
      </c>
      <c r="F297" s="237"/>
      <c r="G297" s="237">
        <v>2813</v>
      </c>
      <c r="H297" s="191">
        <v>0</v>
      </c>
      <c r="I297" s="203"/>
      <c r="J297" s="191">
        <v>0</v>
      </c>
      <c r="K297" s="191"/>
      <c r="L297" s="191"/>
      <c r="M297" s="191"/>
      <c r="N297" s="195">
        <f t="shared" si="372"/>
        <v>0</v>
      </c>
      <c r="O297" s="196">
        <f t="shared" si="373"/>
        <v>0</v>
      </c>
      <c r="P297" s="332"/>
      <c r="Q297" s="196">
        <f t="shared" si="374"/>
        <v>0</v>
      </c>
      <c r="R297" s="332"/>
      <c r="S297" s="196">
        <f t="shared" si="375"/>
        <v>0</v>
      </c>
      <c r="T297" s="332"/>
      <c r="U297" s="196">
        <f t="shared" si="376"/>
        <v>0</v>
      </c>
      <c r="V297" s="332"/>
      <c r="W297" s="332"/>
      <c r="X297" s="332"/>
      <c r="Y297" s="332"/>
      <c r="Z297" s="198">
        <f t="shared" si="377"/>
        <v>0</v>
      </c>
      <c r="AA297" s="249">
        <f t="shared" si="378"/>
        <v>0</v>
      </c>
    </row>
    <row r="298" spans="2:28">
      <c r="B298" s="253" t="s">
        <v>747</v>
      </c>
      <c r="C298" s="193">
        <v>6</v>
      </c>
      <c r="D298" s="203">
        <v>12.25</v>
      </c>
      <c r="E298" s="237">
        <v>0</v>
      </c>
      <c r="F298" s="237"/>
      <c r="G298" s="237">
        <v>2813</v>
      </c>
      <c r="H298" s="191">
        <v>1.8255022870686133</v>
      </c>
      <c r="I298" s="203"/>
      <c r="J298" s="191">
        <v>9.6999999999999993</v>
      </c>
      <c r="K298" s="191"/>
      <c r="L298" s="191"/>
      <c r="M298" s="191"/>
      <c r="N298" s="195">
        <f t="shared" si="372"/>
        <v>2.2362403016590511</v>
      </c>
      <c r="O298" s="196">
        <f t="shared" si="373"/>
        <v>0</v>
      </c>
      <c r="P298" s="332"/>
      <c r="Q298" s="196">
        <f t="shared" si="374"/>
        <v>2.02536E-2</v>
      </c>
      <c r="R298" s="332"/>
      <c r="S298" s="196">
        <f t="shared" si="375"/>
        <v>2.2564939016590513</v>
      </c>
      <c r="T298" s="332"/>
      <c r="U298" s="196">
        <f t="shared" si="376"/>
        <v>2.2564939016590513</v>
      </c>
      <c r="V298" s="332"/>
      <c r="W298" s="332"/>
      <c r="X298" s="332"/>
      <c r="Y298" s="332"/>
      <c r="Z298" s="198">
        <f t="shared" si="377"/>
        <v>2.9768991855703364E-2</v>
      </c>
      <c r="AA298" s="249">
        <f t="shared" si="378"/>
        <v>2.2862628935147544</v>
      </c>
    </row>
    <row r="299" spans="2:28">
      <c r="B299" s="253" t="s">
        <v>748</v>
      </c>
      <c r="C299" s="193">
        <v>0</v>
      </c>
      <c r="D299" s="203">
        <v>6.7</v>
      </c>
      <c r="E299" s="237">
        <v>0</v>
      </c>
      <c r="F299" s="237"/>
      <c r="G299" s="237">
        <v>2813</v>
      </c>
      <c r="H299" s="191">
        <v>0</v>
      </c>
      <c r="I299" s="203"/>
      <c r="J299" s="191">
        <v>0</v>
      </c>
      <c r="K299" s="191"/>
      <c r="L299" s="191"/>
      <c r="M299" s="191"/>
      <c r="N299" s="195">
        <f t="shared" si="372"/>
        <v>0</v>
      </c>
      <c r="O299" s="196">
        <f t="shared" si="373"/>
        <v>0</v>
      </c>
      <c r="P299" s="332"/>
      <c r="Q299" s="196">
        <f t="shared" si="374"/>
        <v>0</v>
      </c>
      <c r="R299" s="332"/>
      <c r="S299" s="196">
        <f t="shared" si="375"/>
        <v>0</v>
      </c>
      <c r="T299" s="332"/>
      <c r="U299" s="196">
        <f t="shared" si="376"/>
        <v>0</v>
      </c>
      <c r="V299" s="332"/>
      <c r="W299" s="332"/>
      <c r="X299" s="332"/>
      <c r="Y299" s="332"/>
      <c r="Z299" s="198">
        <f t="shared" si="377"/>
        <v>0</v>
      </c>
      <c r="AA299" s="249">
        <f t="shared" si="378"/>
        <v>0</v>
      </c>
    </row>
    <row r="300" spans="2:28">
      <c r="B300" s="253" t="s">
        <v>749</v>
      </c>
      <c r="C300" s="193">
        <v>0</v>
      </c>
      <c r="D300" s="203">
        <v>12.25</v>
      </c>
      <c r="E300" s="237">
        <v>0</v>
      </c>
      <c r="F300" s="237"/>
      <c r="G300" s="237">
        <v>2813</v>
      </c>
      <c r="H300" s="191">
        <v>0</v>
      </c>
      <c r="I300" s="203"/>
      <c r="J300" s="191">
        <v>0</v>
      </c>
      <c r="K300" s="191"/>
      <c r="L300" s="191"/>
      <c r="M300" s="191"/>
      <c r="N300" s="195">
        <f t="shared" si="372"/>
        <v>0</v>
      </c>
      <c r="O300" s="196">
        <f t="shared" si="373"/>
        <v>0</v>
      </c>
      <c r="P300" s="332"/>
      <c r="Q300" s="196">
        <f t="shared" si="374"/>
        <v>0</v>
      </c>
      <c r="R300" s="332"/>
      <c r="S300" s="196">
        <f t="shared" si="375"/>
        <v>0</v>
      </c>
      <c r="T300" s="332"/>
      <c r="U300" s="196">
        <f t="shared" si="376"/>
        <v>0</v>
      </c>
      <c r="V300" s="332"/>
      <c r="W300" s="332"/>
      <c r="X300" s="332"/>
      <c r="Y300" s="332"/>
      <c r="Z300" s="198">
        <f t="shared" si="377"/>
        <v>0</v>
      </c>
      <c r="AA300" s="249">
        <f t="shared" si="378"/>
        <v>0</v>
      </c>
    </row>
    <row r="301" spans="2:28">
      <c r="B301" s="239" t="s">
        <v>750</v>
      </c>
      <c r="C301" s="250">
        <f>C302+C312+C313</f>
        <v>41</v>
      </c>
      <c r="D301" s="240"/>
      <c r="E301" s="240"/>
      <c r="F301" s="240"/>
      <c r="G301" s="240"/>
      <c r="H301" s="240">
        <f>H302+H312+H313</f>
        <v>4078.0176318304748</v>
      </c>
      <c r="I301" s="240">
        <f t="shared" ref="I301" si="379">I302+I312+I313</f>
        <v>0</v>
      </c>
      <c r="J301" s="240">
        <f>J302+J312+J313</f>
        <v>728.625</v>
      </c>
      <c r="K301" s="240">
        <f t="shared" ref="K301:AA301" si="380">K302+K312+K313</f>
        <v>0</v>
      </c>
      <c r="L301" s="240"/>
      <c r="M301" s="240"/>
      <c r="N301" s="240">
        <f t="shared" si="380"/>
        <v>2109.733811741527</v>
      </c>
      <c r="O301" s="240">
        <f t="shared" si="380"/>
        <v>415.31624999999997</v>
      </c>
      <c r="P301" s="240">
        <f t="shared" si="380"/>
        <v>0</v>
      </c>
      <c r="Q301" s="240">
        <f t="shared" si="380"/>
        <v>0.13839960000000001</v>
      </c>
      <c r="R301" s="240">
        <f t="shared" si="380"/>
        <v>0</v>
      </c>
      <c r="S301" s="240">
        <f t="shared" si="380"/>
        <v>2525.1884613415268</v>
      </c>
      <c r="T301" s="240">
        <f t="shared" si="380"/>
        <v>0</v>
      </c>
      <c r="U301" s="240">
        <f t="shared" si="380"/>
        <v>2525.1884613415268</v>
      </c>
      <c r="V301" s="240">
        <f t="shared" si="380"/>
        <v>0</v>
      </c>
      <c r="W301" s="240">
        <f t="shared" si="380"/>
        <v>0</v>
      </c>
      <c r="X301" s="240">
        <f t="shared" si="380"/>
        <v>0</v>
      </c>
      <c r="Y301" s="240">
        <f t="shared" si="380"/>
        <v>0</v>
      </c>
      <c r="Z301" s="240">
        <f t="shared" si="380"/>
        <v>66.501408696845544</v>
      </c>
      <c r="AA301" s="241">
        <f t="shared" si="380"/>
        <v>2591.6898700383722</v>
      </c>
    </row>
    <row r="302" spans="2:28">
      <c r="B302" s="215" t="s">
        <v>753</v>
      </c>
      <c r="C302" s="216">
        <f>C304+C305+C306+C308+C309+C310+C311</f>
        <v>30</v>
      </c>
      <c r="D302" s="217"/>
      <c r="E302" s="207"/>
      <c r="F302" s="217"/>
      <c r="G302" s="218"/>
      <c r="H302" s="217">
        <f>H304+H305+H306+H308+H309+H310+H311</f>
        <v>1688.4906345881441</v>
      </c>
      <c r="I302" s="217">
        <f t="shared" ref="I302" si="381">I304+I305+I306+I308+I309+I310+I311</f>
        <v>0</v>
      </c>
      <c r="J302" s="217">
        <f>J304+J305+J306+J308+J309+J310+J311</f>
        <v>397.22499999999997</v>
      </c>
      <c r="K302" s="217">
        <f t="shared" ref="K302:AA302" si="382">K304+K305+K306+K308+K309+K310+K311</f>
        <v>0</v>
      </c>
      <c r="L302" s="217"/>
      <c r="M302" s="217"/>
      <c r="N302" s="217">
        <f t="shared" si="382"/>
        <v>926.91794810657314</v>
      </c>
      <c r="O302" s="217">
        <f t="shared" si="382"/>
        <v>226.41824999999994</v>
      </c>
      <c r="P302" s="217">
        <f t="shared" si="382"/>
        <v>0</v>
      </c>
      <c r="Q302" s="217">
        <f t="shared" si="382"/>
        <v>0.101268</v>
      </c>
      <c r="R302" s="217">
        <f t="shared" si="382"/>
        <v>0</v>
      </c>
      <c r="S302" s="217">
        <f t="shared" si="382"/>
        <v>1153.4374661065729</v>
      </c>
      <c r="T302" s="217">
        <f t="shared" si="382"/>
        <v>0</v>
      </c>
      <c r="U302" s="217">
        <f t="shared" si="382"/>
        <v>1153.4374661065729</v>
      </c>
      <c r="V302" s="217">
        <f t="shared" si="382"/>
        <v>0</v>
      </c>
      <c r="W302" s="217">
        <f t="shared" si="382"/>
        <v>0</v>
      </c>
      <c r="X302" s="217">
        <f t="shared" si="382"/>
        <v>0</v>
      </c>
      <c r="Y302" s="217">
        <f t="shared" si="382"/>
        <v>0</v>
      </c>
      <c r="Z302" s="217">
        <f t="shared" si="382"/>
        <v>27.53470335564505</v>
      </c>
      <c r="AA302" s="219">
        <f t="shared" si="382"/>
        <v>1180.9721694622181</v>
      </c>
    </row>
    <row r="303" spans="2:28">
      <c r="B303" s="253" t="s">
        <v>918</v>
      </c>
      <c r="C303" s="193"/>
      <c r="D303" s="203"/>
      <c r="E303" s="237"/>
      <c r="F303" s="237"/>
      <c r="G303" s="237"/>
      <c r="H303" s="191"/>
      <c r="I303" s="203"/>
      <c r="J303" s="191"/>
      <c r="K303" s="191"/>
      <c r="L303" s="191"/>
      <c r="M303" s="191"/>
      <c r="N303" s="195">
        <f t="shared" ref="N303:N313" si="383">H303*D303*$P$180/10</f>
        <v>0</v>
      </c>
      <c r="O303" s="196">
        <f t="shared" ref="O303:O313" si="384">IF(E303&gt;0,(J303*10^3*E303/10^7)+(K303*0.7457*E303/10^7),(K303*F303/10^7)+(J303*(10^3)*(1/0.7457)*F303/10^7))</f>
        <v>0</v>
      </c>
      <c r="P303" s="332"/>
      <c r="Q303" s="196">
        <f t="shared" ref="Q303:Q313" si="385">G303*C303*12/10^7</f>
        <v>0</v>
      </c>
      <c r="R303" s="332"/>
      <c r="S303" s="196">
        <f t="shared" ref="S303:S313" si="386">N303+O303+P303+Q303+R303</f>
        <v>0</v>
      </c>
      <c r="T303" s="332"/>
      <c r="U303" s="196">
        <f t="shared" ref="U303:U313" si="387">S303-T303</f>
        <v>0</v>
      </c>
      <c r="V303" s="332"/>
      <c r="W303" s="332"/>
      <c r="X303" s="332"/>
      <c r="Y303" s="332"/>
      <c r="Z303" s="198"/>
      <c r="AA303" s="249">
        <f t="shared" ref="AA303:AA313" si="388">U303+Z303</f>
        <v>0</v>
      </c>
    </row>
    <row r="304" spans="2:28">
      <c r="B304" s="253" t="s">
        <v>914</v>
      </c>
      <c r="C304" s="193"/>
      <c r="D304" s="203">
        <v>6.9</v>
      </c>
      <c r="E304" s="237">
        <v>5700</v>
      </c>
      <c r="F304" s="237"/>
      <c r="G304" s="237">
        <v>2813</v>
      </c>
      <c r="H304" s="191">
        <v>272.77464500150728</v>
      </c>
      <c r="I304" s="203"/>
      <c r="J304" s="191">
        <v>0</v>
      </c>
      <c r="K304" s="191"/>
      <c r="L304" s="191"/>
      <c r="M304" s="191"/>
      <c r="N304" s="195">
        <f t="shared" si="383"/>
        <v>188.21450505104002</v>
      </c>
      <c r="O304" s="196">
        <f t="shared" si="384"/>
        <v>0</v>
      </c>
      <c r="P304" s="332"/>
      <c r="Q304" s="196">
        <f t="shared" si="385"/>
        <v>0</v>
      </c>
      <c r="R304" s="332"/>
      <c r="S304" s="196">
        <f t="shared" si="386"/>
        <v>188.21450505104002</v>
      </c>
      <c r="T304" s="332"/>
      <c r="U304" s="196">
        <f t="shared" si="387"/>
        <v>188.21450505104002</v>
      </c>
      <c r="V304" s="332"/>
      <c r="W304" s="332"/>
      <c r="X304" s="332"/>
      <c r="Y304" s="332"/>
      <c r="Z304" s="198"/>
      <c r="AA304" s="249">
        <f t="shared" si="388"/>
        <v>188.21450505104002</v>
      </c>
    </row>
    <row r="305" spans="2:27">
      <c r="B305" s="253" t="s">
        <v>915</v>
      </c>
      <c r="C305" s="193"/>
      <c r="D305" s="203">
        <v>4.6500000000000004</v>
      </c>
      <c r="E305" s="237">
        <v>5700</v>
      </c>
      <c r="F305" s="237"/>
      <c r="G305" s="237">
        <v>2813</v>
      </c>
      <c r="H305" s="191">
        <v>392.63872378714626</v>
      </c>
      <c r="I305" s="203"/>
      <c r="J305" s="191">
        <v>0</v>
      </c>
      <c r="K305" s="191"/>
      <c r="L305" s="191"/>
      <c r="M305" s="191"/>
      <c r="N305" s="195">
        <f t="shared" si="383"/>
        <v>182.57700656102301</v>
      </c>
      <c r="O305" s="196">
        <f t="shared" si="384"/>
        <v>0</v>
      </c>
      <c r="P305" s="332"/>
      <c r="Q305" s="196">
        <f t="shared" si="385"/>
        <v>0</v>
      </c>
      <c r="R305" s="332"/>
      <c r="S305" s="196">
        <f t="shared" si="386"/>
        <v>182.57700656102301</v>
      </c>
      <c r="T305" s="332"/>
      <c r="U305" s="196">
        <f t="shared" si="387"/>
        <v>182.57700656102301</v>
      </c>
      <c r="V305" s="332"/>
      <c r="W305" s="332"/>
      <c r="X305" s="332"/>
      <c r="Y305" s="332"/>
      <c r="Z305" s="198"/>
      <c r="AA305" s="249">
        <f t="shared" si="388"/>
        <v>182.57700656102301</v>
      </c>
    </row>
    <row r="306" spans="2:27">
      <c r="B306" s="253" t="s">
        <v>916</v>
      </c>
      <c r="C306" s="193">
        <v>30</v>
      </c>
      <c r="D306" s="203">
        <v>5.4</v>
      </c>
      <c r="E306" s="237">
        <v>5700</v>
      </c>
      <c r="F306" s="237"/>
      <c r="G306" s="237">
        <v>2813</v>
      </c>
      <c r="H306" s="191">
        <v>133.3456175724512</v>
      </c>
      <c r="I306" s="203"/>
      <c r="J306" s="191">
        <v>397.22499999999997</v>
      </c>
      <c r="K306" s="191"/>
      <c r="L306" s="191"/>
      <c r="M306" s="191"/>
      <c r="N306" s="195">
        <f t="shared" si="383"/>
        <v>72.006633489123658</v>
      </c>
      <c r="O306" s="196">
        <f t="shared" si="384"/>
        <v>226.41824999999994</v>
      </c>
      <c r="P306" s="332"/>
      <c r="Q306" s="196">
        <f t="shared" si="385"/>
        <v>0.101268</v>
      </c>
      <c r="R306" s="332"/>
      <c r="S306" s="196">
        <f t="shared" si="386"/>
        <v>298.52615148912361</v>
      </c>
      <c r="T306" s="332"/>
      <c r="U306" s="196">
        <f t="shared" si="387"/>
        <v>298.52615148912361</v>
      </c>
      <c r="V306" s="332"/>
      <c r="W306" s="332"/>
      <c r="X306" s="332"/>
      <c r="Y306" s="332"/>
      <c r="Z306" s="198">
        <f>(H302*$Z$354)/($H$354-$H$218-$H$220-$H$221)</f>
        <v>27.53470335564505</v>
      </c>
      <c r="AA306" s="249">
        <f t="shared" si="388"/>
        <v>326.06085484476864</v>
      </c>
    </row>
    <row r="307" spans="2:27">
      <c r="B307" s="253" t="s">
        <v>917</v>
      </c>
      <c r="C307" s="193"/>
      <c r="D307" s="203"/>
      <c r="E307" s="237"/>
      <c r="F307" s="237"/>
      <c r="G307" s="237"/>
      <c r="H307" s="191"/>
      <c r="I307" s="203"/>
      <c r="J307" s="191"/>
      <c r="K307" s="191"/>
      <c r="L307" s="191"/>
      <c r="M307" s="191"/>
      <c r="N307" s="195">
        <f t="shared" si="383"/>
        <v>0</v>
      </c>
      <c r="O307" s="196">
        <f t="shared" si="384"/>
        <v>0</v>
      </c>
      <c r="P307" s="332"/>
      <c r="Q307" s="196">
        <f t="shared" si="385"/>
        <v>0</v>
      </c>
      <c r="R307" s="332"/>
      <c r="S307" s="196">
        <f t="shared" si="386"/>
        <v>0</v>
      </c>
      <c r="T307" s="332"/>
      <c r="U307" s="196">
        <f t="shared" si="387"/>
        <v>0</v>
      </c>
      <c r="V307" s="332"/>
      <c r="W307" s="332"/>
      <c r="X307" s="332"/>
      <c r="Y307" s="332"/>
      <c r="Z307" s="198"/>
      <c r="AA307" s="249">
        <f t="shared" si="388"/>
        <v>0</v>
      </c>
    </row>
    <row r="308" spans="2:27">
      <c r="B308" s="253" t="s">
        <v>914</v>
      </c>
      <c r="C308" s="193"/>
      <c r="D308" s="203">
        <v>6.4</v>
      </c>
      <c r="E308" s="237">
        <v>5700</v>
      </c>
      <c r="F308" s="237"/>
      <c r="G308" s="237">
        <v>2813</v>
      </c>
      <c r="H308" s="191">
        <v>289.65658367829593</v>
      </c>
      <c r="I308" s="203"/>
      <c r="J308" s="191"/>
      <c r="K308" s="191"/>
      <c r="L308" s="191"/>
      <c r="M308" s="191"/>
      <c r="N308" s="195">
        <f t="shared" si="383"/>
        <v>185.38021355410939</v>
      </c>
      <c r="O308" s="196">
        <f t="shared" si="384"/>
        <v>0</v>
      </c>
      <c r="P308" s="332"/>
      <c r="Q308" s="196">
        <f t="shared" si="385"/>
        <v>0</v>
      </c>
      <c r="R308" s="332"/>
      <c r="S308" s="196">
        <f t="shared" si="386"/>
        <v>185.38021355410939</v>
      </c>
      <c r="T308" s="332"/>
      <c r="U308" s="196">
        <f t="shared" si="387"/>
        <v>185.38021355410939</v>
      </c>
      <c r="V308" s="332"/>
      <c r="W308" s="332"/>
      <c r="X308" s="332"/>
      <c r="Y308" s="332"/>
      <c r="Z308" s="198"/>
      <c r="AA308" s="249">
        <f t="shared" si="388"/>
        <v>185.38021355410939</v>
      </c>
    </row>
    <row r="309" spans="2:27">
      <c r="B309" s="253" t="s">
        <v>915</v>
      </c>
      <c r="C309" s="193"/>
      <c r="D309" s="203">
        <v>4.6500000000000004</v>
      </c>
      <c r="E309" s="237">
        <v>5700</v>
      </c>
      <c r="F309" s="237"/>
      <c r="G309" s="237">
        <v>2813</v>
      </c>
      <c r="H309" s="191">
        <v>417.19734227346493</v>
      </c>
      <c r="I309" s="203"/>
      <c r="J309" s="191"/>
      <c r="K309" s="191"/>
      <c r="L309" s="191"/>
      <c r="M309" s="191"/>
      <c r="N309" s="195">
        <f t="shared" si="383"/>
        <v>193.99676415716121</v>
      </c>
      <c r="O309" s="196">
        <f t="shared" si="384"/>
        <v>0</v>
      </c>
      <c r="P309" s="332"/>
      <c r="Q309" s="196">
        <f t="shared" si="385"/>
        <v>0</v>
      </c>
      <c r="R309" s="332"/>
      <c r="S309" s="196">
        <f t="shared" si="386"/>
        <v>193.99676415716121</v>
      </c>
      <c r="T309" s="332"/>
      <c r="U309" s="196">
        <f t="shared" si="387"/>
        <v>193.99676415716121</v>
      </c>
      <c r="V309" s="332"/>
      <c r="W309" s="332"/>
      <c r="X309" s="332"/>
      <c r="Y309" s="332"/>
      <c r="Z309" s="198"/>
      <c r="AA309" s="249">
        <f t="shared" si="388"/>
        <v>193.99676415716121</v>
      </c>
    </row>
    <row r="310" spans="2:27">
      <c r="B310" s="253" t="s">
        <v>916</v>
      </c>
      <c r="C310" s="193"/>
      <c r="D310" s="203">
        <v>5.4</v>
      </c>
      <c r="E310" s="237">
        <v>5700</v>
      </c>
      <c r="F310" s="237"/>
      <c r="G310" s="237">
        <v>2813</v>
      </c>
      <c r="H310" s="191">
        <v>145.44737686612012</v>
      </c>
      <c r="I310" s="203"/>
      <c r="J310" s="191"/>
      <c r="K310" s="191"/>
      <c r="L310" s="191"/>
      <c r="M310" s="191"/>
      <c r="N310" s="195">
        <f t="shared" si="383"/>
        <v>78.541583507704871</v>
      </c>
      <c r="O310" s="196">
        <f t="shared" si="384"/>
        <v>0</v>
      </c>
      <c r="P310" s="332"/>
      <c r="Q310" s="196">
        <f t="shared" si="385"/>
        <v>0</v>
      </c>
      <c r="R310" s="332"/>
      <c r="S310" s="196">
        <f t="shared" si="386"/>
        <v>78.541583507704871</v>
      </c>
      <c r="T310" s="332"/>
      <c r="U310" s="196">
        <f t="shared" si="387"/>
        <v>78.541583507704871</v>
      </c>
      <c r="V310" s="332"/>
      <c r="W310" s="332"/>
      <c r="X310" s="332"/>
      <c r="Y310" s="332"/>
      <c r="Z310" s="198"/>
      <c r="AA310" s="249">
        <f t="shared" si="388"/>
        <v>78.541583507704871</v>
      </c>
    </row>
    <row r="311" spans="2:27">
      <c r="B311" s="253" t="s">
        <v>592</v>
      </c>
      <c r="C311" s="193">
        <v>0</v>
      </c>
      <c r="D311" s="203">
        <v>7</v>
      </c>
      <c r="E311" s="237">
        <v>0</v>
      </c>
      <c r="F311" s="237"/>
      <c r="G311" s="237"/>
      <c r="H311" s="191">
        <v>37.430345409158527</v>
      </c>
      <c r="I311" s="203"/>
      <c r="J311" s="191">
        <v>0</v>
      </c>
      <c r="K311" s="191"/>
      <c r="L311" s="191"/>
      <c r="M311" s="191"/>
      <c r="N311" s="195">
        <f t="shared" si="383"/>
        <v>26.201241786410968</v>
      </c>
      <c r="O311" s="196">
        <f t="shared" si="384"/>
        <v>0</v>
      </c>
      <c r="P311" s="332"/>
      <c r="Q311" s="196">
        <f t="shared" si="385"/>
        <v>0</v>
      </c>
      <c r="R311" s="332"/>
      <c r="S311" s="196">
        <f t="shared" si="386"/>
        <v>26.201241786410968</v>
      </c>
      <c r="T311" s="332"/>
      <c r="U311" s="196">
        <f t="shared" si="387"/>
        <v>26.201241786410968</v>
      </c>
      <c r="V311" s="332"/>
      <c r="W311" s="332"/>
      <c r="X311" s="332"/>
      <c r="Y311" s="332"/>
      <c r="Z311" s="198"/>
      <c r="AA311" s="249">
        <f t="shared" si="388"/>
        <v>26.201241786410968</v>
      </c>
    </row>
    <row r="312" spans="2:27">
      <c r="B312" s="215" t="s">
        <v>754</v>
      </c>
      <c r="C312" s="193">
        <v>0</v>
      </c>
      <c r="D312" s="217">
        <v>6.7</v>
      </c>
      <c r="E312" s="360">
        <v>5700</v>
      </c>
      <c r="F312" s="217"/>
      <c r="G312" s="222">
        <v>2813</v>
      </c>
      <c r="H312" s="191">
        <v>0</v>
      </c>
      <c r="I312" s="217"/>
      <c r="J312" s="191">
        <v>0</v>
      </c>
      <c r="K312" s="217"/>
      <c r="L312" s="217"/>
      <c r="M312" s="217"/>
      <c r="N312" s="195">
        <f t="shared" si="383"/>
        <v>0</v>
      </c>
      <c r="O312" s="217">
        <f t="shared" si="384"/>
        <v>0</v>
      </c>
      <c r="P312" s="217"/>
      <c r="Q312" s="217">
        <f t="shared" si="385"/>
        <v>0</v>
      </c>
      <c r="R312" s="217"/>
      <c r="S312" s="217">
        <f t="shared" si="386"/>
        <v>0</v>
      </c>
      <c r="T312" s="217"/>
      <c r="U312" s="217">
        <f t="shared" si="387"/>
        <v>0</v>
      </c>
      <c r="V312" s="217"/>
      <c r="W312" s="217"/>
      <c r="X312" s="217"/>
      <c r="Y312" s="217"/>
      <c r="Z312" s="198">
        <f>(H312*$Z$354)/($H$354-$H$218-$H$220-$H$221)</f>
        <v>0</v>
      </c>
      <c r="AA312" s="219">
        <f t="shared" si="388"/>
        <v>0</v>
      </c>
    </row>
    <row r="313" spans="2:27">
      <c r="B313" s="215" t="s">
        <v>755</v>
      </c>
      <c r="C313" s="193">
        <v>11</v>
      </c>
      <c r="D313" s="217">
        <v>4.95</v>
      </c>
      <c r="E313" s="360">
        <v>5700</v>
      </c>
      <c r="F313" s="217"/>
      <c r="G313" s="222">
        <v>2813</v>
      </c>
      <c r="H313" s="191">
        <v>2389.5269972423307</v>
      </c>
      <c r="I313" s="217"/>
      <c r="J313" s="191">
        <v>331.4</v>
      </c>
      <c r="K313" s="217"/>
      <c r="L313" s="217"/>
      <c r="M313" s="217"/>
      <c r="N313" s="195">
        <f t="shared" si="383"/>
        <v>1182.8158636349538</v>
      </c>
      <c r="O313" s="217">
        <f t="shared" si="384"/>
        <v>188.898</v>
      </c>
      <c r="P313" s="217"/>
      <c r="Q313" s="217">
        <f t="shared" si="385"/>
        <v>3.7131600000000001E-2</v>
      </c>
      <c r="R313" s="217"/>
      <c r="S313" s="217">
        <f t="shared" si="386"/>
        <v>1371.7509952349537</v>
      </c>
      <c r="T313" s="217"/>
      <c r="U313" s="217">
        <f t="shared" si="387"/>
        <v>1371.7509952349537</v>
      </c>
      <c r="V313" s="217"/>
      <c r="W313" s="217"/>
      <c r="X313" s="217"/>
      <c r="Y313" s="217"/>
      <c r="Z313" s="198">
        <f>(H313*$Z$354)/($H$354-$H$218-$H$220-$H$221)</f>
        <v>38.966705341200502</v>
      </c>
      <c r="AA313" s="219">
        <f t="shared" si="388"/>
        <v>1410.7177005761541</v>
      </c>
    </row>
    <row r="314" spans="2:27">
      <c r="B314" s="239" t="s">
        <v>751</v>
      </c>
      <c r="C314" s="250">
        <f>SUM(C315:C318)</f>
        <v>20</v>
      </c>
      <c r="D314" s="240"/>
      <c r="E314" s="240"/>
      <c r="F314" s="240"/>
      <c r="G314" s="240"/>
      <c r="H314" s="240">
        <f>SUM(H315:H318)</f>
        <v>962.26166254022189</v>
      </c>
      <c r="I314" s="240">
        <f t="shared" ref="I314" si="389">SUM(I315:I318)</f>
        <v>0</v>
      </c>
      <c r="J314" s="240">
        <f>SUM(J315:J318)</f>
        <v>301.00199999999995</v>
      </c>
      <c r="K314" s="240">
        <f t="shared" ref="K314:AA314" si="390">SUM(K315:K318)</f>
        <v>0</v>
      </c>
      <c r="L314" s="240"/>
      <c r="M314" s="240"/>
      <c r="N314" s="240">
        <f t="shared" si="390"/>
        <v>529.24391439712213</v>
      </c>
      <c r="O314" s="240">
        <f t="shared" si="390"/>
        <v>126.42083999999997</v>
      </c>
      <c r="P314" s="240">
        <f t="shared" si="390"/>
        <v>0</v>
      </c>
      <c r="Q314" s="240">
        <f t="shared" si="390"/>
        <v>6.7512000000000003E-2</v>
      </c>
      <c r="R314" s="240">
        <f t="shared" si="390"/>
        <v>0</v>
      </c>
      <c r="S314" s="240">
        <f t="shared" si="390"/>
        <v>655.73226639712209</v>
      </c>
      <c r="T314" s="240">
        <f t="shared" si="390"/>
        <v>0</v>
      </c>
      <c r="U314" s="240">
        <f t="shared" si="390"/>
        <v>655.73226639712209</v>
      </c>
      <c r="V314" s="240">
        <f t="shared" si="390"/>
        <v>0</v>
      </c>
      <c r="W314" s="240">
        <f t="shared" si="390"/>
        <v>0</v>
      </c>
      <c r="X314" s="240">
        <f t="shared" si="390"/>
        <v>0</v>
      </c>
      <c r="Y314" s="240">
        <f t="shared" si="390"/>
        <v>0</v>
      </c>
      <c r="Z314" s="240">
        <f t="shared" si="390"/>
        <v>15.691878228876067</v>
      </c>
      <c r="AA314" s="241">
        <f t="shared" si="390"/>
        <v>671.42414462599811</v>
      </c>
    </row>
    <row r="315" spans="2:27" ht="21">
      <c r="B315" s="253" t="s">
        <v>756</v>
      </c>
      <c r="C315" s="193">
        <v>0</v>
      </c>
      <c r="D315" s="203">
        <v>6.7</v>
      </c>
      <c r="E315" s="237">
        <v>5700</v>
      </c>
      <c r="F315" s="237"/>
      <c r="G315" s="237">
        <v>2813</v>
      </c>
      <c r="H315" s="191">
        <v>0</v>
      </c>
      <c r="I315" s="203"/>
      <c r="J315" s="191">
        <v>0</v>
      </c>
      <c r="K315" s="191"/>
      <c r="L315" s="191"/>
      <c r="M315" s="191"/>
      <c r="N315" s="195">
        <f>H315*D315*$P$180/10</f>
        <v>0</v>
      </c>
      <c r="O315" s="196">
        <f>IF(E315&gt;0,(J315*10^3*E315/10^7)+(K315*0.7457*E315/10^7),(K315*F315/10^7)+(J315*(10^3)*(1/0.7457)*F315/10^7))</f>
        <v>0</v>
      </c>
      <c r="P315" s="332"/>
      <c r="Q315" s="196">
        <f t="shared" ref="Q315:Q318" si="391">G315*C315*12/10^7</f>
        <v>0</v>
      </c>
      <c r="R315" s="332"/>
      <c r="S315" s="196">
        <f>N315+O315+P315+Q315+R315</f>
        <v>0</v>
      </c>
      <c r="T315" s="332"/>
      <c r="U315" s="196">
        <f t="shared" ref="U315:U318" si="392">S315-T315</f>
        <v>0</v>
      </c>
      <c r="V315" s="332"/>
      <c r="W315" s="332"/>
      <c r="X315" s="332"/>
      <c r="Y315" s="332"/>
      <c r="Z315" s="198">
        <f>(H315*$Z$354)/($H$354-$H$218-$H$220-$H$221)</f>
        <v>0</v>
      </c>
      <c r="AA315" s="249">
        <f t="shared" ref="AA315:AA318" si="393">U315+Z315</f>
        <v>0</v>
      </c>
    </row>
    <row r="316" spans="2:27">
      <c r="B316" s="253" t="s">
        <v>757</v>
      </c>
      <c r="C316" s="193">
        <v>0</v>
      </c>
      <c r="D316" s="203">
        <v>7</v>
      </c>
      <c r="E316" s="237">
        <v>5700</v>
      </c>
      <c r="F316" s="237"/>
      <c r="G316" s="237">
        <v>2813</v>
      </c>
      <c r="H316" s="191">
        <v>0</v>
      </c>
      <c r="I316" s="203"/>
      <c r="J316" s="191">
        <v>0</v>
      </c>
      <c r="K316" s="191"/>
      <c r="L316" s="191"/>
      <c r="M316" s="191"/>
      <c r="N316" s="195">
        <f>H316*D316*$P$180/10</f>
        <v>0</v>
      </c>
      <c r="O316" s="196">
        <f>IF(E316&gt;0,(J316*10^3*E316/10^7)+(K316*0.7457*E316/10^7),(K316*F316/10^7)+(J316*(10^3)*(1/0.7457)*F316/10^7))</f>
        <v>0</v>
      </c>
      <c r="P316" s="332"/>
      <c r="Q316" s="196">
        <f t="shared" si="391"/>
        <v>0</v>
      </c>
      <c r="R316" s="332"/>
      <c r="S316" s="196">
        <f>N316+O316+P316+Q316+R316</f>
        <v>0</v>
      </c>
      <c r="T316" s="332"/>
      <c r="U316" s="196">
        <f t="shared" si="392"/>
        <v>0</v>
      </c>
      <c r="V316" s="332"/>
      <c r="W316" s="332"/>
      <c r="X316" s="332"/>
      <c r="Y316" s="332"/>
      <c r="Z316" s="198">
        <f>(H316*$Z$354)/($H$354-$H$218-$H$220-$H$221)</f>
        <v>0</v>
      </c>
      <c r="AA316" s="249">
        <f t="shared" si="393"/>
        <v>0</v>
      </c>
    </row>
    <row r="317" spans="2:27">
      <c r="B317" s="253" t="s">
        <v>758</v>
      </c>
      <c r="C317" s="193">
        <v>0</v>
      </c>
      <c r="D317" s="203">
        <v>5</v>
      </c>
      <c r="E317" s="237">
        <v>360</v>
      </c>
      <c r="F317" s="237"/>
      <c r="G317" s="237">
        <v>2813</v>
      </c>
      <c r="H317" s="191">
        <v>0</v>
      </c>
      <c r="I317" s="203"/>
      <c r="J317" s="191">
        <v>0</v>
      </c>
      <c r="K317" s="191"/>
      <c r="L317" s="191"/>
      <c r="M317" s="191"/>
      <c r="N317" s="195">
        <f>H317*D317*$P$180/10</f>
        <v>0</v>
      </c>
      <c r="O317" s="196">
        <f>IF(E317&gt;0,(J317*10^3*E317/10^7)+(K317*0.7457*E317/10^7),(K317*F317/10^7)+(J317*(10^3)*(1/0.7457)*F317/10^7))</f>
        <v>0</v>
      </c>
      <c r="P317" s="332"/>
      <c r="Q317" s="196">
        <f t="shared" si="391"/>
        <v>0</v>
      </c>
      <c r="R317" s="332"/>
      <c r="S317" s="196">
        <f>N317+O317+P317+Q317+R317</f>
        <v>0</v>
      </c>
      <c r="T317" s="332"/>
      <c r="U317" s="196">
        <f t="shared" si="392"/>
        <v>0</v>
      </c>
      <c r="V317" s="332"/>
      <c r="W317" s="332"/>
      <c r="X317" s="332"/>
      <c r="Y317" s="332"/>
      <c r="Z317" s="198">
        <f>(H317*$Z$354)/($H$354-$H$218-$H$220-$H$221)</f>
        <v>0</v>
      </c>
      <c r="AA317" s="249">
        <f t="shared" si="393"/>
        <v>0</v>
      </c>
    </row>
    <row r="318" spans="2:27">
      <c r="B318" s="253" t="s">
        <v>759</v>
      </c>
      <c r="C318" s="193">
        <v>20</v>
      </c>
      <c r="D318" s="203">
        <v>5.5</v>
      </c>
      <c r="E318" s="237">
        <v>4200</v>
      </c>
      <c r="F318" s="237"/>
      <c r="G318" s="237">
        <v>2813</v>
      </c>
      <c r="H318" s="191">
        <v>962.26166254022189</v>
      </c>
      <c r="I318" s="203"/>
      <c r="J318" s="191">
        <v>301.00199999999995</v>
      </c>
      <c r="K318" s="191"/>
      <c r="L318" s="191"/>
      <c r="M318" s="191"/>
      <c r="N318" s="195">
        <f>H318*D318*$P$180/10</f>
        <v>529.24391439712213</v>
      </c>
      <c r="O318" s="196">
        <f>IF(E318&gt;0,(J318*10^3*E318/10^7)+(K318*0.7457*E318/10^7),(K318*F318/10^7)+(J318*(10^3)*(1/0.7457)*F318/10^7))</f>
        <v>126.42083999999997</v>
      </c>
      <c r="P318" s="332"/>
      <c r="Q318" s="196">
        <f t="shared" si="391"/>
        <v>6.7512000000000003E-2</v>
      </c>
      <c r="R318" s="332"/>
      <c r="S318" s="196">
        <f>N318+O318+P318+Q318+R318</f>
        <v>655.73226639712209</v>
      </c>
      <c r="T318" s="332"/>
      <c r="U318" s="196">
        <f t="shared" si="392"/>
        <v>655.73226639712209</v>
      </c>
      <c r="V318" s="332"/>
      <c r="W318" s="332"/>
      <c r="X318" s="332"/>
      <c r="Y318" s="332"/>
      <c r="Z318" s="198">
        <f>(H318*$Z$354)/($H$354-$H$218-$H$220-$H$221)</f>
        <v>15.691878228876067</v>
      </c>
      <c r="AA318" s="249">
        <f t="shared" si="393"/>
        <v>671.42414462599811</v>
      </c>
    </row>
    <row r="319" spans="2:27">
      <c r="B319" s="239" t="s">
        <v>752</v>
      </c>
      <c r="C319" s="250">
        <f t="shared" ref="C319" si="394">C320+C321</f>
        <v>1</v>
      </c>
      <c r="D319" s="240"/>
      <c r="E319" s="240"/>
      <c r="F319" s="240"/>
      <c r="G319" s="240"/>
      <c r="H319" s="240">
        <f t="shared" ref="H319:AA319" si="395">H320+H321</f>
        <v>0</v>
      </c>
      <c r="I319" s="240">
        <f t="shared" si="395"/>
        <v>0</v>
      </c>
      <c r="J319" s="240">
        <f t="shared" ref="J319" si="396">J320+J321</f>
        <v>0</v>
      </c>
      <c r="K319" s="240">
        <f t="shared" si="395"/>
        <v>0</v>
      </c>
      <c r="L319" s="240"/>
      <c r="M319" s="240"/>
      <c r="N319" s="240">
        <f t="shared" si="395"/>
        <v>0</v>
      </c>
      <c r="O319" s="240">
        <f t="shared" si="395"/>
        <v>0</v>
      </c>
      <c r="P319" s="240">
        <f t="shared" si="395"/>
        <v>0</v>
      </c>
      <c r="Q319" s="240">
        <f t="shared" si="395"/>
        <v>3.3755999999999999E-3</v>
      </c>
      <c r="R319" s="240">
        <f t="shared" si="395"/>
        <v>0</v>
      </c>
      <c r="S319" s="240">
        <f t="shared" si="395"/>
        <v>3.3755999999999999E-3</v>
      </c>
      <c r="T319" s="240">
        <f t="shared" si="395"/>
        <v>0</v>
      </c>
      <c r="U319" s="240">
        <f t="shared" si="395"/>
        <v>3.3755999999999999E-3</v>
      </c>
      <c r="V319" s="240">
        <f t="shared" si="395"/>
        <v>0</v>
      </c>
      <c r="W319" s="240">
        <f t="shared" si="395"/>
        <v>0</v>
      </c>
      <c r="X319" s="240">
        <f t="shared" si="395"/>
        <v>0</v>
      </c>
      <c r="Y319" s="240">
        <f t="shared" si="395"/>
        <v>0</v>
      </c>
      <c r="Z319" s="240">
        <f t="shared" si="395"/>
        <v>0</v>
      </c>
      <c r="AA319" s="241">
        <f t="shared" si="395"/>
        <v>3.3755999999999999E-3</v>
      </c>
    </row>
    <row r="320" spans="2:27">
      <c r="B320" s="253" t="s">
        <v>760</v>
      </c>
      <c r="C320" s="193">
        <v>0</v>
      </c>
      <c r="D320" s="203">
        <v>3.85</v>
      </c>
      <c r="E320" s="237">
        <v>360</v>
      </c>
      <c r="F320" s="237"/>
      <c r="G320" s="237">
        <v>2813</v>
      </c>
      <c r="H320" s="191">
        <v>0</v>
      </c>
      <c r="I320" s="203"/>
      <c r="J320" s="191">
        <v>0</v>
      </c>
      <c r="K320" s="191"/>
      <c r="L320" s="191"/>
      <c r="M320" s="191"/>
      <c r="N320" s="195">
        <f>H320*D320*$P$180/10</f>
        <v>0</v>
      </c>
      <c r="O320" s="196">
        <f>IF(E320&gt;0,(J320*10^3*E320/10^7)+(K320*0.7457*E320/10^7),(K320*F320/10^7)+(J320*(10^3)*(1/0.7457)*F320/10^7))</f>
        <v>0</v>
      </c>
      <c r="P320" s="332"/>
      <c r="Q320" s="196">
        <f t="shared" ref="Q320:Q321" si="397">G320*C320*12/10^7</f>
        <v>0</v>
      </c>
      <c r="R320" s="332"/>
      <c r="S320" s="196">
        <f>N320+O320+P320+Q320+R320</f>
        <v>0</v>
      </c>
      <c r="T320" s="332"/>
      <c r="U320" s="196">
        <f t="shared" ref="U320:U321" si="398">S320-T320</f>
        <v>0</v>
      </c>
      <c r="V320" s="332"/>
      <c r="W320" s="332"/>
      <c r="X320" s="332"/>
      <c r="Y320" s="332"/>
      <c r="Z320" s="198">
        <f>(H320*$Z$354)/($H$354-$H$218-$H$220-$H$221)</f>
        <v>0</v>
      </c>
      <c r="AA320" s="249">
        <f t="shared" ref="AA320:AA321" si="399">U320+Z320</f>
        <v>0</v>
      </c>
    </row>
    <row r="321" spans="2:28">
      <c r="B321" s="253" t="s">
        <v>761</v>
      </c>
      <c r="C321" s="193">
        <v>1</v>
      </c>
      <c r="D321" s="203">
        <v>7.15</v>
      </c>
      <c r="E321" s="237">
        <v>0</v>
      </c>
      <c r="F321" s="237"/>
      <c r="G321" s="237">
        <v>2813</v>
      </c>
      <c r="H321" s="191">
        <v>0</v>
      </c>
      <c r="I321" s="203"/>
      <c r="J321" s="191">
        <v>0</v>
      </c>
      <c r="K321" s="191"/>
      <c r="L321" s="191"/>
      <c r="M321" s="191"/>
      <c r="N321" s="195">
        <f>H321*D321*$P$180/10</f>
        <v>0</v>
      </c>
      <c r="O321" s="196">
        <f>IF(E321&gt;0,(J321*10^3*E321/10^7)+(K321*0.7457*E321/10^7),(K321*F321/10^7)+(J321*(10^3)*(1/0.7457)*F321/10^7))</f>
        <v>0</v>
      </c>
      <c r="P321" s="332"/>
      <c r="Q321" s="196">
        <f t="shared" si="397"/>
        <v>3.3755999999999999E-3</v>
      </c>
      <c r="R321" s="332"/>
      <c r="S321" s="196">
        <f>N321+O321+P321+Q321+R321</f>
        <v>3.3755999999999999E-3</v>
      </c>
      <c r="T321" s="332"/>
      <c r="U321" s="196">
        <f t="shared" si="398"/>
        <v>3.3755999999999999E-3</v>
      </c>
      <c r="V321" s="332"/>
      <c r="W321" s="332"/>
      <c r="X321" s="332"/>
      <c r="Y321" s="332"/>
      <c r="Z321" s="198">
        <f>(H321*$Z$354)/($H$354-$H$218-$H$220-$H$221)</f>
        <v>0</v>
      </c>
      <c r="AA321" s="249">
        <f t="shared" si="399"/>
        <v>3.3755999999999999E-3</v>
      </c>
    </row>
    <row r="322" spans="2:28">
      <c r="B322" s="253"/>
      <c r="C322" s="193"/>
      <c r="D322" s="203"/>
      <c r="E322" s="237"/>
      <c r="F322" s="237"/>
      <c r="G322" s="237"/>
      <c r="H322" s="191"/>
      <c r="I322" s="203"/>
      <c r="J322" s="191"/>
      <c r="K322" s="191"/>
      <c r="L322" s="191"/>
      <c r="M322" s="191"/>
      <c r="N322" s="195"/>
      <c r="O322" s="196"/>
      <c r="P322" s="332"/>
      <c r="Q322" s="196"/>
      <c r="R322" s="332"/>
      <c r="S322" s="196"/>
      <c r="T322" s="332"/>
      <c r="U322" s="196"/>
      <c r="V322" s="332"/>
      <c r="W322" s="332"/>
      <c r="X322" s="332"/>
      <c r="Y322" s="332"/>
      <c r="Z322" s="198"/>
      <c r="AA322" s="249"/>
    </row>
    <row r="323" spans="2:28" ht="17.25" customHeight="1">
      <c r="B323" s="232" t="s">
        <v>919</v>
      </c>
      <c r="C323" s="255">
        <f>C324+C325+C332+C345+C350</f>
        <v>12</v>
      </c>
      <c r="D323" s="233"/>
      <c r="E323" s="233"/>
      <c r="F323" s="233"/>
      <c r="G323" s="234"/>
      <c r="H323" s="233">
        <f>H324+H325+H332+H345+H350</f>
        <v>3535.1506271544131</v>
      </c>
      <c r="I323" s="233">
        <f t="shared" ref="I323" si="400">I324+I325+I332+I345+I350</f>
        <v>0</v>
      </c>
      <c r="J323" s="233">
        <f>J324+J325+J332+J345+J350</f>
        <v>829.41000000000008</v>
      </c>
      <c r="K323" s="233">
        <f t="shared" ref="K323:AA323" si="401">K324+K325+K332+K345+K350</f>
        <v>0</v>
      </c>
      <c r="L323" s="233"/>
      <c r="M323" s="233"/>
      <c r="N323" s="233">
        <f t="shared" si="401"/>
        <v>1889.7856364467702</v>
      </c>
      <c r="O323" s="233">
        <f t="shared" si="401"/>
        <v>325.755</v>
      </c>
      <c r="P323" s="233">
        <f t="shared" si="401"/>
        <v>0</v>
      </c>
      <c r="Q323" s="233">
        <f t="shared" si="401"/>
        <v>4.05072E-2</v>
      </c>
      <c r="R323" s="233">
        <f t="shared" si="401"/>
        <v>0</v>
      </c>
      <c r="S323" s="233">
        <f t="shared" si="401"/>
        <v>2215.5811436467702</v>
      </c>
      <c r="T323" s="233">
        <f t="shared" si="401"/>
        <v>0</v>
      </c>
      <c r="U323" s="233">
        <f t="shared" si="401"/>
        <v>2215.5811436467702</v>
      </c>
      <c r="V323" s="233">
        <f t="shared" si="401"/>
        <v>0</v>
      </c>
      <c r="W323" s="233">
        <f t="shared" si="401"/>
        <v>0</v>
      </c>
      <c r="X323" s="233">
        <f t="shared" si="401"/>
        <v>0</v>
      </c>
      <c r="Y323" s="233">
        <f t="shared" si="401"/>
        <v>0</v>
      </c>
      <c r="Z323" s="233">
        <f t="shared" si="401"/>
        <v>57.648720011978213</v>
      </c>
      <c r="AA323" s="235">
        <f t="shared" si="401"/>
        <v>2273.2298636587479</v>
      </c>
    </row>
    <row r="324" spans="2:28" ht="17.25" customHeight="1">
      <c r="B324" s="253" t="s">
        <v>743</v>
      </c>
      <c r="C324" s="193">
        <v>0</v>
      </c>
      <c r="D324" s="203">
        <v>7</v>
      </c>
      <c r="E324" s="237">
        <v>900</v>
      </c>
      <c r="F324" s="237"/>
      <c r="G324" s="237">
        <v>2813</v>
      </c>
      <c r="H324" s="191">
        <v>0</v>
      </c>
      <c r="I324" s="203"/>
      <c r="J324" s="191">
        <v>0</v>
      </c>
      <c r="K324" s="191"/>
      <c r="L324" s="191"/>
      <c r="M324" s="191"/>
      <c r="N324" s="195">
        <f t="shared" ref="N324" si="402">H324*D324*$P$180/10</f>
        <v>0</v>
      </c>
      <c r="O324" s="196">
        <f>IF(E324&gt;0,(J324*10^3*E324/10^7)+(K324*0.7457*E324/10^7),(K324*F324/10^7)+(J324*(10^3)*(1/0.7457)*F324/10^7))</f>
        <v>0</v>
      </c>
      <c r="P324" s="332"/>
      <c r="Q324" s="196">
        <f t="shared" ref="Q324" si="403">G324*C324*12/10^7</f>
        <v>0</v>
      </c>
      <c r="R324" s="332"/>
      <c r="S324" s="196">
        <f>N324+O324+P324+Q324+R324</f>
        <v>0</v>
      </c>
      <c r="T324" s="332"/>
      <c r="U324" s="196">
        <f t="shared" ref="U324" si="404">S324-T324</f>
        <v>0</v>
      </c>
      <c r="V324" s="332"/>
      <c r="W324" s="332"/>
      <c r="X324" s="332"/>
      <c r="Y324" s="332"/>
      <c r="Z324" s="198">
        <f>(H324*$Z$354)/($H$354-$H$218-$H$220-$H$221)</f>
        <v>0</v>
      </c>
      <c r="AA324" s="249">
        <f t="shared" ref="AA324" si="405">U324+Z324</f>
        <v>0</v>
      </c>
      <c r="AB324" s="177"/>
    </row>
    <row r="325" spans="2:28">
      <c r="B325" s="239" t="s">
        <v>744</v>
      </c>
      <c r="C325" s="250">
        <f>SUM(C326:C331)</f>
        <v>4</v>
      </c>
      <c r="D325" s="240"/>
      <c r="E325" s="240"/>
      <c r="F325" s="240"/>
      <c r="G325" s="240"/>
      <c r="H325" s="240">
        <f>SUM(H326:H331)</f>
        <v>139.30733059840696</v>
      </c>
      <c r="I325" s="240">
        <f t="shared" ref="I325" si="406">SUM(I326:I331)</f>
        <v>0</v>
      </c>
      <c r="J325" s="240">
        <f>SUM(J326:J331)</f>
        <v>27.5</v>
      </c>
      <c r="K325" s="240">
        <f t="shared" ref="K325:AA325" si="407">SUM(K326:K331)</f>
        <v>0</v>
      </c>
      <c r="L325" s="240"/>
      <c r="M325" s="240"/>
      <c r="N325" s="240">
        <f t="shared" si="407"/>
        <v>97.940311753592027</v>
      </c>
      <c r="O325" s="240">
        <f t="shared" si="407"/>
        <v>8.2650000000000006</v>
      </c>
      <c r="P325" s="240">
        <f t="shared" si="407"/>
        <v>0</v>
      </c>
      <c r="Q325" s="240">
        <f t="shared" si="407"/>
        <v>1.3502399999999999E-2</v>
      </c>
      <c r="R325" s="240">
        <f t="shared" si="407"/>
        <v>0</v>
      </c>
      <c r="S325" s="240">
        <f t="shared" si="407"/>
        <v>106.21881415359204</v>
      </c>
      <c r="T325" s="240">
        <f t="shared" si="407"/>
        <v>0</v>
      </c>
      <c r="U325" s="240">
        <f t="shared" si="407"/>
        <v>106.21881415359204</v>
      </c>
      <c r="V325" s="240">
        <f t="shared" si="407"/>
        <v>0</v>
      </c>
      <c r="W325" s="240">
        <f t="shared" si="407"/>
        <v>0</v>
      </c>
      <c r="X325" s="240">
        <f t="shared" si="407"/>
        <v>0</v>
      </c>
      <c r="Y325" s="240">
        <f t="shared" si="407"/>
        <v>0</v>
      </c>
      <c r="Z325" s="240">
        <f t="shared" si="407"/>
        <v>2.2717247846799782</v>
      </c>
      <c r="AA325" s="241">
        <f t="shared" si="407"/>
        <v>108.49053893827201</v>
      </c>
      <c r="AB325" s="177"/>
    </row>
    <row r="326" spans="2:28">
      <c r="B326" s="253" t="s">
        <v>745</v>
      </c>
      <c r="C326" s="193">
        <v>2</v>
      </c>
      <c r="D326" s="203">
        <v>6.65</v>
      </c>
      <c r="E326" s="237">
        <v>5700</v>
      </c>
      <c r="F326" s="237"/>
      <c r="G326" s="237">
        <v>2813</v>
      </c>
      <c r="H326" s="191">
        <v>110.39055354189311</v>
      </c>
      <c r="I326" s="203"/>
      <c r="J326" s="191">
        <v>14.5</v>
      </c>
      <c r="K326" s="191"/>
      <c r="L326" s="191"/>
      <c r="M326" s="191"/>
      <c r="N326" s="195">
        <f t="shared" ref="N326:N331" si="408">H326*D326*$P$180/10</f>
        <v>73.40971810535892</v>
      </c>
      <c r="O326" s="196">
        <f t="shared" ref="O326:O331" si="409">IF(E326&gt;0,(J326*10^3*E326/10^7)+(K326*0.7457*E326/10^7),(K326*F326/10^7)+(J326*(10^3)*(1/0.7457)*F326/10^7))</f>
        <v>8.2650000000000006</v>
      </c>
      <c r="P326" s="332"/>
      <c r="Q326" s="196">
        <f t="shared" ref="Q326:Q331" si="410">G326*C326*12/10^7</f>
        <v>6.7511999999999997E-3</v>
      </c>
      <c r="R326" s="332"/>
      <c r="S326" s="196">
        <f t="shared" ref="S326:S331" si="411">N326+O326+P326+Q326+R326</f>
        <v>81.681469305358917</v>
      </c>
      <c r="T326" s="332"/>
      <c r="U326" s="196">
        <f t="shared" ref="U326:U331" si="412">S326-T326</f>
        <v>81.681469305358917</v>
      </c>
      <c r="V326" s="332"/>
      <c r="W326" s="332"/>
      <c r="X326" s="332"/>
      <c r="Y326" s="332"/>
      <c r="Z326" s="198">
        <f t="shared" ref="Z326:Z331" si="413">(H326*$Z$354)/($H$354-$H$218-$H$220-$H$221)</f>
        <v>1.800170568184934</v>
      </c>
      <c r="AA326" s="249">
        <f t="shared" ref="AA326:AA331" si="414">U326+Z326</f>
        <v>83.481639873543855</v>
      </c>
      <c r="AB326" s="177"/>
    </row>
    <row r="327" spans="2:28">
      <c r="B327" s="253" t="s">
        <v>697</v>
      </c>
      <c r="C327" s="193">
        <v>0</v>
      </c>
      <c r="D327" s="203">
        <v>7.65</v>
      </c>
      <c r="E327" s="237">
        <v>5700</v>
      </c>
      <c r="F327" s="237"/>
      <c r="G327" s="237"/>
      <c r="H327" s="191">
        <v>23.679257056513869</v>
      </c>
      <c r="I327" s="203"/>
      <c r="J327" s="191">
        <v>0</v>
      </c>
      <c r="K327" s="191"/>
      <c r="L327" s="191"/>
      <c r="M327" s="191"/>
      <c r="N327" s="195">
        <f t="shared" si="408"/>
        <v>18.114631648233111</v>
      </c>
      <c r="O327" s="196">
        <f t="shared" si="409"/>
        <v>0</v>
      </c>
      <c r="P327" s="332"/>
      <c r="Q327" s="196">
        <f t="shared" si="410"/>
        <v>0</v>
      </c>
      <c r="R327" s="332"/>
      <c r="S327" s="196">
        <f t="shared" si="411"/>
        <v>18.114631648233111</v>
      </c>
      <c r="T327" s="332"/>
      <c r="U327" s="196">
        <f t="shared" si="412"/>
        <v>18.114631648233111</v>
      </c>
      <c r="V327" s="332"/>
      <c r="W327" s="332"/>
      <c r="X327" s="332"/>
      <c r="Y327" s="332"/>
      <c r="Z327" s="198">
        <f t="shared" si="413"/>
        <v>0.38614446854317913</v>
      </c>
      <c r="AA327" s="249">
        <f t="shared" si="414"/>
        <v>18.50077611677629</v>
      </c>
      <c r="AB327" s="177"/>
    </row>
    <row r="328" spans="2:28">
      <c r="B328" s="253" t="s">
        <v>746</v>
      </c>
      <c r="C328" s="193">
        <v>0</v>
      </c>
      <c r="D328" s="203">
        <v>12.25</v>
      </c>
      <c r="E328" s="237">
        <v>0</v>
      </c>
      <c r="F328" s="237"/>
      <c r="G328" s="237">
        <v>2813</v>
      </c>
      <c r="H328" s="191">
        <v>0</v>
      </c>
      <c r="I328" s="203"/>
      <c r="J328" s="191">
        <v>0</v>
      </c>
      <c r="K328" s="191"/>
      <c r="L328" s="191"/>
      <c r="M328" s="191"/>
      <c r="N328" s="195">
        <f t="shared" si="408"/>
        <v>0</v>
      </c>
      <c r="O328" s="196">
        <f t="shared" si="409"/>
        <v>0</v>
      </c>
      <c r="P328" s="332"/>
      <c r="Q328" s="196">
        <f t="shared" si="410"/>
        <v>0</v>
      </c>
      <c r="R328" s="332"/>
      <c r="S328" s="196">
        <f t="shared" si="411"/>
        <v>0</v>
      </c>
      <c r="T328" s="332"/>
      <c r="U328" s="196">
        <f t="shared" si="412"/>
        <v>0</v>
      </c>
      <c r="V328" s="332"/>
      <c r="W328" s="332"/>
      <c r="X328" s="332"/>
      <c r="Y328" s="332"/>
      <c r="Z328" s="198">
        <f t="shared" si="413"/>
        <v>0</v>
      </c>
      <c r="AA328" s="249">
        <f t="shared" si="414"/>
        <v>0</v>
      </c>
    </row>
    <row r="329" spans="2:28">
      <c r="B329" s="253" t="s">
        <v>747</v>
      </c>
      <c r="C329" s="193">
        <v>2</v>
      </c>
      <c r="D329" s="203">
        <v>12.25</v>
      </c>
      <c r="E329" s="237">
        <v>0</v>
      </c>
      <c r="F329" s="237"/>
      <c r="G329" s="237">
        <v>2813</v>
      </c>
      <c r="H329" s="191">
        <v>5.23752</v>
      </c>
      <c r="I329" s="203"/>
      <c r="J329" s="191">
        <v>13</v>
      </c>
      <c r="K329" s="191"/>
      <c r="L329" s="191"/>
      <c r="M329" s="191"/>
      <c r="N329" s="195">
        <f t="shared" si="408"/>
        <v>6.4159620000000004</v>
      </c>
      <c r="O329" s="196">
        <f t="shared" si="409"/>
        <v>0</v>
      </c>
      <c r="P329" s="332"/>
      <c r="Q329" s="196">
        <f t="shared" si="410"/>
        <v>6.7511999999999997E-3</v>
      </c>
      <c r="R329" s="332"/>
      <c r="S329" s="196">
        <f t="shared" si="411"/>
        <v>6.4227132000000005</v>
      </c>
      <c r="T329" s="332"/>
      <c r="U329" s="196">
        <f t="shared" si="412"/>
        <v>6.4227132000000005</v>
      </c>
      <c r="V329" s="332"/>
      <c r="W329" s="332"/>
      <c r="X329" s="332"/>
      <c r="Y329" s="332"/>
      <c r="Z329" s="198">
        <f t="shared" si="413"/>
        <v>8.5409747951865067E-2</v>
      </c>
      <c r="AA329" s="249">
        <f t="shared" si="414"/>
        <v>6.5081229479518656</v>
      </c>
    </row>
    <row r="330" spans="2:28">
      <c r="B330" s="253" t="s">
        <v>748</v>
      </c>
      <c r="C330" s="193">
        <v>0</v>
      </c>
      <c r="D330" s="203">
        <v>6.7</v>
      </c>
      <c r="E330" s="237">
        <v>0</v>
      </c>
      <c r="F330" s="237"/>
      <c r="G330" s="237">
        <v>2813</v>
      </c>
      <c r="H330" s="191">
        <v>0</v>
      </c>
      <c r="I330" s="203"/>
      <c r="J330" s="191">
        <v>0</v>
      </c>
      <c r="K330" s="191"/>
      <c r="L330" s="191"/>
      <c r="M330" s="191"/>
      <c r="N330" s="195">
        <f t="shared" si="408"/>
        <v>0</v>
      </c>
      <c r="O330" s="196">
        <f t="shared" si="409"/>
        <v>0</v>
      </c>
      <c r="P330" s="332"/>
      <c r="Q330" s="196">
        <f t="shared" si="410"/>
        <v>0</v>
      </c>
      <c r="R330" s="332"/>
      <c r="S330" s="196">
        <f t="shared" si="411"/>
        <v>0</v>
      </c>
      <c r="T330" s="332"/>
      <c r="U330" s="196">
        <f t="shared" si="412"/>
        <v>0</v>
      </c>
      <c r="V330" s="332"/>
      <c r="W330" s="332"/>
      <c r="X330" s="332"/>
      <c r="Y330" s="332"/>
      <c r="Z330" s="198">
        <f t="shared" si="413"/>
        <v>0</v>
      </c>
      <c r="AA330" s="249">
        <f t="shared" si="414"/>
        <v>0</v>
      </c>
    </row>
    <row r="331" spans="2:28">
      <c r="B331" s="253" t="s">
        <v>749</v>
      </c>
      <c r="C331" s="193">
        <v>0</v>
      </c>
      <c r="D331" s="203">
        <v>12.25</v>
      </c>
      <c r="E331" s="237">
        <v>0</v>
      </c>
      <c r="F331" s="237"/>
      <c r="G331" s="237">
        <v>2813</v>
      </c>
      <c r="H331" s="191">
        <v>0</v>
      </c>
      <c r="I331" s="203"/>
      <c r="J331" s="191">
        <v>0</v>
      </c>
      <c r="K331" s="191"/>
      <c r="L331" s="191"/>
      <c r="M331" s="191"/>
      <c r="N331" s="195">
        <f t="shared" si="408"/>
        <v>0</v>
      </c>
      <c r="O331" s="196">
        <f t="shared" si="409"/>
        <v>0</v>
      </c>
      <c r="P331" s="332"/>
      <c r="Q331" s="196">
        <f t="shared" si="410"/>
        <v>0</v>
      </c>
      <c r="R331" s="332"/>
      <c r="S331" s="196">
        <f t="shared" si="411"/>
        <v>0</v>
      </c>
      <c r="T331" s="332"/>
      <c r="U331" s="196">
        <f t="shared" si="412"/>
        <v>0</v>
      </c>
      <c r="V331" s="332"/>
      <c r="W331" s="332"/>
      <c r="X331" s="332"/>
      <c r="Y331" s="332"/>
      <c r="Z331" s="198">
        <f t="shared" si="413"/>
        <v>0</v>
      </c>
      <c r="AA331" s="249">
        <f t="shared" si="414"/>
        <v>0</v>
      </c>
    </row>
    <row r="332" spans="2:28">
      <c r="B332" s="239" t="s">
        <v>750</v>
      </c>
      <c r="C332" s="250">
        <f t="shared" ref="C332" si="415">C333+C343+C344</f>
        <v>5</v>
      </c>
      <c r="D332" s="240"/>
      <c r="E332" s="240"/>
      <c r="F332" s="240"/>
      <c r="G332" s="240"/>
      <c r="H332" s="240">
        <f t="shared" ref="H332:AA332" si="416">H333+H343+H344</f>
        <v>3171.4415690810511</v>
      </c>
      <c r="I332" s="240">
        <f t="shared" si="416"/>
        <v>0</v>
      </c>
      <c r="J332" s="240">
        <f t="shared" ref="J332" si="417">J333+J343+J344</f>
        <v>557</v>
      </c>
      <c r="K332" s="240">
        <f t="shared" si="416"/>
        <v>0</v>
      </c>
      <c r="L332" s="240"/>
      <c r="M332" s="240"/>
      <c r="N332" s="240">
        <f t="shared" si="416"/>
        <v>1631.3980895485852</v>
      </c>
      <c r="O332" s="240">
        <f t="shared" si="416"/>
        <v>317.49</v>
      </c>
      <c r="P332" s="240">
        <f t="shared" si="416"/>
        <v>0</v>
      </c>
      <c r="Q332" s="240">
        <f t="shared" si="416"/>
        <v>1.6878000000000001E-2</v>
      </c>
      <c r="R332" s="240">
        <f t="shared" si="416"/>
        <v>0</v>
      </c>
      <c r="S332" s="240">
        <f t="shared" si="416"/>
        <v>1948.9049675485853</v>
      </c>
      <c r="T332" s="240">
        <f t="shared" si="416"/>
        <v>0</v>
      </c>
      <c r="U332" s="240">
        <f t="shared" si="416"/>
        <v>1948.9049675485853</v>
      </c>
      <c r="V332" s="240">
        <f t="shared" si="416"/>
        <v>0</v>
      </c>
      <c r="W332" s="240">
        <f t="shared" si="416"/>
        <v>0</v>
      </c>
      <c r="X332" s="240">
        <f t="shared" si="416"/>
        <v>0</v>
      </c>
      <c r="Y332" s="240">
        <f t="shared" si="416"/>
        <v>0</v>
      </c>
      <c r="Z332" s="240">
        <f t="shared" si="416"/>
        <v>51.717611590844527</v>
      </c>
      <c r="AA332" s="241">
        <f t="shared" si="416"/>
        <v>2000.6225791394295</v>
      </c>
    </row>
    <row r="333" spans="2:28">
      <c r="B333" s="215" t="s">
        <v>753</v>
      </c>
      <c r="C333" s="216">
        <f t="shared" ref="C333" si="418">C335+C336+C337+C339+C340+C341+C342</f>
        <v>2</v>
      </c>
      <c r="D333" s="217"/>
      <c r="E333" s="207"/>
      <c r="F333" s="217"/>
      <c r="G333" s="218"/>
      <c r="H333" s="217">
        <f t="shared" ref="H333:AA333" si="419">H335+H336+H337+H339+H340+H341+H342</f>
        <v>1348.1286435148809</v>
      </c>
      <c r="I333" s="217">
        <f t="shared" si="419"/>
        <v>0</v>
      </c>
      <c r="J333" s="217">
        <f t="shared" ref="J333" si="420">J335+J336+J337+J339+J340+J341+J342</f>
        <v>298</v>
      </c>
      <c r="K333" s="217">
        <f t="shared" si="419"/>
        <v>0</v>
      </c>
      <c r="L333" s="217"/>
      <c r="M333" s="217"/>
      <c r="N333" s="217">
        <f t="shared" si="419"/>
        <v>737.97475602116162</v>
      </c>
      <c r="O333" s="217">
        <f t="shared" si="419"/>
        <v>169.86</v>
      </c>
      <c r="P333" s="217">
        <f t="shared" si="419"/>
        <v>0</v>
      </c>
      <c r="Q333" s="217">
        <f t="shared" si="419"/>
        <v>6.7511999999999997E-3</v>
      </c>
      <c r="R333" s="217">
        <f t="shared" si="419"/>
        <v>0</v>
      </c>
      <c r="S333" s="217">
        <f t="shared" si="419"/>
        <v>907.84150722116158</v>
      </c>
      <c r="T333" s="217">
        <f t="shared" si="419"/>
        <v>0</v>
      </c>
      <c r="U333" s="217">
        <f t="shared" si="419"/>
        <v>907.84150722116158</v>
      </c>
      <c r="V333" s="217">
        <f t="shared" si="419"/>
        <v>0</v>
      </c>
      <c r="W333" s="217">
        <f t="shared" si="419"/>
        <v>0</v>
      </c>
      <c r="X333" s="217">
        <f t="shared" si="419"/>
        <v>0</v>
      </c>
      <c r="Y333" s="217">
        <f t="shared" si="419"/>
        <v>0</v>
      </c>
      <c r="Z333" s="217">
        <f t="shared" si="419"/>
        <v>21.984322284076381</v>
      </c>
      <c r="AA333" s="219">
        <f t="shared" si="419"/>
        <v>929.82582950523795</v>
      </c>
    </row>
    <row r="334" spans="2:28">
      <c r="B334" s="253" t="s">
        <v>918</v>
      </c>
      <c r="C334" s="193"/>
      <c r="D334" s="203"/>
      <c r="E334" s="237"/>
      <c r="F334" s="237"/>
      <c r="G334" s="237"/>
      <c r="H334" s="191"/>
      <c r="I334" s="203"/>
      <c r="J334" s="191"/>
      <c r="K334" s="191"/>
      <c r="L334" s="191"/>
      <c r="M334" s="191"/>
      <c r="N334" s="195">
        <f t="shared" ref="N334:N344" si="421">H334*D334*$P$180/10</f>
        <v>0</v>
      </c>
      <c r="O334" s="196">
        <f t="shared" ref="O334:O344" si="422">IF(E334&gt;0,(J334*10^3*E334/10^7)+(K334*0.7457*E334/10^7),(K334*F334/10^7)+(J334*(10^3)*(1/0.7457)*F334/10^7))</f>
        <v>0</v>
      </c>
      <c r="P334" s="332"/>
      <c r="Q334" s="196">
        <f t="shared" ref="Q334:Q344" si="423">G334*C334*12/10^7</f>
        <v>0</v>
      </c>
      <c r="R334" s="332"/>
      <c r="S334" s="196">
        <f t="shared" ref="S334:S344" si="424">N334+O334+P334+Q334+R334</f>
        <v>0</v>
      </c>
      <c r="T334" s="332"/>
      <c r="U334" s="196">
        <f t="shared" ref="U334:U344" si="425">S334-T334</f>
        <v>0</v>
      </c>
      <c r="V334" s="332"/>
      <c r="W334" s="332"/>
      <c r="X334" s="332"/>
      <c r="Y334" s="332"/>
      <c r="Z334" s="198"/>
      <c r="AA334" s="249">
        <f t="shared" ref="AA334:AA344" si="426">U334+Z334</f>
        <v>0</v>
      </c>
    </row>
    <row r="335" spans="2:28">
      <c r="B335" s="253" t="s">
        <v>914</v>
      </c>
      <c r="C335" s="193"/>
      <c r="D335" s="203">
        <v>6.85</v>
      </c>
      <c r="E335" s="237">
        <v>5700</v>
      </c>
      <c r="F335" s="237"/>
      <c r="G335" s="237">
        <v>2813</v>
      </c>
      <c r="H335" s="191">
        <v>221.71142135490251</v>
      </c>
      <c r="I335" s="203"/>
      <c r="J335" s="191">
        <v>0</v>
      </c>
      <c r="K335" s="191"/>
      <c r="L335" s="191"/>
      <c r="M335" s="191"/>
      <c r="N335" s="195">
        <f t="shared" si="421"/>
        <v>151.87232362810821</v>
      </c>
      <c r="O335" s="196">
        <f t="shared" si="422"/>
        <v>0</v>
      </c>
      <c r="P335" s="332"/>
      <c r="Q335" s="196">
        <f t="shared" si="423"/>
        <v>0</v>
      </c>
      <c r="R335" s="332"/>
      <c r="S335" s="196">
        <f t="shared" si="424"/>
        <v>151.87232362810821</v>
      </c>
      <c r="T335" s="332"/>
      <c r="U335" s="196">
        <f t="shared" si="425"/>
        <v>151.87232362810821</v>
      </c>
      <c r="V335" s="332"/>
      <c r="W335" s="332"/>
      <c r="X335" s="332"/>
      <c r="Y335" s="332"/>
      <c r="Z335" s="198"/>
      <c r="AA335" s="249">
        <f t="shared" si="426"/>
        <v>151.87232362810821</v>
      </c>
    </row>
    <row r="336" spans="2:28">
      <c r="B336" s="253" t="s">
        <v>915</v>
      </c>
      <c r="C336" s="193"/>
      <c r="D336" s="203">
        <v>4.5999999999999996</v>
      </c>
      <c r="E336" s="237">
        <v>5700</v>
      </c>
      <c r="F336" s="237"/>
      <c r="G336" s="237">
        <v>2813</v>
      </c>
      <c r="H336" s="191">
        <v>300.62827768916566</v>
      </c>
      <c r="I336" s="203"/>
      <c r="J336" s="191">
        <v>0</v>
      </c>
      <c r="K336" s="191"/>
      <c r="L336" s="191"/>
      <c r="M336" s="191"/>
      <c r="N336" s="195">
        <f t="shared" si="421"/>
        <v>138.28900773701619</v>
      </c>
      <c r="O336" s="196">
        <f t="shared" si="422"/>
        <v>0</v>
      </c>
      <c r="P336" s="332"/>
      <c r="Q336" s="196">
        <f t="shared" si="423"/>
        <v>0</v>
      </c>
      <c r="R336" s="332"/>
      <c r="S336" s="196">
        <f t="shared" si="424"/>
        <v>138.28900773701619</v>
      </c>
      <c r="T336" s="332"/>
      <c r="U336" s="196">
        <f t="shared" si="425"/>
        <v>138.28900773701619</v>
      </c>
      <c r="V336" s="332"/>
      <c r="W336" s="332"/>
      <c r="X336" s="332"/>
      <c r="Y336" s="332"/>
      <c r="Z336" s="198"/>
      <c r="AA336" s="249">
        <f t="shared" si="426"/>
        <v>138.28900773701619</v>
      </c>
    </row>
    <row r="337" spans="2:28">
      <c r="B337" s="253" t="s">
        <v>916</v>
      </c>
      <c r="C337" s="193">
        <v>2</v>
      </c>
      <c r="D337" s="203">
        <v>5.35</v>
      </c>
      <c r="E337" s="237">
        <v>5700</v>
      </c>
      <c r="F337" s="237"/>
      <c r="G337" s="237">
        <v>2813</v>
      </c>
      <c r="H337" s="191">
        <v>105.65217340669803</v>
      </c>
      <c r="I337" s="203"/>
      <c r="J337" s="191">
        <v>298</v>
      </c>
      <c r="K337" s="191"/>
      <c r="L337" s="191"/>
      <c r="M337" s="191"/>
      <c r="N337" s="195">
        <f t="shared" si="421"/>
        <v>56.523912772583436</v>
      </c>
      <c r="O337" s="196">
        <f t="shared" si="422"/>
        <v>169.86</v>
      </c>
      <c r="P337" s="332"/>
      <c r="Q337" s="196">
        <f t="shared" si="423"/>
        <v>6.7511999999999997E-3</v>
      </c>
      <c r="R337" s="332"/>
      <c r="S337" s="196">
        <f t="shared" si="424"/>
        <v>226.39066397258344</v>
      </c>
      <c r="T337" s="332"/>
      <c r="U337" s="196">
        <f t="shared" si="425"/>
        <v>226.39066397258344</v>
      </c>
      <c r="V337" s="332"/>
      <c r="W337" s="332"/>
      <c r="X337" s="332"/>
      <c r="Y337" s="332"/>
      <c r="Z337" s="198">
        <f>(H333*$Z$354)/($H$354-$H$218-$H$220-$H$221)</f>
        <v>21.984322284076381</v>
      </c>
      <c r="AA337" s="249">
        <f t="shared" si="426"/>
        <v>248.37498625665981</v>
      </c>
    </row>
    <row r="338" spans="2:28">
      <c r="B338" s="253" t="s">
        <v>917</v>
      </c>
      <c r="C338" s="193"/>
      <c r="D338" s="203"/>
      <c r="E338" s="237"/>
      <c r="F338" s="237"/>
      <c r="G338" s="237"/>
      <c r="H338" s="191"/>
      <c r="I338" s="203"/>
      <c r="J338" s="191"/>
      <c r="K338" s="191"/>
      <c r="L338" s="191"/>
      <c r="M338" s="191"/>
      <c r="N338" s="195">
        <f t="shared" si="421"/>
        <v>0</v>
      </c>
      <c r="O338" s="196">
        <f t="shared" si="422"/>
        <v>0</v>
      </c>
      <c r="P338" s="332"/>
      <c r="Q338" s="196">
        <f t="shared" si="423"/>
        <v>0</v>
      </c>
      <c r="R338" s="332"/>
      <c r="S338" s="196">
        <f t="shared" si="424"/>
        <v>0</v>
      </c>
      <c r="T338" s="332"/>
      <c r="U338" s="196">
        <f t="shared" si="425"/>
        <v>0</v>
      </c>
      <c r="V338" s="332"/>
      <c r="W338" s="332"/>
      <c r="X338" s="332"/>
      <c r="Y338" s="332"/>
      <c r="Z338" s="198"/>
      <c r="AA338" s="249">
        <f t="shared" si="426"/>
        <v>0</v>
      </c>
    </row>
    <row r="339" spans="2:28">
      <c r="B339" s="253" t="s">
        <v>914</v>
      </c>
      <c r="C339" s="193"/>
      <c r="D339" s="203">
        <v>6.35</v>
      </c>
      <c r="E339" s="237">
        <v>5700</v>
      </c>
      <c r="F339" s="237"/>
      <c r="G339" s="237">
        <v>2813</v>
      </c>
      <c r="H339" s="191">
        <v>239.56657464509757</v>
      </c>
      <c r="I339" s="203"/>
      <c r="J339" s="191"/>
      <c r="K339" s="191"/>
      <c r="L339" s="191"/>
      <c r="M339" s="191"/>
      <c r="N339" s="195">
        <f t="shared" si="421"/>
        <v>152.12477489963695</v>
      </c>
      <c r="O339" s="196">
        <f t="shared" si="422"/>
        <v>0</v>
      </c>
      <c r="P339" s="332"/>
      <c r="Q339" s="196">
        <f t="shared" si="423"/>
        <v>0</v>
      </c>
      <c r="R339" s="332"/>
      <c r="S339" s="196">
        <f t="shared" si="424"/>
        <v>152.12477489963695</v>
      </c>
      <c r="T339" s="332"/>
      <c r="U339" s="196">
        <f t="shared" si="425"/>
        <v>152.12477489963695</v>
      </c>
      <c r="V339" s="332"/>
      <c r="W339" s="332"/>
      <c r="X339" s="332"/>
      <c r="Y339" s="332"/>
      <c r="Z339" s="198"/>
      <c r="AA339" s="249">
        <f t="shared" si="426"/>
        <v>152.12477489963695</v>
      </c>
    </row>
    <row r="340" spans="2:28">
      <c r="B340" s="253" t="s">
        <v>915</v>
      </c>
      <c r="C340" s="193"/>
      <c r="D340" s="203">
        <v>4.5999999999999996</v>
      </c>
      <c r="E340" s="237">
        <v>5700</v>
      </c>
      <c r="F340" s="237"/>
      <c r="G340" s="237">
        <v>2813</v>
      </c>
      <c r="H340" s="191">
        <v>325.33189727083436</v>
      </c>
      <c r="I340" s="203"/>
      <c r="J340" s="191"/>
      <c r="K340" s="191"/>
      <c r="L340" s="191"/>
      <c r="M340" s="191"/>
      <c r="N340" s="195">
        <f t="shared" si="421"/>
        <v>149.65267274458378</v>
      </c>
      <c r="O340" s="196">
        <f t="shared" si="422"/>
        <v>0</v>
      </c>
      <c r="P340" s="332"/>
      <c r="Q340" s="196">
        <f t="shared" si="423"/>
        <v>0</v>
      </c>
      <c r="R340" s="332"/>
      <c r="S340" s="196">
        <f t="shared" si="424"/>
        <v>149.65267274458378</v>
      </c>
      <c r="T340" s="332"/>
      <c r="U340" s="196">
        <f t="shared" si="425"/>
        <v>149.65267274458378</v>
      </c>
      <c r="V340" s="332"/>
      <c r="W340" s="332"/>
      <c r="X340" s="332"/>
      <c r="Y340" s="332"/>
      <c r="Z340" s="198"/>
      <c r="AA340" s="249">
        <f t="shared" si="426"/>
        <v>149.65267274458378</v>
      </c>
    </row>
    <row r="341" spans="2:28">
      <c r="B341" s="253" t="s">
        <v>916</v>
      </c>
      <c r="C341" s="193"/>
      <c r="D341" s="203">
        <v>5.35</v>
      </c>
      <c r="E341" s="237">
        <v>5700</v>
      </c>
      <c r="F341" s="237"/>
      <c r="G341" s="237">
        <v>2813</v>
      </c>
      <c r="H341" s="191">
        <v>116.08936463330194</v>
      </c>
      <c r="I341" s="203"/>
      <c r="J341" s="191"/>
      <c r="K341" s="191"/>
      <c r="L341" s="191"/>
      <c r="M341" s="191"/>
      <c r="N341" s="195">
        <f t="shared" si="421"/>
        <v>62.107810078816534</v>
      </c>
      <c r="O341" s="196">
        <f t="shared" si="422"/>
        <v>0</v>
      </c>
      <c r="P341" s="332"/>
      <c r="Q341" s="196">
        <f t="shared" si="423"/>
        <v>0</v>
      </c>
      <c r="R341" s="332"/>
      <c r="S341" s="196">
        <f t="shared" si="424"/>
        <v>62.107810078816534</v>
      </c>
      <c r="T341" s="332"/>
      <c r="U341" s="196">
        <f t="shared" si="425"/>
        <v>62.107810078816534</v>
      </c>
      <c r="V341" s="332"/>
      <c r="W341" s="332"/>
      <c r="X341" s="332"/>
      <c r="Y341" s="332"/>
      <c r="Z341" s="198"/>
      <c r="AA341" s="249">
        <f t="shared" si="426"/>
        <v>62.107810078816534</v>
      </c>
    </row>
    <row r="342" spans="2:28">
      <c r="B342" s="253" t="s">
        <v>592</v>
      </c>
      <c r="C342" s="193">
        <v>0</v>
      </c>
      <c r="D342" s="203">
        <v>7</v>
      </c>
      <c r="E342" s="237">
        <v>0</v>
      </c>
      <c r="F342" s="237"/>
      <c r="G342" s="237">
        <v>2813</v>
      </c>
      <c r="H342" s="191">
        <v>39.148934514880715</v>
      </c>
      <c r="I342" s="203"/>
      <c r="J342" s="191">
        <v>0</v>
      </c>
      <c r="K342" s="191"/>
      <c r="L342" s="191"/>
      <c r="M342" s="191"/>
      <c r="N342" s="195">
        <f t="shared" si="421"/>
        <v>27.404254160416503</v>
      </c>
      <c r="O342" s="196">
        <f t="shared" si="422"/>
        <v>0</v>
      </c>
      <c r="P342" s="332"/>
      <c r="Q342" s="196">
        <f t="shared" si="423"/>
        <v>0</v>
      </c>
      <c r="R342" s="332"/>
      <c r="S342" s="196">
        <f t="shared" si="424"/>
        <v>27.404254160416503</v>
      </c>
      <c r="T342" s="332"/>
      <c r="U342" s="196">
        <f t="shared" si="425"/>
        <v>27.404254160416503</v>
      </c>
      <c r="V342" s="332"/>
      <c r="W342" s="332"/>
      <c r="X342" s="332"/>
      <c r="Y342" s="332"/>
      <c r="Z342" s="198"/>
      <c r="AA342" s="249">
        <f t="shared" si="426"/>
        <v>27.404254160416503</v>
      </c>
    </row>
    <row r="343" spans="2:28">
      <c r="B343" s="215" t="s">
        <v>754</v>
      </c>
      <c r="C343" s="193">
        <v>0</v>
      </c>
      <c r="D343" s="217">
        <v>6.65</v>
      </c>
      <c r="E343" s="360">
        <v>5700</v>
      </c>
      <c r="F343" s="217"/>
      <c r="G343" s="222">
        <v>2813</v>
      </c>
      <c r="H343" s="191">
        <v>0</v>
      </c>
      <c r="I343" s="217"/>
      <c r="J343" s="191">
        <v>0</v>
      </c>
      <c r="K343" s="217"/>
      <c r="L343" s="217"/>
      <c r="M343" s="217"/>
      <c r="N343" s="195">
        <f t="shared" si="421"/>
        <v>0</v>
      </c>
      <c r="O343" s="217">
        <f t="shared" si="422"/>
        <v>0</v>
      </c>
      <c r="P343" s="217"/>
      <c r="Q343" s="217">
        <f t="shared" si="423"/>
        <v>0</v>
      </c>
      <c r="R343" s="217"/>
      <c r="S343" s="217">
        <f t="shared" si="424"/>
        <v>0</v>
      </c>
      <c r="T343" s="217"/>
      <c r="U343" s="217">
        <f t="shared" si="425"/>
        <v>0</v>
      </c>
      <c r="V343" s="217"/>
      <c r="W343" s="217"/>
      <c r="X343" s="217"/>
      <c r="Y343" s="217"/>
      <c r="Z343" s="198">
        <f>(H343*$Z$354)/($H$354-$H$218-$H$220-$H$221)</f>
        <v>0</v>
      </c>
      <c r="AA343" s="219">
        <f t="shared" si="426"/>
        <v>0</v>
      </c>
    </row>
    <row r="344" spans="2:28">
      <c r="B344" s="215" t="s">
        <v>755</v>
      </c>
      <c r="C344" s="193">
        <v>3</v>
      </c>
      <c r="D344" s="217">
        <v>4.9000000000000004</v>
      </c>
      <c r="E344" s="360">
        <v>5700</v>
      </c>
      <c r="F344" s="217"/>
      <c r="G344" s="222">
        <v>2813</v>
      </c>
      <c r="H344" s="191">
        <v>1823.3129255661702</v>
      </c>
      <c r="I344" s="217"/>
      <c r="J344" s="191">
        <v>259</v>
      </c>
      <c r="K344" s="217"/>
      <c r="L344" s="217"/>
      <c r="M344" s="217"/>
      <c r="N344" s="195">
        <f t="shared" si="421"/>
        <v>893.42333352742355</v>
      </c>
      <c r="O344" s="217">
        <f t="shared" si="422"/>
        <v>147.63</v>
      </c>
      <c r="P344" s="217"/>
      <c r="Q344" s="217">
        <f t="shared" si="423"/>
        <v>1.01268E-2</v>
      </c>
      <c r="R344" s="217"/>
      <c r="S344" s="217">
        <f t="shared" si="424"/>
        <v>1041.0634603274236</v>
      </c>
      <c r="T344" s="217"/>
      <c r="U344" s="217">
        <f t="shared" si="425"/>
        <v>1041.0634603274236</v>
      </c>
      <c r="V344" s="217"/>
      <c r="W344" s="217"/>
      <c r="X344" s="217"/>
      <c r="Y344" s="217"/>
      <c r="Z344" s="198">
        <f>(H344*$Z$354)/($H$354-$H$218-$H$220-$H$221)</f>
        <v>29.733289306768143</v>
      </c>
      <c r="AA344" s="219">
        <f t="shared" si="426"/>
        <v>1070.7967496341917</v>
      </c>
    </row>
    <row r="345" spans="2:28">
      <c r="B345" s="239" t="s">
        <v>751</v>
      </c>
      <c r="C345" s="250">
        <f>SUM(C346:C349)</f>
        <v>0</v>
      </c>
      <c r="D345" s="240"/>
      <c r="E345" s="240"/>
      <c r="F345" s="240"/>
      <c r="G345" s="240"/>
      <c r="H345" s="240">
        <f>SUM(H346:H349)</f>
        <v>0</v>
      </c>
      <c r="I345" s="240">
        <f t="shared" ref="I345" si="427">SUM(I346:I349)</f>
        <v>0</v>
      </c>
      <c r="J345" s="240">
        <f>SUM(J346:J349)</f>
        <v>0</v>
      </c>
      <c r="K345" s="240">
        <f t="shared" ref="K345:AA345" si="428">SUM(K346:K349)</f>
        <v>0</v>
      </c>
      <c r="L345" s="240"/>
      <c r="M345" s="240"/>
      <c r="N345" s="240">
        <f t="shared" si="428"/>
        <v>0</v>
      </c>
      <c r="O345" s="240">
        <f t="shared" si="428"/>
        <v>0</v>
      </c>
      <c r="P345" s="240">
        <f t="shared" si="428"/>
        <v>0</v>
      </c>
      <c r="Q345" s="240">
        <f t="shared" si="428"/>
        <v>0</v>
      </c>
      <c r="R345" s="240">
        <f t="shared" si="428"/>
        <v>0</v>
      </c>
      <c r="S345" s="240">
        <f t="shared" si="428"/>
        <v>0</v>
      </c>
      <c r="T345" s="240">
        <f t="shared" si="428"/>
        <v>0</v>
      </c>
      <c r="U345" s="240">
        <f t="shared" si="428"/>
        <v>0</v>
      </c>
      <c r="V345" s="240">
        <f t="shared" si="428"/>
        <v>0</v>
      </c>
      <c r="W345" s="240">
        <f t="shared" si="428"/>
        <v>0</v>
      </c>
      <c r="X345" s="240">
        <f t="shared" si="428"/>
        <v>0</v>
      </c>
      <c r="Y345" s="240">
        <f t="shared" si="428"/>
        <v>0</v>
      </c>
      <c r="Z345" s="240">
        <f t="shared" si="428"/>
        <v>0</v>
      </c>
      <c r="AA345" s="241">
        <f t="shared" si="428"/>
        <v>0</v>
      </c>
    </row>
    <row r="346" spans="2:28" ht="28.5" customHeight="1">
      <c r="B346" s="253" t="s">
        <v>756</v>
      </c>
      <c r="C346" s="193">
        <v>0</v>
      </c>
      <c r="D346" s="203">
        <v>6.65</v>
      </c>
      <c r="E346" s="237">
        <v>5700</v>
      </c>
      <c r="F346" s="237"/>
      <c r="G346" s="237">
        <v>2813</v>
      </c>
      <c r="H346" s="191">
        <v>0</v>
      </c>
      <c r="I346" s="203"/>
      <c r="J346" s="191">
        <v>0</v>
      </c>
      <c r="K346" s="191"/>
      <c r="L346" s="191"/>
      <c r="M346" s="191"/>
      <c r="N346" s="195">
        <f t="shared" ref="N346:N349" si="429">H346*D346*$P$180/10</f>
        <v>0</v>
      </c>
      <c r="O346" s="196">
        <f>IF(E346&gt;0,(J346*10^3*E346/10^7)+(K346*0.7457*E346/10^7),(K346*F346/10^7)+(J346*(10^3)*(1/0.7457)*F346/10^7))</f>
        <v>0</v>
      </c>
      <c r="P346" s="332"/>
      <c r="Q346" s="196">
        <f t="shared" ref="Q346:Q349" si="430">G346*C346*12/10^7</f>
        <v>0</v>
      </c>
      <c r="R346" s="332"/>
      <c r="S346" s="196">
        <f>N346+O346+P346+Q346+R346</f>
        <v>0</v>
      </c>
      <c r="T346" s="332"/>
      <c r="U346" s="196">
        <f t="shared" ref="U346:U349" si="431">S346-T346</f>
        <v>0</v>
      </c>
      <c r="V346" s="332"/>
      <c r="W346" s="332"/>
      <c r="X346" s="332"/>
      <c r="Y346" s="332"/>
      <c r="Z346" s="198">
        <f>(H346*$Z$354)/($H$354-$H$218-$H$220-$H$221)</f>
        <v>0</v>
      </c>
      <c r="AA346" s="249">
        <f t="shared" ref="AA346:AA349" si="432">U346+Z346</f>
        <v>0</v>
      </c>
    </row>
    <row r="347" spans="2:28">
      <c r="B347" s="253" t="s">
        <v>757</v>
      </c>
      <c r="C347" s="193">
        <v>0</v>
      </c>
      <c r="D347" s="203">
        <v>6.95</v>
      </c>
      <c r="E347" s="237">
        <v>5700</v>
      </c>
      <c r="F347" s="237"/>
      <c r="G347" s="237">
        <v>2813</v>
      </c>
      <c r="H347" s="191">
        <v>0</v>
      </c>
      <c r="I347" s="203"/>
      <c r="J347" s="191">
        <v>0</v>
      </c>
      <c r="K347" s="191"/>
      <c r="L347" s="191"/>
      <c r="M347" s="191"/>
      <c r="N347" s="195">
        <f t="shared" si="429"/>
        <v>0</v>
      </c>
      <c r="O347" s="196">
        <f>IF(E347&gt;0,(J347*10^3*E347/10^7)+(K347*0.7457*E347/10^7),(K347*F347/10^7)+(J347*(10^3)*(1/0.7457)*F347/10^7))</f>
        <v>0</v>
      </c>
      <c r="P347" s="332"/>
      <c r="Q347" s="196">
        <f t="shared" si="430"/>
        <v>0</v>
      </c>
      <c r="R347" s="332"/>
      <c r="S347" s="196">
        <f>N347+O347+P347+Q347+R347</f>
        <v>0</v>
      </c>
      <c r="T347" s="332"/>
      <c r="U347" s="196">
        <f t="shared" si="431"/>
        <v>0</v>
      </c>
      <c r="V347" s="332"/>
      <c r="W347" s="332"/>
      <c r="X347" s="332"/>
      <c r="Y347" s="332"/>
      <c r="Z347" s="198">
        <f>(H347*$Z$354)/($H$354-$H$218-$H$220-$H$221)</f>
        <v>0</v>
      </c>
      <c r="AA347" s="249">
        <f t="shared" si="432"/>
        <v>0</v>
      </c>
    </row>
    <row r="348" spans="2:28">
      <c r="B348" s="253" t="s">
        <v>758</v>
      </c>
      <c r="C348" s="193">
        <v>0</v>
      </c>
      <c r="D348" s="203">
        <v>5</v>
      </c>
      <c r="E348" s="237">
        <v>360</v>
      </c>
      <c r="F348" s="237"/>
      <c r="G348" s="237">
        <v>2813</v>
      </c>
      <c r="H348" s="191">
        <v>0</v>
      </c>
      <c r="I348" s="203"/>
      <c r="J348" s="191">
        <v>0</v>
      </c>
      <c r="K348" s="191"/>
      <c r="L348" s="191"/>
      <c r="M348" s="191"/>
      <c r="N348" s="195">
        <f t="shared" si="429"/>
        <v>0</v>
      </c>
      <c r="O348" s="196">
        <f>IF(E348&gt;0,(J348*10^3*E348/10^7)+(K348*0.7457*E348/10^7),(K348*F348/10^7)+(J348*(10^3)*(1/0.7457)*F348/10^7))</f>
        <v>0</v>
      </c>
      <c r="P348" s="332"/>
      <c r="Q348" s="196">
        <f t="shared" si="430"/>
        <v>0</v>
      </c>
      <c r="R348" s="332"/>
      <c r="S348" s="196">
        <f>N348+O348+P348+Q348+R348</f>
        <v>0</v>
      </c>
      <c r="T348" s="332"/>
      <c r="U348" s="196">
        <f t="shared" si="431"/>
        <v>0</v>
      </c>
      <c r="V348" s="332"/>
      <c r="W348" s="332"/>
      <c r="X348" s="332"/>
      <c r="Y348" s="332"/>
      <c r="Z348" s="198">
        <f>(H348*$Z$354)/($H$354-$H$218-$H$220-$H$221)</f>
        <v>0</v>
      </c>
      <c r="AA348" s="249">
        <f t="shared" si="432"/>
        <v>0</v>
      </c>
    </row>
    <row r="349" spans="2:28">
      <c r="B349" s="253" t="s">
        <v>759</v>
      </c>
      <c r="C349" s="193">
        <v>0</v>
      </c>
      <c r="D349" s="203">
        <v>5.5</v>
      </c>
      <c r="E349" s="237">
        <v>4200</v>
      </c>
      <c r="F349" s="237"/>
      <c r="G349" s="237">
        <v>2813</v>
      </c>
      <c r="H349" s="191">
        <v>0</v>
      </c>
      <c r="I349" s="203"/>
      <c r="J349" s="191">
        <v>0</v>
      </c>
      <c r="K349" s="191"/>
      <c r="L349" s="191"/>
      <c r="M349" s="191"/>
      <c r="N349" s="195">
        <f t="shared" si="429"/>
        <v>0</v>
      </c>
      <c r="O349" s="196">
        <f>IF(E349&gt;0,(J349*10^3*E349/10^7)+(K349*0.7457*E349/10^7),(K349*F349/10^7)+(J349*(10^3)*(1/0.7457)*F349/10^7))</f>
        <v>0</v>
      </c>
      <c r="P349" s="332"/>
      <c r="Q349" s="196">
        <f t="shared" si="430"/>
        <v>0</v>
      </c>
      <c r="R349" s="332"/>
      <c r="S349" s="196">
        <f>N349+O349+P349+Q349+R349</f>
        <v>0</v>
      </c>
      <c r="T349" s="332"/>
      <c r="U349" s="196">
        <f t="shared" si="431"/>
        <v>0</v>
      </c>
      <c r="V349" s="332"/>
      <c r="W349" s="332"/>
      <c r="X349" s="332"/>
      <c r="Y349" s="332"/>
      <c r="Z349" s="198">
        <f>(H349*$Z$354)/($H$354-$H$218-$H$220-$H$221)</f>
        <v>0</v>
      </c>
      <c r="AA349" s="249">
        <f t="shared" si="432"/>
        <v>0</v>
      </c>
    </row>
    <row r="350" spans="2:28">
      <c r="B350" s="239" t="s">
        <v>752</v>
      </c>
      <c r="C350" s="250">
        <f t="shared" ref="C350" si="433">C351+C352</f>
        <v>3</v>
      </c>
      <c r="D350" s="240"/>
      <c r="E350" s="240"/>
      <c r="F350" s="240"/>
      <c r="G350" s="240"/>
      <c r="H350" s="240">
        <f t="shared" ref="H350:AA350" si="434">H351+H352</f>
        <v>224.40172747495507</v>
      </c>
      <c r="I350" s="240">
        <f t="shared" si="434"/>
        <v>0</v>
      </c>
      <c r="J350" s="240">
        <f t="shared" ref="J350" si="435">J351+J352</f>
        <v>244.91000000000003</v>
      </c>
      <c r="K350" s="240">
        <f t="shared" si="434"/>
        <v>0</v>
      </c>
      <c r="L350" s="240"/>
      <c r="M350" s="240"/>
      <c r="N350" s="240">
        <f t="shared" si="434"/>
        <v>160.44723514459287</v>
      </c>
      <c r="O350" s="240">
        <f t="shared" si="434"/>
        <v>0</v>
      </c>
      <c r="P350" s="240">
        <f t="shared" si="434"/>
        <v>0</v>
      </c>
      <c r="Q350" s="240">
        <f t="shared" si="434"/>
        <v>1.01268E-2</v>
      </c>
      <c r="R350" s="240">
        <f t="shared" si="434"/>
        <v>0</v>
      </c>
      <c r="S350" s="240">
        <f t="shared" si="434"/>
        <v>160.45736194459286</v>
      </c>
      <c r="T350" s="240">
        <f t="shared" si="434"/>
        <v>0</v>
      </c>
      <c r="U350" s="240">
        <f t="shared" si="434"/>
        <v>160.45736194459286</v>
      </c>
      <c r="V350" s="240">
        <f t="shared" si="434"/>
        <v>0</v>
      </c>
      <c r="W350" s="240">
        <f t="shared" si="434"/>
        <v>0</v>
      </c>
      <c r="X350" s="240">
        <f t="shared" si="434"/>
        <v>0</v>
      </c>
      <c r="Y350" s="240">
        <f t="shared" si="434"/>
        <v>0</v>
      </c>
      <c r="Z350" s="240">
        <f t="shared" si="434"/>
        <v>3.659383636453708</v>
      </c>
      <c r="AA350" s="241">
        <f t="shared" si="434"/>
        <v>164.11674558104656</v>
      </c>
    </row>
    <row r="351" spans="2:28">
      <c r="B351" s="253" t="s">
        <v>760</v>
      </c>
      <c r="C351" s="193">
        <v>0</v>
      </c>
      <c r="D351" s="203">
        <v>3.85</v>
      </c>
      <c r="E351" s="237">
        <v>360</v>
      </c>
      <c r="F351" s="237"/>
      <c r="G351" s="237">
        <v>2813</v>
      </c>
      <c r="H351" s="191">
        <v>0</v>
      </c>
      <c r="I351" s="203"/>
      <c r="J351" s="191">
        <v>0</v>
      </c>
      <c r="K351" s="191"/>
      <c r="L351" s="191"/>
      <c r="M351" s="191"/>
      <c r="N351" s="195">
        <f t="shared" ref="N351:N352" si="436">H351*D351*$P$180/10</f>
        <v>0</v>
      </c>
      <c r="O351" s="196">
        <f>IF(E351&gt;0,(J351*10^3*E351/10^7)+(K351*0.7457*E351/10^7),(K351*F351/10^7)+(J351*(10^3)*(1/0.7457)*F351/10^7))</f>
        <v>0</v>
      </c>
      <c r="P351" s="332"/>
      <c r="Q351" s="196">
        <f t="shared" ref="Q351:Q352" si="437">G351*C351*12/10^7</f>
        <v>0</v>
      </c>
      <c r="R351" s="332"/>
      <c r="S351" s="196">
        <f>N351+O351+P351+Q351+R351</f>
        <v>0</v>
      </c>
      <c r="T351" s="332"/>
      <c r="U351" s="196">
        <f t="shared" ref="U351:U352" si="438">S351-T351</f>
        <v>0</v>
      </c>
      <c r="V351" s="332"/>
      <c r="W351" s="332"/>
      <c r="X351" s="332"/>
      <c r="Y351" s="332"/>
      <c r="Z351" s="198">
        <f>(H351*$Z$354)/($H$354-$H$218-$H$220-$H$221)</f>
        <v>0</v>
      </c>
      <c r="AA351" s="249">
        <f t="shared" ref="AA351:AA352" si="439">U351+Z351</f>
        <v>0</v>
      </c>
    </row>
    <row r="352" spans="2:28">
      <c r="B352" s="253" t="s">
        <v>761</v>
      </c>
      <c r="C352" s="193">
        <v>3</v>
      </c>
      <c r="D352" s="203">
        <v>7.15</v>
      </c>
      <c r="E352" s="237">
        <v>0</v>
      </c>
      <c r="F352" s="237"/>
      <c r="G352" s="237">
        <v>2813</v>
      </c>
      <c r="H352" s="191">
        <v>224.40172747495507</v>
      </c>
      <c r="I352" s="203"/>
      <c r="J352" s="191">
        <v>244.91000000000003</v>
      </c>
      <c r="K352" s="191"/>
      <c r="L352" s="191"/>
      <c r="M352" s="191"/>
      <c r="N352" s="195">
        <f t="shared" si="436"/>
        <v>160.44723514459287</v>
      </c>
      <c r="O352" s="196">
        <f>IF(E352&gt;0,(J352*10^3*E352/10^7)+(K352*0.7457*E352/10^7),(K352*F352/10^7)+(J352*(10^3)*(1/0.7457)*F352/10^7))</f>
        <v>0</v>
      </c>
      <c r="P352" s="332"/>
      <c r="Q352" s="196">
        <f t="shared" si="437"/>
        <v>1.01268E-2</v>
      </c>
      <c r="R352" s="332"/>
      <c r="S352" s="196">
        <f>N352+O352+P352+Q352+R352</f>
        <v>160.45736194459286</v>
      </c>
      <c r="T352" s="332"/>
      <c r="U352" s="196">
        <f t="shared" si="438"/>
        <v>160.45736194459286</v>
      </c>
      <c r="V352" s="332"/>
      <c r="W352" s="332"/>
      <c r="X352" s="332"/>
      <c r="Y352" s="332"/>
      <c r="Z352" s="198">
        <f>(H352*$Z$354)/($H$354-$H$218-$H$220-$H$221)</f>
        <v>3.659383636453708</v>
      </c>
      <c r="AA352" s="249">
        <f t="shared" si="439"/>
        <v>164.11674558104656</v>
      </c>
      <c r="AB352" s="177"/>
    </row>
    <row r="353" spans="2:29">
      <c r="B353" s="239" t="s">
        <v>643</v>
      </c>
      <c r="C353" s="250">
        <f>C229+C261+C292+C323</f>
        <v>4896</v>
      </c>
      <c r="D353" s="240">
        <v>0</v>
      </c>
      <c r="E353" s="250">
        <v>0</v>
      </c>
      <c r="F353" s="250">
        <v>0</v>
      </c>
      <c r="G353" s="250">
        <v>0</v>
      </c>
      <c r="H353" s="240">
        <f>H229+H261+H292+H323</f>
        <v>13808.033115357262</v>
      </c>
      <c r="I353" s="240">
        <f t="shared" ref="I353" si="440">I229+I261+I292+I323</f>
        <v>0</v>
      </c>
      <c r="J353" s="240">
        <f>J229+J261+J292+J323</f>
        <v>3853.9973599999994</v>
      </c>
      <c r="K353" s="240">
        <f t="shared" ref="K353:AA353" si="441">K229+K261+K292+K323</f>
        <v>0</v>
      </c>
      <c r="L353" s="240"/>
      <c r="M353" s="240"/>
      <c r="N353" s="240">
        <f t="shared" si="441"/>
        <v>7887.5522936760281</v>
      </c>
      <c r="O353" s="240">
        <f t="shared" si="441"/>
        <v>1881.9327481800001</v>
      </c>
      <c r="P353" s="240">
        <f t="shared" si="441"/>
        <v>0</v>
      </c>
      <c r="Q353" s="240">
        <f t="shared" si="441"/>
        <v>9.0017388000000018</v>
      </c>
      <c r="R353" s="240">
        <f t="shared" si="441"/>
        <v>0</v>
      </c>
      <c r="S353" s="240">
        <f t="shared" si="441"/>
        <v>9778.4867806560287</v>
      </c>
      <c r="T353" s="240">
        <f t="shared" si="441"/>
        <v>0</v>
      </c>
      <c r="U353" s="240">
        <f t="shared" si="441"/>
        <v>9778.4867806560287</v>
      </c>
      <c r="V353" s="240">
        <f t="shared" si="441"/>
        <v>0</v>
      </c>
      <c r="W353" s="240">
        <f t="shared" si="441"/>
        <v>0</v>
      </c>
      <c r="X353" s="240">
        <f t="shared" si="441"/>
        <v>0</v>
      </c>
      <c r="Y353" s="240">
        <f t="shared" si="441"/>
        <v>0</v>
      </c>
      <c r="Z353" s="240">
        <f t="shared" si="441"/>
        <v>225.171575114495</v>
      </c>
      <c r="AA353" s="241">
        <f t="shared" si="441"/>
        <v>10003.658355770522</v>
      </c>
      <c r="AC353" s="177">
        <f>Z353+Z226</f>
        <v>416.65</v>
      </c>
    </row>
    <row r="354" spans="2:29" ht="11.25" thickBot="1">
      <c r="B354" s="262" t="s">
        <v>644</v>
      </c>
      <c r="C354" s="263">
        <f>C226+C353</f>
        <v>7659418</v>
      </c>
      <c r="D354" s="264">
        <v>0</v>
      </c>
      <c r="E354" s="263">
        <v>0</v>
      </c>
      <c r="F354" s="263">
        <v>0</v>
      </c>
      <c r="G354" s="263">
        <v>0</v>
      </c>
      <c r="H354" s="264">
        <f>H226+H353</f>
        <v>27864.326075381148</v>
      </c>
      <c r="I354" s="264">
        <f t="shared" ref="I354" si="442">I226+I353</f>
        <v>0</v>
      </c>
      <c r="J354" s="264">
        <f>J226+J353</f>
        <v>14017.973313445</v>
      </c>
      <c r="K354" s="264">
        <f t="shared" ref="K354:AA354" si="443">K226+K353</f>
        <v>2323578.7823040001</v>
      </c>
      <c r="L354" s="264"/>
      <c r="M354" s="264"/>
      <c r="N354" s="264">
        <f t="shared" si="443"/>
        <v>13594.363602815012</v>
      </c>
      <c r="O354" s="264">
        <f t="shared" si="443"/>
        <v>2213.7011335782036</v>
      </c>
      <c r="P354" s="264">
        <f t="shared" si="443"/>
        <v>16.810450808550002</v>
      </c>
      <c r="Q354" s="264">
        <f t="shared" si="443"/>
        <v>433.08578279999995</v>
      </c>
      <c r="R354" s="264">
        <f t="shared" si="443"/>
        <v>0</v>
      </c>
      <c r="S354" s="264">
        <f t="shared" si="443"/>
        <v>16257.960970001765</v>
      </c>
      <c r="T354" s="264">
        <f t="shared" si="443"/>
        <v>0</v>
      </c>
      <c r="U354" s="264">
        <f t="shared" si="443"/>
        <v>16257.960970001765</v>
      </c>
      <c r="V354" s="264">
        <f t="shared" si="443"/>
        <v>0</v>
      </c>
      <c r="W354" s="264">
        <f t="shared" si="443"/>
        <v>0</v>
      </c>
      <c r="X354" s="264">
        <f t="shared" si="443"/>
        <v>0</v>
      </c>
      <c r="Y354" s="264">
        <f t="shared" si="443"/>
        <v>0</v>
      </c>
      <c r="Z354" s="264">
        <f>'6|NTI current'!F17</f>
        <v>416.65</v>
      </c>
      <c r="AA354" s="265">
        <f t="shared" si="443"/>
        <v>16674.610970001766</v>
      </c>
    </row>
    <row r="355" spans="2:29">
      <c r="B355" s="364"/>
      <c r="C355" s="365"/>
      <c r="D355" s="366"/>
      <c r="E355" s="366"/>
      <c r="F355" s="366"/>
      <c r="G355" s="366"/>
      <c r="H355" s="364"/>
      <c r="I355" s="364"/>
      <c r="J355" s="364"/>
      <c r="K355" s="364"/>
      <c r="L355" s="364"/>
      <c r="M355" s="364"/>
      <c r="N355" s="364"/>
      <c r="O355" s="364"/>
      <c r="P355" s="364"/>
      <c r="Q355" s="364"/>
      <c r="R355" s="364"/>
      <c r="S355" s="364"/>
      <c r="T355" s="364"/>
      <c r="U355" s="364"/>
      <c r="V355" s="364"/>
      <c r="W355" s="364"/>
      <c r="X355" s="364"/>
      <c r="Y355" s="364"/>
      <c r="Z355" s="1066"/>
      <c r="AA355" s="364"/>
      <c r="AB355" s="364"/>
    </row>
    <row r="356" spans="2:29">
      <c r="B356" s="91" t="s">
        <v>179</v>
      </c>
      <c r="C356" s="328" t="s">
        <v>428</v>
      </c>
    </row>
    <row r="357" spans="2:29" ht="27" hidden="1" customHeight="1">
      <c r="B357" s="1924"/>
      <c r="C357" s="1924"/>
      <c r="D357" s="1924"/>
      <c r="E357" s="1924"/>
      <c r="F357" s="1924"/>
      <c r="G357" s="1924"/>
      <c r="H357" s="1924"/>
      <c r="I357" s="1924"/>
      <c r="J357" s="1924"/>
      <c r="K357" s="1924"/>
      <c r="L357" s="1924"/>
      <c r="M357" s="1924"/>
      <c r="N357" s="1924"/>
      <c r="O357" s="1924"/>
      <c r="P357" s="1924"/>
      <c r="Q357" s="1924"/>
      <c r="R357" s="1924"/>
      <c r="S357" s="1924"/>
      <c r="T357" s="1924"/>
      <c r="U357" s="1924"/>
      <c r="V357" s="1924"/>
      <c r="W357" s="1924"/>
      <c r="X357" s="1924"/>
      <c r="Y357" s="1924"/>
      <c r="Z357" s="1924"/>
      <c r="AA357" s="1924"/>
    </row>
    <row r="358" spans="2:29" ht="18" customHeight="1" thickBot="1">
      <c r="B358" s="91" t="str">
        <f>Notes!$C$6</f>
        <v>FY 2024-25</v>
      </c>
    </row>
    <row r="359" spans="2:29" ht="21.75" customHeight="1">
      <c r="B359" s="1925" t="s">
        <v>205</v>
      </c>
      <c r="C359" s="1919" t="s">
        <v>201</v>
      </c>
      <c r="D359" s="1919" t="s">
        <v>202</v>
      </c>
      <c r="E359" s="1919"/>
      <c r="F359" s="1919"/>
      <c r="G359" s="1919"/>
      <c r="H359" s="1919" t="s">
        <v>203</v>
      </c>
      <c r="I359" s="1919"/>
      <c r="J359" s="1919"/>
      <c r="K359" s="1919"/>
      <c r="L359" s="1928" t="s">
        <v>1111</v>
      </c>
      <c r="M359" s="1929"/>
      <c r="N359" s="1919" t="s">
        <v>204</v>
      </c>
      <c r="O359" s="1919"/>
      <c r="P359" s="1919"/>
      <c r="Q359" s="1919"/>
      <c r="R359" s="1919"/>
      <c r="S359" s="1919"/>
      <c r="T359" s="1919" t="s">
        <v>1</v>
      </c>
      <c r="U359" s="1919" t="s">
        <v>522</v>
      </c>
      <c r="V359" s="1928" t="s">
        <v>523</v>
      </c>
      <c r="W359" s="1929"/>
      <c r="X359" s="1919" t="s">
        <v>524</v>
      </c>
      <c r="Y359" s="1928" t="s">
        <v>525</v>
      </c>
      <c r="Z359" s="1929"/>
      <c r="AA359" s="1930" t="s">
        <v>526</v>
      </c>
    </row>
    <row r="360" spans="2:29" ht="63">
      <c r="B360" s="1926"/>
      <c r="C360" s="1927"/>
      <c r="D360" s="329" t="s">
        <v>24</v>
      </c>
      <c r="E360" s="329" t="s">
        <v>23</v>
      </c>
      <c r="F360" s="329" t="s">
        <v>0</v>
      </c>
      <c r="G360" s="329" t="s">
        <v>920</v>
      </c>
      <c r="H360" s="1523" t="s">
        <v>9</v>
      </c>
      <c r="I360" s="1523" t="s">
        <v>22</v>
      </c>
      <c r="J360" s="1523" t="s">
        <v>527</v>
      </c>
      <c r="K360" s="1523" t="s">
        <v>528</v>
      </c>
      <c r="L360" s="329" t="s">
        <v>24</v>
      </c>
      <c r="M360" s="1523" t="s">
        <v>9</v>
      </c>
      <c r="N360" s="1523" t="s">
        <v>8</v>
      </c>
      <c r="O360" s="1523" t="s">
        <v>7</v>
      </c>
      <c r="P360" s="1523" t="s">
        <v>6</v>
      </c>
      <c r="Q360" s="1523" t="s">
        <v>529</v>
      </c>
      <c r="R360" s="1523" t="s">
        <v>5</v>
      </c>
      <c r="S360" s="1523" t="s">
        <v>4</v>
      </c>
      <c r="T360" s="1920"/>
      <c r="U360" s="1920"/>
      <c r="V360" s="1523" t="s">
        <v>2</v>
      </c>
      <c r="W360" s="1523" t="s">
        <v>3</v>
      </c>
      <c r="X360" s="1923"/>
      <c r="Y360" s="1523" t="s">
        <v>471</v>
      </c>
      <c r="Z360" s="1523" t="s">
        <v>450</v>
      </c>
      <c r="AA360" s="1931"/>
    </row>
    <row r="361" spans="2:29">
      <c r="B361" s="230" t="s">
        <v>598</v>
      </c>
      <c r="C361" s="175"/>
      <c r="D361" s="331"/>
      <c r="E361" s="331"/>
      <c r="F361" s="331"/>
      <c r="G361" s="331"/>
      <c r="H361" s="175"/>
      <c r="I361" s="175"/>
      <c r="J361" s="175"/>
      <c r="K361" s="175"/>
      <c r="L361" s="175"/>
      <c r="M361" s="175"/>
      <c r="N361" s="175"/>
      <c r="O361" s="175"/>
      <c r="P361" s="175"/>
      <c r="Q361" s="175"/>
      <c r="R361" s="175"/>
      <c r="S361" s="175"/>
      <c r="T361" s="175"/>
      <c r="U361" s="175"/>
      <c r="V361" s="175"/>
      <c r="W361" s="175"/>
      <c r="X361" s="175"/>
      <c r="Y361" s="175"/>
      <c r="Z361" s="175"/>
      <c r="AA361" s="231"/>
    </row>
    <row r="362" spans="2:29">
      <c r="B362" s="204" t="s">
        <v>923</v>
      </c>
      <c r="C362" s="179">
        <f>C363</f>
        <v>6079127</v>
      </c>
      <c r="D362" s="214"/>
      <c r="E362" s="214"/>
      <c r="F362" s="214"/>
      <c r="G362" s="180"/>
      <c r="H362" s="181">
        <f>H363</f>
        <v>7741.838471777276</v>
      </c>
      <c r="I362" s="181">
        <f t="shared" ref="I362:AA362" si="444">I363</f>
        <v>0</v>
      </c>
      <c r="J362" s="181">
        <f>J363</f>
        <v>6867.2622050999989</v>
      </c>
      <c r="K362" s="181">
        <f t="shared" si="444"/>
        <v>0</v>
      </c>
      <c r="L362" s="181"/>
      <c r="M362" s="181"/>
      <c r="N362" s="181">
        <f t="shared" si="444"/>
        <v>3279.9793013182771</v>
      </c>
      <c r="O362" s="181">
        <f t="shared" si="444"/>
        <v>82.4071464612</v>
      </c>
      <c r="P362" s="181">
        <f t="shared" si="444"/>
        <v>0</v>
      </c>
      <c r="Q362" s="181">
        <f t="shared" si="444"/>
        <v>280.22447400000004</v>
      </c>
      <c r="R362" s="181">
        <f t="shared" si="444"/>
        <v>0</v>
      </c>
      <c r="S362" s="181">
        <f t="shared" si="444"/>
        <v>3642.6109217794765</v>
      </c>
      <c r="T362" s="181">
        <f t="shared" si="444"/>
        <v>0</v>
      </c>
      <c r="U362" s="181">
        <f t="shared" si="444"/>
        <v>3642.6109217794765</v>
      </c>
      <c r="V362" s="181">
        <f t="shared" si="444"/>
        <v>0</v>
      </c>
      <c r="W362" s="181">
        <f t="shared" si="444"/>
        <v>0</v>
      </c>
      <c r="X362" s="181">
        <f t="shared" si="444"/>
        <v>0</v>
      </c>
      <c r="Y362" s="181">
        <f t="shared" si="444"/>
        <v>0</v>
      </c>
      <c r="Z362" s="181">
        <f t="shared" si="444"/>
        <v>122.14680901645339</v>
      </c>
      <c r="AA362" s="182">
        <f t="shared" si="444"/>
        <v>3764.7577307959305</v>
      </c>
      <c r="AC362" s="177"/>
    </row>
    <row r="363" spans="2:29">
      <c r="B363" s="183" t="s">
        <v>921</v>
      </c>
      <c r="C363" s="184">
        <f>SUM(C364:C370)</f>
        <v>6079127</v>
      </c>
      <c r="D363" s="186"/>
      <c r="E363" s="186"/>
      <c r="F363" s="186"/>
      <c r="G363" s="185"/>
      <c r="H363" s="186">
        <f>SUM(H364:H370)</f>
        <v>7741.838471777276</v>
      </c>
      <c r="I363" s="186">
        <f t="shared" ref="I363" si="445">SUM(I364:I370)</f>
        <v>0</v>
      </c>
      <c r="J363" s="186">
        <f>SUM(J364:J370)</f>
        <v>6867.2622050999989</v>
      </c>
      <c r="K363" s="186">
        <f t="shared" ref="K363:AA363" si="446">SUM(K364:K370)</f>
        <v>0</v>
      </c>
      <c r="L363" s="186"/>
      <c r="M363" s="186"/>
      <c r="N363" s="186">
        <f t="shared" si="446"/>
        <v>3279.9793013182771</v>
      </c>
      <c r="O363" s="186">
        <f t="shared" si="446"/>
        <v>82.4071464612</v>
      </c>
      <c r="P363" s="186">
        <f t="shared" si="446"/>
        <v>0</v>
      </c>
      <c r="Q363" s="186">
        <f t="shared" si="446"/>
        <v>280.22447400000004</v>
      </c>
      <c r="R363" s="186">
        <f t="shared" si="446"/>
        <v>0</v>
      </c>
      <c r="S363" s="186">
        <f t="shared" si="446"/>
        <v>3642.6109217794765</v>
      </c>
      <c r="T363" s="186">
        <f t="shared" si="446"/>
        <v>0</v>
      </c>
      <c r="U363" s="186">
        <f t="shared" si="446"/>
        <v>3642.6109217794765</v>
      </c>
      <c r="V363" s="186">
        <f t="shared" si="446"/>
        <v>0</v>
      </c>
      <c r="W363" s="186">
        <f t="shared" si="446"/>
        <v>0</v>
      </c>
      <c r="X363" s="186">
        <f t="shared" si="446"/>
        <v>0</v>
      </c>
      <c r="Y363" s="186">
        <f t="shared" si="446"/>
        <v>0</v>
      </c>
      <c r="Z363" s="186">
        <f t="shared" si="446"/>
        <v>122.14680901645339</v>
      </c>
      <c r="AA363" s="187">
        <f t="shared" si="446"/>
        <v>3764.7577307959305</v>
      </c>
      <c r="AC363" s="177"/>
    </row>
    <row r="364" spans="2:29">
      <c r="B364" s="189" t="s">
        <v>854</v>
      </c>
      <c r="C364" s="193">
        <v>1311268</v>
      </c>
      <c r="D364" s="191">
        <v>1.9</v>
      </c>
      <c r="E364" s="192">
        <v>120</v>
      </c>
      <c r="F364" s="193"/>
      <c r="G364" s="190">
        <v>25</v>
      </c>
      <c r="H364" s="191">
        <v>1852.1345032689851</v>
      </c>
      <c r="I364" s="191"/>
      <c r="J364" s="191">
        <v>1233.5822490901501</v>
      </c>
      <c r="K364" s="191"/>
      <c r="L364" s="191">
        <f>D364+0.75</f>
        <v>2.65</v>
      </c>
      <c r="M364" s="191"/>
      <c r="N364" s="195">
        <f>H364*D364/10</f>
        <v>351.90555562110717</v>
      </c>
      <c r="O364" s="196">
        <f t="shared" ref="O364:O370" si="447">IF(E364&gt;0,(J364*10^3*E364/10^7)+(K364*0.7457*E364/10^7),(K364*F364/10^7)+(J364*(10^3)*(1/0.7457)*F364/10^7))</f>
        <v>14.8029869890818</v>
      </c>
      <c r="P364" s="332"/>
      <c r="Q364" s="196">
        <f>G364*C364*12/10^7</f>
        <v>39.338039999999999</v>
      </c>
      <c r="R364" s="332"/>
      <c r="S364" s="196">
        <f t="shared" ref="S364:S370" si="448">N364+O364+P364+Q364+R364</f>
        <v>406.04658261018892</v>
      </c>
      <c r="T364" s="332"/>
      <c r="U364" s="196">
        <f>S364-T364</f>
        <v>406.04658261018892</v>
      </c>
      <c r="V364" s="332"/>
      <c r="W364" s="332"/>
      <c r="X364" s="332"/>
      <c r="Y364" s="332"/>
      <c r="Z364" s="198">
        <f t="shared" ref="Z364:Z370" si="449">(H364*$Z$532)/($H$532-$H$396-$H$398-$H$399)</f>
        <v>29.22204076826274</v>
      </c>
      <c r="AA364" s="249">
        <f>U364+Z364</f>
        <v>435.26862337845165</v>
      </c>
      <c r="AC364" s="177"/>
    </row>
    <row r="365" spans="2:29">
      <c r="B365" s="189" t="s">
        <v>855</v>
      </c>
      <c r="C365" s="193">
        <v>1625087</v>
      </c>
      <c r="D365" s="191">
        <v>3</v>
      </c>
      <c r="E365" s="192">
        <v>120</v>
      </c>
      <c r="F365" s="193"/>
      <c r="G365" s="190">
        <v>30</v>
      </c>
      <c r="H365" s="191">
        <v>2211.5616596521404</v>
      </c>
      <c r="I365" s="191"/>
      <c r="J365" s="191">
        <v>1536.8402880822987</v>
      </c>
      <c r="K365" s="191"/>
      <c r="L365" s="191">
        <f t="shared" ref="L365:L370" si="450">D365+0.75</f>
        <v>3.75</v>
      </c>
      <c r="M365" s="191"/>
      <c r="N365" s="195">
        <f t="shared" ref="N365:N370" si="451">H365*D365/10</f>
        <v>663.46849789564214</v>
      </c>
      <c r="O365" s="196">
        <f t="shared" si="447"/>
        <v>18.442083456987582</v>
      </c>
      <c r="P365" s="332"/>
      <c r="Q365" s="196">
        <f t="shared" ref="Q365:Q370" si="452">G365*C365*12/10^7</f>
        <v>58.503132000000001</v>
      </c>
      <c r="R365" s="332"/>
      <c r="S365" s="196">
        <f t="shared" si="448"/>
        <v>740.41371335262977</v>
      </c>
      <c r="T365" s="332"/>
      <c r="U365" s="196">
        <f t="shared" ref="U365:U370" si="453">S365-T365</f>
        <v>740.41371335262977</v>
      </c>
      <c r="V365" s="332"/>
      <c r="W365" s="332"/>
      <c r="X365" s="332"/>
      <c r="Y365" s="332"/>
      <c r="Z365" s="198">
        <f t="shared" si="449"/>
        <v>34.892900524134333</v>
      </c>
      <c r="AA365" s="249">
        <f t="shared" ref="AA365:AA370" si="454">U365+Z365</f>
        <v>775.30661387676412</v>
      </c>
      <c r="AC365" s="177"/>
    </row>
    <row r="366" spans="2:29">
      <c r="B366" s="189" t="s">
        <v>906</v>
      </c>
      <c r="C366" s="193">
        <v>1495268</v>
      </c>
      <c r="D366" s="191">
        <v>4.5</v>
      </c>
      <c r="E366" s="192">
        <v>120</v>
      </c>
      <c r="F366" s="193"/>
      <c r="G366" s="190">
        <v>45</v>
      </c>
      <c r="H366" s="191">
        <v>1519.7813799798287</v>
      </c>
      <c r="I366" s="191"/>
      <c r="J366" s="191">
        <v>1736.547370251451</v>
      </c>
      <c r="K366" s="191"/>
      <c r="L366" s="191">
        <f t="shared" si="450"/>
        <v>5.25</v>
      </c>
      <c r="M366" s="191"/>
      <c r="N366" s="195">
        <f t="shared" si="451"/>
        <v>683.90162099092288</v>
      </c>
      <c r="O366" s="196">
        <f t="shared" si="447"/>
        <v>20.838568443017412</v>
      </c>
      <c r="P366" s="332"/>
      <c r="Q366" s="196">
        <f t="shared" si="452"/>
        <v>80.744472000000002</v>
      </c>
      <c r="R366" s="332"/>
      <c r="S366" s="196">
        <f t="shared" si="448"/>
        <v>785.48466143394023</v>
      </c>
      <c r="T366" s="332"/>
      <c r="U366" s="196">
        <f t="shared" si="453"/>
        <v>785.48466143394023</v>
      </c>
      <c r="V366" s="332"/>
      <c r="W366" s="332"/>
      <c r="X366" s="332"/>
      <c r="Y366" s="332"/>
      <c r="Z366" s="198">
        <f t="shared" si="449"/>
        <v>23.978341403517035</v>
      </c>
      <c r="AA366" s="249">
        <f t="shared" si="454"/>
        <v>809.46300283745722</v>
      </c>
      <c r="AC366" s="177"/>
    </row>
    <row r="367" spans="2:29">
      <c r="B367" s="189" t="s">
        <v>907</v>
      </c>
      <c r="C367" s="193">
        <v>1182739</v>
      </c>
      <c r="D367" s="191">
        <v>6</v>
      </c>
      <c r="E367" s="192">
        <v>120</v>
      </c>
      <c r="F367" s="193"/>
      <c r="G367" s="190">
        <v>50</v>
      </c>
      <c r="H367" s="191">
        <v>1256.3127458468207</v>
      </c>
      <c r="I367" s="191"/>
      <c r="J367" s="191">
        <v>1654.5936430762351</v>
      </c>
      <c r="K367" s="191"/>
      <c r="L367" s="191">
        <f t="shared" si="450"/>
        <v>6.75</v>
      </c>
      <c r="M367" s="191"/>
      <c r="N367" s="195">
        <f t="shared" si="451"/>
        <v>753.78764750809239</v>
      </c>
      <c r="O367" s="196">
        <f t="shared" si="447"/>
        <v>19.855123716914825</v>
      </c>
      <c r="P367" s="332"/>
      <c r="Q367" s="196">
        <f t="shared" si="452"/>
        <v>70.964340000000007</v>
      </c>
      <c r="R367" s="332"/>
      <c r="S367" s="196">
        <f t="shared" si="448"/>
        <v>844.6071112250072</v>
      </c>
      <c r="T367" s="332"/>
      <c r="U367" s="196">
        <f t="shared" si="453"/>
        <v>844.6071112250072</v>
      </c>
      <c r="V367" s="332"/>
      <c r="W367" s="332"/>
      <c r="X367" s="332"/>
      <c r="Y367" s="332"/>
      <c r="Z367" s="198">
        <f t="shared" si="449"/>
        <v>19.821466644041145</v>
      </c>
      <c r="AA367" s="249">
        <f t="shared" si="454"/>
        <v>864.42857786904835</v>
      </c>
      <c r="AC367" s="177"/>
    </row>
    <row r="368" spans="2:29">
      <c r="B368" s="189" t="s">
        <v>908</v>
      </c>
      <c r="C368" s="193">
        <v>367464</v>
      </c>
      <c r="D368" s="191">
        <v>8.75</v>
      </c>
      <c r="E368" s="192">
        <v>120</v>
      </c>
      <c r="F368" s="193"/>
      <c r="G368" s="190">
        <v>55</v>
      </c>
      <c r="H368" s="191">
        <v>525.8099915125199</v>
      </c>
      <c r="I368" s="191"/>
      <c r="J368" s="191">
        <v>547.14259058450421</v>
      </c>
      <c r="K368" s="191"/>
      <c r="L368" s="191">
        <f t="shared" si="450"/>
        <v>9.5</v>
      </c>
      <c r="M368" s="191"/>
      <c r="N368" s="195">
        <f t="shared" si="451"/>
        <v>460.08374257345497</v>
      </c>
      <c r="O368" s="196">
        <f t="shared" si="447"/>
        <v>6.5657110870140496</v>
      </c>
      <c r="P368" s="332"/>
      <c r="Q368" s="196">
        <f t="shared" si="452"/>
        <v>24.252624000000001</v>
      </c>
      <c r="R368" s="332"/>
      <c r="S368" s="196">
        <f t="shared" si="448"/>
        <v>490.90207766046905</v>
      </c>
      <c r="T368" s="332"/>
      <c r="U368" s="196">
        <f t="shared" si="453"/>
        <v>490.90207766046905</v>
      </c>
      <c r="V368" s="332"/>
      <c r="W368" s="332"/>
      <c r="X368" s="332"/>
      <c r="Y368" s="332"/>
      <c r="Z368" s="198">
        <f t="shared" si="449"/>
        <v>8.2959639168858192</v>
      </c>
      <c r="AA368" s="249">
        <f t="shared" si="454"/>
        <v>499.19804157735484</v>
      </c>
      <c r="AC368" s="177"/>
    </row>
    <row r="369" spans="2:27">
      <c r="B369" s="189" t="s">
        <v>909</v>
      </c>
      <c r="C369" s="193">
        <v>97301</v>
      </c>
      <c r="D369" s="191">
        <v>9.75</v>
      </c>
      <c r="E369" s="192">
        <v>120</v>
      </c>
      <c r="F369" s="193"/>
      <c r="G369" s="190">
        <v>55</v>
      </c>
      <c r="H369" s="191">
        <v>376.23819151698206</v>
      </c>
      <c r="I369" s="191"/>
      <c r="J369" s="191">
        <v>158.55606401535971</v>
      </c>
      <c r="K369" s="191"/>
      <c r="L369" s="191">
        <f t="shared" si="450"/>
        <v>10.5</v>
      </c>
      <c r="M369" s="191"/>
      <c r="N369" s="195">
        <f t="shared" si="451"/>
        <v>366.83223672905751</v>
      </c>
      <c r="O369" s="196">
        <f t="shared" si="447"/>
        <v>1.9026727681843165</v>
      </c>
      <c r="P369" s="332"/>
      <c r="Q369" s="196">
        <f t="shared" si="452"/>
        <v>6.4218659999999996</v>
      </c>
      <c r="R369" s="332"/>
      <c r="S369" s="196">
        <f t="shared" si="448"/>
        <v>375.15677549724182</v>
      </c>
      <c r="T369" s="332"/>
      <c r="U369" s="196">
        <f t="shared" si="453"/>
        <v>375.15677549724182</v>
      </c>
      <c r="V369" s="332"/>
      <c r="W369" s="332"/>
      <c r="X369" s="332"/>
      <c r="Y369" s="332"/>
      <c r="Z369" s="198">
        <f t="shared" si="449"/>
        <v>5.9360957596123205</v>
      </c>
      <c r="AA369" s="249">
        <f t="shared" si="454"/>
        <v>381.09287125685415</v>
      </c>
    </row>
    <row r="370" spans="2:27" ht="21">
      <c r="B370" s="189" t="s">
        <v>910</v>
      </c>
      <c r="C370" s="193"/>
      <c r="D370" s="191"/>
      <c r="E370" s="192"/>
      <c r="F370" s="193"/>
      <c r="G370" s="190"/>
      <c r="H370" s="191"/>
      <c r="I370" s="191"/>
      <c r="J370" s="191"/>
      <c r="K370" s="191"/>
      <c r="L370" s="191">
        <f t="shared" si="450"/>
        <v>0.75</v>
      </c>
      <c r="M370" s="191"/>
      <c r="N370" s="195">
        <f t="shared" si="451"/>
        <v>0</v>
      </c>
      <c r="O370" s="196">
        <f t="shared" si="447"/>
        <v>0</v>
      </c>
      <c r="P370" s="332"/>
      <c r="Q370" s="196">
        <f t="shared" si="452"/>
        <v>0</v>
      </c>
      <c r="R370" s="332"/>
      <c r="S370" s="196">
        <f t="shared" si="448"/>
        <v>0</v>
      </c>
      <c r="T370" s="332"/>
      <c r="U370" s="196">
        <f t="shared" si="453"/>
        <v>0</v>
      </c>
      <c r="V370" s="332"/>
      <c r="W370" s="332"/>
      <c r="X370" s="332"/>
      <c r="Y370" s="332"/>
      <c r="Z370" s="198">
        <f t="shared" si="449"/>
        <v>0</v>
      </c>
      <c r="AA370" s="249">
        <f t="shared" si="454"/>
        <v>0</v>
      </c>
    </row>
    <row r="371" spans="2:27" ht="17.25" customHeight="1">
      <c r="B371" s="204" t="s">
        <v>922</v>
      </c>
      <c r="C371" s="179">
        <f t="shared" ref="C371" si="455">C372+C380+C381+C382</f>
        <v>691476</v>
      </c>
      <c r="D371" s="181"/>
      <c r="E371" s="205"/>
      <c r="F371" s="181"/>
      <c r="G371" s="206"/>
      <c r="H371" s="181">
        <f t="shared" ref="H371:AA371" si="456">H372+H380+H381+H382</f>
        <v>1501.2622985285711</v>
      </c>
      <c r="I371" s="181">
        <f t="shared" si="456"/>
        <v>0</v>
      </c>
      <c r="J371" s="181">
        <f t="shared" ref="J371" si="457">J372+J380+J381+J382</f>
        <v>1608.8480620999994</v>
      </c>
      <c r="K371" s="181">
        <f t="shared" si="456"/>
        <v>0</v>
      </c>
      <c r="L371" s="181"/>
      <c r="M371" s="181"/>
      <c r="N371" s="181">
        <f t="shared" si="456"/>
        <v>1321.6940267716525</v>
      </c>
      <c r="O371" s="181">
        <f t="shared" si="456"/>
        <v>141.89421718769606</v>
      </c>
      <c r="P371" s="181">
        <f t="shared" si="456"/>
        <v>17.650973348977502</v>
      </c>
      <c r="Q371" s="181">
        <f t="shared" si="456"/>
        <v>29.527355999999997</v>
      </c>
      <c r="R371" s="181">
        <f t="shared" si="456"/>
        <v>0</v>
      </c>
      <c r="S371" s="181">
        <f t="shared" si="456"/>
        <v>1510.7665733083261</v>
      </c>
      <c r="T371" s="181">
        <f t="shared" si="456"/>
        <v>0</v>
      </c>
      <c r="U371" s="181">
        <f t="shared" si="456"/>
        <v>1510.7665733083261</v>
      </c>
      <c r="V371" s="181">
        <f t="shared" si="456"/>
        <v>0</v>
      </c>
      <c r="W371" s="181">
        <f t="shared" si="456"/>
        <v>0</v>
      </c>
      <c r="X371" s="181">
        <f t="shared" si="456"/>
        <v>0</v>
      </c>
      <c r="Y371" s="181">
        <f t="shared" si="456"/>
        <v>0</v>
      </c>
      <c r="Z371" s="181">
        <f t="shared" si="456"/>
        <v>23.686156709476574</v>
      </c>
      <c r="AA371" s="182">
        <f t="shared" si="456"/>
        <v>1534.4527300178022</v>
      </c>
    </row>
    <row r="372" spans="2:27" ht="17.25" customHeight="1">
      <c r="B372" s="183" t="s">
        <v>1109</v>
      </c>
      <c r="C372" s="184">
        <f t="shared" ref="C372" si="458">SUM(C373:C379)</f>
        <v>691411</v>
      </c>
      <c r="D372" s="186"/>
      <c r="E372" s="207"/>
      <c r="F372" s="186"/>
      <c r="G372" s="185"/>
      <c r="H372" s="186">
        <f t="shared" ref="H372:AA372" si="459">SUM(H373:H379)</f>
        <v>1500.8213758321074</v>
      </c>
      <c r="I372" s="186">
        <f t="shared" si="459"/>
        <v>0</v>
      </c>
      <c r="J372" s="186">
        <f t="shared" ref="J372" si="460">SUM(J373:J379)</f>
        <v>1607.7290744219467</v>
      </c>
      <c r="K372" s="186">
        <f t="shared" si="459"/>
        <v>0</v>
      </c>
      <c r="L372" s="186"/>
      <c r="M372" s="186"/>
      <c r="N372" s="186">
        <f t="shared" si="459"/>
        <v>1321.3986085650217</v>
      </c>
      <c r="O372" s="186">
        <f t="shared" si="459"/>
        <v>141.89421718769606</v>
      </c>
      <c r="P372" s="186">
        <f t="shared" si="459"/>
        <v>17.650973348977502</v>
      </c>
      <c r="Q372" s="186">
        <f t="shared" si="459"/>
        <v>29.506355999999997</v>
      </c>
      <c r="R372" s="186">
        <f t="shared" si="459"/>
        <v>0</v>
      </c>
      <c r="S372" s="186">
        <f t="shared" si="459"/>
        <v>1510.4501551016954</v>
      </c>
      <c r="T372" s="186">
        <f t="shared" si="459"/>
        <v>0</v>
      </c>
      <c r="U372" s="186">
        <f t="shared" si="459"/>
        <v>1510.4501551016954</v>
      </c>
      <c r="V372" s="186">
        <f t="shared" si="459"/>
        <v>0</v>
      </c>
      <c r="W372" s="186">
        <f t="shared" si="459"/>
        <v>0</v>
      </c>
      <c r="X372" s="186">
        <f t="shared" si="459"/>
        <v>0</v>
      </c>
      <c r="Y372" s="186">
        <f t="shared" si="459"/>
        <v>0</v>
      </c>
      <c r="Z372" s="186">
        <f t="shared" si="459"/>
        <v>23.679200054336803</v>
      </c>
      <c r="AA372" s="187">
        <f t="shared" si="459"/>
        <v>1534.1293551560318</v>
      </c>
    </row>
    <row r="373" spans="2:27">
      <c r="B373" s="189" t="s">
        <v>583</v>
      </c>
      <c r="C373" s="193">
        <v>397419</v>
      </c>
      <c r="D373" s="191">
        <v>5.4</v>
      </c>
      <c r="E373" s="192">
        <v>900</v>
      </c>
      <c r="F373" s="193"/>
      <c r="G373" s="190">
        <v>30</v>
      </c>
      <c r="H373" s="191">
        <v>267.58087694811366</v>
      </c>
      <c r="I373" s="191"/>
      <c r="J373" s="191">
        <v>520.12182715246581</v>
      </c>
      <c r="K373" s="191"/>
      <c r="L373" s="191">
        <f>D373+0.75</f>
        <v>6.15</v>
      </c>
      <c r="M373" s="191"/>
      <c r="N373" s="195">
        <f t="shared" ref="N373:N392" si="461">H373*D373/10</f>
        <v>144.49367355198137</v>
      </c>
      <c r="O373" s="196">
        <f t="shared" ref="O373:O382" si="462">IF(E373&gt;0,(J373*10^3*E373/10^7)+(K373*0.7457*E373/10^7),(K373*F373/10^7)+(J373*(10^3)*(1/0.7457)*F373/10^7))</f>
        <v>46.810964443721929</v>
      </c>
      <c r="P373" s="362">
        <f>'[4]FY25 Revenue @  CT'!$O16</f>
        <v>17.5384811175525</v>
      </c>
      <c r="Q373" s="196">
        <f>G373*C373*12/10^7</f>
        <v>14.307084</v>
      </c>
      <c r="R373" s="332"/>
      <c r="S373" s="196">
        <f t="shared" ref="S373:S382" si="463">N373+O373+P373+Q373+R373</f>
        <v>223.1502031132558</v>
      </c>
      <c r="T373" s="332"/>
      <c r="U373" s="196">
        <f t="shared" ref="U373:U382" si="464">S373-T373</f>
        <v>223.1502031132558</v>
      </c>
      <c r="V373" s="332"/>
      <c r="W373" s="332"/>
      <c r="X373" s="332"/>
      <c r="Y373" s="332"/>
      <c r="Z373" s="198">
        <f t="shared" ref="Z373:Z382" si="465">(H373*$Z$532)/($H$532-$H$396-$H$398-$H$399)</f>
        <v>4.2217556452754463</v>
      </c>
      <c r="AA373" s="249">
        <f t="shared" ref="AA373:AA382" si="466">U373+Z373</f>
        <v>227.37195875853124</v>
      </c>
    </row>
    <row r="374" spans="2:27">
      <c r="B374" s="189" t="s">
        <v>584</v>
      </c>
      <c r="C374" s="193">
        <v>115604</v>
      </c>
      <c r="D374" s="191">
        <v>7.65</v>
      </c>
      <c r="E374" s="192">
        <v>900</v>
      </c>
      <c r="F374" s="193"/>
      <c r="G374" s="190">
        <v>40</v>
      </c>
      <c r="H374" s="191">
        <v>155.47984880094026</v>
      </c>
      <c r="I374" s="191"/>
      <c r="J374" s="191">
        <v>164.97543480327818</v>
      </c>
      <c r="K374" s="191"/>
      <c r="L374" s="191">
        <f t="shared" ref="L374:L392" si="467">D374+0.75</f>
        <v>8.4</v>
      </c>
      <c r="M374" s="191"/>
      <c r="N374" s="195">
        <f t="shared" si="461"/>
        <v>118.9420843327193</v>
      </c>
      <c r="O374" s="196">
        <f t="shared" si="462"/>
        <v>14.847789132295036</v>
      </c>
      <c r="P374" s="362">
        <f>'[4]FY25 Revenue @  CT'!$O17</f>
        <v>0</v>
      </c>
      <c r="Q374" s="196">
        <f t="shared" ref="Q374:Q382" si="468">G374*C374*12/10^7</f>
        <v>5.5489920000000001</v>
      </c>
      <c r="R374" s="332"/>
      <c r="S374" s="196">
        <f t="shared" si="463"/>
        <v>139.33886546501435</v>
      </c>
      <c r="T374" s="332"/>
      <c r="U374" s="196">
        <f t="shared" si="464"/>
        <v>139.33886546501435</v>
      </c>
      <c r="V374" s="332"/>
      <c r="W374" s="332"/>
      <c r="X374" s="332"/>
      <c r="Y374" s="332"/>
      <c r="Z374" s="198">
        <f t="shared" si="465"/>
        <v>2.4530823610732986</v>
      </c>
      <c r="AA374" s="249">
        <f t="shared" si="466"/>
        <v>141.79194782608764</v>
      </c>
    </row>
    <row r="375" spans="2:27">
      <c r="B375" s="189" t="s">
        <v>585</v>
      </c>
      <c r="C375" s="193">
        <v>112530</v>
      </c>
      <c r="D375" s="191">
        <v>9.0500000000000007</v>
      </c>
      <c r="E375" s="192">
        <v>900</v>
      </c>
      <c r="F375" s="193"/>
      <c r="G375" s="190">
        <v>45</v>
      </c>
      <c r="H375" s="191">
        <v>288.95361908508096</v>
      </c>
      <c r="I375" s="191"/>
      <c r="J375" s="191">
        <v>250.11553701195282</v>
      </c>
      <c r="K375" s="191"/>
      <c r="L375" s="191">
        <f t="shared" si="467"/>
        <v>9.8000000000000007</v>
      </c>
      <c r="M375" s="191"/>
      <c r="N375" s="195">
        <f t="shared" si="461"/>
        <v>261.5030252719983</v>
      </c>
      <c r="O375" s="196">
        <f t="shared" si="462"/>
        <v>22.510398331075756</v>
      </c>
      <c r="P375" s="362">
        <f>'[4]FY25 Revenue @  CT'!$O18</f>
        <v>0</v>
      </c>
      <c r="Q375" s="196">
        <f t="shared" si="468"/>
        <v>6.0766200000000001</v>
      </c>
      <c r="R375" s="332"/>
      <c r="S375" s="196">
        <f t="shared" si="463"/>
        <v>290.09004360307404</v>
      </c>
      <c r="T375" s="332"/>
      <c r="U375" s="196">
        <f t="shared" si="464"/>
        <v>290.09004360307404</v>
      </c>
      <c r="V375" s="332"/>
      <c r="W375" s="332"/>
      <c r="X375" s="332"/>
      <c r="Y375" s="332"/>
      <c r="Z375" s="198">
        <f t="shared" si="465"/>
        <v>4.5589639532863915</v>
      </c>
      <c r="AA375" s="249">
        <f t="shared" si="466"/>
        <v>294.6490075563604</v>
      </c>
    </row>
    <row r="376" spans="2:27">
      <c r="B376" s="189" t="s">
        <v>586</v>
      </c>
      <c r="C376" s="193">
        <v>24303</v>
      </c>
      <c r="D376" s="191">
        <v>9.6</v>
      </c>
      <c r="E376" s="192">
        <v>900</v>
      </c>
      <c r="F376" s="193"/>
      <c r="G376" s="190">
        <v>45</v>
      </c>
      <c r="H376" s="191">
        <v>138.78868777366034</v>
      </c>
      <c r="I376" s="191"/>
      <c r="J376" s="191">
        <v>105.52978841098616</v>
      </c>
      <c r="K376" s="191"/>
      <c r="L376" s="191">
        <f t="shared" si="467"/>
        <v>10.35</v>
      </c>
      <c r="M376" s="191"/>
      <c r="N376" s="195">
        <f t="shared" si="461"/>
        <v>133.23714026271392</v>
      </c>
      <c r="O376" s="196">
        <f t="shared" si="462"/>
        <v>9.4976809569887557</v>
      </c>
      <c r="P376" s="362">
        <f>'[4]FY25 Revenue @  CT'!$O19</f>
        <v>0</v>
      </c>
      <c r="Q376" s="196">
        <f t="shared" si="468"/>
        <v>1.312362</v>
      </c>
      <c r="R376" s="332"/>
      <c r="S376" s="196">
        <f t="shared" si="463"/>
        <v>144.04718321970267</v>
      </c>
      <c r="T376" s="332"/>
      <c r="U376" s="196">
        <f t="shared" si="464"/>
        <v>144.04718321970267</v>
      </c>
      <c r="V376" s="332"/>
      <c r="W376" s="332"/>
      <c r="X376" s="332"/>
      <c r="Y376" s="332"/>
      <c r="Z376" s="198">
        <f t="shared" si="465"/>
        <v>2.1897376703135607</v>
      </c>
      <c r="AA376" s="249">
        <f t="shared" si="466"/>
        <v>146.23692089001622</v>
      </c>
    </row>
    <row r="377" spans="2:27">
      <c r="B377" s="189" t="s">
        <v>587</v>
      </c>
      <c r="C377" s="193">
        <v>38667</v>
      </c>
      <c r="D377" s="191">
        <v>10.15</v>
      </c>
      <c r="E377" s="192">
        <v>900</v>
      </c>
      <c r="F377" s="193"/>
      <c r="G377" s="190">
        <v>45</v>
      </c>
      <c r="H377" s="191">
        <v>633.57040621035162</v>
      </c>
      <c r="I377" s="191"/>
      <c r="J377" s="191">
        <v>532.35465425165012</v>
      </c>
      <c r="K377" s="191"/>
      <c r="L377" s="191">
        <f t="shared" si="467"/>
        <v>10.9</v>
      </c>
      <c r="M377" s="191"/>
      <c r="N377" s="195">
        <f t="shared" si="461"/>
        <v>643.07396230350696</v>
      </c>
      <c r="O377" s="196">
        <f t="shared" si="462"/>
        <v>47.911918882648507</v>
      </c>
      <c r="P377" s="362">
        <f>'[4]FY25 Revenue @  CT'!$O20</f>
        <v>0</v>
      </c>
      <c r="Q377" s="196">
        <f t="shared" si="468"/>
        <v>2.0880179999999999</v>
      </c>
      <c r="R377" s="332"/>
      <c r="S377" s="196">
        <f t="shared" si="463"/>
        <v>693.07389918615547</v>
      </c>
      <c r="T377" s="332"/>
      <c r="U377" s="196">
        <f t="shared" si="464"/>
        <v>693.07389918615547</v>
      </c>
      <c r="V377" s="332"/>
      <c r="W377" s="332"/>
      <c r="X377" s="332"/>
      <c r="Y377" s="332"/>
      <c r="Z377" s="198">
        <f t="shared" si="465"/>
        <v>9.9961531990070931</v>
      </c>
      <c r="AA377" s="249">
        <f t="shared" si="466"/>
        <v>703.07005238516251</v>
      </c>
    </row>
    <row r="378" spans="2:27">
      <c r="B378" s="183" t="s">
        <v>911</v>
      </c>
      <c r="C378" s="193">
        <v>1159</v>
      </c>
      <c r="D378" s="191">
        <v>12.25</v>
      </c>
      <c r="E378" s="192">
        <v>1200</v>
      </c>
      <c r="F378" s="193"/>
      <c r="G378" s="190">
        <v>50</v>
      </c>
      <c r="H378" s="191">
        <v>2.1883240440413858</v>
      </c>
      <c r="I378" s="191"/>
      <c r="J378" s="191">
        <v>2.6288786747170083</v>
      </c>
      <c r="K378" s="191"/>
      <c r="L378" s="191">
        <f t="shared" si="467"/>
        <v>13</v>
      </c>
      <c r="M378" s="191"/>
      <c r="N378" s="195">
        <f t="shared" si="461"/>
        <v>2.6806969539506977</v>
      </c>
      <c r="O378" s="196">
        <f t="shared" si="462"/>
        <v>0.31546544096604101</v>
      </c>
      <c r="P378" s="362">
        <f>'[4]FY25 Revenue @  CT'!$O21</f>
        <v>0.11249223142500002</v>
      </c>
      <c r="Q378" s="196">
        <f t="shared" si="468"/>
        <v>6.9540000000000005E-2</v>
      </c>
      <c r="R378" s="332"/>
      <c r="S378" s="196">
        <f t="shared" si="463"/>
        <v>3.1781946263417389</v>
      </c>
      <c r="T378" s="332"/>
      <c r="U378" s="196">
        <f t="shared" si="464"/>
        <v>3.1781946263417389</v>
      </c>
      <c r="V378" s="332"/>
      <c r="W378" s="332"/>
      <c r="X378" s="332"/>
      <c r="Y378" s="332"/>
      <c r="Z378" s="198">
        <f t="shared" si="465"/>
        <v>3.4526269186325891E-2</v>
      </c>
      <c r="AA378" s="249">
        <f t="shared" si="466"/>
        <v>3.2127208955280646</v>
      </c>
    </row>
    <row r="379" spans="2:27">
      <c r="B379" s="183" t="s">
        <v>925</v>
      </c>
      <c r="C379" s="193">
        <v>1729</v>
      </c>
      <c r="D379" s="191">
        <v>12.25</v>
      </c>
      <c r="E379" s="192">
        <v>0</v>
      </c>
      <c r="F379" s="193"/>
      <c r="G379" s="190">
        <v>50</v>
      </c>
      <c r="H379" s="191">
        <v>14.259612969919321</v>
      </c>
      <c r="I379" s="191"/>
      <c r="J379" s="191">
        <v>32.002954116896646</v>
      </c>
      <c r="K379" s="191"/>
      <c r="L379" s="191">
        <f t="shared" si="467"/>
        <v>13</v>
      </c>
      <c r="M379" s="191"/>
      <c r="N379" s="195">
        <f t="shared" si="461"/>
        <v>17.468025888151168</v>
      </c>
      <c r="O379" s="196">
        <f t="shared" si="462"/>
        <v>0</v>
      </c>
      <c r="P379" s="362">
        <f>'[4]FY25 Revenue @  CT'!$O22</f>
        <v>0</v>
      </c>
      <c r="Q379" s="196">
        <f t="shared" si="468"/>
        <v>0.10374</v>
      </c>
      <c r="R379" s="332"/>
      <c r="S379" s="196">
        <f t="shared" si="463"/>
        <v>17.571765888151166</v>
      </c>
      <c r="T379" s="332"/>
      <c r="U379" s="196">
        <f t="shared" si="464"/>
        <v>17.571765888151166</v>
      </c>
      <c r="V379" s="332"/>
      <c r="W379" s="332"/>
      <c r="X379" s="332"/>
      <c r="Y379" s="332"/>
      <c r="Z379" s="198">
        <f t="shared" si="465"/>
        <v>0.22498095619468841</v>
      </c>
      <c r="AA379" s="249">
        <f t="shared" si="466"/>
        <v>17.796746844345854</v>
      </c>
    </row>
    <row r="380" spans="2:27">
      <c r="B380" s="183" t="s">
        <v>723</v>
      </c>
      <c r="C380" s="193">
        <v>5</v>
      </c>
      <c r="D380" s="191">
        <v>12.25</v>
      </c>
      <c r="E380" s="192">
        <v>0</v>
      </c>
      <c r="F380" s="193"/>
      <c r="G380" s="190">
        <v>500</v>
      </c>
      <c r="H380" s="191">
        <v>0</v>
      </c>
      <c r="I380" s="191"/>
      <c r="J380" s="191">
        <v>7.608464056697543E-3</v>
      </c>
      <c r="K380" s="191"/>
      <c r="L380" s="191">
        <f t="shared" si="467"/>
        <v>13</v>
      </c>
      <c r="M380" s="191"/>
      <c r="N380" s="195">
        <f t="shared" si="461"/>
        <v>0</v>
      </c>
      <c r="O380" s="196">
        <f t="shared" si="462"/>
        <v>0</v>
      </c>
      <c r="P380" s="362">
        <f>'[4]FY25 Revenue @  CT'!$O23</f>
        <v>0</v>
      </c>
      <c r="Q380" s="196">
        <f t="shared" si="468"/>
        <v>3.0000000000000001E-3</v>
      </c>
      <c r="R380" s="332"/>
      <c r="S380" s="196">
        <f t="shared" si="463"/>
        <v>3.0000000000000001E-3</v>
      </c>
      <c r="T380" s="332"/>
      <c r="U380" s="196">
        <f t="shared" si="464"/>
        <v>3.0000000000000001E-3</v>
      </c>
      <c r="V380" s="332"/>
      <c r="W380" s="332"/>
      <c r="X380" s="332"/>
      <c r="Y380" s="332"/>
      <c r="Z380" s="198">
        <f t="shared" si="465"/>
        <v>0</v>
      </c>
      <c r="AA380" s="249">
        <f t="shared" si="466"/>
        <v>3.0000000000000001E-3</v>
      </c>
    </row>
    <row r="381" spans="2:27">
      <c r="B381" s="183" t="s">
        <v>724</v>
      </c>
      <c r="C381" s="193">
        <v>60</v>
      </c>
      <c r="D381" s="191">
        <v>6.7</v>
      </c>
      <c r="E381" s="192">
        <v>0</v>
      </c>
      <c r="F381" s="193"/>
      <c r="G381" s="190">
        <v>250</v>
      </c>
      <c r="H381" s="191">
        <v>0.44092269646373305</v>
      </c>
      <c r="I381" s="191"/>
      <c r="J381" s="191">
        <v>1.1113792139961767</v>
      </c>
      <c r="K381" s="191"/>
      <c r="L381" s="191">
        <f t="shared" si="467"/>
        <v>7.45</v>
      </c>
      <c r="M381" s="191"/>
      <c r="N381" s="195">
        <f t="shared" si="461"/>
        <v>0.29541820663070117</v>
      </c>
      <c r="O381" s="196">
        <f t="shared" si="462"/>
        <v>0</v>
      </c>
      <c r="P381" s="362">
        <f>'[4]FY25 Revenue @  CT'!$O24</f>
        <v>0</v>
      </c>
      <c r="Q381" s="196">
        <f t="shared" si="468"/>
        <v>1.7999999999999999E-2</v>
      </c>
      <c r="R381" s="332"/>
      <c r="S381" s="196">
        <f t="shared" si="463"/>
        <v>0.31341820663070119</v>
      </c>
      <c r="T381" s="332"/>
      <c r="U381" s="196">
        <f t="shared" si="464"/>
        <v>0.31341820663070119</v>
      </c>
      <c r="V381" s="332"/>
      <c r="W381" s="332"/>
      <c r="X381" s="332"/>
      <c r="Y381" s="332"/>
      <c r="Z381" s="198">
        <f t="shared" si="465"/>
        <v>6.9566551397721617E-3</v>
      </c>
      <c r="AA381" s="249">
        <f t="shared" si="466"/>
        <v>0.32037486177047336</v>
      </c>
    </row>
    <row r="382" spans="2:27">
      <c r="B382" s="183" t="s">
        <v>725</v>
      </c>
      <c r="C382" s="193">
        <v>0</v>
      </c>
      <c r="D382" s="191">
        <v>12.25</v>
      </c>
      <c r="E382" s="192">
        <v>0</v>
      </c>
      <c r="F382" s="193"/>
      <c r="G382" s="191"/>
      <c r="H382" s="191">
        <v>0</v>
      </c>
      <c r="I382" s="191"/>
      <c r="J382" s="191">
        <v>0</v>
      </c>
      <c r="K382" s="191"/>
      <c r="L382" s="191">
        <f t="shared" si="467"/>
        <v>13</v>
      </c>
      <c r="M382" s="191"/>
      <c r="N382" s="195">
        <f t="shared" si="461"/>
        <v>0</v>
      </c>
      <c r="O382" s="196">
        <f t="shared" si="462"/>
        <v>0</v>
      </c>
      <c r="P382" s="362">
        <f>'[4]FY25 Revenue @  CT'!$O25</f>
        <v>0</v>
      </c>
      <c r="Q382" s="196">
        <f t="shared" si="468"/>
        <v>0</v>
      </c>
      <c r="R382" s="332"/>
      <c r="S382" s="196">
        <f t="shared" si="463"/>
        <v>0</v>
      </c>
      <c r="T382" s="332"/>
      <c r="U382" s="196">
        <f t="shared" si="464"/>
        <v>0</v>
      </c>
      <c r="V382" s="332"/>
      <c r="W382" s="332"/>
      <c r="X382" s="332"/>
      <c r="Y382" s="332"/>
      <c r="Z382" s="198">
        <f t="shared" si="465"/>
        <v>0</v>
      </c>
      <c r="AA382" s="249">
        <f t="shared" si="466"/>
        <v>0</v>
      </c>
    </row>
    <row r="383" spans="2:27">
      <c r="B383" s="204" t="s">
        <v>926</v>
      </c>
      <c r="C383" s="179">
        <f t="shared" ref="C383" si="469">C384+C385+C386</f>
        <v>21478</v>
      </c>
      <c r="D383" s="181"/>
      <c r="E383" s="211"/>
      <c r="F383" s="179"/>
      <c r="G383" s="212"/>
      <c r="H383" s="181">
        <f t="shared" ref="H383:I383" si="470">H384+H385+H386</f>
        <v>494.59026689035625</v>
      </c>
      <c r="I383" s="181">
        <f t="shared" si="470"/>
        <v>0</v>
      </c>
      <c r="J383" s="181">
        <f t="shared" ref="J383" si="471">J384+J385+J386</f>
        <v>515.7144211240003</v>
      </c>
      <c r="K383" s="181">
        <f>K384+K385+K386</f>
        <v>0</v>
      </c>
      <c r="L383" s="181"/>
      <c r="M383" s="181"/>
      <c r="N383" s="181">
        <f t="shared" ref="N383:P383" si="472">N384+N385+N386</f>
        <v>330.54469243171445</v>
      </c>
      <c r="O383" s="181">
        <f t="shared" si="472"/>
        <v>46.169145687730946</v>
      </c>
      <c r="P383" s="181">
        <f t="shared" si="472"/>
        <v>0</v>
      </c>
      <c r="Q383" s="181">
        <f>Q384+Q385+Q386</f>
        <v>22.352083199999999</v>
      </c>
      <c r="R383" s="181">
        <f t="shared" ref="R383:AA383" si="473">R384+R385+R386</f>
        <v>0</v>
      </c>
      <c r="S383" s="181">
        <f t="shared" si="473"/>
        <v>399.06592131944541</v>
      </c>
      <c r="T383" s="181">
        <f t="shared" si="473"/>
        <v>0</v>
      </c>
      <c r="U383" s="181">
        <f t="shared" si="473"/>
        <v>399.06592131944541</v>
      </c>
      <c r="V383" s="181">
        <f t="shared" si="473"/>
        <v>0</v>
      </c>
      <c r="W383" s="181">
        <f t="shared" si="473"/>
        <v>0</v>
      </c>
      <c r="X383" s="181">
        <f t="shared" si="473"/>
        <v>0</v>
      </c>
      <c r="Y383" s="181">
        <f t="shared" si="473"/>
        <v>0</v>
      </c>
      <c r="Z383" s="181">
        <f t="shared" si="473"/>
        <v>7.8033949030951906</v>
      </c>
      <c r="AA383" s="182">
        <f t="shared" si="473"/>
        <v>406.86931622254059</v>
      </c>
    </row>
    <row r="384" spans="2:27">
      <c r="B384" s="189" t="s">
        <v>927</v>
      </c>
      <c r="C384" s="193">
        <v>19740</v>
      </c>
      <c r="D384" s="191">
        <v>6.7</v>
      </c>
      <c r="E384" s="192">
        <v>900</v>
      </c>
      <c r="F384" s="193"/>
      <c r="G384" s="190">
        <v>938</v>
      </c>
      <c r="H384" s="191">
        <v>489.61006741973534</v>
      </c>
      <c r="I384" s="191"/>
      <c r="J384" s="191">
        <v>511.74743278887667</v>
      </c>
      <c r="K384" s="191"/>
      <c r="L384" s="191">
        <f t="shared" si="467"/>
        <v>7.45</v>
      </c>
      <c r="M384" s="191"/>
      <c r="N384" s="195">
        <f t="shared" si="461"/>
        <v>328.03874517122267</v>
      </c>
      <c r="O384" s="196">
        <f>IF(E384&gt;0,(J384*10^3*E384/10^7)+(K384*0.7457*E384/10^7),(K384*F384/10^7)+(J384*(10^3)*(1/0.7457)*F384/10^7))</f>
        <v>46.057268950998896</v>
      </c>
      <c r="P384" s="332"/>
      <c r="Q384" s="196">
        <f t="shared" ref="Q384:Q386" si="474">G384*C384*12/10^7</f>
        <v>22.219344</v>
      </c>
      <c r="R384" s="332"/>
      <c r="S384" s="196">
        <f>N384+O384+P384+Q384+R384</f>
        <v>396.31535812222154</v>
      </c>
      <c r="T384" s="332"/>
      <c r="U384" s="196">
        <f t="shared" ref="U384:U386" si="475">S384-T384</f>
        <v>396.31535812222154</v>
      </c>
      <c r="V384" s="332"/>
      <c r="W384" s="332"/>
      <c r="X384" s="332"/>
      <c r="Y384" s="332"/>
      <c r="Z384" s="198">
        <f>(H384*$Z$532)/($H$532-$H$396-$H$398-$H$399)</f>
        <v>7.7248198364854472</v>
      </c>
      <c r="AA384" s="249">
        <f t="shared" ref="AA384:AA386" si="476">U384+Z384</f>
        <v>404.04017795870698</v>
      </c>
    </row>
    <row r="385" spans="2:27">
      <c r="B385" s="189" t="s">
        <v>726</v>
      </c>
      <c r="C385" s="193">
        <v>6</v>
      </c>
      <c r="D385" s="191">
        <v>7.45</v>
      </c>
      <c r="E385" s="192">
        <v>900</v>
      </c>
      <c r="F385" s="193"/>
      <c r="G385" s="190">
        <v>250</v>
      </c>
      <c r="H385" s="191">
        <v>1.7253309702945121</v>
      </c>
      <c r="I385" s="191"/>
      <c r="J385" s="191">
        <v>0.25256085892547075</v>
      </c>
      <c r="K385" s="191"/>
      <c r="L385" s="191">
        <f t="shared" si="467"/>
        <v>8.1999999999999993</v>
      </c>
      <c r="M385" s="191"/>
      <c r="N385" s="195">
        <f t="shared" si="461"/>
        <v>1.2853715728694115</v>
      </c>
      <c r="O385" s="196">
        <f>IF(E385&gt;0,(J385*10^3*E385/10^7)+(K385*0.7457*E385/10^7),(K385*F385/10^7)+(J385*(10^3)*(1/0.7457)*F385/10^7))</f>
        <v>2.2730477303292369E-2</v>
      </c>
      <c r="P385" s="332"/>
      <c r="Q385" s="196">
        <f t="shared" si="474"/>
        <v>1.8E-3</v>
      </c>
      <c r="R385" s="332"/>
      <c r="S385" s="196">
        <f>N385+O385+P385+Q385+R385</f>
        <v>1.3099020501727039</v>
      </c>
      <c r="T385" s="332"/>
      <c r="U385" s="196">
        <f t="shared" si="475"/>
        <v>1.3099020501727039</v>
      </c>
      <c r="V385" s="332"/>
      <c r="W385" s="332"/>
      <c r="X385" s="332"/>
      <c r="Y385" s="332"/>
      <c r="Z385" s="198">
        <f>(H385*$Z$532)/($H$532-$H$396-$H$398-$H$399)</f>
        <v>2.7221398804301845E-2</v>
      </c>
      <c r="AA385" s="249">
        <f t="shared" si="476"/>
        <v>1.3371234489770056</v>
      </c>
    </row>
    <row r="386" spans="2:27">
      <c r="B386" s="189" t="s">
        <v>928</v>
      </c>
      <c r="C386" s="193">
        <v>1732</v>
      </c>
      <c r="D386" s="191">
        <v>3.75</v>
      </c>
      <c r="E386" s="192">
        <v>240</v>
      </c>
      <c r="F386" s="193"/>
      <c r="G386" s="190">
        <v>63</v>
      </c>
      <c r="H386" s="191">
        <v>3.2548685003263809</v>
      </c>
      <c r="I386" s="191"/>
      <c r="J386" s="191">
        <v>3.7144274761981491</v>
      </c>
      <c r="K386" s="191"/>
      <c r="L386" s="191">
        <f t="shared" si="467"/>
        <v>4.5</v>
      </c>
      <c r="M386" s="191"/>
      <c r="N386" s="195">
        <f t="shared" si="461"/>
        <v>1.2205756876223928</v>
      </c>
      <c r="O386" s="196">
        <f>IF(E386&gt;0,(J386*10^3*E386/10^7)+(K386*0.7457*E386/10^7),(K386*F386/10^7)+(J386*(10^3)*(1/0.7457)*F386/10^7))</f>
        <v>8.9146259428755578E-2</v>
      </c>
      <c r="P386" s="332"/>
      <c r="Q386" s="196">
        <f t="shared" si="474"/>
        <v>0.13093920000000001</v>
      </c>
      <c r="R386" s="332"/>
      <c r="S386" s="196">
        <f>N386+O386+P386+Q386+R386</f>
        <v>1.4406611470511483</v>
      </c>
      <c r="T386" s="332"/>
      <c r="U386" s="196">
        <f t="shared" si="475"/>
        <v>1.4406611470511483</v>
      </c>
      <c r="V386" s="332"/>
      <c r="W386" s="332"/>
      <c r="X386" s="332"/>
      <c r="Y386" s="332"/>
      <c r="Z386" s="198">
        <f>(H386*$Z$532)/($H$532-$H$396-$H$398-$H$399)</f>
        <v>5.1353667805441414E-2</v>
      </c>
      <c r="AA386" s="249">
        <f t="shared" si="476"/>
        <v>1.4920148148565897</v>
      </c>
    </row>
    <row r="387" spans="2:27">
      <c r="B387" s="204" t="s">
        <v>727</v>
      </c>
      <c r="C387" s="179">
        <f t="shared" ref="C387" si="477">C388+C389+C390</f>
        <v>140053</v>
      </c>
      <c r="D387" s="181"/>
      <c r="E387" s="211"/>
      <c r="F387" s="179"/>
      <c r="G387" s="212"/>
      <c r="H387" s="181">
        <f t="shared" ref="H387:AA387" si="478">H388+H389+H390</f>
        <v>508.31710102460232</v>
      </c>
      <c r="I387" s="181">
        <f t="shared" si="478"/>
        <v>0</v>
      </c>
      <c r="J387" s="181">
        <f t="shared" ref="J387" si="479">J388+J389+J390</f>
        <v>317.6984270765999</v>
      </c>
      <c r="K387" s="181">
        <f t="shared" si="478"/>
        <v>0</v>
      </c>
      <c r="L387" s="181"/>
      <c r="M387" s="181"/>
      <c r="N387" s="181">
        <f t="shared" si="478"/>
        <v>342.33565173854515</v>
      </c>
      <c r="O387" s="181">
        <f t="shared" si="478"/>
        <v>27.460314395693988</v>
      </c>
      <c r="P387" s="181">
        <f t="shared" si="478"/>
        <v>0</v>
      </c>
      <c r="Q387" s="181">
        <f t="shared" si="478"/>
        <v>6.5019479999999996</v>
      </c>
      <c r="R387" s="181">
        <f t="shared" si="478"/>
        <v>0</v>
      </c>
      <c r="S387" s="181">
        <f t="shared" si="478"/>
        <v>376.29791413423914</v>
      </c>
      <c r="T387" s="181">
        <f t="shared" si="478"/>
        <v>0</v>
      </c>
      <c r="U387" s="181">
        <f t="shared" si="478"/>
        <v>376.29791413423914</v>
      </c>
      <c r="V387" s="181">
        <f t="shared" si="478"/>
        <v>0</v>
      </c>
      <c r="W387" s="181">
        <f t="shared" si="478"/>
        <v>0</v>
      </c>
      <c r="X387" s="181">
        <f t="shared" si="478"/>
        <v>0</v>
      </c>
      <c r="Y387" s="181">
        <f t="shared" si="478"/>
        <v>0</v>
      </c>
      <c r="Z387" s="181">
        <f t="shared" si="478"/>
        <v>8.0199699444769781</v>
      </c>
      <c r="AA387" s="182">
        <f t="shared" si="478"/>
        <v>384.31788407871613</v>
      </c>
    </row>
    <row r="388" spans="2:27" ht="21">
      <c r="B388" s="183" t="s">
        <v>728</v>
      </c>
      <c r="C388" s="193">
        <v>59254</v>
      </c>
      <c r="D388" s="191">
        <v>7</v>
      </c>
      <c r="E388" s="192">
        <v>900</v>
      </c>
      <c r="F388" s="193"/>
      <c r="G388" s="190">
        <v>35</v>
      </c>
      <c r="H388" s="191">
        <v>334.92975271557589</v>
      </c>
      <c r="I388" s="191"/>
      <c r="J388" s="191">
        <v>152.0815677766</v>
      </c>
      <c r="K388" s="191"/>
      <c r="L388" s="191">
        <f t="shared" si="467"/>
        <v>7.75</v>
      </c>
      <c r="M388" s="191"/>
      <c r="N388" s="195">
        <f t="shared" si="461"/>
        <v>234.45082690090311</v>
      </c>
      <c r="O388" s="196">
        <f>IF(E388&gt;0,(J388*10^3*E388/10^7)+(K388*0.7457*E388/10^7),(K388*F388/10^7)+(J388*(10^3)*(1/0.7457)*F388/10^7))</f>
        <v>13.687341099893999</v>
      </c>
      <c r="P388" s="332"/>
      <c r="Q388" s="196">
        <f t="shared" ref="Q388:Q389" si="480">G388*C388*12/10^7</f>
        <v>2.4886680000000001</v>
      </c>
      <c r="R388" s="332"/>
      <c r="S388" s="196">
        <f>N388+O388+P388+Q388+R388</f>
        <v>250.62683600079711</v>
      </c>
      <c r="T388" s="332"/>
      <c r="U388" s="196">
        <f t="shared" ref="U388:U389" si="481">S388-T388</f>
        <v>250.62683600079711</v>
      </c>
      <c r="V388" s="332"/>
      <c r="W388" s="332"/>
      <c r="X388" s="332"/>
      <c r="Y388" s="332"/>
      <c r="Z388" s="198">
        <f>(H388*$Z$532)/($H$532-$H$396-$H$398-$H$399)</f>
        <v>5.2843521197214613</v>
      </c>
      <c r="AA388" s="249">
        <f t="shared" ref="AA388:AA389" si="482">U388+Z388</f>
        <v>255.91118812051857</v>
      </c>
    </row>
    <row r="389" spans="2:27">
      <c r="B389" s="183" t="s">
        <v>729</v>
      </c>
      <c r="C389" s="193">
        <v>61362</v>
      </c>
      <c r="D389" s="191">
        <v>7</v>
      </c>
      <c r="E389" s="192">
        <v>900</v>
      </c>
      <c r="F389" s="193"/>
      <c r="G389" s="190">
        <v>45</v>
      </c>
      <c r="H389" s="191">
        <v>128.85492251852787</v>
      </c>
      <c r="I389" s="191"/>
      <c r="J389" s="191">
        <v>144.64382149999994</v>
      </c>
      <c r="K389" s="191"/>
      <c r="L389" s="191">
        <f t="shared" si="467"/>
        <v>7.75</v>
      </c>
      <c r="M389" s="191"/>
      <c r="N389" s="195">
        <f t="shared" si="461"/>
        <v>90.198445762969499</v>
      </c>
      <c r="O389" s="196">
        <f>IF(E389&gt;0,(J389*10^3*E389/10^7)+(K389*0.7457*E389/10^7),(K389*F389/10^7)+(J389*(10^3)*(1/0.7457)*F389/10^7))</f>
        <v>13.017943934999993</v>
      </c>
      <c r="P389" s="332"/>
      <c r="Q389" s="196">
        <f t="shared" si="480"/>
        <v>3.3135479999999999</v>
      </c>
      <c r="R389" s="332"/>
      <c r="S389" s="196">
        <f>N389+O389+P389+Q389+R389</f>
        <v>106.52993769796949</v>
      </c>
      <c r="T389" s="332"/>
      <c r="U389" s="196">
        <f t="shared" si="481"/>
        <v>106.52993769796949</v>
      </c>
      <c r="V389" s="332"/>
      <c r="W389" s="332"/>
      <c r="X389" s="332"/>
      <c r="Y389" s="332"/>
      <c r="Z389" s="198">
        <f>(H389*$Z$532)/($H$532-$H$396-$H$398-$H$399)</f>
        <v>2.0330077499133492</v>
      </c>
      <c r="AA389" s="249">
        <f t="shared" si="482"/>
        <v>108.56294544788284</v>
      </c>
    </row>
    <row r="390" spans="2:27">
      <c r="B390" s="183" t="s">
        <v>730</v>
      </c>
      <c r="C390" s="184">
        <f t="shared" ref="C390" si="483">C391+C392</f>
        <v>19437</v>
      </c>
      <c r="D390" s="186"/>
      <c r="E390" s="207"/>
      <c r="F390" s="186"/>
      <c r="G390" s="185"/>
      <c r="H390" s="186">
        <f t="shared" ref="H390:AA390" si="484">H391+H392</f>
        <v>44.532425790498571</v>
      </c>
      <c r="I390" s="186">
        <f t="shared" si="484"/>
        <v>0</v>
      </c>
      <c r="J390" s="186">
        <f t="shared" ref="J390" si="485">J391+J392</f>
        <v>20.973037799999993</v>
      </c>
      <c r="K390" s="186">
        <f t="shared" si="484"/>
        <v>0</v>
      </c>
      <c r="L390" s="186"/>
      <c r="M390" s="186"/>
      <c r="N390" s="186">
        <f t="shared" si="484"/>
        <v>17.686379074672566</v>
      </c>
      <c r="O390" s="186">
        <f t="shared" si="484"/>
        <v>0.75502936079999972</v>
      </c>
      <c r="P390" s="186">
        <f t="shared" si="484"/>
        <v>0</v>
      </c>
      <c r="Q390" s="186">
        <f t="shared" si="484"/>
        <v>0.69973200000000002</v>
      </c>
      <c r="R390" s="186">
        <f t="shared" si="484"/>
        <v>0</v>
      </c>
      <c r="S390" s="186">
        <f t="shared" si="484"/>
        <v>19.141140435472565</v>
      </c>
      <c r="T390" s="186">
        <f t="shared" si="484"/>
        <v>0</v>
      </c>
      <c r="U390" s="186">
        <f t="shared" si="484"/>
        <v>19.141140435472565</v>
      </c>
      <c r="V390" s="186">
        <f t="shared" si="484"/>
        <v>0</v>
      </c>
      <c r="W390" s="186">
        <f t="shared" si="484"/>
        <v>0</v>
      </c>
      <c r="X390" s="186">
        <f t="shared" si="484"/>
        <v>0</v>
      </c>
      <c r="Y390" s="186">
        <f t="shared" si="484"/>
        <v>0</v>
      </c>
      <c r="Z390" s="186">
        <f t="shared" si="484"/>
        <v>0.70261007484216853</v>
      </c>
      <c r="AA390" s="187">
        <f t="shared" si="484"/>
        <v>19.843750510314731</v>
      </c>
    </row>
    <row r="391" spans="2:27">
      <c r="B391" s="140" t="s">
        <v>689</v>
      </c>
      <c r="C391" s="193">
        <v>18709</v>
      </c>
      <c r="D391" s="191">
        <v>3.85</v>
      </c>
      <c r="E391" s="192">
        <v>360</v>
      </c>
      <c r="F391" s="193"/>
      <c r="G391" s="190">
        <v>30</v>
      </c>
      <c r="H391" s="191">
        <v>39.824641918058447</v>
      </c>
      <c r="I391" s="191"/>
      <c r="J391" s="191">
        <v>14.163493799999991</v>
      </c>
      <c r="K391" s="191"/>
      <c r="L391" s="191">
        <f t="shared" si="467"/>
        <v>4.5999999999999996</v>
      </c>
      <c r="M391" s="191"/>
      <c r="N391" s="195">
        <f t="shared" si="461"/>
        <v>15.332487138452501</v>
      </c>
      <c r="O391" s="196">
        <f>IF(E391&gt;0,(J391*10^3*E391/10^7)+(K391*0.7457*E391/10^7),(K391*F391/10^7)+(J391*(10^3)*(1/0.7457)*F391/10^7))</f>
        <v>0.50988577679999969</v>
      </c>
      <c r="P391" s="332"/>
      <c r="Q391" s="196">
        <f t="shared" ref="Q391:Q392" si="486">G391*C391*12/10^7</f>
        <v>0.67352400000000001</v>
      </c>
      <c r="R391" s="332"/>
      <c r="S391" s="196">
        <f>N391+O391+P391+Q391+R391</f>
        <v>16.515896915252501</v>
      </c>
      <c r="T391" s="332"/>
      <c r="U391" s="196">
        <f t="shared" ref="U391:U392" si="487">S391-T391</f>
        <v>16.515896915252501</v>
      </c>
      <c r="V391" s="332"/>
      <c r="W391" s="332"/>
      <c r="X391" s="332"/>
      <c r="Y391" s="332"/>
      <c r="Z391" s="198">
        <f>(H391*$Z$532)/($H$532-$H$396-$H$398-$H$399)</f>
        <v>0.62833304366230303</v>
      </c>
      <c r="AA391" s="249">
        <f t="shared" ref="AA391:AA392" si="488">U391+Z391</f>
        <v>17.144229958914803</v>
      </c>
    </row>
    <row r="392" spans="2:27">
      <c r="B392" s="140" t="s">
        <v>690</v>
      </c>
      <c r="C392" s="193">
        <v>728</v>
      </c>
      <c r="D392" s="191">
        <v>5</v>
      </c>
      <c r="E392" s="192">
        <v>360</v>
      </c>
      <c r="F392" s="193"/>
      <c r="G392" s="190">
        <v>30</v>
      </c>
      <c r="H392" s="191">
        <v>4.7077838724401255</v>
      </c>
      <c r="I392" s="191"/>
      <c r="J392" s="191">
        <v>6.8095440000000007</v>
      </c>
      <c r="K392" s="191"/>
      <c r="L392" s="191">
        <f t="shared" si="467"/>
        <v>5.75</v>
      </c>
      <c r="M392" s="191"/>
      <c r="N392" s="195">
        <f t="shared" si="461"/>
        <v>2.3538919362200628</v>
      </c>
      <c r="O392" s="196">
        <f>IF(E392&gt;0,(J392*10^3*E392/10^7)+(K392*0.7457*E392/10^7),(K392*F392/10^7)+(J392*(10^3)*(1/0.7457)*F392/10^7))</f>
        <v>0.24514358400000003</v>
      </c>
      <c r="P392" s="332"/>
      <c r="Q392" s="196">
        <f t="shared" si="486"/>
        <v>2.6207999999999999E-2</v>
      </c>
      <c r="R392" s="332"/>
      <c r="S392" s="196">
        <f>N392+O392+P392+Q392+R392</f>
        <v>2.6252435202200628</v>
      </c>
      <c r="T392" s="332"/>
      <c r="U392" s="196">
        <f t="shared" si="487"/>
        <v>2.6252435202200628</v>
      </c>
      <c r="V392" s="332"/>
      <c r="W392" s="332"/>
      <c r="X392" s="332"/>
      <c r="Y392" s="332"/>
      <c r="Z392" s="198">
        <f>(H392*$Z$532)/($H$532-$H$396-$H$398-$H$399)</f>
        <v>7.4277031179865546E-2</v>
      </c>
      <c r="AA392" s="249">
        <f t="shared" si="488"/>
        <v>2.6995205513999285</v>
      </c>
    </row>
    <row r="393" spans="2:27">
      <c r="B393" s="204" t="s">
        <v>731</v>
      </c>
      <c r="C393" s="179">
        <f t="shared" ref="C393" si="489">C394+C401</f>
        <v>338076</v>
      </c>
      <c r="D393" s="214"/>
      <c r="E393" s="205"/>
      <c r="F393" s="214"/>
      <c r="G393" s="180"/>
      <c r="H393" s="181">
        <f t="shared" ref="H393:AA393" si="490">H394+H401</f>
        <v>4767.5518640044138</v>
      </c>
      <c r="I393" s="181">
        <f t="shared" si="490"/>
        <v>0</v>
      </c>
      <c r="J393" s="181">
        <f t="shared" ref="J393" si="491">J394+J401</f>
        <v>1451.1179342000003</v>
      </c>
      <c r="K393" s="181">
        <f t="shared" si="490"/>
        <v>2416521.9335961598</v>
      </c>
      <c r="L393" s="181"/>
      <c r="M393" s="181"/>
      <c r="N393" s="181">
        <f t="shared" si="490"/>
        <v>899.42867628709769</v>
      </c>
      <c r="O393" s="181">
        <f t="shared" si="490"/>
        <v>52.234337891999999</v>
      </c>
      <c r="P393" s="181">
        <f t="shared" si="490"/>
        <v>0</v>
      </c>
      <c r="Q393" s="181">
        <f t="shared" si="490"/>
        <v>12.170736</v>
      </c>
      <c r="R393" s="181">
        <f t="shared" si="490"/>
        <v>0</v>
      </c>
      <c r="S393" s="181">
        <f t="shared" si="490"/>
        <v>963.83375017909759</v>
      </c>
      <c r="T393" s="181">
        <f t="shared" si="490"/>
        <v>0</v>
      </c>
      <c r="U393" s="181">
        <f t="shared" si="490"/>
        <v>963.83375017909759</v>
      </c>
      <c r="V393" s="181">
        <f t="shared" si="490"/>
        <v>0</v>
      </c>
      <c r="W393" s="181">
        <f t="shared" si="490"/>
        <v>0</v>
      </c>
      <c r="X393" s="181">
        <f t="shared" si="490"/>
        <v>0</v>
      </c>
      <c r="Y393" s="181">
        <f t="shared" si="490"/>
        <v>0</v>
      </c>
      <c r="Z393" s="181">
        <f t="shared" si="490"/>
        <v>36.878809475186038</v>
      </c>
      <c r="AA393" s="182">
        <f t="shared" si="490"/>
        <v>1000.7125596542836</v>
      </c>
    </row>
    <row r="394" spans="2:27">
      <c r="B394" s="215" t="s">
        <v>732</v>
      </c>
      <c r="C394" s="216">
        <f>SUM(C395:C400)</f>
        <v>302998</v>
      </c>
      <c r="D394" s="217"/>
      <c r="E394" s="207"/>
      <c r="F394" s="217"/>
      <c r="G394" s="218"/>
      <c r="H394" s="217">
        <f>SUM(H395:H400)</f>
        <v>2439.7172029880398</v>
      </c>
      <c r="I394" s="217">
        <f t="shared" ref="I394" si="492">SUM(I395:I400)</f>
        <v>0</v>
      </c>
      <c r="J394" s="217">
        <f>SUM(J395:J400)</f>
        <v>2.3795200000000002E-2</v>
      </c>
      <c r="K394" s="217">
        <f t="shared" ref="K394:AA394" si="493">SUM(K395:K400)</f>
        <v>2416521.9335961598</v>
      </c>
      <c r="L394" s="217"/>
      <c r="M394" s="217"/>
      <c r="N394" s="217">
        <f t="shared" si="493"/>
        <v>3.2281523332170172</v>
      </c>
      <c r="O394" s="217">
        <f t="shared" si="493"/>
        <v>2.1415679999999999E-3</v>
      </c>
      <c r="P394" s="217">
        <f t="shared" si="493"/>
        <v>0</v>
      </c>
      <c r="Q394" s="217">
        <f t="shared" si="493"/>
        <v>10.907928</v>
      </c>
      <c r="R394" s="217">
        <f t="shared" si="493"/>
        <v>0</v>
      </c>
      <c r="S394" s="217">
        <f t="shared" si="493"/>
        <v>14.138221901217017</v>
      </c>
      <c r="T394" s="217">
        <f t="shared" si="493"/>
        <v>0</v>
      </c>
      <c r="U394" s="217">
        <f t="shared" si="493"/>
        <v>14.138221901217017</v>
      </c>
      <c r="V394" s="217">
        <f t="shared" si="493"/>
        <v>0</v>
      </c>
      <c r="W394" s="217">
        <f t="shared" si="493"/>
        <v>0</v>
      </c>
      <c r="X394" s="217">
        <f t="shared" si="493"/>
        <v>0</v>
      </c>
      <c r="Y394" s="217">
        <f t="shared" si="493"/>
        <v>0</v>
      </c>
      <c r="Z394" s="217">
        <f t="shared" si="493"/>
        <v>0.15141238499942611</v>
      </c>
      <c r="AA394" s="219">
        <f t="shared" si="493"/>
        <v>14.289634286216444</v>
      </c>
    </row>
    <row r="395" spans="2:27">
      <c r="B395" s="189" t="s">
        <v>912</v>
      </c>
      <c r="C395" s="193">
        <v>3297</v>
      </c>
      <c r="D395" s="191">
        <v>3.5</v>
      </c>
      <c r="E395" s="192"/>
      <c r="F395" s="190"/>
      <c r="G395" s="190">
        <v>30</v>
      </c>
      <c r="H395" s="191">
        <v>8.1823920244950497</v>
      </c>
      <c r="I395" s="191"/>
      <c r="J395" s="191"/>
      <c r="K395" s="191">
        <f>'[4]FY25 Sales @ CT'!$G38</f>
        <v>17112.977856000001</v>
      </c>
      <c r="L395" s="191">
        <f t="shared" ref="L395:L400" si="494">D395+0.75</f>
        <v>4.25</v>
      </c>
      <c r="M395" s="191"/>
      <c r="N395" s="195">
        <f t="shared" ref="N395:N400" si="495">H395*D395/10</f>
        <v>2.8638372085732673</v>
      </c>
      <c r="O395" s="196">
        <f t="shared" ref="O395:O400" si="496">IF(E395&gt;0,(J395*10^3*E395/10^7)+(K395*0.7457*E395/10^7),(K395*F395/10^7)+(J395*(10^3)*(1/0.7457)*F395/10^7))</f>
        <v>0</v>
      </c>
      <c r="P395" s="332"/>
      <c r="Q395" s="196">
        <f t="shared" ref="Q395:Q400" si="497">G395*C395*12/10^7</f>
        <v>0.11869200000000001</v>
      </c>
      <c r="R395" s="332"/>
      <c r="S395" s="196">
        <f t="shared" ref="S395:S400" si="498">N395+O395+P395+Q395+R395</f>
        <v>2.9825292085732671</v>
      </c>
      <c r="T395" s="332"/>
      <c r="U395" s="196">
        <f t="shared" ref="U395:U400" si="499">S395-T395</f>
        <v>2.9825292085732671</v>
      </c>
      <c r="V395" s="332"/>
      <c r="W395" s="332"/>
      <c r="X395" s="332"/>
      <c r="Y395" s="332"/>
      <c r="Z395" s="198">
        <f>(H395*$Z$532)/($H$532-$H$396-$H$398-$H$399)</f>
        <v>0.12909763999303719</v>
      </c>
      <c r="AA395" s="249">
        <f t="shared" ref="AA395:AA400" si="500">U395+Z395</f>
        <v>3.1116268485663041</v>
      </c>
    </row>
    <row r="396" spans="2:27">
      <c r="B396" s="189" t="s">
        <v>913</v>
      </c>
      <c r="C396" s="193">
        <v>297658</v>
      </c>
      <c r="D396" s="191"/>
      <c r="E396" s="192"/>
      <c r="F396" s="190"/>
      <c r="G396" s="190">
        <v>30</v>
      </c>
      <c r="H396" s="191">
        <v>2414.2302334792944</v>
      </c>
      <c r="I396" s="191"/>
      <c r="J396" s="191"/>
      <c r="K396" s="191">
        <f>'[4]FY25 Sales @ CT'!$G39</f>
        <v>2388711.8061664002</v>
      </c>
      <c r="L396" s="191">
        <f t="shared" si="494"/>
        <v>0.75</v>
      </c>
      <c r="M396" s="191"/>
      <c r="N396" s="195">
        <f t="shared" si="495"/>
        <v>0</v>
      </c>
      <c r="O396" s="196">
        <f t="shared" si="496"/>
        <v>0</v>
      </c>
      <c r="P396" s="332"/>
      <c r="Q396" s="196">
        <f t="shared" si="497"/>
        <v>10.715688</v>
      </c>
      <c r="R396" s="332"/>
      <c r="S396" s="196">
        <f t="shared" si="498"/>
        <v>10.715688</v>
      </c>
      <c r="T396" s="332"/>
      <c r="U396" s="196">
        <f t="shared" si="499"/>
        <v>10.715688</v>
      </c>
      <c r="V396" s="332"/>
      <c r="W396" s="332"/>
      <c r="X396" s="332"/>
      <c r="Y396" s="332"/>
      <c r="Z396" s="198"/>
      <c r="AA396" s="249">
        <f t="shared" si="500"/>
        <v>10.715688</v>
      </c>
    </row>
    <row r="397" spans="2:27">
      <c r="B397" s="189" t="s">
        <v>733</v>
      </c>
      <c r="C397" s="193">
        <v>87</v>
      </c>
      <c r="D397" s="191">
        <v>2.5</v>
      </c>
      <c r="E397" s="192"/>
      <c r="F397" s="190"/>
      <c r="G397" s="190">
        <v>30</v>
      </c>
      <c r="H397" s="191">
        <v>1.3606899941250004</v>
      </c>
      <c r="I397" s="191"/>
      <c r="J397" s="191"/>
      <c r="K397" s="191">
        <f>'[4]FY25 Sales @ CT'!$G40</f>
        <v>555.44064576000017</v>
      </c>
      <c r="L397" s="191">
        <f t="shared" si="494"/>
        <v>3.25</v>
      </c>
      <c r="M397" s="191"/>
      <c r="N397" s="195">
        <f t="shared" si="495"/>
        <v>0.34017249853125009</v>
      </c>
      <c r="O397" s="196">
        <f t="shared" si="496"/>
        <v>0</v>
      </c>
      <c r="P397" s="332"/>
      <c r="Q397" s="196">
        <f t="shared" si="497"/>
        <v>3.1319999999999998E-3</v>
      </c>
      <c r="R397" s="332"/>
      <c r="S397" s="196">
        <f t="shared" si="498"/>
        <v>0.34330449853125011</v>
      </c>
      <c r="T397" s="332"/>
      <c r="U397" s="196">
        <f t="shared" si="499"/>
        <v>0.34330449853125011</v>
      </c>
      <c r="V397" s="332"/>
      <c r="W397" s="332"/>
      <c r="X397" s="332"/>
      <c r="Y397" s="332"/>
      <c r="Z397" s="198">
        <f>(H397*$Z$532)/($H$532-$H$396-$H$398-$H$399)</f>
        <v>2.1468278038721523E-2</v>
      </c>
      <c r="AA397" s="249">
        <f t="shared" si="500"/>
        <v>0.36477277656997165</v>
      </c>
    </row>
    <row r="398" spans="2:27">
      <c r="B398" s="189" t="s">
        <v>734</v>
      </c>
      <c r="C398" s="193">
        <v>31</v>
      </c>
      <c r="D398" s="191"/>
      <c r="E398" s="192"/>
      <c r="F398" s="190"/>
      <c r="G398" s="190">
        <v>30</v>
      </c>
      <c r="H398" s="191">
        <v>0.21421485749999999</v>
      </c>
      <c r="I398" s="191"/>
      <c r="J398" s="191"/>
      <c r="K398" s="191">
        <f>'[4]FY25 Sales @ CT'!$G41</f>
        <v>268.89657600000004</v>
      </c>
      <c r="L398" s="191">
        <f t="shared" si="494"/>
        <v>0.75</v>
      </c>
      <c r="M398" s="191"/>
      <c r="N398" s="195">
        <f t="shared" si="495"/>
        <v>0</v>
      </c>
      <c r="O398" s="196">
        <f t="shared" si="496"/>
        <v>0</v>
      </c>
      <c r="P398" s="332"/>
      <c r="Q398" s="196">
        <f t="shared" si="497"/>
        <v>1.116E-3</v>
      </c>
      <c r="R398" s="332"/>
      <c r="S398" s="196">
        <f t="shared" si="498"/>
        <v>1.116E-3</v>
      </c>
      <c r="T398" s="332"/>
      <c r="U398" s="196">
        <f t="shared" si="499"/>
        <v>1.116E-3</v>
      </c>
      <c r="V398" s="332"/>
      <c r="W398" s="332"/>
      <c r="X398" s="332"/>
      <c r="Y398" s="332"/>
      <c r="Z398" s="198"/>
      <c r="AA398" s="249">
        <f t="shared" si="500"/>
        <v>1.116E-3</v>
      </c>
    </row>
    <row r="399" spans="2:27">
      <c r="B399" s="189" t="s">
        <v>735</v>
      </c>
      <c r="C399" s="193">
        <v>1919</v>
      </c>
      <c r="D399" s="191"/>
      <c r="E399" s="192"/>
      <c r="F399" s="190"/>
      <c r="G399" s="190">
        <v>30</v>
      </c>
      <c r="H399" s="191">
        <v>15.676022352375002</v>
      </c>
      <c r="I399" s="191"/>
      <c r="J399" s="191"/>
      <c r="K399" s="191">
        <f>'[4]FY25 Sales @ CT'!$G42</f>
        <v>9872.812351999999</v>
      </c>
      <c r="L399" s="191">
        <f t="shared" si="494"/>
        <v>0.75</v>
      </c>
      <c r="M399" s="191"/>
      <c r="N399" s="195">
        <f t="shared" si="495"/>
        <v>0</v>
      </c>
      <c r="O399" s="196">
        <f t="shared" si="496"/>
        <v>0</v>
      </c>
      <c r="P399" s="332"/>
      <c r="Q399" s="196">
        <f t="shared" si="497"/>
        <v>6.9084000000000007E-2</v>
      </c>
      <c r="R399" s="332"/>
      <c r="S399" s="196">
        <f t="shared" si="498"/>
        <v>6.9084000000000007E-2</v>
      </c>
      <c r="T399" s="332"/>
      <c r="U399" s="196">
        <f t="shared" si="499"/>
        <v>6.9084000000000007E-2</v>
      </c>
      <c r="V399" s="332"/>
      <c r="W399" s="332"/>
      <c r="X399" s="332"/>
      <c r="Y399" s="332"/>
      <c r="Z399" s="198"/>
      <c r="AA399" s="249">
        <f t="shared" si="500"/>
        <v>6.9084000000000007E-2</v>
      </c>
    </row>
    <row r="400" spans="2:27">
      <c r="B400" s="220" t="s">
        <v>736</v>
      </c>
      <c r="C400" s="193">
        <v>6</v>
      </c>
      <c r="D400" s="191">
        <v>4.5</v>
      </c>
      <c r="E400" s="192">
        <v>900</v>
      </c>
      <c r="F400" s="190"/>
      <c r="G400" s="190">
        <v>30</v>
      </c>
      <c r="H400" s="191">
        <v>5.3650280249999995E-2</v>
      </c>
      <c r="I400" s="191"/>
      <c r="J400" s="191">
        <v>2.3795200000000002E-2</v>
      </c>
      <c r="K400" s="191"/>
      <c r="L400" s="191">
        <f t="shared" si="494"/>
        <v>5.25</v>
      </c>
      <c r="M400" s="191"/>
      <c r="N400" s="195">
        <f t="shared" si="495"/>
        <v>2.4142626112499999E-2</v>
      </c>
      <c r="O400" s="196">
        <f t="shared" si="496"/>
        <v>2.1415679999999999E-3</v>
      </c>
      <c r="P400" s="332"/>
      <c r="Q400" s="196">
        <f t="shared" si="497"/>
        <v>2.1599999999999999E-4</v>
      </c>
      <c r="R400" s="332"/>
      <c r="S400" s="196">
        <f t="shared" si="498"/>
        <v>2.65001941125E-2</v>
      </c>
      <c r="T400" s="332"/>
      <c r="U400" s="196">
        <f t="shared" si="499"/>
        <v>2.65001941125E-2</v>
      </c>
      <c r="V400" s="332"/>
      <c r="W400" s="332"/>
      <c r="X400" s="332"/>
      <c r="Y400" s="332"/>
      <c r="Z400" s="198">
        <f>(H400*$Z$532)/($H$532-$H$396-$H$398-$H$399)</f>
        <v>8.4646696766737693E-4</v>
      </c>
      <c r="AA400" s="249">
        <f t="shared" si="500"/>
        <v>2.7346661080167377E-2</v>
      </c>
    </row>
    <row r="401" spans="2:29">
      <c r="B401" s="215" t="s">
        <v>691</v>
      </c>
      <c r="C401" s="216">
        <f t="shared" ref="C401" si="501">C402+C403</f>
        <v>35078</v>
      </c>
      <c r="D401" s="217"/>
      <c r="E401" s="207"/>
      <c r="F401" s="217"/>
      <c r="G401" s="222"/>
      <c r="H401" s="217">
        <f t="shared" ref="H401:AA401" si="502">H402+H403</f>
        <v>2327.8346610163744</v>
      </c>
      <c r="I401" s="217">
        <f t="shared" si="502"/>
        <v>0</v>
      </c>
      <c r="J401" s="217">
        <f t="shared" ref="J401" si="503">J402+J403</f>
        <v>1451.0941390000003</v>
      </c>
      <c r="K401" s="217">
        <f t="shared" si="502"/>
        <v>0</v>
      </c>
      <c r="L401" s="217"/>
      <c r="M401" s="217"/>
      <c r="N401" s="217">
        <f t="shared" si="502"/>
        <v>896.20052395388063</v>
      </c>
      <c r="O401" s="217">
        <f t="shared" si="502"/>
        <v>52.232196324</v>
      </c>
      <c r="P401" s="217">
        <f t="shared" si="502"/>
        <v>0</v>
      </c>
      <c r="Q401" s="217">
        <f t="shared" si="502"/>
        <v>1.2628079999999999</v>
      </c>
      <c r="R401" s="217">
        <f t="shared" si="502"/>
        <v>0</v>
      </c>
      <c r="S401" s="217">
        <f t="shared" si="502"/>
        <v>949.69552827788061</v>
      </c>
      <c r="T401" s="217">
        <f t="shared" si="502"/>
        <v>0</v>
      </c>
      <c r="U401" s="217">
        <f t="shared" si="502"/>
        <v>949.69552827788061</v>
      </c>
      <c r="V401" s="217">
        <f t="shared" si="502"/>
        <v>0</v>
      </c>
      <c r="W401" s="217">
        <f t="shared" si="502"/>
        <v>0</v>
      </c>
      <c r="X401" s="217">
        <f t="shared" si="502"/>
        <v>0</v>
      </c>
      <c r="Y401" s="217">
        <f t="shared" si="502"/>
        <v>0</v>
      </c>
      <c r="Z401" s="217">
        <f t="shared" si="502"/>
        <v>36.727397090186614</v>
      </c>
      <c r="AA401" s="219">
        <f t="shared" si="502"/>
        <v>986.42292536806713</v>
      </c>
    </row>
    <row r="402" spans="2:29">
      <c r="B402" s="189" t="s">
        <v>737</v>
      </c>
      <c r="C402" s="193">
        <v>34905</v>
      </c>
      <c r="D402" s="191">
        <v>3.85</v>
      </c>
      <c r="E402" s="192">
        <v>360</v>
      </c>
      <c r="F402" s="193"/>
      <c r="G402" s="190">
        <v>30</v>
      </c>
      <c r="H402" s="191">
        <v>2326.2526072740256</v>
      </c>
      <c r="I402" s="191"/>
      <c r="J402" s="191">
        <v>1450.4947490000002</v>
      </c>
      <c r="K402" s="191"/>
      <c r="L402" s="191">
        <f t="shared" ref="L402:L403" si="504">D402+0.75</f>
        <v>4.5999999999999996</v>
      </c>
      <c r="M402" s="191"/>
      <c r="N402" s="195">
        <f t="shared" ref="N402:N403" si="505">H402*D402/10</f>
        <v>895.60725380049985</v>
      </c>
      <c r="O402" s="196">
        <f>IF(E402&gt;0,(J402*10^3*E402/10^7)+(K402*0.7457*E402/10^7),(K402*F402/10^7)+(J402*(10^3)*(1/0.7457)*F402/10^7))</f>
        <v>52.217810964000002</v>
      </c>
      <c r="P402" s="332"/>
      <c r="Q402" s="196">
        <f t="shared" ref="Q402:Q403" si="506">G402*C402*12/10^7</f>
        <v>1.25658</v>
      </c>
      <c r="R402" s="332"/>
      <c r="S402" s="196">
        <f>N402+O402+P402+Q402+R402</f>
        <v>949.08164476449986</v>
      </c>
      <c r="T402" s="332"/>
      <c r="U402" s="196">
        <f t="shared" ref="U402:U403" si="507">S402-T402</f>
        <v>949.08164476449986</v>
      </c>
      <c r="V402" s="332"/>
      <c r="W402" s="332"/>
      <c r="X402" s="332"/>
      <c r="Y402" s="332"/>
      <c r="Z402" s="198">
        <f>(H402*$Z$532)/($H$532-$H$396-$H$398-$H$399)</f>
        <v>36.702436246967672</v>
      </c>
      <c r="AA402" s="249">
        <f t="shared" ref="AA402:AA403" si="508">U402+Z402</f>
        <v>985.78408101146749</v>
      </c>
    </row>
    <row r="403" spans="2:29">
      <c r="B403" s="189" t="s">
        <v>741</v>
      </c>
      <c r="C403" s="193">
        <v>173</v>
      </c>
      <c r="D403" s="191">
        <v>3.75</v>
      </c>
      <c r="E403" s="192">
        <v>240</v>
      </c>
      <c r="F403" s="193"/>
      <c r="G403" s="190">
        <v>30</v>
      </c>
      <c r="H403" s="191">
        <v>1.5820537423486223</v>
      </c>
      <c r="I403" s="191"/>
      <c r="J403" s="191">
        <v>0.59939000000000031</v>
      </c>
      <c r="K403" s="191"/>
      <c r="L403" s="191">
        <f t="shared" si="504"/>
        <v>4.5</v>
      </c>
      <c r="M403" s="191"/>
      <c r="N403" s="195">
        <f t="shared" si="505"/>
        <v>0.5932701533807333</v>
      </c>
      <c r="O403" s="196">
        <f>IF(E403&gt;0,(J403*10^3*E403/10^7)+(K403*0.7457*E403/10^7),(K403*F403/10^7)+(J403*(10^3)*(1/0.7457)*F403/10^7))</f>
        <v>1.4385360000000008E-2</v>
      </c>
      <c r="P403" s="332"/>
      <c r="Q403" s="196">
        <f t="shared" si="506"/>
        <v>6.228E-3</v>
      </c>
      <c r="R403" s="332"/>
      <c r="S403" s="196">
        <f>N403+O403+P403+Q403+R403</f>
        <v>0.61388351338073333</v>
      </c>
      <c r="T403" s="332"/>
      <c r="U403" s="196">
        <f t="shared" si="507"/>
        <v>0.61388351338073333</v>
      </c>
      <c r="V403" s="332"/>
      <c r="W403" s="332"/>
      <c r="X403" s="332"/>
      <c r="Y403" s="332"/>
      <c r="Z403" s="198">
        <f>(H403*$Z$532)/($H$532-$H$396-$H$398-$H$399)</f>
        <v>2.4960843218944116E-2</v>
      </c>
      <c r="AA403" s="249">
        <f t="shared" si="508"/>
        <v>0.63884435659967742</v>
      </c>
    </row>
    <row r="404" spans="2:29">
      <c r="B404" s="223" t="s">
        <v>600</v>
      </c>
      <c r="C404" s="224">
        <f t="shared" ref="C404" si="509">C362+C371+C383+C387+C393</f>
        <v>7270210</v>
      </c>
      <c r="D404" s="174">
        <v>0</v>
      </c>
      <c r="E404" s="174">
        <v>0</v>
      </c>
      <c r="F404" s="174">
        <v>0</v>
      </c>
      <c r="G404" s="174">
        <v>0</v>
      </c>
      <c r="H404" s="174">
        <f t="shared" ref="H404:T404" si="510">H362+H371+H383+H387+H393</f>
        <v>15013.56000222522</v>
      </c>
      <c r="I404" s="174">
        <f t="shared" si="510"/>
        <v>0</v>
      </c>
      <c r="J404" s="174">
        <f t="shared" ref="J404" si="511">J362+J371+J383+J387+J393</f>
        <v>10760.641049600599</v>
      </c>
      <c r="K404" s="174">
        <f t="shared" si="510"/>
        <v>2416521.9335961598</v>
      </c>
      <c r="L404" s="174"/>
      <c r="M404" s="174"/>
      <c r="N404" s="174">
        <f t="shared" si="510"/>
        <v>6173.982348547288</v>
      </c>
      <c r="O404" s="174">
        <f t="shared" si="510"/>
        <v>350.165161624321</v>
      </c>
      <c r="P404" s="174">
        <f t="shared" si="510"/>
        <v>17.650973348977502</v>
      </c>
      <c r="Q404" s="174">
        <f t="shared" si="510"/>
        <v>350.77659720000003</v>
      </c>
      <c r="R404" s="174">
        <f t="shared" si="510"/>
        <v>0</v>
      </c>
      <c r="S404" s="174">
        <f t="shared" si="510"/>
        <v>6892.575080720585</v>
      </c>
      <c r="T404" s="174">
        <f t="shared" si="510"/>
        <v>0</v>
      </c>
      <c r="U404" s="174">
        <f>U362+U371+U383+U387+U393</f>
        <v>6892.575080720585</v>
      </c>
      <c r="V404" s="174">
        <f t="shared" ref="V404:AA404" si="512">V362+V371+V383+V387+V393</f>
        <v>0</v>
      </c>
      <c r="W404" s="174">
        <f t="shared" si="512"/>
        <v>0</v>
      </c>
      <c r="X404" s="174">
        <f t="shared" si="512"/>
        <v>0</v>
      </c>
      <c r="Y404" s="174">
        <f t="shared" si="512"/>
        <v>0</v>
      </c>
      <c r="Z404" s="174">
        <f>Z362+Z371+Z383+Z387+Z393</f>
        <v>198.53514004868816</v>
      </c>
      <c r="AA404" s="225">
        <f t="shared" si="512"/>
        <v>7091.1102207692729</v>
      </c>
    </row>
    <row r="405" spans="2:29">
      <c r="B405" s="226"/>
      <c r="C405" s="333"/>
      <c r="D405" s="227"/>
      <c r="E405" s="227"/>
      <c r="F405" s="227"/>
      <c r="G405" s="228"/>
      <c r="H405" s="227"/>
      <c r="I405" s="227"/>
      <c r="J405" s="227"/>
      <c r="K405" s="227"/>
      <c r="L405" s="227"/>
      <c r="M405" s="227"/>
      <c r="N405" s="195"/>
      <c r="O405" s="196"/>
      <c r="P405" s="332"/>
      <c r="Q405" s="196">
        <f>G405*C405*12/10^7</f>
        <v>0</v>
      </c>
      <c r="R405" s="332"/>
      <c r="S405" s="199"/>
      <c r="T405" s="332"/>
      <c r="U405" s="199"/>
      <c r="V405" s="332"/>
      <c r="W405" s="332"/>
      <c r="X405" s="332"/>
      <c r="Y405" s="332"/>
      <c r="Z405" s="198"/>
      <c r="AA405" s="249"/>
    </row>
    <row r="406" spans="2:29">
      <c r="B406" s="334" t="s">
        <v>601</v>
      </c>
      <c r="C406" s="335"/>
      <c r="D406" s="175"/>
      <c r="E406" s="175"/>
      <c r="F406" s="175"/>
      <c r="G406" s="174"/>
      <c r="H406" s="175"/>
      <c r="I406" s="175"/>
      <c r="J406" s="175"/>
      <c r="K406" s="175"/>
      <c r="L406" s="175"/>
      <c r="M406" s="175"/>
      <c r="N406" s="175"/>
      <c r="O406" s="175"/>
      <c r="P406" s="175"/>
      <c r="Q406" s="175"/>
      <c r="R406" s="175"/>
      <c r="S406" s="175"/>
      <c r="T406" s="175"/>
      <c r="U406" s="175"/>
      <c r="V406" s="175"/>
      <c r="W406" s="175"/>
      <c r="X406" s="175"/>
      <c r="Y406" s="175"/>
      <c r="Z406" s="175"/>
      <c r="AA406" s="231"/>
    </row>
    <row r="407" spans="2:29">
      <c r="B407" s="232" t="s">
        <v>742</v>
      </c>
      <c r="C407" s="255">
        <f>C408+C409+C416+C429+C434</f>
        <v>4653</v>
      </c>
      <c r="D407" s="233"/>
      <c r="E407" s="233"/>
      <c r="F407" s="233"/>
      <c r="G407" s="234"/>
      <c r="H407" s="233">
        <f>H408+H409+H416+H429+H434</f>
        <v>2586.1665978626547</v>
      </c>
      <c r="I407" s="233">
        <f t="shared" ref="I407" si="513">I408+I409+I416+I429+I434</f>
        <v>0</v>
      </c>
      <c r="J407" s="233">
        <f>J408+J409+J416+J429+J434</f>
        <v>1189.54728</v>
      </c>
      <c r="K407" s="233">
        <f t="shared" ref="K407:AA407" si="514">K408+K409+K416+K429+K434</f>
        <v>0</v>
      </c>
      <c r="L407" s="233"/>
      <c r="M407" s="233"/>
      <c r="N407" s="233">
        <f t="shared" si="514"/>
        <v>1765.7304018129232</v>
      </c>
      <c r="O407" s="233">
        <f t="shared" si="514"/>
        <v>616.06070718000001</v>
      </c>
      <c r="P407" s="233">
        <f t="shared" si="514"/>
        <v>0</v>
      </c>
      <c r="Q407" s="233">
        <f t="shared" si="514"/>
        <v>7.8505416000000006</v>
      </c>
      <c r="R407" s="233">
        <f t="shared" si="514"/>
        <v>0</v>
      </c>
      <c r="S407" s="233">
        <f t="shared" si="514"/>
        <v>2389.6416505929228</v>
      </c>
      <c r="T407" s="233">
        <f t="shared" si="514"/>
        <v>0</v>
      </c>
      <c r="U407" s="233">
        <f t="shared" si="514"/>
        <v>2389.6416505929228</v>
      </c>
      <c r="V407" s="233">
        <f t="shared" si="514"/>
        <v>0</v>
      </c>
      <c r="W407" s="233">
        <f t="shared" si="514"/>
        <v>0</v>
      </c>
      <c r="X407" s="233">
        <f t="shared" si="514"/>
        <v>0</v>
      </c>
      <c r="Y407" s="233">
        <f t="shared" si="514"/>
        <v>0</v>
      </c>
      <c r="Z407" s="233">
        <f t="shared" si="514"/>
        <v>40.80322763971877</v>
      </c>
      <c r="AA407" s="235">
        <f t="shared" si="514"/>
        <v>2430.4448782326417</v>
      </c>
    </row>
    <row r="408" spans="2:29" ht="11.25" customHeight="1">
      <c r="B408" s="253" t="s">
        <v>743</v>
      </c>
      <c r="C408" s="193">
        <v>49</v>
      </c>
      <c r="D408" s="203">
        <v>7</v>
      </c>
      <c r="E408" s="237">
        <v>900</v>
      </c>
      <c r="F408" s="237"/>
      <c r="G408" s="237">
        <v>1406</v>
      </c>
      <c r="H408" s="191">
        <v>22.393903570223113</v>
      </c>
      <c r="I408" s="203"/>
      <c r="J408" s="191">
        <v>12.604999999999997</v>
      </c>
      <c r="K408" s="191"/>
      <c r="L408" s="191">
        <f t="shared" ref="L408" si="515">D408+0.75</f>
        <v>7.75</v>
      </c>
      <c r="M408" s="191"/>
      <c r="N408" s="195">
        <f t="shared" ref="N408" si="516">H408*D408/10</f>
        <v>15.67573249915618</v>
      </c>
      <c r="O408" s="196">
        <f>IF(E408&gt;0,(J408*10^3*E408/10^7)+(K408*0.7457*E408/10^7),(K408*F408/10^7)+(J408*(10^3)*(1/0.7457)*F408/10^7))</f>
        <v>1.1344499999999997</v>
      </c>
      <c r="P408" s="332"/>
      <c r="Q408" s="196">
        <f t="shared" ref="Q408" si="517">G408*C408*12/10^7</f>
        <v>8.2672800000000005E-2</v>
      </c>
      <c r="R408" s="332"/>
      <c r="S408" s="196">
        <f>N408+O408+P408+Q408+R408</f>
        <v>16.892855299156182</v>
      </c>
      <c r="T408" s="336"/>
      <c r="U408" s="196">
        <f t="shared" ref="U408" si="518">S408-T408</f>
        <v>16.892855299156182</v>
      </c>
      <c r="V408" s="336"/>
      <c r="W408" s="336"/>
      <c r="X408" s="336"/>
      <c r="Y408" s="336"/>
      <c r="Z408" s="198">
        <f>(H408*$Z$532)/($H$532-$H$396-$H$398-$H$399)</f>
        <v>0.35331967626250016</v>
      </c>
      <c r="AA408" s="249">
        <f t="shared" ref="AA408" si="519">U408+Z408</f>
        <v>17.246174975418683</v>
      </c>
      <c r="AC408" s="177">
        <f>Z408+Z440+Z471+Z502</f>
        <v>0.55010885772028262</v>
      </c>
    </row>
    <row r="409" spans="2:29">
      <c r="B409" s="239" t="s">
        <v>744</v>
      </c>
      <c r="C409" s="250">
        <f>SUM(C410:C415)</f>
        <v>2078</v>
      </c>
      <c r="D409" s="240"/>
      <c r="E409" s="240"/>
      <c r="F409" s="240"/>
      <c r="G409" s="240"/>
      <c r="H409" s="240">
        <f>SUM(H410:H415)</f>
        <v>622.053658258513</v>
      </c>
      <c r="I409" s="240">
        <f t="shared" ref="I409" si="520">SUM(I410:I415)</f>
        <v>0</v>
      </c>
      <c r="J409" s="240">
        <f>SUM(J410:J415)</f>
        <v>407.07950000000005</v>
      </c>
      <c r="K409" s="240">
        <f t="shared" ref="K409:AA409" si="521">SUM(K410:K415)</f>
        <v>0</v>
      </c>
      <c r="L409" s="240"/>
      <c r="M409" s="240"/>
      <c r="N409" s="240">
        <f t="shared" si="521"/>
        <v>495.42605699277169</v>
      </c>
      <c r="O409" s="240">
        <f t="shared" si="521"/>
        <v>206.21773500000003</v>
      </c>
      <c r="P409" s="240">
        <f t="shared" si="521"/>
        <v>0</v>
      </c>
      <c r="Q409" s="240">
        <f t="shared" si="521"/>
        <v>3.5060016000000003</v>
      </c>
      <c r="R409" s="240">
        <f t="shared" si="521"/>
        <v>0</v>
      </c>
      <c r="S409" s="240">
        <f t="shared" si="521"/>
        <v>705.14979359277186</v>
      </c>
      <c r="T409" s="240">
        <f t="shared" si="521"/>
        <v>0</v>
      </c>
      <c r="U409" s="240">
        <f t="shared" si="521"/>
        <v>705.14979359277186</v>
      </c>
      <c r="V409" s="240">
        <f t="shared" si="521"/>
        <v>0</v>
      </c>
      <c r="W409" s="240">
        <f t="shared" si="521"/>
        <v>0</v>
      </c>
      <c r="X409" s="240">
        <f t="shared" si="521"/>
        <v>0</v>
      </c>
      <c r="Y409" s="240">
        <f t="shared" si="521"/>
        <v>0</v>
      </c>
      <c r="Z409" s="240">
        <f t="shared" si="521"/>
        <v>9.814447778816259</v>
      </c>
      <c r="AA409" s="241">
        <f t="shared" si="521"/>
        <v>714.96424137158795</v>
      </c>
      <c r="AC409" s="177">
        <f>Z409+Z441+Z472+Z503</f>
        <v>16.217591619322409</v>
      </c>
    </row>
    <row r="410" spans="2:29">
      <c r="B410" s="253" t="s">
        <v>745</v>
      </c>
      <c r="C410" s="193">
        <v>1835</v>
      </c>
      <c r="D410" s="203">
        <v>7.65</v>
      </c>
      <c r="E410" s="237">
        <v>5700</v>
      </c>
      <c r="F410" s="237"/>
      <c r="G410" s="237">
        <v>1406</v>
      </c>
      <c r="H410" s="191">
        <v>466.45073886206404</v>
      </c>
      <c r="I410" s="203"/>
      <c r="J410" s="191">
        <v>361.78550000000007</v>
      </c>
      <c r="K410" s="191"/>
      <c r="L410" s="191">
        <f t="shared" ref="L410:L415" si="522">D410+0.75</f>
        <v>8.4</v>
      </c>
      <c r="M410" s="191"/>
      <c r="N410" s="195">
        <f t="shared" ref="N410:N415" si="523">H410*D410/10</f>
        <v>356.83481522947898</v>
      </c>
      <c r="O410" s="196">
        <f t="shared" ref="O410:O415" si="524">IF(E410&gt;0,(J410*10^3*E410/10^7)+(K410*0.7457*E410/10^7),(K410*F410/10^7)+(J410*(10^3)*(1/0.7457)*F410/10^7))</f>
        <v>206.21773500000003</v>
      </c>
      <c r="P410" s="332"/>
      <c r="Q410" s="196">
        <f t="shared" ref="Q410:Q415" si="525">G410*C410*12/10^7</f>
        <v>3.096012</v>
      </c>
      <c r="R410" s="332"/>
      <c r="S410" s="196">
        <f t="shared" ref="S410:S415" si="526">N410+O410+P410+Q410+R410</f>
        <v>566.14856222947901</v>
      </c>
      <c r="T410" s="332"/>
      <c r="U410" s="196">
        <f t="shared" ref="U410:U415" si="527">S410-T410</f>
        <v>566.14856222947901</v>
      </c>
      <c r="V410" s="332"/>
      <c r="W410" s="332"/>
      <c r="X410" s="332"/>
      <c r="Y410" s="332"/>
      <c r="Z410" s="198">
        <f t="shared" ref="Z410:Z415" si="528">(H410*$Z$532)/($H$532-$H$396-$H$398-$H$399)</f>
        <v>7.359423672176975</v>
      </c>
      <c r="AA410" s="249">
        <f t="shared" ref="AA410:AA415" si="529">U410+Z410</f>
        <v>573.50798590165596</v>
      </c>
      <c r="AC410" s="177">
        <f>Z416+Z448+Z479+Z510</f>
        <v>193.35781769916196</v>
      </c>
    </row>
    <row r="411" spans="2:29">
      <c r="B411" s="253" t="s">
        <v>697</v>
      </c>
      <c r="C411" s="193">
        <v>0</v>
      </c>
      <c r="D411" s="203">
        <v>8.65</v>
      </c>
      <c r="E411" s="237">
        <v>5700</v>
      </c>
      <c r="F411" s="237"/>
      <c r="G411" s="237"/>
      <c r="H411" s="191">
        <v>135.81601721488136</v>
      </c>
      <c r="I411" s="203"/>
      <c r="J411" s="191">
        <v>0</v>
      </c>
      <c r="K411" s="191"/>
      <c r="L411" s="191">
        <f t="shared" si="522"/>
        <v>9.4</v>
      </c>
      <c r="M411" s="191"/>
      <c r="N411" s="195">
        <f t="shared" si="523"/>
        <v>117.48085489087239</v>
      </c>
      <c r="O411" s="196">
        <f t="shared" si="524"/>
        <v>0</v>
      </c>
      <c r="P411" s="332"/>
      <c r="Q411" s="196">
        <f t="shared" si="525"/>
        <v>0</v>
      </c>
      <c r="R411" s="332"/>
      <c r="S411" s="196">
        <f t="shared" si="526"/>
        <v>117.48085489087239</v>
      </c>
      <c r="T411" s="332"/>
      <c r="U411" s="196">
        <f t="shared" si="527"/>
        <v>117.48085489087239</v>
      </c>
      <c r="V411" s="332"/>
      <c r="W411" s="332"/>
      <c r="X411" s="332"/>
      <c r="Y411" s="332"/>
      <c r="Z411" s="198">
        <f t="shared" si="528"/>
        <v>2.1428363788004794</v>
      </c>
      <c r="AA411" s="249">
        <f t="shared" si="529"/>
        <v>119.62369126967288</v>
      </c>
      <c r="AC411" s="177">
        <f>Z429+Z461+Z492+Z528</f>
        <v>22.31668645605534</v>
      </c>
    </row>
    <row r="412" spans="2:29">
      <c r="B412" s="253" t="s">
        <v>746</v>
      </c>
      <c r="C412" s="193">
        <v>225</v>
      </c>
      <c r="D412" s="203">
        <v>12.25</v>
      </c>
      <c r="E412" s="237">
        <v>0</v>
      </c>
      <c r="F412" s="237"/>
      <c r="G412" s="237">
        <v>1406</v>
      </c>
      <c r="H412" s="191">
        <v>14.138851071692043</v>
      </c>
      <c r="I412" s="203"/>
      <c r="J412" s="191">
        <v>44.424000000000007</v>
      </c>
      <c r="K412" s="191"/>
      <c r="L412" s="191">
        <f t="shared" si="522"/>
        <v>13</v>
      </c>
      <c r="M412" s="191"/>
      <c r="N412" s="195">
        <f t="shared" si="523"/>
        <v>17.320092562822754</v>
      </c>
      <c r="O412" s="196">
        <f t="shared" si="524"/>
        <v>0</v>
      </c>
      <c r="P412" s="332"/>
      <c r="Q412" s="196">
        <f t="shared" si="525"/>
        <v>0.37962000000000001</v>
      </c>
      <c r="R412" s="332"/>
      <c r="S412" s="196">
        <f t="shared" si="526"/>
        <v>17.699712562822754</v>
      </c>
      <c r="T412" s="332"/>
      <c r="U412" s="196">
        <f t="shared" si="527"/>
        <v>17.699712562822754</v>
      </c>
      <c r="V412" s="332"/>
      <c r="W412" s="332"/>
      <c r="X412" s="332"/>
      <c r="Y412" s="332"/>
      <c r="Z412" s="198">
        <f t="shared" si="528"/>
        <v>0.22307563608590483</v>
      </c>
      <c r="AA412" s="249">
        <f t="shared" si="529"/>
        <v>17.922788198908659</v>
      </c>
      <c r="AC412" s="177"/>
    </row>
    <row r="413" spans="2:29">
      <c r="B413" s="253" t="s">
        <v>747</v>
      </c>
      <c r="C413" s="193">
        <v>2</v>
      </c>
      <c r="D413" s="203">
        <v>12.25</v>
      </c>
      <c r="E413" s="237">
        <v>0</v>
      </c>
      <c r="F413" s="237"/>
      <c r="G413" s="237">
        <v>1406</v>
      </c>
      <c r="H413" s="191">
        <v>1.0991109875566762E-2</v>
      </c>
      <c r="I413" s="203"/>
      <c r="J413" s="191">
        <v>0.87000000000000011</v>
      </c>
      <c r="K413" s="191"/>
      <c r="L413" s="191">
        <f t="shared" si="522"/>
        <v>13</v>
      </c>
      <c r="M413" s="191"/>
      <c r="N413" s="195">
        <f t="shared" si="523"/>
        <v>1.3464109597569284E-2</v>
      </c>
      <c r="O413" s="196">
        <f t="shared" si="524"/>
        <v>0</v>
      </c>
      <c r="P413" s="332"/>
      <c r="Q413" s="196">
        <f t="shared" si="525"/>
        <v>3.3744000000000001E-3</v>
      </c>
      <c r="R413" s="332"/>
      <c r="S413" s="196">
        <f t="shared" si="526"/>
        <v>1.6838509597569284E-2</v>
      </c>
      <c r="T413" s="332"/>
      <c r="U413" s="196">
        <f t="shared" si="527"/>
        <v>1.6838509597569284E-2</v>
      </c>
      <c r="V413" s="332"/>
      <c r="W413" s="332"/>
      <c r="X413" s="332"/>
      <c r="Y413" s="332"/>
      <c r="Z413" s="198">
        <f t="shared" si="528"/>
        <v>1.7341216866560466E-4</v>
      </c>
      <c r="AA413" s="249">
        <f t="shared" si="529"/>
        <v>1.7011921766234887E-2</v>
      </c>
    </row>
    <row r="414" spans="2:29">
      <c r="B414" s="253" t="s">
        <v>748</v>
      </c>
      <c r="C414" s="193">
        <v>16</v>
      </c>
      <c r="D414" s="203">
        <v>6.7</v>
      </c>
      <c r="E414" s="237">
        <v>0</v>
      </c>
      <c r="F414" s="237"/>
      <c r="G414" s="237">
        <v>1406</v>
      </c>
      <c r="H414" s="191">
        <v>5.6370600000000008</v>
      </c>
      <c r="I414" s="203"/>
      <c r="J414" s="191">
        <v>0</v>
      </c>
      <c r="K414" s="191"/>
      <c r="L414" s="191">
        <f t="shared" si="522"/>
        <v>7.45</v>
      </c>
      <c r="M414" s="191"/>
      <c r="N414" s="195">
        <f t="shared" si="523"/>
        <v>3.7768302000000005</v>
      </c>
      <c r="O414" s="196">
        <f t="shared" si="524"/>
        <v>0</v>
      </c>
      <c r="P414" s="332"/>
      <c r="Q414" s="196">
        <f t="shared" si="525"/>
        <v>2.69952E-2</v>
      </c>
      <c r="R414" s="332"/>
      <c r="S414" s="196">
        <f t="shared" si="526"/>
        <v>3.8038254000000005</v>
      </c>
      <c r="T414" s="332"/>
      <c r="U414" s="196">
        <f t="shared" si="527"/>
        <v>3.8038254000000005</v>
      </c>
      <c r="V414" s="332"/>
      <c r="W414" s="332"/>
      <c r="X414" s="332"/>
      <c r="Y414" s="332"/>
      <c r="Z414" s="198">
        <f t="shared" si="528"/>
        <v>8.893867958423321E-2</v>
      </c>
      <c r="AA414" s="249">
        <f t="shared" si="529"/>
        <v>3.8927640795842335</v>
      </c>
    </row>
    <row r="415" spans="2:29">
      <c r="B415" s="253" t="s">
        <v>749</v>
      </c>
      <c r="C415" s="193">
        <v>0</v>
      </c>
      <c r="D415" s="203">
        <v>12.25</v>
      </c>
      <c r="E415" s="237">
        <v>0</v>
      </c>
      <c r="F415" s="237"/>
      <c r="G415" s="237">
        <v>1406</v>
      </c>
      <c r="H415" s="191">
        <v>0</v>
      </c>
      <c r="I415" s="203"/>
      <c r="J415" s="191">
        <v>0</v>
      </c>
      <c r="K415" s="191"/>
      <c r="L415" s="191">
        <f t="shared" si="522"/>
        <v>13</v>
      </c>
      <c r="M415" s="191"/>
      <c r="N415" s="195">
        <f t="shared" si="523"/>
        <v>0</v>
      </c>
      <c r="O415" s="196">
        <f t="shared" si="524"/>
        <v>0</v>
      </c>
      <c r="P415" s="332"/>
      <c r="Q415" s="196">
        <f t="shared" si="525"/>
        <v>0</v>
      </c>
      <c r="R415" s="332"/>
      <c r="S415" s="196">
        <f t="shared" si="526"/>
        <v>0</v>
      </c>
      <c r="T415" s="332"/>
      <c r="U415" s="196">
        <f t="shared" si="527"/>
        <v>0</v>
      </c>
      <c r="V415" s="332"/>
      <c r="W415" s="332"/>
      <c r="X415" s="332"/>
      <c r="Y415" s="332"/>
      <c r="Z415" s="198">
        <f t="shared" si="528"/>
        <v>0</v>
      </c>
      <c r="AA415" s="249">
        <f t="shared" si="529"/>
        <v>0</v>
      </c>
    </row>
    <row r="416" spans="2:29">
      <c r="B416" s="239" t="s">
        <v>750</v>
      </c>
      <c r="C416" s="250">
        <f>C417+C427+C428</f>
        <v>2073</v>
      </c>
      <c r="D416" s="240"/>
      <c r="E416" s="240"/>
      <c r="F416" s="240"/>
      <c r="G416" s="240"/>
      <c r="H416" s="240">
        <f>H417+H427+H428</f>
        <v>1730.9073881992313</v>
      </c>
      <c r="I416" s="240">
        <f t="shared" ref="I416" si="530">I417+I427+I428</f>
        <v>0</v>
      </c>
      <c r="J416" s="240">
        <f>J417+J427+J428</f>
        <v>649.57974999999999</v>
      </c>
      <c r="K416" s="240">
        <f t="shared" ref="K416:AA416" si="531">K417+K427+K428</f>
        <v>0</v>
      </c>
      <c r="L416" s="240"/>
      <c r="M416" s="240"/>
      <c r="N416" s="240">
        <f t="shared" si="531"/>
        <v>1104.9469980276847</v>
      </c>
      <c r="O416" s="240">
        <f t="shared" si="531"/>
        <v>370.26045749999992</v>
      </c>
      <c r="P416" s="240">
        <f t="shared" si="531"/>
        <v>0</v>
      </c>
      <c r="Q416" s="240">
        <f t="shared" si="531"/>
        <v>3.4975655999999997</v>
      </c>
      <c r="R416" s="240">
        <f t="shared" si="531"/>
        <v>0</v>
      </c>
      <c r="S416" s="240">
        <f t="shared" si="531"/>
        <v>1478.7050211276846</v>
      </c>
      <c r="T416" s="240">
        <f t="shared" si="531"/>
        <v>0</v>
      </c>
      <c r="U416" s="240">
        <f t="shared" si="531"/>
        <v>1478.7050211276846</v>
      </c>
      <c r="V416" s="240">
        <f t="shared" si="531"/>
        <v>0</v>
      </c>
      <c r="W416" s="240">
        <f t="shared" si="531"/>
        <v>0</v>
      </c>
      <c r="X416" s="240">
        <f t="shared" si="531"/>
        <v>0</v>
      </c>
      <c r="Y416" s="240">
        <f t="shared" si="531"/>
        <v>0</v>
      </c>
      <c r="Z416" s="240">
        <f t="shared" si="531"/>
        <v>27.309380703599636</v>
      </c>
      <c r="AA416" s="241">
        <f t="shared" si="531"/>
        <v>1506.0144018312842</v>
      </c>
    </row>
    <row r="417" spans="2:27" ht="15" customHeight="1">
      <c r="B417" s="215" t="s">
        <v>753</v>
      </c>
      <c r="C417" s="216">
        <f>C419+C420+C421+C423+C424+C425+C426</f>
        <v>1946</v>
      </c>
      <c r="D417" s="217"/>
      <c r="E417" s="207"/>
      <c r="F417" s="217"/>
      <c r="G417" s="218"/>
      <c r="H417" s="217">
        <f>H419+H420+H421+H423+H424+H425+H426</f>
        <v>1713.6964364052983</v>
      </c>
      <c r="I417" s="217">
        <f t="shared" ref="I417" si="532">I419+I420+I421+I423+I424+I425+I426</f>
        <v>0</v>
      </c>
      <c r="J417" s="217">
        <f>J419+J420+J421+J423+J424+J425+J426</f>
        <v>619.01356999999996</v>
      </c>
      <c r="K417" s="217">
        <f t="shared" ref="K417:AA417" si="533">K419+K420+K421+K423+K424+K425+K426</f>
        <v>0</v>
      </c>
      <c r="L417" s="217"/>
      <c r="M417" s="217"/>
      <c r="N417" s="217">
        <f t="shared" si="533"/>
        <v>1091.7806199053259</v>
      </c>
      <c r="O417" s="217">
        <f t="shared" si="533"/>
        <v>352.83773489999993</v>
      </c>
      <c r="P417" s="217">
        <f t="shared" si="533"/>
        <v>0</v>
      </c>
      <c r="Q417" s="217">
        <f t="shared" si="533"/>
        <v>3.2832911999999999</v>
      </c>
      <c r="R417" s="217">
        <f t="shared" si="533"/>
        <v>0</v>
      </c>
      <c r="S417" s="217">
        <f t="shared" si="533"/>
        <v>1447.9016460053258</v>
      </c>
      <c r="T417" s="217">
        <f t="shared" si="533"/>
        <v>0</v>
      </c>
      <c r="U417" s="217">
        <f t="shared" si="533"/>
        <v>1447.9016460053258</v>
      </c>
      <c r="V417" s="217">
        <f t="shared" si="533"/>
        <v>0</v>
      </c>
      <c r="W417" s="217">
        <f t="shared" si="533"/>
        <v>0</v>
      </c>
      <c r="X417" s="217">
        <f t="shared" si="533"/>
        <v>0</v>
      </c>
      <c r="Y417" s="217">
        <f t="shared" si="533"/>
        <v>0</v>
      </c>
      <c r="Z417" s="217">
        <f t="shared" si="533"/>
        <v>27.037835017206323</v>
      </c>
      <c r="AA417" s="219">
        <f t="shared" si="533"/>
        <v>1474.9394810225322</v>
      </c>
    </row>
    <row r="418" spans="2:27">
      <c r="B418" s="253" t="s">
        <v>918</v>
      </c>
      <c r="C418" s="193"/>
      <c r="D418" s="203"/>
      <c r="E418" s="237"/>
      <c r="F418" s="237"/>
      <c r="G418" s="237"/>
      <c r="H418" s="191"/>
      <c r="I418" s="203"/>
      <c r="J418" s="191"/>
      <c r="K418" s="191"/>
      <c r="L418" s="191">
        <f t="shared" ref="L418:L436" si="534">D418+0.75</f>
        <v>0.75</v>
      </c>
      <c r="M418" s="191"/>
      <c r="N418" s="195">
        <f t="shared" ref="N418:N428" si="535">H418*D418/10</f>
        <v>0</v>
      </c>
      <c r="O418" s="196">
        <f t="shared" ref="O418:O428" si="536">IF(E418&gt;0,(J418*10^3*E418/10^7)+(K418*0.7457*E418/10^7),(K418*F418/10^7)+(J418*(10^3)*(1/0.7457)*F418/10^7))</f>
        <v>0</v>
      </c>
      <c r="P418" s="332"/>
      <c r="Q418" s="196">
        <f t="shared" ref="Q418:Q428" si="537">G418*C418*12/10^7</f>
        <v>0</v>
      </c>
      <c r="R418" s="332"/>
      <c r="S418" s="196">
        <f t="shared" ref="S418:S428" si="538">N418+O418+P418+Q418+R418</f>
        <v>0</v>
      </c>
      <c r="T418" s="332"/>
      <c r="U418" s="196">
        <f t="shared" ref="U418:U428" si="539">S418-T418</f>
        <v>0</v>
      </c>
      <c r="V418" s="332"/>
      <c r="W418" s="332"/>
      <c r="X418" s="332"/>
      <c r="Y418" s="332"/>
      <c r="Z418" s="198"/>
      <c r="AA418" s="249">
        <f t="shared" ref="AA418:AA428" si="540">U418+Z418</f>
        <v>0</v>
      </c>
    </row>
    <row r="419" spans="2:27">
      <c r="B419" s="253" t="s">
        <v>914</v>
      </c>
      <c r="C419" s="193"/>
      <c r="D419" s="203">
        <v>7.8</v>
      </c>
      <c r="E419" s="237">
        <v>5700</v>
      </c>
      <c r="F419" s="237"/>
      <c r="G419" s="237">
        <v>1406</v>
      </c>
      <c r="H419" s="191">
        <v>271.36074962119295</v>
      </c>
      <c r="I419" s="203"/>
      <c r="J419" s="191"/>
      <c r="K419" s="191"/>
      <c r="L419" s="191">
        <f t="shared" si="534"/>
        <v>8.5500000000000007</v>
      </c>
      <c r="M419" s="191"/>
      <c r="N419" s="195">
        <f t="shared" si="535"/>
        <v>211.66138470453052</v>
      </c>
      <c r="O419" s="196">
        <f t="shared" si="536"/>
        <v>0</v>
      </c>
      <c r="P419" s="332"/>
      <c r="Q419" s="196">
        <f t="shared" si="537"/>
        <v>0</v>
      </c>
      <c r="R419" s="332"/>
      <c r="S419" s="196">
        <f t="shared" si="538"/>
        <v>211.66138470453052</v>
      </c>
      <c r="T419" s="332"/>
      <c r="U419" s="196">
        <f t="shared" si="539"/>
        <v>211.66138470453052</v>
      </c>
      <c r="V419" s="332"/>
      <c r="W419" s="332"/>
      <c r="X419" s="332"/>
      <c r="Y419" s="332"/>
      <c r="Z419" s="198"/>
      <c r="AA419" s="249">
        <f t="shared" si="540"/>
        <v>211.66138470453052</v>
      </c>
    </row>
    <row r="420" spans="2:27">
      <c r="B420" s="253" t="s">
        <v>915</v>
      </c>
      <c r="C420" s="193"/>
      <c r="D420" s="203">
        <v>5.55</v>
      </c>
      <c r="E420" s="237">
        <v>5700</v>
      </c>
      <c r="F420" s="237"/>
      <c r="G420" s="237">
        <v>1406</v>
      </c>
      <c r="H420" s="191">
        <v>373.30899129261951</v>
      </c>
      <c r="I420" s="203"/>
      <c r="J420" s="191"/>
      <c r="K420" s="191"/>
      <c r="L420" s="191">
        <f t="shared" si="534"/>
        <v>6.3</v>
      </c>
      <c r="M420" s="191"/>
      <c r="N420" s="195">
        <f t="shared" si="535"/>
        <v>207.18649016740383</v>
      </c>
      <c r="O420" s="196">
        <f t="shared" si="536"/>
        <v>0</v>
      </c>
      <c r="P420" s="332"/>
      <c r="Q420" s="196">
        <f t="shared" si="537"/>
        <v>0</v>
      </c>
      <c r="R420" s="332"/>
      <c r="S420" s="196">
        <f t="shared" si="538"/>
        <v>207.18649016740383</v>
      </c>
      <c r="T420" s="332"/>
      <c r="U420" s="196">
        <f t="shared" si="539"/>
        <v>207.18649016740383</v>
      </c>
      <c r="V420" s="332"/>
      <c r="W420" s="332"/>
      <c r="X420" s="332"/>
      <c r="Y420" s="332"/>
      <c r="Z420" s="198"/>
      <c r="AA420" s="249">
        <f t="shared" si="540"/>
        <v>207.18649016740383</v>
      </c>
    </row>
    <row r="421" spans="2:27">
      <c r="B421" s="253" t="s">
        <v>916</v>
      </c>
      <c r="C421" s="193">
        <v>1946</v>
      </c>
      <c r="D421" s="203">
        <v>6.3</v>
      </c>
      <c r="E421" s="237">
        <v>5700</v>
      </c>
      <c r="F421" s="237"/>
      <c r="G421" s="237">
        <v>1406</v>
      </c>
      <c r="H421" s="191">
        <v>197.49487229973948</v>
      </c>
      <c r="I421" s="203"/>
      <c r="J421" s="191">
        <v>619.01356999999996</v>
      </c>
      <c r="K421" s="191"/>
      <c r="L421" s="191">
        <f t="shared" si="534"/>
        <v>7.05</v>
      </c>
      <c r="M421" s="191"/>
      <c r="N421" s="195">
        <f t="shared" si="535"/>
        <v>124.42176954883587</v>
      </c>
      <c r="O421" s="196">
        <f t="shared" si="536"/>
        <v>352.83773489999993</v>
      </c>
      <c r="P421" s="332"/>
      <c r="Q421" s="196">
        <f t="shared" si="537"/>
        <v>3.2832911999999999</v>
      </c>
      <c r="R421" s="332"/>
      <c r="S421" s="196">
        <f t="shared" si="538"/>
        <v>480.54279564883581</v>
      </c>
      <c r="T421" s="332"/>
      <c r="U421" s="196">
        <f t="shared" si="539"/>
        <v>480.54279564883581</v>
      </c>
      <c r="V421" s="332"/>
      <c r="W421" s="332"/>
      <c r="X421" s="332"/>
      <c r="Y421" s="332"/>
      <c r="Z421" s="198">
        <f>(H417*$Z$532)/($H$532-$H$396-$H$398-$H$399)</f>
        <v>27.037835017206323</v>
      </c>
      <c r="AA421" s="249">
        <f t="shared" si="540"/>
        <v>507.58063066604211</v>
      </c>
    </row>
    <row r="422" spans="2:27">
      <c r="B422" s="253" t="s">
        <v>917</v>
      </c>
      <c r="C422" s="193"/>
      <c r="D422" s="203"/>
      <c r="E422" s="237"/>
      <c r="F422" s="237"/>
      <c r="G422" s="237"/>
      <c r="H422" s="191"/>
      <c r="I422" s="203"/>
      <c r="J422" s="191"/>
      <c r="K422" s="191"/>
      <c r="L422" s="191">
        <f t="shared" si="534"/>
        <v>0.75</v>
      </c>
      <c r="M422" s="191"/>
      <c r="N422" s="195">
        <f t="shared" si="535"/>
        <v>0</v>
      </c>
      <c r="O422" s="196">
        <f t="shared" si="536"/>
        <v>0</v>
      </c>
      <c r="P422" s="332"/>
      <c r="Q422" s="196">
        <f t="shared" si="537"/>
        <v>0</v>
      </c>
      <c r="R422" s="332"/>
      <c r="S422" s="196">
        <f t="shared" si="538"/>
        <v>0</v>
      </c>
      <c r="T422" s="332"/>
      <c r="U422" s="196">
        <f t="shared" si="539"/>
        <v>0</v>
      </c>
      <c r="V422" s="332"/>
      <c r="W422" s="332"/>
      <c r="X422" s="332"/>
      <c r="Y422" s="332"/>
      <c r="Z422" s="198"/>
      <c r="AA422" s="249">
        <f t="shared" si="540"/>
        <v>0</v>
      </c>
    </row>
    <row r="423" spans="2:27">
      <c r="B423" s="253" t="s">
        <v>914</v>
      </c>
      <c r="C423" s="193"/>
      <c r="D423" s="203">
        <v>7.3</v>
      </c>
      <c r="E423" s="237">
        <v>5700</v>
      </c>
      <c r="F423" s="237"/>
      <c r="G423" s="237">
        <v>1406</v>
      </c>
      <c r="H423" s="191">
        <v>279.75753697808494</v>
      </c>
      <c r="I423" s="203"/>
      <c r="J423" s="191"/>
      <c r="K423" s="191"/>
      <c r="L423" s="191">
        <f t="shared" si="534"/>
        <v>8.0500000000000007</v>
      </c>
      <c r="M423" s="191"/>
      <c r="N423" s="195">
        <f t="shared" si="535"/>
        <v>204.223001994002</v>
      </c>
      <c r="O423" s="196">
        <f t="shared" si="536"/>
        <v>0</v>
      </c>
      <c r="P423" s="332"/>
      <c r="Q423" s="196">
        <f t="shared" si="537"/>
        <v>0</v>
      </c>
      <c r="R423" s="332"/>
      <c r="S423" s="196">
        <f t="shared" si="538"/>
        <v>204.223001994002</v>
      </c>
      <c r="T423" s="332"/>
      <c r="U423" s="196">
        <f t="shared" si="539"/>
        <v>204.223001994002</v>
      </c>
      <c r="V423" s="332"/>
      <c r="W423" s="332"/>
      <c r="X423" s="332"/>
      <c r="Y423" s="332"/>
      <c r="Z423" s="198"/>
      <c r="AA423" s="249">
        <f t="shared" si="540"/>
        <v>204.223001994002</v>
      </c>
    </row>
    <row r="424" spans="2:27">
      <c r="B424" s="253" t="s">
        <v>915</v>
      </c>
      <c r="C424" s="193"/>
      <c r="D424" s="203">
        <v>5.55</v>
      </c>
      <c r="E424" s="237">
        <v>5700</v>
      </c>
      <c r="F424" s="237"/>
      <c r="G424" s="237">
        <v>1406</v>
      </c>
      <c r="H424" s="191">
        <v>383.6480091840819</v>
      </c>
      <c r="I424" s="203"/>
      <c r="J424" s="191"/>
      <c r="K424" s="191"/>
      <c r="L424" s="191">
        <f t="shared" si="534"/>
        <v>6.3</v>
      </c>
      <c r="M424" s="191"/>
      <c r="N424" s="195">
        <f t="shared" si="535"/>
        <v>212.92464509716547</v>
      </c>
      <c r="O424" s="196">
        <f t="shared" si="536"/>
        <v>0</v>
      </c>
      <c r="P424" s="332"/>
      <c r="Q424" s="196">
        <f t="shared" si="537"/>
        <v>0</v>
      </c>
      <c r="R424" s="332"/>
      <c r="S424" s="196">
        <f t="shared" si="538"/>
        <v>212.92464509716547</v>
      </c>
      <c r="T424" s="332"/>
      <c r="U424" s="196">
        <f t="shared" si="539"/>
        <v>212.92464509716547</v>
      </c>
      <c r="V424" s="332"/>
      <c r="W424" s="332"/>
      <c r="X424" s="332"/>
      <c r="Y424" s="332"/>
      <c r="Z424" s="198"/>
      <c r="AA424" s="249">
        <f t="shared" si="540"/>
        <v>212.92464509716547</v>
      </c>
    </row>
    <row r="425" spans="2:27">
      <c r="B425" s="253" t="s">
        <v>916</v>
      </c>
      <c r="C425" s="193"/>
      <c r="D425" s="203">
        <v>6.3</v>
      </c>
      <c r="E425" s="237">
        <v>5700</v>
      </c>
      <c r="F425" s="237"/>
      <c r="G425" s="237">
        <v>1406</v>
      </c>
      <c r="H425" s="191">
        <v>204.64379324739105</v>
      </c>
      <c r="I425" s="203"/>
      <c r="J425" s="191"/>
      <c r="K425" s="191"/>
      <c r="L425" s="191">
        <f t="shared" si="534"/>
        <v>7.05</v>
      </c>
      <c r="M425" s="191"/>
      <c r="N425" s="195">
        <f t="shared" si="535"/>
        <v>128.92558974585637</v>
      </c>
      <c r="O425" s="196">
        <f t="shared" si="536"/>
        <v>0</v>
      </c>
      <c r="P425" s="332"/>
      <c r="Q425" s="196">
        <f t="shared" si="537"/>
        <v>0</v>
      </c>
      <c r="R425" s="332"/>
      <c r="S425" s="196">
        <f t="shared" si="538"/>
        <v>128.92558974585637</v>
      </c>
      <c r="T425" s="332"/>
      <c r="U425" s="196">
        <f t="shared" si="539"/>
        <v>128.92558974585637</v>
      </c>
      <c r="V425" s="332"/>
      <c r="W425" s="332"/>
      <c r="X425" s="332"/>
      <c r="Y425" s="332"/>
      <c r="Z425" s="198"/>
      <c r="AA425" s="249">
        <f t="shared" si="540"/>
        <v>128.92558974585637</v>
      </c>
    </row>
    <row r="426" spans="2:27">
      <c r="B426" s="253" t="s">
        <v>592</v>
      </c>
      <c r="C426" s="193">
        <v>0</v>
      </c>
      <c r="D426" s="203">
        <v>7</v>
      </c>
      <c r="E426" s="237">
        <v>0</v>
      </c>
      <c r="F426" s="237"/>
      <c r="G426" s="237">
        <v>1406</v>
      </c>
      <c r="H426" s="191">
        <v>3.4824837821883379</v>
      </c>
      <c r="I426" s="203"/>
      <c r="J426" s="191">
        <v>0</v>
      </c>
      <c r="K426" s="191"/>
      <c r="L426" s="191">
        <f t="shared" si="534"/>
        <v>7.75</v>
      </c>
      <c r="M426" s="191"/>
      <c r="N426" s="195">
        <f t="shared" si="535"/>
        <v>2.4377386475318366</v>
      </c>
      <c r="O426" s="196">
        <f t="shared" si="536"/>
        <v>0</v>
      </c>
      <c r="P426" s="332"/>
      <c r="Q426" s="196">
        <f t="shared" si="537"/>
        <v>0</v>
      </c>
      <c r="R426" s="332"/>
      <c r="S426" s="196">
        <f t="shared" si="538"/>
        <v>2.4377386475318366</v>
      </c>
      <c r="T426" s="332"/>
      <c r="U426" s="196">
        <f t="shared" si="539"/>
        <v>2.4377386475318366</v>
      </c>
      <c r="V426" s="332"/>
      <c r="W426" s="332"/>
      <c r="X426" s="332"/>
      <c r="Y426" s="332"/>
      <c r="Z426" s="198"/>
      <c r="AA426" s="249">
        <f t="shared" si="540"/>
        <v>2.4377386475318366</v>
      </c>
    </row>
    <row r="427" spans="2:27">
      <c r="B427" s="215" t="s">
        <v>754</v>
      </c>
      <c r="C427" s="193">
        <v>127</v>
      </c>
      <c r="D427" s="217">
        <v>7.65</v>
      </c>
      <c r="E427" s="207">
        <v>5700</v>
      </c>
      <c r="F427" s="217"/>
      <c r="G427" s="222">
        <v>1406</v>
      </c>
      <c r="H427" s="191">
        <v>17.210951793933049</v>
      </c>
      <c r="I427" s="217"/>
      <c r="J427" s="191">
        <v>30.566180000000003</v>
      </c>
      <c r="K427" s="217"/>
      <c r="L427" s="191">
        <f t="shared" si="534"/>
        <v>8.4</v>
      </c>
      <c r="M427" s="217"/>
      <c r="N427" s="195">
        <f t="shared" si="535"/>
        <v>13.166378122358783</v>
      </c>
      <c r="O427" s="217">
        <f t="shared" si="536"/>
        <v>17.422722600000004</v>
      </c>
      <c r="P427" s="217"/>
      <c r="Q427" s="217">
        <f t="shared" si="537"/>
        <v>0.2142744</v>
      </c>
      <c r="R427" s="217"/>
      <c r="S427" s="217">
        <f t="shared" si="538"/>
        <v>30.803375122358787</v>
      </c>
      <c r="T427" s="217"/>
      <c r="U427" s="217">
        <f t="shared" si="539"/>
        <v>30.803375122358787</v>
      </c>
      <c r="V427" s="217"/>
      <c r="W427" s="217"/>
      <c r="X427" s="217"/>
      <c r="Y427" s="217"/>
      <c r="Z427" s="198">
        <f>(H427*$Z$532)/($H$532-$H$396-$H$398-$H$399)</f>
        <v>0.271545686393314</v>
      </c>
      <c r="AA427" s="219">
        <f t="shared" si="540"/>
        <v>31.0749208087521</v>
      </c>
    </row>
    <row r="428" spans="2:27">
      <c r="B428" s="215" t="s">
        <v>755</v>
      </c>
      <c r="C428" s="193">
        <v>0</v>
      </c>
      <c r="D428" s="217">
        <v>5.8</v>
      </c>
      <c r="E428" s="360">
        <v>5700</v>
      </c>
      <c r="F428" s="217"/>
      <c r="G428" s="222">
        <v>1406</v>
      </c>
      <c r="H428" s="191">
        <v>0</v>
      </c>
      <c r="I428" s="217"/>
      <c r="J428" s="191">
        <v>0</v>
      </c>
      <c r="K428" s="217"/>
      <c r="L428" s="191">
        <f t="shared" si="534"/>
        <v>6.55</v>
      </c>
      <c r="M428" s="217"/>
      <c r="N428" s="195">
        <f t="shared" si="535"/>
        <v>0</v>
      </c>
      <c r="O428" s="217">
        <f t="shared" si="536"/>
        <v>0</v>
      </c>
      <c r="P428" s="217"/>
      <c r="Q428" s="217">
        <f t="shared" si="537"/>
        <v>0</v>
      </c>
      <c r="R428" s="217"/>
      <c r="S428" s="217">
        <f t="shared" si="538"/>
        <v>0</v>
      </c>
      <c r="T428" s="217"/>
      <c r="U428" s="217">
        <f t="shared" si="539"/>
        <v>0</v>
      </c>
      <c r="V428" s="217"/>
      <c r="W428" s="217"/>
      <c r="X428" s="217"/>
      <c r="Y428" s="217"/>
      <c r="Z428" s="198">
        <f>(H428*$Z$532)/($H$532-$H$396-$H$398-$H$399)</f>
        <v>0</v>
      </c>
      <c r="AA428" s="219">
        <f t="shared" si="540"/>
        <v>0</v>
      </c>
    </row>
    <row r="429" spans="2:27">
      <c r="B429" s="239" t="s">
        <v>751</v>
      </c>
      <c r="C429" s="250">
        <f>SUM(C430:C433)</f>
        <v>285</v>
      </c>
      <c r="D429" s="240"/>
      <c r="E429" s="240"/>
      <c r="F429" s="240"/>
      <c r="G429" s="240"/>
      <c r="H429" s="240">
        <f>SUM(H430:H433)</f>
        <v>161.85106326617091</v>
      </c>
      <c r="I429" s="240">
        <f t="shared" ref="I429" si="541">SUM(I430:I433)</f>
        <v>0</v>
      </c>
      <c r="J429" s="240">
        <f>SUM(J430:J433)</f>
        <v>71.052999999999983</v>
      </c>
      <c r="K429" s="240">
        <f t="shared" ref="K429:AA429" si="542">SUM(K430:K433)</f>
        <v>0</v>
      </c>
      <c r="L429" s="240"/>
      <c r="M429" s="240"/>
      <c r="N429" s="240">
        <f t="shared" si="542"/>
        <v>123.76633501775171</v>
      </c>
      <c r="O429" s="240">
        <f t="shared" si="542"/>
        <v>38.012837999999995</v>
      </c>
      <c r="P429" s="240">
        <f t="shared" si="542"/>
        <v>0</v>
      </c>
      <c r="Q429" s="240">
        <f t="shared" si="542"/>
        <v>0.48085200000000006</v>
      </c>
      <c r="R429" s="240">
        <f t="shared" si="542"/>
        <v>0</v>
      </c>
      <c r="S429" s="240">
        <f t="shared" si="542"/>
        <v>162.2600250177517</v>
      </c>
      <c r="T429" s="240">
        <f t="shared" si="542"/>
        <v>0</v>
      </c>
      <c r="U429" s="240">
        <f t="shared" si="542"/>
        <v>162.2600250177517</v>
      </c>
      <c r="V429" s="240">
        <f t="shared" si="542"/>
        <v>0</v>
      </c>
      <c r="W429" s="240">
        <f t="shared" si="542"/>
        <v>0</v>
      </c>
      <c r="X429" s="240">
        <f t="shared" si="542"/>
        <v>0</v>
      </c>
      <c r="Y429" s="240">
        <f t="shared" si="542"/>
        <v>0</v>
      </c>
      <c r="Z429" s="240">
        <f t="shared" si="542"/>
        <v>2.5536041582309625</v>
      </c>
      <c r="AA429" s="241">
        <f t="shared" si="542"/>
        <v>164.8136291759827</v>
      </c>
    </row>
    <row r="430" spans="2:27" ht="21">
      <c r="B430" s="245" t="s">
        <v>756</v>
      </c>
      <c r="C430" s="193">
        <v>156</v>
      </c>
      <c r="D430" s="203">
        <v>7.65</v>
      </c>
      <c r="E430" s="237">
        <v>5700</v>
      </c>
      <c r="F430" s="237"/>
      <c r="G430" s="237">
        <v>1406</v>
      </c>
      <c r="H430" s="191">
        <v>123.82852389169005</v>
      </c>
      <c r="I430" s="203"/>
      <c r="J430" s="191">
        <v>39.331999999999994</v>
      </c>
      <c r="K430" s="191"/>
      <c r="L430" s="191">
        <f t="shared" si="534"/>
        <v>8.4</v>
      </c>
      <c r="M430" s="191"/>
      <c r="N430" s="195">
        <f t="shared" ref="N430:N433" si="543">H430*D430/10</f>
        <v>94.728820777142886</v>
      </c>
      <c r="O430" s="196">
        <f>IF(E430&gt;0,(J430*10^3*E430/10^7)+(K430*0.7457*E430/10^7),(K430*F430/10^7)+(J430*(10^3)*(1/0.7457)*F430/10^7))</f>
        <v>22.419239999999999</v>
      </c>
      <c r="P430" s="332"/>
      <c r="Q430" s="196">
        <f t="shared" ref="Q430:Q433" si="544">G430*C430*12/10^7</f>
        <v>0.26320320000000003</v>
      </c>
      <c r="R430" s="332"/>
      <c r="S430" s="196">
        <f>N430+O430+P430+Q430+R430</f>
        <v>117.41126397714289</v>
      </c>
      <c r="T430" s="332"/>
      <c r="U430" s="196">
        <f t="shared" ref="U430:U433" si="545">S430-T430</f>
        <v>117.41126397714289</v>
      </c>
      <c r="V430" s="332"/>
      <c r="W430" s="332"/>
      <c r="X430" s="332"/>
      <c r="Y430" s="332"/>
      <c r="Z430" s="198">
        <f>(H430*$Z$532)/($H$532-$H$396-$H$398-$H$399)</f>
        <v>1.953703776399681</v>
      </c>
      <c r="AA430" s="249">
        <f t="shared" ref="AA430:AA433" si="546">U430+Z430</f>
        <v>119.36496775354257</v>
      </c>
    </row>
    <row r="431" spans="2:27">
      <c r="B431" s="245" t="s">
        <v>757</v>
      </c>
      <c r="C431" s="193">
        <v>113</v>
      </c>
      <c r="D431" s="203">
        <v>7.95</v>
      </c>
      <c r="E431" s="237">
        <v>5700</v>
      </c>
      <c r="F431" s="237"/>
      <c r="G431" s="237">
        <v>1406</v>
      </c>
      <c r="H431" s="191">
        <v>33.987269672435268</v>
      </c>
      <c r="I431" s="203"/>
      <c r="J431" s="191">
        <v>27.062999999999995</v>
      </c>
      <c r="K431" s="191"/>
      <c r="L431" s="191">
        <f t="shared" si="534"/>
        <v>8.6999999999999993</v>
      </c>
      <c r="M431" s="191"/>
      <c r="N431" s="195">
        <f t="shared" si="543"/>
        <v>27.019879389586038</v>
      </c>
      <c r="O431" s="196">
        <f>IF(E431&gt;0,(J431*10^3*E431/10^7)+(K431*0.7457*E431/10^7),(K431*F431/10^7)+(J431*(10^3)*(1/0.7457)*F431/10^7))</f>
        <v>15.425909999999996</v>
      </c>
      <c r="P431" s="332"/>
      <c r="Q431" s="196">
        <f t="shared" si="544"/>
        <v>0.19065360000000001</v>
      </c>
      <c r="R431" s="332"/>
      <c r="S431" s="196">
        <f>N431+O431+P431+Q431+R431</f>
        <v>42.63644298958603</v>
      </c>
      <c r="T431" s="332"/>
      <c r="U431" s="196">
        <f t="shared" si="545"/>
        <v>42.63644298958603</v>
      </c>
      <c r="V431" s="332"/>
      <c r="W431" s="332"/>
      <c r="X431" s="332"/>
      <c r="Y431" s="332"/>
      <c r="Z431" s="198">
        <f>(H431*$Z$532)/($H$532-$H$396-$H$398-$H$399)</f>
        <v>0.53623393885104054</v>
      </c>
      <c r="AA431" s="249">
        <f t="shared" si="546"/>
        <v>43.17267692843707</v>
      </c>
    </row>
    <row r="432" spans="2:27">
      <c r="B432" s="245" t="s">
        <v>758</v>
      </c>
      <c r="C432" s="193">
        <v>16</v>
      </c>
      <c r="D432" s="203">
        <v>5</v>
      </c>
      <c r="E432" s="237">
        <v>360</v>
      </c>
      <c r="F432" s="237"/>
      <c r="G432" s="237">
        <v>1406</v>
      </c>
      <c r="H432" s="191">
        <v>4.0352697020455768</v>
      </c>
      <c r="I432" s="203"/>
      <c r="J432" s="191">
        <v>4.6579999999999995</v>
      </c>
      <c r="K432" s="191"/>
      <c r="L432" s="191">
        <f t="shared" si="534"/>
        <v>5.75</v>
      </c>
      <c r="M432" s="191"/>
      <c r="N432" s="195">
        <f t="shared" si="543"/>
        <v>2.0176348510227884</v>
      </c>
      <c r="O432" s="196">
        <f>IF(E432&gt;0,(J432*10^3*E432/10^7)+(K432*0.7457*E432/10^7),(K432*F432/10^7)+(J432*(10^3)*(1/0.7457)*F432/10^7))</f>
        <v>0.16768799999999998</v>
      </c>
      <c r="P432" s="332"/>
      <c r="Q432" s="196">
        <f t="shared" si="544"/>
        <v>2.69952E-2</v>
      </c>
      <c r="R432" s="332"/>
      <c r="S432" s="196">
        <f>N432+O432+P432+Q432+R432</f>
        <v>2.2123180510227884</v>
      </c>
      <c r="T432" s="332"/>
      <c r="U432" s="196">
        <f t="shared" si="545"/>
        <v>2.2123180510227884</v>
      </c>
      <c r="V432" s="332"/>
      <c r="W432" s="332"/>
      <c r="X432" s="332"/>
      <c r="Y432" s="332"/>
      <c r="Z432" s="198">
        <f>(H432*$Z$532)/($H$532-$H$396-$H$398-$H$399)</f>
        <v>6.3666442980240712E-2</v>
      </c>
      <c r="AA432" s="249">
        <f t="shared" si="546"/>
        <v>2.2759844940030289</v>
      </c>
    </row>
    <row r="433" spans="2:27">
      <c r="B433" s="245" t="s">
        <v>759</v>
      </c>
      <c r="C433" s="193">
        <v>0</v>
      </c>
      <c r="D433" s="203">
        <v>5.5</v>
      </c>
      <c r="E433" s="237">
        <v>4200</v>
      </c>
      <c r="F433" s="237"/>
      <c r="G433" s="237">
        <v>1406</v>
      </c>
      <c r="H433" s="191">
        <v>0</v>
      </c>
      <c r="I433" s="203"/>
      <c r="J433" s="191">
        <v>0</v>
      </c>
      <c r="K433" s="191"/>
      <c r="L433" s="191">
        <f t="shared" si="534"/>
        <v>6.25</v>
      </c>
      <c r="M433" s="191"/>
      <c r="N433" s="195">
        <f t="shared" si="543"/>
        <v>0</v>
      </c>
      <c r="O433" s="196">
        <f>IF(E433&gt;0,(J433*10^3*E433/10^7)+(K433*0.7457*E433/10^7),(K433*F433/10^7)+(J433*(10^3)*(1/0.7457)*F433/10^7))</f>
        <v>0</v>
      </c>
      <c r="P433" s="332"/>
      <c r="Q433" s="196">
        <f t="shared" si="544"/>
        <v>0</v>
      </c>
      <c r="R433" s="332"/>
      <c r="S433" s="196">
        <f>N433+O433+P433+Q433+R433</f>
        <v>0</v>
      </c>
      <c r="T433" s="332"/>
      <c r="U433" s="196">
        <f t="shared" si="545"/>
        <v>0</v>
      </c>
      <c r="V433" s="332"/>
      <c r="W433" s="332"/>
      <c r="X433" s="332"/>
      <c r="Y433" s="332"/>
      <c r="Z433" s="198">
        <f>(H433*$Z$532)/($H$532-$H$396-$H$398-$H$399)</f>
        <v>0</v>
      </c>
      <c r="AA433" s="249">
        <f t="shared" si="546"/>
        <v>0</v>
      </c>
    </row>
    <row r="434" spans="2:27">
      <c r="B434" s="239" t="s">
        <v>752</v>
      </c>
      <c r="C434" s="250">
        <f t="shared" ref="C434" si="547">C435+C436</f>
        <v>168</v>
      </c>
      <c r="D434" s="240"/>
      <c r="E434" s="240"/>
      <c r="F434" s="240"/>
      <c r="G434" s="240"/>
      <c r="H434" s="240">
        <f t="shared" ref="H434:AA434" si="548">H435+H436</f>
        <v>48.960584568516524</v>
      </c>
      <c r="I434" s="240">
        <f t="shared" si="548"/>
        <v>0</v>
      </c>
      <c r="J434" s="240">
        <f t="shared" ref="J434" si="549">J435+J436</f>
        <v>49.230030000000006</v>
      </c>
      <c r="K434" s="240">
        <f t="shared" si="548"/>
        <v>0</v>
      </c>
      <c r="L434" s="240"/>
      <c r="M434" s="240"/>
      <c r="N434" s="240">
        <f t="shared" si="548"/>
        <v>25.915279275558852</v>
      </c>
      <c r="O434" s="240">
        <f t="shared" si="548"/>
        <v>0.43522667999999998</v>
      </c>
      <c r="P434" s="240">
        <f t="shared" si="548"/>
        <v>0</v>
      </c>
      <c r="Q434" s="240">
        <f t="shared" si="548"/>
        <v>0.28344960000000002</v>
      </c>
      <c r="R434" s="240">
        <f t="shared" si="548"/>
        <v>0</v>
      </c>
      <c r="S434" s="240">
        <f t="shared" si="548"/>
        <v>26.633955555558856</v>
      </c>
      <c r="T434" s="240">
        <f t="shared" si="548"/>
        <v>0</v>
      </c>
      <c r="U434" s="240">
        <f t="shared" si="548"/>
        <v>26.633955555558856</v>
      </c>
      <c r="V434" s="240">
        <f t="shared" si="548"/>
        <v>0</v>
      </c>
      <c r="W434" s="240">
        <f t="shared" si="548"/>
        <v>0</v>
      </c>
      <c r="X434" s="240">
        <f t="shared" si="548"/>
        <v>0</v>
      </c>
      <c r="Y434" s="240">
        <f t="shared" si="548"/>
        <v>0</v>
      </c>
      <c r="Z434" s="240">
        <f t="shared" si="548"/>
        <v>0.77247532280941533</v>
      </c>
      <c r="AA434" s="241">
        <f t="shared" si="548"/>
        <v>27.406430878368269</v>
      </c>
    </row>
    <row r="435" spans="2:27">
      <c r="B435" s="253" t="s">
        <v>760</v>
      </c>
      <c r="C435" s="193">
        <v>47</v>
      </c>
      <c r="D435" s="203">
        <v>3.85</v>
      </c>
      <c r="E435" s="237">
        <v>360</v>
      </c>
      <c r="F435" s="237"/>
      <c r="G435" s="237">
        <v>1406</v>
      </c>
      <c r="H435" s="191">
        <v>27.550117245243811</v>
      </c>
      <c r="I435" s="203"/>
      <c r="J435" s="191">
        <v>12.08963</v>
      </c>
      <c r="K435" s="191"/>
      <c r="L435" s="191">
        <f t="shared" si="534"/>
        <v>4.5999999999999996</v>
      </c>
      <c r="M435" s="191"/>
      <c r="N435" s="195">
        <f t="shared" ref="N435:N436" si="550">H435*D435/10</f>
        <v>10.606795139418868</v>
      </c>
      <c r="O435" s="196">
        <f>IF(E435&gt;0,(J435*10^3*E435/10^7)+(K435*0.7457*E435/10^7),(K435*F435/10^7)+(J435*(10^3)*(1/0.7457)*F435/10^7))</f>
        <v>0.43522667999999998</v>
      </c>
      <c r="P435" s="332"/>
      <c r="Q435" s="196">
        <f t="shared" ref="Q435:Q438" si="551">G435*C435*12/10^7</f>
        <v>7.9298400000000005E-2</v>
      </c>
      <c r="R435" s="332"/>
      <c r="S435" s="196">
        <f>N435+O435+P435+Q435+R435</f>
        <v>11.121320219418868</v>
      </c>
      <c r="T435" s="332"/>
      <c r="U435" s="196">
        <f t="shared" ref="U435:U438" si="552">S435-T435</f>
        <v>11.121320219418868</v>
      </c>
      <c r="V435" s="332"/>
      <c r="W435" s="332"/>
      <c r="X435" s="332"/>
      <c r="Y435" s="332"/>
      <c r="Z435" s="198">
        <f>(H435*$Z$532)/($H$532-$H$396-$H$398-$H$399)</f>
        <v>0.43467180590286364</v>
      </c>
      <c r="AA435" s="249">
        <f t="shared" ref="AA435:AA437" si="553">U435+Z435</f>
        <v>11.555992025321732</v>
      </c>
    </row>
    <row r="436" spans="2:27">
      <c r="B436" s="253" t="s">
        <v>761</v>
      </c>
      <c r="C436" s="193">
        <v>121</v>
      </c>
      <c r="D436" s="203">
        <v>7.15</v>
      </c>
      <c r="E436" s="237">
        <v>0</v>
      </c>
      <c r="F436" s="237"/>
      <c r="G436" s="237">
        <v>1406</v>
      </c>
      <c r="H436" s="191">
        <v>21.410467323272709</v>
      </c>
      <c r="I436" s="203"/>
      <c r="J436" s="191">
        <v>37.140400000000007</v>
      </c>
      <c r="K436" s="191"/>
      <c r="L436" s="191">
        <f t="shared" si="534"/>
        <v>7.9</v>
      </c>
      <c r="M436" s="191"/>
      <c r="N436" s="195">
        <f t="shared" si="550"/>
        <v>15.308484136139986</v>
      </c>
      <c r="O436" s="196">
        <f>IF(E436&gt;0,(J436*10^3*E436/10^7)+(K436*0.7457*E436/10^7),(K436*F436/10^7)+(J436*(10^3)*(1/0.7457)*F436/10^7))</f>
        <v>0</v>
      </c>
      <c r="P436" s="332"/>
      <c r="Q436" s="196">
        <f t="shared" si="551"/>
        <v>0.2041512</v>
      </c>
      <c r="R436" s="332"/>
      <c r="S436" s="196">
        <f>N436+O436+P436+Q436+R436</f>
        <v>15.512635336139986</v>
      </c>
      <c r="T436" s="332"/>
      <c r="U436" s="196">
        <f t="shared" si="552"/>
        <v>15.512635336139986</v>
      </c>
      <c r="V436" s="332"/>
      <c r="W436" s="332"/>
      <c r="X436" s="332"/>
      <c r="Y436" s="332"/>
      <c r="Z436" s="198">
        <f>(H436*$Z$532)/($H$532-$H$396-$H$398-$H$399)</f>
        <v>0.33780351690655169</v>
      </c>
      <c r="AA436" s="249">
        <f t="shared" si="553"/>
        <v>15.850438853046539</v>
      </c>
    </row>
    <row r="437" spans="2:27">
      <c r="B437" s="246"/>
      <c r="C437" s="237"/>
      <c r="D437" s="237"/>
      <c r="E437" s="237"/>
      <c r="F437" s="237"/>
      <c r="G437" s="237"/>
      <c r="H437" s="203"/>
      <c r="I437" s="203"/>
      <c r="J437" s="203"/>
      <c r="K437" s="203"/>
      <c r="L437" s="346"/>
      <c r="M437" s="203"/>
      <c r="N437" s="195"/>
      <c r="O437" s="196">
        <f>IF(E437&gt;0,(J437*10^3*E437/10^7)+(K437*0.7457*E437/10^7),(K437*F437/10^7)+(J437*(10^3)*(1/0.7457)*F437/10^7))</f>
        <v>0</v>
      </c>
      <c r="P437" s="332"/>
      <c r="Q437" s="196">
        <f t="shared" si="551"/>
        <v>0</v>
      </c>
      <c r="R437" s="332"/>
      <c r="S437" s="196">
        <f>N437+O437+P437+Q437+R437</f>
        <v>0</v>
      </c>
      <c r="T437" s="203"/>
      <c r="U437" s="196">
        <f t="shared" si="552"/>
        <v>0</v>
      </c>
      <c r="V437" s="203"/>
      <c r="W437" s="203"/>
      <c r="X437" s="203"/>
      <c r="Y437" s="203"/>
      <c r="Z437" s="198"/>
      <c r="AA437" s="249">
        <f t="shared" si="553"/>
        <v>0</v>
      </c>
    </row>
    <row r="438" spans="2:27">
      <c r="B438" s="140"/>
      <c r="C438" s="367"/>
      <c r="D438" s="199"/>
      <c r="E438" s="199"/>
      <c r="F438" s="199"/>
      <c r="G438" s="248"/>
      <c r="H438" s="199"/>
      <c r="I438" s="199"/>
      <c r="J438" s="199"/>
      <c r="K438" s="199"/>
      <c r="L438" s="351"/>
      <c r="M438" s="199"/>
      <c r="N438" s="195"/>
      <c r="O438" s="196">
        <f>IF(E438&gt;0,(J438*10^3*E438/10^7)+(K438*0.7457*E438/10^7),(K438*F438/10^7)+(J438*(10^3)*(1/0.7457)*F438/10^7))</f>
        <v>0</v>
      </c>
      <c r="P438" s="332"/>
      <c r="Q438" s="196">
        <f t="shared" si="551"/>
        <v>0</v>
      </c>
      <c r="R438" s="332"/>
      <c r="S438" s="196">
        <f>N438+O438+P438+Q438+R438</f>
        <v>0</v>
      </c>
      <c r="T438" s="332"/>
      <c r="U438" s="196">
        <f t="shared" si="552"/>
        <v>0</v>
      </c>
      <c r="V438" s="332"/>
      <c r="W438" s="332"/>
      <c r="X438" s="332"/>
      <c r="Y438" s="332"/>
      <c r="Z438" s="198"/>
      <c r="AA438" s="249"/>
    </row>
    <row r="439" spans="2:27">
      <c r="B439" s="232" t="s">
        <v>721</v>
      </c>
      <c r="C439" s="255">
        <f>C440+C441+C448+C461+C466</f>
        <v>374</v>
      </c>
      <c r="D439" s="368"/>
      <c r="E439" s="369"/>
      <c r="F439" s="369"/>
      <c r="G439" s="234"/>
      <c r="H439" s="233">
        <f>H440+H441+H448+H461+H466</f>
        <v>3049.8880526592584</v>
      </c>
      <c r="I439" s="233">
        <f t="shared" ref="I439" si="554">I440+I441+I448+I461+I466</f>
        <v>0</v>
      </c>
      <c r="J439" s="233">
        <f>J440+J441+J448+J461+J466</f>
        <v>847.45258000000001</v>
      </c>
      <c r="K439" s="233">
        <f t="shared" ref="K439:AA439" si="555">K440+K441+K448+K461+K466</f>
        <v>0</v>
      </c>
      <c r="L439" s="359"/>
      <c r="M439" s="233">
        <f t="shared" si="555"/>
        <v>7.7972797500000004</v>
      </c>
      <c r="N439" s="233">
        <f t="shared" si="555"/>
        <v>1846.7103476093105</v>
      </c>
      <c r="O439" s="233">
        <f t="shared" si="555"/>
        <v>424.63647000000003</v>
      </c>
      <c r="P439" s="233">
        <f t="shared" si="555"/>
        <v>0</v>
      </c>
      <c r="Q439" s="233">
        <f t="shared" si="555"/>
        <v>1.2624743999999999</v>
      </c>
      <c r="R439" s="233">
        <f t="shared" si="555"/>
        <v>0</v>
      </c>
      <c r="S439" s="233">
        <f t="shared" si="555"/>
        <v>2272.6092920093106</v>
      </c>
      <c r="T439" s="233">
        <f t="shared" si="555"/>
        <v>0</v>
      </c>
      <c r="U439" s="233">
        <f t="shared" si="555"/>
        <v>2272.6092920093106</v>
      </c>
      <c r="V439" s="233">
        <f t="shared" si="555"/>
        <v>0</v>
      </c>
      <c r="W439" s="233">
        <f t="shared" si="555"/>
        <v>0</v>
      </c>
      <c r="X439" s="233">
        <f t="shared" si="555"/>
        <v>0</v>
      </c>
      <c r="Y439" s="233">
        <f t="shared" si="555"/>
        <v>0</v>
      </c>
      <c r="Z439" s="359">
        <f t="shared" si="555"/>
        <v>48.119590049288576</v>
      </c>
      <c r="AA439" s="235">
        <f t="shared" si="555"/>
        <v>2320.7288820585991</v>
      </c>
    </row>
    <row r="440" spans="2:27">
      <c r="B440" s="253" t="s">
        <v>743</v>
      </c>
      <c r="C440" s="193">
        <v>3</v>
      </c>
      <c r="D440" s="203">
        <v>7</v>
      </c>
      <c r="E440" s="237">
        <v>900</v>
      </c>
      <c r="F440" s="237"/>
      <c r="G440" s="237">
        <v>2813</v>
      </c>
      <c r="H440" s="191">
        <v>12.472778192954678</v>
      </c>
      <c r="I440" s="203"/>
      <c r="J440" s="191">
        <v>4.1500000000000004</v>
      </c>
      <c r="K440" s="191"/>
      <c r="L440" s="191">
        <f t="shared" ref="L440:L447" si="556">D440+0.75</f>
        <v>7.75</v>
      </c>
      <c r="M440" s="191"/>
      <c r="N440" s="195">
        <f t="shared" ref="N440" si="557">H440*D440/10</f>
        <v>8.7309447350682738</v>
      </c>
      <c r="O440" s="196">
        <f>IF(E440&gt;0,(J440*10^3*E440/10^7)+(K440*0.7457*E440/10^7),(K440*F440/10^7)+(J440*(10^3)*(1/0.7457)*F440/10^7))</f>
        <v>0.3735</v>
      </c>
      <c r="P440" s="332"/>
      <c r="Q440" s="196">
        <f t="shared" ref="Q440" si="558">G440*C440*12/10^7</f>
        <v>1.01268E-2</v>
      </c>
      <c r="R440" s="332"/>
      <c r="S440" s="196">
        <f>N440+O440+P440+Q440+R440</f>
        <v>9.1145715350682739</v>
      </c>
      <c r="T440" s="332"/>
      <c r="U440" s="196">
        <f t="shared" ref="U440" si="559">S440-T440</f>
        <v>9.1145715350682739</v>
      </c>
      <c r="V440" s="332"/>
      <c r="W440" s="332"/>
      <c r="X440" s="332"/>
      <c r="Y440" s="332"/>
      <c r="Z440" s="198">
        <f>(H440*$Z$532)/($H$532-$H$396-$H$398-$H$399)</f>
        <v>0.19678918145778246</v>
      </c>
      <c r="AA440" s="249">
        <f t="shared" ref="AA440" si="560">U440+Z440</f>
        <v>9.3113607165260568</v>
      </c>
    </row>
    <row r="441" spans="2:27">
      <c r="B441" s="239" t="s">
        <v>744</v>
      </c>
      <c r="C441" s="250">
        <f>SUM(C442:C447)</f>
        <v>96</v>
      </c>
      <c r="D441" s="240"/>
      <c r="E441" s="240"/>
      <c r="F441" s="250"/>
      <c r="G441" s="240"/>
      <c r="H441" s="240">
        <f>SUM(H442:H447)</f>
        <v>260.05020295120704</v>
      </c>
      <c r="I441" s="240">
        <f t="shared" ref="I441" si="561">SUM(I442:I447)</f>
        <v>0</v>
      </c>
      <c r="J441" s="240">
        <f>SUM(J442:J447)</f>
        <v>122.46858000000006</v>
      </c>
      <c r="K441" s="240">
        <f t="shared" ref="K441:AA441" si="562">SUM(K442:K447)</f>
        <v>0</v>
      </c>
      <c r="L441" s="240"/>
      <c r="M441" s="240">
        <f>M442+M443</f>
        <v>7.7972797500000004</v>
      </c>
      <c r="N441" s="240">
        <f t="shared" si="562"/>
        <v>193.58226378167598</v>
      </c>
      <c r="O441" s="240">
        <f t="shared" si="562"/>
        <v>63.462090000000039</v>
      </c>
      <c r="P441" s="240">
        <f t="shared" si="562"/>
        <v>0</v>
      </c>
      <c r="Q441" s="240">
        <f t="shared" si="562"/>
        <v>0.3240576</v>
      </c>
      <c r="R441" s="240">
        <f t="shared" si="562"/>
        <v>0</v>
      </c>
      <c r="S441" s="240">
        <f t="shared" si="562"/>
        <v>257.36841138167603</v>
      </c>
      <c r="T441" s="240">
        <f t="shared" si="562"/>
        <v>0</v>
      </c>
      <c r="U441" s="240">
        <f t="shared" si="562"/>
        <v>257.36841138167603</v>
      </c>
      <c r="V441" s="240">
        <f t="shared" si="562"/>
        <v>0</v>
      </c>
      <c r="W441" s="240">
        <f t="shared" si="562"/>
        <v>0</v>
      </c>
      <c r="X441" s="240">
        <f t="shared" si="562"/>
        <v>0</v>
      </c>
      <c r="Y441" s="240">
        <f t="shared" si="562"/>
        <v>0</v>
      </c>
      <c r="Z441" s="240">
        <f t="shared" si="562"/>
        <v>4.1029404824664297</v>
      </c>
      <c r="AA441" s="241">
        <f t="shared" si="562"/>
        <v>261.47135186414243</v>
      </c>
    </row>
    <row r="442" spans="2:27">
      <c r="B442" s="253" t="s">
        <v>745</v>
      </c>
      <c r="C442" s="193">
        <v>69</v>
      </c>
      <c r="D442" s="203">
        <v>6.95</v>
      </c>
      <c r="E442" s="237">
        <v>5700</v>
      </c>
      <c r="F442" s="237"/>
      <c r="G442" s="237">
        <v>2813</v>
      </c>
      <c r="H442" s="191">
        <v>202.47847474385347</v>
      </c>
      <c r="I442" s="203"/>
      <c r="J442" s="191">
        <v>111.33700000000006</v>
      </c>
      <c r="K442" s="191"/>
      <c r="L442" s="191">
        <f t="shared" si="556"/>
        <v>7.7</v>
      </c>
      <c r="M442" s="191">
        <v>6.2576465937500005</v>
      </c>
      <c r="N442" s="195">
        <f>(H442*D442/10)+(L442*M442)/10</f>
        <v>145.54092782416566</v>
      </c>
      <c r="O442" s="196">
        <f t="shared" ref="O442:O447" si="563">IF(E442&gt;0,(J442*10^3*E442/10^7)+(K442*0.7457*E442/10^7),(K442*F442/10^7)+(J442*(10^3)*(1/0.7457)*F442/10^7))</f>
        <v>63.462090000000039</v>
      </c>
      <c r="P442" s="332"/>
      <c r="Q442" s="196">
        <f t="shared" ref="Q442:Q447" si="564">G442*C442*12/10^7</f>
        <v>0.2329164</v>
      </c>
      <c r="R442" s="332"/>
      <c r="S442" s="196">
        <f t="shared" ref="S442:S447" si="565">N442+O442+P442+Q442+R442</f>
        <v>209.2359342241657</v>
      </c>
      <c r="T442" s="332"/>
      <c r="U442" s="196">
        <f t="shared" ref="U442:U447" si="566">S442-T442</f>
        <v>209.2359342241657</v>
      </c>
      <c r="V442" s="332"/>
      <c r="W442" s="332"/>
      <c r="X442" s="332"/>
      <c r="Y442" s="332"/>
      <c r="Z442" s="198">
        <f t="shared" ref="Z442:Z447" si="567">(H442*$Z$532)/($H$532-$H$396-$H$398-$H$399)</f>
        <v>3.1946028936977497</v>
      </c>
      <c r="AA442" s="249">
        <f t="shared" ref="AA442:AA447" si="568">U442+Z442</f>
        <v>212.43053711786345</v>
      </c>
    </row>
    <row r="443" spans="2:27">
      <c r="B443" s="253" t="s">
        <v>697</v>
      </c>
      <c r="C443" s="193">
        <v>0</v>
      </c>
      <c r="D443" s="203">
        <v>7.95</v>
      </c>
      <c r="E443" s="237">
        <v>5700</v>
      </c>
      <c r="F443" s="237"/>
      <c r="G443" s="237"/>
      <c r="H443" s="191">
        <v>55.40351614519831</v>
      </c>
      <c r="I443" s="203"/>
      <c r="J443" s="191">
        <v>0</v>
      </c>
      <c r="K443" s="191"/>
      <c r="L443" s="191">
        <f t="shared" si="556"/>
        <v>8.6999999999999993</v>
      </c>
      <c r="M443" s="191">
        <v>1.5396331562499999</v>
      </c>
      <c r="N443" s="195">
        <f>(H443*D443/10)+(L443*M443)/10</f>
        <v>45.385276181370159</v>
      </c>
      <c r="O443" s="196">
        <f t="shared" si="563"/>
        <v>0</v>
      </c>
      <c r="P443" s="332"/>
      <c r="Q443" s="196">
        <f t="shared" si="564"/>
        <v>0</v>
      </c>
      <c r="R443" s="332"/>
      <c r="S443" s="196">
        <f t="shared" si="565"/>
        <v>45.385276181370159</v>
      </c>
      <c r="T443" s="332"/>
      <c r="U443" s="196">
        <f t="shared" si="566"/>
        <v>45.385276181370159</v>
      </c>
      <c r="V443" s="332"/>
      <c r="W443" s="332"/>
      <c r="X443" s="332"/>
      <c r="Y443" s="332"/>
      <c r="Z443" s="198">
        <f t="shared" si="567"/>
        <v>0.87412863625323889</v>
      </c>
      <c r="AA443" s="249">
        <f t="shared" si="568"/>
        <v>46.259404817623398</v>
      </c>
    </row>
    <row r="444" spans="2:27">
      <c r="B444" s="253" t="s">
        <v>746</v>
      </c>
      <c r="C444" s="193">
        <v>0</v>
      </c>
      <c r="D444" s="203">
        <v>12.25</v>
      </c>
      <c r="E444" s="237">
        <v>0</v>
      </c>
      <c r="F444" s="237"/>
      <c r="G444" s="237">
        <v>2813</v>
      </c>
      <c r="H444" s="191">
        <v>0</v>
      </c>
      <c r="I444" s="203"/>
      <c r="J444" s="191">
        <v>0</v>
      </c>
      <c r="K444" s="191"/>
      <c r="L444" s="191">
        <f t="shared" si="556"/>
        <v>13</v>
      </c>
      <c r="M444" s="191"/>
      <c r="N444" s="195">
        <f t="shared" ref="N444:N447" si="569">H444*D444/10</f>
        <v>0</v>
      </c>
      <c r="O444" s="196">
        <f t="shared" si="563"/>
        <v>0</v>
      </c>
      <c r="P444" s="332"/>
      <c r="Q444" s="196">
        <f t="shared" si="564"/>
        <v>0</v>
      </c>
      <c r="R444" s="332"/>
      <c r="S444" s="196">
        <f t="shared" si="565"/>
        <v>0</v>
      </c>
      <c r="T444" s="332"/>
      <c r="U444" s="196">
        <f t="shared" si="566"/>
        <v>0</v>
      </c>
      <c r="V444" s="332"/>
      <c r="W444" s="332"/>
      <c r="X444" s="332"/>
      <c r="Y444" s="332"/>
      <c r="Z444" s="198">
        <f t="shared" si="567"/>
        <v>0</v>
      </c>
      <c r="AA444" s="249">
        <f t="shared" si="568"/>
        <v>0</v>
      </c>
    </row>
    <row r="445" spans="2:27">
      <c r="B445" s="253" t="s">
        <v>747</v>
      </c>
      <c r="C445" s="193">
        <v>27</v>
      </c>
      <c r="D445" s="203">
        <v>12.25</v>
      </c>
      <c r="E445" s="237">
        <v>0</v>
      </c>
      <c r="F445" s="237"/>
      <c r="G445" s="237">
        <v>2813</v>
      </c>
      <c r="H445" s="191">
        <v>2.1682120621552379</v>
      </c>
      <c r="I445" s="203"/>
      <c r="J445" s="191">
        <v>11.13158</v>
      </c>
      <c r="K445" s="191"/>
      <c r="L445" s="191">
        <f t="shared" si="556"/>
        <v>13</v>
      </c>
      <c r="M445" s="191"/>
      <c r="N445" s="195">
        <f t="shared" si="569"/>
        <v>2.6560597761401663</v>
      </c>
      <c r="O445" s="196">
        <f t="shared" si="563"/>
        <v>0</v>
      </c>
      <c r="P445" s="332"/>
      <c r="Q445" s="196">
        <f t="shared" si="564"/>
        <v>9.1141200000000006E-2</v>
      </c>
      <c r="R445" s="332"/>
      <c r="S445" s="196">
        <f t="shared" si="565"/>
        <v>2.7472009761401663</v>
      </c>
      <c r="T445" s="332"/>
      <c r="U445" s="196">
        <f t="shared" si="566"/>
        <v>2.7472009761401663</v>
      </c>
      <c r="V445" s="332"/>
      <c r="W445" s="332"/>
      <c r="X445" s="332"/>
      <c r="Y445" s="332"/>
      <c r="Z445" s="198">
        <f t="shared" si="567"/>
        <v>3.420895251544142E-2</v>
      </c>
      <c r="AA445" s="249">
        <f t="shared" si="568"/>
        <v>2.7814099286556075</v>
      </c>
    </row>
    <row r="446" spans="2:27">
      <c r="B446" s="253" t="s">
        <v>748</v>
      </c>
      <c r="C446" s="193">
        <v>0</v>
      </c>
      <c r="D446" s="203">
        <v>6.7</v>
      </c>
      <c r="E446" s="237">
        <v>0</v>
      </c>
      <c r="F446" s="237"/>
      <c r="G446" s="237">
        <v>2813</v>
      </c>
      <c r="H446" s="191">
        <v>0</v>
      </c>
      <c r="I446" s="203"/>
      <c r="J446" s="191">
        <v>0</v>
      </c>
      <c r="K446" s="191"/>
      <c r="L446" s="191">
        <f t="shared" si="556"/>
        <v>7.45</v>
      </c>
      <c r="M446" s="191"/>
      <c r="N446" s="195">
        <f t="shared" si="569"/>
        <v>0</v>
      </c>
      <c r="O446" s="196">
        <f t="shared" si="563"/>
        <v>0</v>
      </c>
      <c r="P446" s="332"/>
      <c r="Q446" s="196">
        <f t="shared" si="564"/>
        <v>0</v>
      </c>
      <c r="R446" s="332"/>
      <c r="S446" s="196">
        <f t="shared" si="565"/>
        <v>0</v>
      </c>
      <c r="T446" s="332"/>
      <c r="U446" s="196">
        <f t="shared" si="566"/>
        <v>0</v>
      </c>
      <c r="V446" s="332"/>
      <c r="W446" s="332"/>
      <c r="X446" s="332"/>
      <c r="Y446" s="332"/>
      <c r="Z446" s="198">
        <f t="shared" si="567"/>
        <v>0</v>
      </c>
      <c r="AA446" s="249">
        <f t="shared" si="568"/>
        <v>0</v>
      </c>
    </row>
    <row r="447" spans="2:27">
      <c r="B447" s="253" t="s">
        <v>749</v>
      </c>
      <c r="C447" s="193">
        <v>0</v>
      </c>
      <c r="D447" s="203">
        <v>12.25</v>
      </c>
      <c r="E447" s="237">
        <v>0</v>
      </c>
      <c r="F447" s="237"/>
      <c r="G447" s="237">
        <v>2813</v>
      </c>
      <c r="H447" s="191">
        <v>0</v>
      </c>
      <c r="I447" s="203"/>
      <c r="J447" s="191">
        <v>0</v>
      </c>
      <c r="K447" s="191"/>
      <c r="L447" s="191">
        <f t="shared" si="556"/>
        <v>13</v>
      </c>
      <c r="M447" s="191"/>
      <c r="N447" s="195">
        <f t="shared" si="569"/>
        <v>0</v>
      </c>
      <c r="O447" s="196">
        <f t="shared" si="563"/>
        <v>0</v>
      </c>
      <c r="P447" s="332"/>
      <c r="Q447" s="196">
        <f t="shared" si="564"/>
        <v>0</v>
      </c>
      <c r="R447" s="332"/>
      <c r="S447" s="196">
        <f t="shared" si="565"/>
        <v>0</v>
      </c>
      <c r="T447" s="332"/>
      <c r="U447" s="196">
        <f t="shared" si="566"/>
        <v>0</v>
      </c>
      <c r="V447" s="332"/>
      <c r="W447" s="332"/>
      <c r="X447" s="332"/>
      <c r="Y447" s="332"/>
      <c r="Z447" s="198">
        <f t="shared" si="567"/>
        <v>0</v>
      </c>
      <c r="AA447" s="249">
        <f t="shared" si="568"/>
        <v>0</v>
      </c>
    </row>
    <row r="448" spans="2:27">
      <c r="B448" s="239" t="s">
        <v>750</v>
      </c>
      <c r="C448" s="250">
        <f>C449+C459+C460</f>
        <v>255</v>
      </c>
      <c r="D448" s="240"/>
      <c r="E448" s="240"/>
      <c r="F448" s="240"/>
      <c r="G448" s="240"/>
      <c r="H448" s="240">
        <f>H449+H459+H460</f>
        <v>2722.7743854654664</v>
      </c>
      <c r="I448" s="240">
        <f t="shared" ref="I448" si="570">I449+I459+I460</f>
        <v>0</v>
      </c>
      <c r="J448" s="240">
        <f>J449+J459+J460</f>
        <v>627.85899999999992</v>
      </c>
      <c r="K448" s="240">
        <f t="shared" ref="K448:AA448" si="571">K449+K459+K460</f>
        <v>0</v>
      </c>
      <c r="L448" s="240"/>
      <c r="M448" s="240"/>
      <c r="N448" s="240">
        <f t="shared" si="571"/>
        <v>1605.4321403370809</v>
      </c>
      <c r="O448" s="240">
        <f t="shared" si="571"/>
        <v>357.87963000000002</v>
      </c>
      <c r="P448" s="240">
        <f t="shared" si="571"/>
        <v>0</v>
      </c>
      <c r="Q448" s="240">
        <f t="shared" si="571"/>
        <v>0.86077799999999993</v>
      </c>
      <c r="R448" s="240">
        <f t="shared" si="571"/>
        <v>0</v>
      </c>
      <c r="S448" s="240">
        <f t="shared" si="571"/>
        <v>1964.172548337081</v>
      </c>
      <c r="T448" s="240">
        <f t="shared" si="571"/>
        <v>0</v>
      </c>
      <c r="U448" s="240">
        <f t="shared" si="571"/>
        <v>1964.172548337081</v>
      </c>
      <c r="V448" s="240">
        <f t="shared" si="571"/>
        <v>0</v>
      </c>
      <c r="W448" s="240">
        <f t="shared" si="571"/>
        <v>0</v>
      </c>
      <c r="X448" s="240">
        <f t="shared" si="571"/>
        <v>0</v>
      </c>
      <c r="Y448" s="240">
        <f t="shared" si="571"/>
        <v>0</v>
      </c>
      <c r="Z448" s="240">
        <f t="shared" si="571"/>
        <v>42.958556170959781</v>
      </c>
      <c r="AA448" s="241">
        <f t="shared" si="571"/>
        <v>2007.1311045080411</v>
      </c>
    </row>
    <row r="449" spans="2:27">
      <c r="B449" s="215" t="s">
        <v>753</v>
      </c>
      <c r="C449" s="216">
        <f>C451+C452+C453+C455+C456+C457+C458</f>
        <v>244</v>
      </c>
      <c r="D449" s="217"/>
      <c r="E449" s="207"/>
      <c r="F449" s="217"/>
      <c r="G449" s="218"/>
      <c r="H449" s="217">
        <f>H451+H452+H453+H455+H456+H457+H458</f>
        <v>2486.4643462307563</v>
      </c>
      <c r="I449" s="217">
        <f t="shared" ref="I449" si="572">I451+I452+I453+I455+I456+I457+I458</f>
        <v>0</v>
      </c>
      <c r="J449" s="217">
        <f>J451+J452+J453+J455+J456+J457+J458</f>
        <v>595.94399999999996</v>
      </c>
      <c r="K449" s="217">
        <f t="shared" ref="K449:AA449" si="573">K451+K452+K453+K455+K456+K457+K458</f>
        <v>0</v>
      </c>
      <c r="L449" s="217"/>
      <c r="M449" s="217"/>
      <c r="N449" s="217">
        <f t="shared" si="573"/>
        <v>1477.3417238955692</v>
      </c>
      <c r="O449" s="217">
        <f t="shared" si="573"/>
        <v>339.68808000000001</v>
      </c>
      <c r="P449" s="217">
        <f t="shared" si="573"/>
        <v>0</v>
      </c>
      <c r="Q449" s="217">
        <f t="shared" si="573"/>
        <v>0.8236464</v>
      </c>
      <c r="R449" s="217">
        <f t="shared" si="573"/>
        <v>0</v>
      </c>
      <c r="S449" s="217">
        <f t="shared" si="573"/>
        <v>1817.8534502955692</v>
      </c>
      <c r="T449" s="217">
        <f t="shared" si="573"/>
        <v>0</v>
      </c>
      <c r="U449" s="217">
        <f t="shared" si="573"/>
        <v>1817.8534502955692</v>
      </c>
      <c r="V449" s="217">
        <f t="shared" si="573"/>
        <v>0</v>
      </c>
      <c r="W449" s="217">
        <f t="shared" si="573"/>
        <v>0</v>
      </c>
      <c r="X449" s="217">
        <f t="shared" si="573"/>
        <v>0</v>
      </c>
      <c r="Y449" s="217">
        <f t="shared" si="573"/>
        <v>0</v>
      </c>
      <c r="Z449" s="217">
        <f t="shared" si="573"/>
        <v>39.230175975958581</v>
      </c>
      <c r="AA449" s="219">
        <f t="shared" si="573"/>
        <v>1857.0836262715281</v>
      </c>
    </row>
    <row r="450" spans="2:27" ht="12.95" customHeight="1">
      <c r="B450" s="253" t="s">
        <v>918</v>
      </c>
      <c r="C450" s="193"/>
      <c r="D450" s="203"/>
      <c r="E450" s="237"/>
      <c r="F450" s="237"/>
      <c r="G450" s="237"/>
      <c r="H450" s="191"/>
      <c r="I450" s="203"/>
      <c r="J450" s="191"/>
      <c r="K450" s="191"/>
      <c r="L450" s="191">
        <f t="shared" ref="L450:L460" si="574">D450+0.75</f>
        <v>0.75</v>
      </c>
      <c r="M450" s="191"/>
      <c r="N450" s="195">
        <f t="shared" ref="N450:N460" si="575">H450*D450/10</f>
        <v>0</v>
      </c>
      <c r="O450" s="196">
        <f t="shared" ref="O450:O460" si="576">IF(E450&gt;0,(J450*10^3*E450/10^7)+(K450*0.7457*E450/10^7),(K450*F450/10^7)+(J450*(10^3)*(1/0.7457)*F450/10^7))</f>
        <v>0</v>
      </c>
      <c r="P450" s="332"/>
      <c r="Q450" s="196">
        <f t="shared" ref="Q450:Q460" si="577">G450*C450*12/10^7</f>
        <v>0</v>
      </c>
      <c r="R450" s="332"/>
      <c r="S450" s="196">
        <f t="shared" ref="S450:S460" si="578">N450+O450+P450+Q450+R450</f>
        <v>0</v>
      </c>
      <c r="T450" s="332"/>
      <c r="U450" s="196">
        <f t="shared" ref="U450:U460" si="579">S450-T450</f>
        <v>0</v>
      </c>
      <c r="V450" s="332"/>
      <c r="W450" s="332"/>
      <c r="X450" s="332"/>
      <c r="Y450" s="332"/>
      <c r="Z450" s="198"/>
      <c r="AA450" s="249">
        <f t="shared" ref="AA450:AA460" si="580">U450+Z450</f>
        <v>0</v>
      </c>
    </row>
    <row r="451" spans="2:27" ht="12.95" customHeight="1">
      <c r="B451" s="253" t="s">
        <v>914</v>
      </c>
      <c r="C451" s="193"/>
      <c r="D451" s="203">
        <v>7.35</v>
      </c>
      <c r="E451" s="237">
        <v>5700</v>
      </c>
      <c r="F451" s="237"/>
      <c r="G451" s="237">
        <v>2813</v>
      </c>
      <c r="H451" s="191">
        <v>451.4639882135329</v>
      </c>
      <c r="I451" s="203"/>
      <c r="J451" s="191"/>
      <c r="K451" s="191"/>
      <c r="L451" s="191">
        <f t="shared" si="574"/>
        <v>8.1</v>
      </c>
      <c r="M451" s="191"/>
      <c r="N451" s="195">
        <f t="shared" si="575"/>
        <v>331.82603133694664</v>
      </c>
      <c r="O451" s="196">
        <f t="shared" si="576"/>
        <v>0</v>
      </c>
      <c r="P451" s="332"/>
      <c r="Q451" s="196">
        <f t="shared" si="577"/>
        <v>0</v>
      </c>
      <c r="R451" s="332"/>
      <c r="S451" s="196">
        <f t="shared" si="578"/>
        <v>331.82603133694664</v>
      </c>
      <c r="T451" s="332"/>
      <c r="U451" s="196">
        <f t="shared" si="579"/>
        <v>331.82603133694664</v>
      </c>
      <c r="V451" s="332"/>
      <c r="W451" s="332"/>
      <c r="X451" s="332"/>
      <c r="Y451" s="332"/>
      <c r="Z451" s="198"/>
      <c r="AA451" s="249">
        <f t="shared" si="580"/>
        <v>331.82603133694664</v>
      </c>
    </row>
    <row r="452" spans="2:27" ht="12.95" customHeight="1">
      <c r="B452" s="253" t="s">
        <v>915</v>
      </c>
      <c r="C452" s="193"/>
      <c r="D452" s="203">
        <v>5.0999999999999996</v>
      </c>
      <c r="E452" s="237">
        <v>5700</v>
      </c>
      <c r="F452" s="237"/>
      <c r="G452" s="237">
        <v>2813</v>
      </c>
      <c r="H452" s="191">
        <v>606.47019330587136</v>
      </c>
      <c r="I452" s="203"/>
      <c r="J452" s="191"/>
      <c r="K452" s="191"/>
      <c r="L452" s="191">
        <f t="shared" si="574"/>
        <v>5.85</v>
      </c>
      <c r="M452" s="191"/>
      <c r="N452" s="195">
        <f t="shared" si="575"/>
        <v>309.29979858599438</v>
      </c>
      <c r="O452" s="196">
        <f t="shared" si="576"/>
        <v>0</v>
      </c>
      <c r="P452" s="332"/>
      <c r="Q452" s="196">
        <f t="shared" si="577"/>
        <v>0</v>
      </c>
      <c r="R452" s="332"/>
      <c r="S452" s="196">
        <f t="shared" si="578"/>
        <v>309.29979858599438</v>
      </c>
      <c r="T452" s="332"/>
      <c r="U452" s="196">
        <f t="shared" si="579"/>
        <v>309.29979858599438</v>
      </c>
      <c r="V452" s="332"/>
      <c r="W452" s="332"/>
      <c r="X452" s="332"/>
      <c r="Y452" s="332"/>
      <c r="Z452" s="198"/>
      <c r="AA452" s="249">
        <f t="shared" si="580"/>
        <v>309.29979858599438</v>
      </c>
    </row>
    <row r="453" spans="2:27" ht="12.95" customHeight="1">
      <c r="B453" s="253" t="s">
        <v>916</v>
      </c>
      <c r="C453" s="193">
        <v>244</v>
      </c>
      <c r="D453" s="203">
        <v>5.85</v>
      </c>
      <c r="E453" s="237">
        <v>5700</v>
      </c>
      <c r="F453" s="237"/>
      <c r="G453" s="237">
        <v>2813</v>
      </c>
      <c r="H453" s="191">
        <v>202.59852507356865</v>
      </c>
      <c r="I453" s="203"/>
      <c r="J453" s="191">
        <v>595.94399999999996</v>
      </c>
      <c r="K453" s="191"/>
      <c r="L453" s="191">
        <f t="shared" si="574"/>
        <v>6.6</v>
      </c>
      <c r="M453" s="191"/>
      <c r="N453" s="195">
        <f t="shared" si="575"/>
        <v>118.52013716803765</v>
      </c>
      <c r="O453" s="196">
        <f t="shared" si="576"/>
        <v>339.68808000000001</v>
      </c>
      <c r="P453" s="332"/>
      <c r="Q453" s="196">
        <f t="shared" si="577"/>
        <v>0.8236464</v>
      </c>
      <c r="R453" s="332"/>
      <c r="S453" s="196">
        <f t="shared" si="578"/>
        <v>459.03186356803764</v>
      </c>
      <c r="T453" s="332"/>
      <c r="U453" s="196">
        <f t="shared" si="579"/>
        <v>459.03186356803764</v>
      </c>
      <c r="V453" s="332"/>
      <c r="W453" s="332"/>
      <c r="X453" s="332"/>
      <c r="Y453" s="332"/>
      <c r="Z453" s="198">
        <f>(H449*$Z$532)/($H$532-$H$396-$H$398-$H$399)</f>
        <v>39.230175975958581</v>
      </c>
      <c r="AA453" s="249">
        <f t="shared" si="580"/>
        <v>498.2620395439962</v>
      </c>
    </row>
    <row r="454" spans="2:27" ht="12.95" customHeight="1">
      <c r="B454" s="253" t="s">
        <v>917</v>
      </c>
      <c r="C454" s="193"/>
      <c r="D454" s="203"/>
      <c r="E454" s="237"/>
      <c r="F454" s="237"/>
      <c r="G454" s="237"/>
      <c r="H454" s="191"/>
      <c r="I454" s="203"/>
      <c r="J454" s="191"/>
      <c r="K454" s="191"/>
      <c r="L454" s="191">
        <f t="shared" si="574"/>
        <v>0.75</v>
      </c>
      <c r="M454" s="191"/>
      <c r="N454" s="195">
        <f t="shared" si="575"/>
        <v>0</v>
      </c>
      <c r="O454" s="196">
        <f t="shared" si="576"/>
        <v>0</v>
      </c>
      <c r="P454" s="332"/>
      <c r="Q454" s="196">
        <f t="shared" si="577"/>
        <v>0</v>
      </c>
      <c r="R454" s="332"/>
      <c r="S454" s="196">
        <f t="shared" si="578"/>
        <v>0</v>
      </c>
      <c r="T454" s="332"/>
      <c r="U454" s="196">
        <f t="shared" si="579"/>
        <v>0</v>
      </c>
      <c r="V454" s="332"/>
      <c r="W454" s="332"/>
      <c r="X454" s="332"/>
      <c r="Y454" s="332"/>
      <c r="Z454" s="198"/>
      <c r="AA454" s="249">
        <f t="shared" si="580"/>
        <v>0</v>
      </c>
    </row>
    <row r="455" spans="2:27" ht="12.95" customHeight="1">
      <c r="B455" s="253" t="s">
        <v>914</v>
      </c>
      <c r="C455" s="193"/>
      <c r="D455" s="203">
        <v>6.85</v>
      </c>
      <c r="E455" s="237">
        <v>5700</v>
      </c>
      <c r="F455" s="237"/>
      <c r="G455" s="237">
        <v>2813</v>
      </c>
      <c r="H455" s="191">
        <v>428.21071332962987</v>
      </c>
      <c r="I455" s="203"/>
      <c r="J455" s="191"/>
      <c r="K455" s="191"/>
      <c r="L455" s="191">
        <f t="shared" si="574"/>
        <v>7.6</v>
      </c>
      <c r="M455" s="191"/>
      <c r="N455" s="195">
        <f t="shared" si="575"/>
        <v>293.32433863079643</v>
      </c>
      <c r="O455" s="196">
        <f t="shared" si="576"/>
        <v>0</v>
      </c>
      <c r="P455" s="332"/>
      <c r="Q455" s="196">
        <f t="shared" si="577"/>
        <v>0</v>
      </c>
      <c r="R455" s="332"/>
      <c r="S455" s="196">
        <f t="shared" si="578"/>
        <v>293.32433863079643</v>
      </c>
      <c r="T455" s="332"/>
      <c r="U455" s="196">
        <f t="shared" si="579"/>
        <v>293.32433863079643</v>
      </c>
      <c r="V455" s="332"/>
      <c r="W455" s="332"/>
      <c r="X455" s="332"/>
      <c r="Y455" s="332"/>
      <c r="Z455" s="198"/>
      <c r="AA455" s="249">
        <f t="shared" si="580"/>
        <v>293.32433863079643</v>
      </c>
    </row>
    <row r="456" spans="2:27" ht="12.95" customHeight="1">
      <c r="B456" s="253" t="s">
        <v>915</v>
      </c>
      <c r="C456" s="193"/>
      <c r="D456" s="203">
        <v>5.0999999999999996</v>
      </c>
      <c r="E456" s="237">
        <v>5700</v>
      </c>
      <c r="F456" s="237"/>
      <c r="G456" s="237">
        <v>2813</v>
      </c>
      <c r="H456" s="191">
        <v>565.67329296075422</v>
      </c>
      <c r="I456" s="203"/>
      <c r="J456" s="191"/>
      <c r="K456" s="191"/>
      <c r="L456" s="191">
        <f t="shared" si="574"/>
        <v>5.85</v>
      </c>
      <c r="M456" s="191"/>
      <c r="N456" s="195">
        <f t="shared" si="575"/>
        <v>288.49337940998464</v>
      </c>
      <c r="O456" s="196">
        <f t="shared" si="576"/>
        <v>0</v>
      </c>
      <c r="P456" s="332"/>
      <c r="Q456" s="196">
        <f t="shared" si="577"/>
        <v>0</v>
      </c>
      <c r="R456" s="332"/>
      <c r="S456" s="196">
        <f t="shared" si="578"/>
        <v>288.49337940998464</v>
      </c>
      <c r="T456" s="332"/>
      <c r="U456" s="196">
        <f t="shared" si="579"/>
        <v>288.49337940998464</v>
      </c>
      <c r="V456" s="332"/>
      <c r="W456" s="332"/>
      <c r="X456" s="332"/>
      <c r="Y456" s="332"/>
      <c r="Z456" s="198"/>
      <c r="AA456" s="249">
        <f t="shared" si="580"/>
        <v>288.49337940998464</v>
      </c>
    </row>
    <row r="457" spans="2:27" ht="12.95" customHeight="1">
      <c r="B457" s="253" t="s">
        <v>916</v>
      </c>
      <c r="C457" s="193"/>
      <c r="D457" s="203">
        <v>5.85</v>
      </c>
      <c r="E457" s="237">
        <v>5700</v>
      </c>
      <c r="F457" s="237"/>
      <c r="G457" s="237">
        <v>2813</v>
      </c>
      <c r="H457" s="191">
        <v>230.91569199452081</v>
      </c>
      <c r="I457" s="203"/>
      <c r="J457" s="191"/>
      <c r="K457" s="191"/>
      <c r="L457" s="191">
        <f t="shared" si="574"/>
        <v>6.6</v>
      </c>
      <c r="M457" s="191"/>
      <c r="N457" s="195">
        <f t="shared" si="575"/>
        <v>135.08567981679465</v>
      </c>
      <c r="O457" s="196">
        <f t="shared" si="576"/>
        <v>0</v>
      </c>
      <c r="P457" s="332"/>
      <c r="Q457" s="196">
        <f t="shared" si="577"/>
        <v>0</v>
      </c>
      <c r="R457" s="332"/>
      <c r="S457" s="196">
        <f t="shared" si="578"/>
        <v>135.08567981679465</v>
      </c>
      <c r="T457" s="332"/>
      <c r="U457" s="196">
        <f t="shared" si="579"/>
        <v>135.08567981679465</v>
      </c>
      <c r="V457" s="332"/>
      <c r="W457" s="332"/>
      <c r="X457" s="332"/>
      <c r="Y457" s="332"/>
      <c r="Z457" s="198"/>
      <c r="AA457" s="249">
        <f t="shared" si="580"/>
        <v>135.08567981679465</v>
      </c>
    </row>
    <row r="458" spans="2:27" ht="12.95" customHeight="1">
      <c r="B458" s="253" t="s">
        <v>592</v>
      </c>
      <c r="C458" s="193">
        <v>0</v>
      </c>
      <c r="D458" s="203">
        <v>7</v>
      </c>
      <c r="E458" s="237">
        <v>0</v>
      </c>
      <c r="F458" s="237"/>
      <c r="G458" s="237">
        <v>2813</v>
      </c>
      <c r="H458" s="191">
        <v>1.1319413528784841</v>
      </c>
      <c r="I458" s="203"/>
      <c r="J458" s="191">
        <v>0</v>
      </c>
      <c r="K458" s="191"/>
      <c r="L458" s="191">
        <f t="shared" si="574"/>
        <v>7.75</v>
      </c>
      <c r="M458" s="191"/>
      <c r="N458" s="195">
        <f t="shared" si="575"/>
        <v>0.79235894701493881</v>
      </c>
      <c r="O458" s="196">
        <f t="shared" si="576"/>
        <v>0</v>
      </c>
      <c r="P458" s="332"/>
      <c r="Q458" s="196">
        <f t="shared" si="577"/>
        <v>0</v>
      </c>
      <c r="R458" s="332"/>
      <c r="S458" s="196">
        <f t="shared" si="578"/>
        <v>0.79235894701493881</v>
      </c>
      <c r="T458" s="332"/>
      <c r="U458" s="196">
        <f t="shared" si="579"/>
        <v>0.79235894701493881</v>
      </c>
      <c r="V458" s="332"/>
      <c r="W458" s="332"/>
      <c r="X458" s="332"/>
      <c r="Y458" s="332"/>
      <c r="Z458" s="198"/>
      <c r="AA458" s="249">
        <f t="shared" si="580"/>
        <v>0.79235894701493881</v>
      </c>
    </row>
    <row r="459" spans="2:27">
      <c r="B459" s="215" t="s">
        <v>754</v>
      </c>
      <c r="C459" s="193">
        <v>2</v>
      </c>
      <c r="D459" s="217">
        <v>6.95</v>
      </c>
      <c r="E459" s="360">
        <v>5700</v>
      </c>
      <c r="F459" s="217"/>
      <c r="G459" s="222">
        <v>2813</v>
      </c>
      <c r="H459" s="191">
        <v>10.403409068386383</v>
      </c>
      <c r="I459" s="217"/>
      <c r="J459" s="191">
        <v>4.55</v>
      </c>
      <c r="K459" s="217"/>
      <c r="L459" s="191">
        <f t="shared" si="574"/>
        <v>7.7</v>
      </c>
      <c r="M459" s="217"/>
      <c r="N459" s="195">
        <f t="shared" si="575"/>
        <v>7.2303693025285352</v>
      </c>
      <c r="O459" s="217">
        <f t="shared" si="576"/>
        <v>2.5935000000000001</v>
      </c>
      <c r="P459" s="217"/>
      <c r="Q459" s="217">
        <f t="shared" si="577"/>
        <v>6.7511999999999997E-3</v>
      </c>
      <c r="R459" s="217"/>
      <c r="S459" s="217">
        <f t="shared" si="578"/>
        <v>9.8306205025285358</v>
      </c>
      <c r="T459" s="217"/>
      <c r="U459" s="217">
        <f t="shared" si="579"/>
        <v>9.8306205025285358</v>
      </c>
      <c r="V459" s="217"/>
      <c r="W459" s="217"/>
      <c r="X459" s="217"/>
      <c r="Y459" s="217"/>
      <c r="Z459" s="198">
        <f>(H459*$Z$532)/($H$532-$H$396-$H$398-$H$399)</f>
        <v>0.16413972278402614</v>
      </c>
      <c r="AA459" s="249">
        <f t="shared" si="580"/>
        <v>9.9947602253125627</v>
      </c>
    </row>
    <row r="460" spans="2:27">
      <c r="B460" s="215" t="s">
        <v>755</v>
      </c>
      <c r="C460" s="193">
        <v>9</v>
      </c>
      <c r="D460" s="217">
        <v>5.35</v>
      </c>
      <c r="E460" s="360">
        <v>5700</v>
      </c>
      <c r="F460" s="217"/>
      <c r="G460" s="222">
        <v>2813</v>
      </c>
      <c r="H460" s="191">
        <v>225.90663016632362</v>
      </c>
      <c r="I460" s="217"/>
      <c r="J460" s="191">
        <v>27.364999999999998</v>
      </c>
      <c r="K460" s="217"/>
      <c r="L460" s="191">
        <f t="shared" si="574"/>
        <v>6.1</v>
      </c>
      <c r="M460" s="217"/>
      <c r="N460" s="195">
        <f t="shared" si="575"/>
        <v>120.86004713898312</v>
      </c>
      <c r="O460" s="217">
        <f t="shared" si="576"/>
        <v>15.598050000000001</v>
      </c>
      <c r="P460" s="217"/>
      <c r="Q460" s="217">
        <f t="shared" si="577"/>
        <v>3.0380399999999998E-2</v>
      </c>
      <c r="R460" s="217"/>
      <c r="S460" s="217">
        <f t="shared" si="578"/>
        <v>136.48847753898315</v>
      </c>
      <c r="T460" s="217"/>
      <c r="U460" s="217">
        <f t="shared" si="579"/>
        <v>136.48847753898315</v>
      </c>
      <c r="V460" s="217"/>
      <c r="W460" s="217"/>
      <c r="X460" s="217"/>
      <c r="Y460" s="217"/>
      <c r="Z460" s="198">
        <f>(H460*$Z$532)/($H$532-$H$396-$H$398-$H$399)</f>
        <v>3.564240472217171</v>
      </c>
      <c r="AA460" s="249">
        <f t="shared" si="580"/>
        <v>140.05271801120031</v>
      </c>
    </row>
    <row r="461" spans="2:27">
      <c r="B461" s="239" t="s">
        <v>751</v>
      </c>
      <c r="C461" s="250">
        <f>SUM(C462:C465)</f>
        <v>3</v>
      </c>
      <c r="D461" s="240"/>
      <c r="E461" s="240"/>
      <c r="F461" s="240"/>
      <c r="G461" s="240"/>
      <c r="H461" s="240">
        <f>SUM(H462:H465)</f>
        <v>3.3670885000000008</v>
      </c>
      <c r="I461" s="240">
        <f t="shared" ref="I461" si="581">SUM(I462:I465)</f>
        <v>0</v>
      </c>
      <c r="J461" s="240">
        <f>SUM(J462:J465)</f>
        <v>5.125</v>
      </c>
      <c r="K461" s="240">
        <f t="shared" ref="K461:AA461" si="582">SUM(K462:K465)</f>
        <v>0</v>
      </c>
      <c r="L461" s="240"/>
      <c r="M461" s="240"/>
      <c r="N461" s="240">
        <f t="shared" si="582"/>
        <v>2.3401265075000004</v>
      </c>
      <c r="O461" s="240">
        <f t="shared" si="582"/>
        <v>2.9212500000000001</v>
      </c>
      <c r="P461" s="240">
        <f t="shared" si="582"/>
        <v>0</v>
      </c>
      <c r="Q461" s="240">
        <f t="shared" si="582"/>
        <v>1.01268E-2</v>
      </c>
      <c r="R461" s="240">
        <f t="shared" si="582"/>
        <v>0</v>
      </c>
      <c r="S461" s="240">
        <f t="shared" si="582"/>
        <v>5.2715033075000006</v>
      </c>
      <c r="T461" s="240">
        <f t="shared" si="582"/>
        <v>0</v>
      </c>
      <c r="U461" s="240">
        <f t="shared" si="582"/>
        <v>5.2715033075000006</v>
      </c>
      <c r="V461" s="240">
        <f t="shared" si="582"/>
        <v>0</v>
      </c>
      <c r="W461" s="240">
        <f t="shared" si="582"/>
        <v>0</v>
      </c>
      <c r="X461" s="240">
        <f t="shared" si="582"/>
        <v>0</v>
      </c>
      <c r="Y461" s="240">
        <f t="shared" si="582"/>
        <v>0</v>
      </c>
      <c r="Z461" s="240">
        <f t="shared" si="582"/>
        <v>5.3124218162172554E-2</v>
      </c>
      <c r="AA461" s="241">
        <f t="shared" si="582"/>
        <v>5.3246275256621729</v>
      </c>
    </row>
    <row r="462" spans="2:27" ht="21">
      <c r="B462" s="253" t="s">
        <v>756</v>
      </c>
      <c r="C462" s="193">
        <v>3</v>
      </c>
      <c r="D462" s="203">
        <v>6.95</v>
      </c>
      <c r="E462" s="237">
        <v>5700</v>
      </c>
      <c r="F462" s="237"/>
      <c r="G462" s="237">
        <v>2813</v>
      </c>
      <c r="H462" s="191">
        <v>3.3670885000000008</v>
      </c>
      <c r="I462" s="203"/>
      <c r="J462" s="191">
        <v>5.125</v>
      </c>
      <c r="K462" s="191"/>
      <c r="L462" s="191">
        <f t="shared" ref="L462:L465" si="583">D462+0.75</f>
        <v>7.7</v>
      </c>
      <c r="M462" s="191"/>
      <c r="N462" s="195">
        <f t="shared" ref="N462:N465" si="584">H462*D462/10</f>
        <v>2.3401265075000004</v>
      </c>
      <c r="O462" s="196">
        <f>IF(E462&gt;0,(J462*10^3*E462/10^7)+(K462*0.7457*E462/10^7),(K462*F462/10^7)+(J462*(10^3)*(1/0.7457)*F462/10^7))</f>
        <v>2.9212500000000001</v>
      </c>
      <c r="P462" s="332"/>
      <c r="Q462" s="196">
        <f t="shared" ref="Q462:Q465" si="585">G462*C462*12/10^7</f>
        <v>1.01268E-2</v>
      </c>
      <c r="R462" s="332"/>
      <c r="S462" s="196">
        <f>N462+O462+P462+Q462+R462</f>
        <v>5.2715033075000006</v>
      </c>
      <c r="T462" s="332"/>
      <c r="U462" s="196">
        <f t="shared" ref="U462:U465" si="586">S462-T462</f>
        <v>5.2715033075000006</v>
      </c>
      <c r="V462" s="332"/>
      <c r="W462" s="332"/>
      <c r="X462" s="332"/>
      <c r="Y462" s="332"/>
      <c r="Z462" s="198">
        <f>(H462*$Z$532)/($H$532-$H$396-$H$398-$H$399)</f>
        <v>5.3124218162172554E-2</v>
      </c>
      <c r="AA462" s="249">
        <f t="shared" ref="AA462:AA465" si="587">U462+Z462</f>
        <v>5.3246275256621729</v>
      </c>
    </row>
    <row r="463" spans="2:27">
      <c r="B463" s="253" t="s">
        <v>757</v>
      </c>
      <c r="C463" s="193">
        <v>0</v>
      </c>
      <c r="D463" s="203">
        <v>7.25</v>
      </c>
      <c r="E463" s="237">
        <v>5700</v>
      </c>
      <c r="F463" s="237"/>
      <c r="G463" s="237">
        <v>2813</v>
      </c>
      <c r="H463" s="191">
        <v>0</v>
      </c>
      <c r="I463" s="203"/>
      <c r="J463" s="191">
        <v>0</v>
      </c>
      <c r="K463" s="191"/>
      <c r="L463" s="191">
        <f t="shared" si="583"/>
        <v>8</v>
      </c>
      <c r="M463" s="191"/>
      <c r="N463" s="195">
        <f t="shared" si="584"/>
        <v>0</v>
      </c>
      <c r="O463" s="196">
        <f>IF(E463&gt;0,(J463*10^3*E463/10^7)+(K463*0.7457*E463/10^7),(K463*F463/10^7)+(J463*(10^3)*(1/0.7457)*F463/10^7))</f>
        <v>0</v>
      </c>
      <c r="P463" s="332"/>
      <c r="Q463" s="196">
        <f t="shared" si="585"/>
        <v>0</v>
      </c>
      <c r="R463" s="332"/>
      <c r="S463" s="196">
        <f>N463+O463+P463+Q463+R463</f>
        <v>0</v>
      </c>
      <c r="T463" s="332"/>
      <c r="U463" s="196">
        <f t="shared" si="586"/>
        <v>0</v>
      </c>
      <c r="V463" s="332"/>
      <c r="W463" s="332"/>
      <c r="X463" s="332"/>
      <c r="Y463" s="332"/>
      <c r="Z463" s="198">
        <f>(H463*$Z$532)/($H$532-$H$396-$H$398-$H$399)</f>
        <v>0</v>
      </c>
      <c r="AA463" s="249">
        <f t="shared" si="587"/>
        <v>0</v>
      </c>
    </row>
    <row r="464" spans="2:27">
      <c r="B464" s="253" t="s">
        <v>758</v>
      </c>
      <c r="C464" s="193">
        <v>0</v>
      </c>
      <c r="D464" s="203">
        <v>5</v>
      </c>
      <c r="E464" s="237">
        <v>360</v>
      </c>
      <c r="F464" s="237"/>
      <c r="G464" s="237">
        <v>2813</v>
      </c>
      <c r="H464" s="191">
        <v>0</v>
      </c>
      <c r="I464" s="203"/>
      <c r="J464" s="191">
        <v>0</v>
      </c>
      <c r="K464" s="191"/>
      <c r="L464" s="191">
        <f t="shared" si="583"/>
        <v>5.75</v>
      </c>
      <c r="M464" s="191"/>
      <c r="N464" s="195">
        <f t="shared" si="584"/>
        <v>0</v>
      </c>
      <c r="O464" s="196">
        <f>IF(E464&gt;0,(J464*10^3*E464/10^7)+(K464*0.7457*E464/10^7),(K464*F464/10^7)+(J464*(10^3)*(1/0.7457)*F464/10^7))</f>
        <v>0</v>
      </c>
      <c r="P464" s="332"/>
      <c r="Q464" s="196">
        <f t="shared" si="585"/>
        <v>0</v>
      </c>
      <c r="R464" s="332"/>
      <c r="S464" s="196">
        <f>N464+O464+P464+Q464+R464</f>
        <v>0</v>
      </c>
      <c r="T464" s="332"/>
      <c r="U464" s="196">
        <f t="shared" si="586"/>
        <v>0</v>
      </c>
      <c r="V464" s="332"/>
      <c r="W464" s="332"/>
      <c r="X464" s="332"/>
      <c r="Y464" s="332"/>
      <c r="Z464" s="198">
        <f>(H464*$Z$532)/($H$532-$H$396-$H$398-$H$399)</f>
        <v>0</v>
      </c>
      <c r="AA464" s="249">
        <f t="shared" si="587"/>
        <v>0</v>
      </c>
    </row>
    <row r="465" spans="2:27">
      <c r="B465" s="253" t="s">
        <v>759</v>
      </c>
      <c r="C465" s="193">
        <v>0</v>
      </c>
      <c r="D465" s="203">
        <v>5.5</v>
      </c>
      <c r="E465" s="237">
        <v>4200</v>
      </c>
      <c r="F465" s="237"/>
      <c r="G465" s="237">
        <v>2813</v>
      </c>
      <c r="H465" s="191">
        <v>0</v>
      </c>
      <c r="I465" s="203"/>
      <c r="J465" s="191">
        <v>0</v>
      </c>
      <c r="K465" s="191"/>
      <c r="L465" s="191">
        <f t="shared" si="583"/>
        <v>6.25</v>
      </c>
      <c r="M465" s="191"/>
      <c r="N465" s="195">
        <f t="shared" si="584"/>
        <v>0</v>
      </c>
      <c r="O465" s="196">
        <f>IF(E465&gt;0,(J465*10^3*E465/10^7)+(K465*0.7457*E465/10^7),(K465*F465/10^7)+(J465*(10^3)*(1/0.7457)*F465/10^7))</f>
        <v>0</v>
      </c>
      <c r="P465" s="332"/>
      <c r="Q465" s="196">
        <f t="shared" si="585"/>
        <v>0</v>
      </c>
      <c r="R465" s="332"/>
      <c r="S465" s="196">
        <f>N465+O465+P465+Q465+R465</f>
        <v>0</v>
      </c>
      <c r="T465" s="332"/>
      <c r="U465" s="196">
        <f t="shared" si="586"/>
        <v>0</v>
      </c>
      <c r="V465" s="332"/>
      <c r="W465" s="332"/>
      <c r="X465" s="332"/>
      <c r="Y465" s="332"/>
      <c r="Z465" s="198">
        <f>(H465*$Z$532)/($H$532-$H$396-$H$398-$H$399)</f>
        <v>0</v>
      </c>
      <c r="AA465" s="249">
        <f t="shared" si="587"/>
        <v>0</v>
      </c>
    </row>
    <row r="466" spans="2:27">
      <c r="B466" s="239" t="s">
        <v>752</v>
      </c>
      <c r="C466" s="250">
        <f>C467+C468</f>
        <v>17</v>
      </c>
      <c r="D466" s="240"/>
      <c r="E466" s="240"/>
      <c r="F466" s="240"/>
      <c r="G466" s="240"/>
      <c r="H466" s="240">
        <f>H467+H468</f>
        <v>51.223597549629957</v>
      </c>
      <c r="I466" s="240">
        <f t="shared" ref="I466" si="588">I467+I468</f>
        <v>0</v>
      </c>
      <c r="J466" s="240">
        <f>J467+J468</f>
        <v>87.85</v>
      </c>
      <c r="K466" s="240">
        <f t="shared" ref="K466:Z466" si="589">K467+K468</f>
        <v>0</v>
      </c>
      <c r="L466" s="240"/>
      <c r="M466" s="240"/>
      <c r="N466" s="240">
        <f t="shared" si="589"/>
        <v>36.624872247985422</v>
      </c>
      <c r="O466" s="240">
        <f t="shared" si="589"/>
        <v>0</v>
      </c>
      <c r="P466" s="240">
        <f t="shared" si="589"/>
        <v>0</v>
      </c>
      <c r="Q466" s="240">
        <f t="shared" si="589"/>
        <v>5.7385199999999997E-2</v>
      </c>
      <c r="R466" s="240">
        <f t="shared" si="589"/>
        <v>0</v>
      </c>
      <c r="S466" s="240">
        <f t="shared" si="589"/>
        <v>36.682257447985421</v>
      </c>
      <c r="T466" s="240">
        <f t="shared" si="589"/>
        <v>0</v>
      </c>
      <c r="U466" s="240">
        <f t="shared" si="589"/>
        <v>36.682257447985421</v>
      </c>
      <c r="V466" s="240">
        <f t="shared" si="589"/>
        <v>0</v>
      </c>
      <c r="W466" s="240">
        <f t="shared" si="589"/>
        <v>0</v>
      </c>
      <c r="X466" s="240">
        <f t="shared" si="589"/>
        <v>0</v>
      </c>
      <c r="Y466" s="240">
        <f t="shared" si="589"/>
        <v>0</v>
      </c>
      <c r="Z466" s="240">
        <f t="shared" si="589"/>
        <v>0.8081799962424121</v>
      </c>
      <c r="AA466" s="241">
        <f t="shared" ref="AA466" si="590">AA467+AA468</f>
        <v>37.490437444227837</v>
      </c>
    </row>
    <row r="467" spans="2:27">
      <c r="B467" s="253" t="s">
        <v>760</v>
      </c>
      <c r="C467" s="193">
        <v>0</v>
      </c>
      <c r="D467" s="203">
        <v>3.85</v>
      </c>
      <c r="E467" s="237">
        <v>360</v>
      </c>
      <c r="F467" s="237"/>
      <c r="G467" s="237">
        <v>2813</v>
      </c>
      <c r="H467" s="191">
        <v>0</v>
      </c>
      <c r="I467" s="203"/>
      <c r="J467" s="191">
        <v>0</v>
      </c>
      <c r="K467" s="191"/>
      <c r="L467" s="191">
        <f t="shared" ref="L467:L468" si="591">D467+0.75</f>
        <v>4.5999999999999996</v>
      </c>
      <c r="M467" s="191"/>
      <c r="N467" s="195">
        <f t="shared" ref="N467:N478" si="592">H467*D467/10</f>
        <v>0</v>
      </c>
      <c r="O467" s="196">
        <f>IF(E467&gt;0,(J467*10^3*E467/10^7)+(K467*0.7457*E467/10^7),(K467*F467/10^7)+(J467*(10^3)*(1/0.7457)*F467/10^7))</f>
        <v>0</v>
      </c>
      <c r="P467" s="332"/>
      <c r="Q467" s="196">
        <f t="shared" ref="Q467:Q468" si="593">G467*C467*12/10^7</f>
        <v>0</v>
      </c>
      <c r="R467" s="332"/>
      <c r="S467" s="196">
        <f>N467+O467+P467+Q467+R467</f>
        <v>0</v>
      </c>
      <c r="T467" s="332"/>
      <c r="U467" s="196">
        <f t="shared" ref="U467:U468" si="594">S467-T467</f>
        <v>0</v>
      </c>
      <c r="V467" s="332"/>
      <c r="W467" s="332"/>
      <c r="X467" s="332"/>
      <c r="Y467" s="332"/>
      <c r="Z467" s="198">
        <f>(H467*$Z$532)/($H$532-$H$396-$H$398-$H$399)</f>
        <v>0</v>
      </c>
      <c r="AA467" s="249">
        <f t="shared" ref="AA467:AA468" si="595">U467+Z467</f>
        <v>0</v>
      </c>
    </row>
    <row r="468" spans="2:27">
      <c r="B468" s="253" t="s">
        <v>761</v>
      </c>
      <c r="C468" s="193">
        <v>17</v>
      </c>
      <c r="D468" s="203">
        <v>7.15</v>
      </c>
      <c r="E468" s="237">
        <v>0</v>
      </c>
      <c r="F468" s="237"/>
      <c r="G468" s="237">
        <v>2813</v>
      </c>
      <c r="H468" s="191">
        <v>51.223597549629957</v>
      </c>
      <c r="I468" s="203"/>
      <c r="J468" s="191">
        <v>87.85</v>
      </c>
      <c r="K468" s="191"/>
      <c r="L468" s="191">
        <f t="shared" si="591"/>
        <v>7.9</v>
      </c>
      <c r="M468" s="191"/>
      <c r="N468" s="195">
        <f t="shared" si="592"/>
        <v>36.624872247985422</v>
      </c>
      <c r="O468" s="196">
        <f>IF(E468&gt;0,(J468*10^3*E468/10^7)+(K468*0.7457*E468/10^7),(K468*F468/10^7)+(J468*(10^3)*(1/0.7457)*F468/10^7))</f>
        <v>0</v>
      </c>
      <c r="P468" s="332"/>
      <c r="Q468" s="196">
        <f t="shared" si="593"/>
        <v>5.7385199999999997E-2</v>
      </c>
      <c r="R468" s="332"/>
      <c r="S468" s="196">
        <f>N468+O468+P468+Q468+R468</f>
        <v>36.682257447985421</v>
      </c>
      <c r="T468" s="332"/>
      <c r="U468" s="196">
        <f t="shared" si="594"/>
        <v>36.682257447985421</v>
      </c>
      <c r="V468" s="332"/>
      <c r="W468" s="332"/>
      <c r="X468" s="332"/>
      <c r="Y468" s="332"/>
      <c r="Z468" s="198">
        <f>(H468*$Z$532)/($H$532-$H$396-$H$398-$H$399)</f>
        <v>0.8081799962424121</v>
      </c>
      <c r="AA468" s="249">
        <f t="shared" si="595"/>
        <v>37.490437444227837</v>
      </c>
    </row>
    <row r="469" spans="2:27">
      <c r="B469" s="253"/>
      <c r="C469" s="193"/>
      <c r="D469" s="203"/>
      <c r="E469" s="237"/>
      <c r="F469" s="237"/>
      <c r="G469" s="237"/>
      <c r="H469" s="191"/>
      <c r="I469" s="203"/>
      <c r="J469" s="191"/>
      <c r="K469" s="191"/>
      <c r="L469" s="191"/>
      <c r="M469" s="191"/>
      <c r="N469" s="195"/>
      <c r="O469" s="196"/>
      <c r="P469" s="332"/>
      <c r="Q469" s="196"/>
      <c r="R469" s="332"/>
      <c r="S469" s="196"/>
      <c r="T469" s="332"/>
      <c r="U469" s="196"/>
      <c r="V469" s="332"/>
      <c r="W469" s="332"/>
      <c r="X469" s="332"/>
      <c r="Y469" s="332"/>
      <c r="Z469" s="198"/>
      <c r="AA469" s="249"/>
    </row>
    <row r="470" spans="2:27">
      <c r="B470" s="232" t="s">
        <v>170</v>
      </c>
      <c r="C470" s="255">
        <f>C471+C472+C479+C492+C497</f>
        <v>79</v>
      </c>
      <c r="D470" s="233"/>
      <c r="E470" s="233"/>
      <c r="F470" s="233"/>
      <c r="G470" s="234"/>
      <c r="H470" s="233">
        <f>H471+H472+H479+H492+H497</f>
        <v>5444.2159011459134</v>
      </c>
      <c r="I470" s="233">
        <f t="shared" ref="I470" si="596">I471+I472+I479+I492+I497</f>
        <v>0</v>
      </c>
      <c r="J470" s="233">
        <f>J471+J472+J479+J492+J497</f>
        <v>1135.4279999999999</v>
      </c>
      <c r="K470" s="233">
        <f t="shared" ref="K470:AA470" si="597">K471+K472+K479+K492+K497</f>
        <v>0</v>
      </c>
      <c r="L470" s="233"/>
      <c r="M470" s="233"/>
      <c r="N470" s="233">
        <f t="shared" si="597"/>
        <v>2858.8146899037806</v>
      </c>
      <c r="O470" s="233">
        <f t="shared" si="597"/>
        <v>594.03950999999995</v>
      </c>
      <c r="P470" s="233">
        <f t="shared" si="597"/>
        <v>0</v>
      </c>
      <c r="Q470" s="233">
        <f t="shared" si="597"/>
        <v>0.26667239999999998</v>
      </c>
      <c r="R470" s="233">
        <f t="shared" si="597"/>
        <v>0</v>
      </c>
      <c r="S470" s="233">
        <f t="shared" si="597"/>
        <v>3453.1208723037803</v>
      </c>
      <c r="T470" s="233">
        <f t="shared" si="597"/>
        <v>0</v>
      </c>
      <c r="U470" s="233">
        <f t="shared" si="597"/>
        <v>3453.1208723037803</v>
      </c>
      <c r="V470" s="233">
        <f t="shared" si="597"/>
        <v>0</v>
      </c>
      <c r="W470" s="233">
        <f t="shared" si="597"/>
        <v>0</v>
      </c>
      <c r="X470" s="233">
        <f t="shared" si="597"/>
        <v>0</v>
      </c>
      <c r="Y470" s="233">
        <f t="shared" si="597"/>
        <v>0</v>
      </c>
      <c r="Z470" s="233">
        <f t="shared" si="597"/>
        <v>85.896082997059409</v>
      </c>
      <c r="AA470" s="235">
        <f t="shared" si="597"/>
        <v>3539.01695530084</v>
      </c>
    </row>
    <row r="471" spans="2:27">
      <c r="B471" s="253" t="s">
        <v>743</v>
      </c>
      <c r="C471" s="193">
        <v>0</v>
      </c>
      <c r="D471" s="203">
        <v>7</v>
      </c>
      <c r="E471" s="237">
        <v>900</v>
      </c>
      <c r="F471" s="237"/>
      <c r="G471" s="237">
        <v>2813</v>
      </c>
      <c r="H471" s="191">
        <v>0</v>
      </c>
      <c r="I471" s="203"/>
      <c r="J471" s="191">
        <v>0</v>
      </c>
      <c r="K471" s="191"/>
      <c r="L471" s="191">
        <f t="shared" ref="L471" si="598">D471+0.75</f>
        <v>7.75</v>
      </c>
      <c r="M471" s="191"/>
      <c r="N471" s="195">
        <f t="shared" si="592"/>
        <v>0</v>
      </c>
      <c r="O471" s="196">
        <f>IF(E471&gt;0,(J471*10^3*E471/10^7)+(K471*0.7457*E471/10^7),(K471*F471/10^7)+(J471*(10^3)*(1/0.7457)*F471/10^7))</f>
        <v>0</v>
      </c>
      <c r="P471" s="332"/>
      <c r="Q471" s="196">
        <f t="shared" ref="Q471" si="599">G471*C471*12/10^7</f>
        <v>0</v>
      </c>
      <c r="R471" s="332"/>
      <c r="S471" s="196">
        <f>N471+O471+P471+Q471+R471</f>
        <v>0</v>
      </c>
      <c r="T471" s="332"/>
      <c r="U471" s="196">
        <f t="shared" ref="U471" si="600">S471-T471</f>
        <v>0</v>
      </c>
      <c r="V471" s="332"/>
      <c r="W471" s="332"/>
      <c r="X471" s="332"/>
      <c r="Y471" s="332"/>
      <c r="Z471" s="198">
        <f>(H471*$Z$532)/($H$532-$H$396-$H$398-$H$399)</f>
        <v>0</v>
      </c>
      <c r="AA471" s="249">
        <f t="shared" ref="AA471" si="601">U471+Z471</f>
        <v>0</v>
      </c>
    </row>
    <row r="472" spans="2:27">
      <c r="B472" s="239" t="s">
        <v>744</v>
      </c>
      <c r="C472" s="250">
        <f>SUM(C473:C478)</f>
        <v>12</v>
      </c>
      <c r="D472" s="240"/>
      <c r="E472" s="240"/>
      <c r="F472" s="240"/>
      <c r="G472" s="240"/>
      <c r="H472" s="240">
        <f>SUM(H473:H478)</f>
        <v>37.281604350766223</v>
      </c>
      <c r="I472" s="240">
        <f t="shared" ref="I472" si="602">SUM(I473:I478)</f>
        <v>0</v>
      </c>
      <c r="J472" s="240">
        <f>SUM(J473:J478)</f>
        <v>46.2</v>
      </c>
      <c r="K472" s="240">
        <f t="shared" ref="K472:AA472" si="603">SUM(K473:K478)</f>
        <v>0</v>
      </c>
      <c r="L472" s="240"/>
      <c r="M472" s="240"/>
      <c r="N472" s="240">
        <f t="shared" si="603"/>
        <v>26.276565524638574</v>
      </c>
      <c r="O472" s="240">
        <f t="shared" si="603"/>
        <v>20.805</v>
      </c>
      <c r="P472" s="240">
        <f t="shared" si="603"/>
        <v>0</v>
      </c>
      <c r="Q472" s="240">
        <f t="shared" si="603"/>
        <v>4.05072E-2</v>
      </c>
      <c r="R472" s="240">
        <f t="shared" si="603"/>
        <v>0</v>
      </c>
      <c r="S472" s="240">
        <f t="shared" si="603"/>
        <v>47.122072724638571</v>
      </c>
      <c r="T472" s="240">
        <f t="shared" si="603"/>
        <v>0</v>
      </c>
      <c r="U472" s="240">
        <f t="shared" si="603"/>
        <v>47.122072724638571</v>
      </c>
      <c r="V472" s="240">
        <f t="shared" si="603"/>
        <v>0</v>
      </c>
      <c r="W472" s="240">
        <f t="shared" si="603"/>
        <v>0</v>
      </c>
      <c r="X472" s="240">
        <f t="shared" si="603"/>
        <v>0</v>
      </c>
      <c r="Y472" s="240">
        <f t="shared" si="603"/>
        <v>0</v>
      </c>
      <c r="Z472" s="240">
        <f t="shared" si="603"/>
        <v>0.58821028403794728</v>
      </c>
      <c r="AA472" s="241">
        <f t="shared" si="603"/>
        <v>47.710283008676512</v>
      </c>
    </row>
    <row r="473" spans="2:27">
      <c r="B473" s="253" t="s">
        <v>745</v>
      </c>
      <c r="C473" s="193">
        <v>6</v>
      </c>
      <c r="D473" s="203">
        <v>6.7</v>
      </c>
      <c r="E473" s="237">
        <v>5700</v>
      </c>
      <c r="F473" s="237"/>
      <c r="G473" s="237">
        <v>2813</v>
      </c>
      <c r="H473" s="191">
        <v>29.871566924507107</v>
      </c>
      <c r="I473" s="203"/>
      <c r="J473" s="191">
        <v>36.5</v>
      </c>
      <c r="K473" s="191"/>
      <c r="L473" s="191">
        <f t="shared" ref="L473:L478" si="604">D473+0.75</f>
        <v>7.45</v>
      </c>
      <c r="M473" s="191"/>
      <c r="N473" s="195">
        <f t="shared" si="592"/>
        <v>20.013949839419762</v>
      </c>
      <c r="O473" s="196">
        <f t="shared" ref="O473:O478" si="605">IF(E473&gt;0,(J473*10^3*E473/10^7)+(K473*0.7457*E473/10^7),(K473*F473/10^7)+(J473*(10^3)*(1/0.7457)*F473/10^7))</f>
        <v>20.805</v>
      </c>
      <c r="P473" s="332"/>
      <c r="Q473" s="196">
        <f t="shared" ref="Q473:Q478" si="606">G473*C473*12/10^7</f>
        <v>2.02536E-2</v>
      </c>
      <c r="R473" s="332"/>
      <c r="S473" s="196">
        <f t="shared" ref="S473:S478" si="607">N473+O473+P473+Q473+R473</f>
        <v>40.839203439419755</v>
      </c>
      <c r="T473" s="332"/>
      <c r="U473" s="196">
        <f t="shared" ref="U473:U478" si="608">S473-T473</f>
        <v>40.839203439419755</v>
      </c>
      <c r="V473" s="332"/>
      <c r="W473" s="332"/>
      <c r="X473" s="332"/>
      <c r="Y473" s="332"/>
      <c r="Z473" s="198">
        <f t="shared" ref="Z473:Z478" si="609">(H473*$Z$532)/($H$532-$H$396-$H$398-$H$399)</f>
        <v>0.47129846398259301</v>
      </c>
      <c r="AA473" s="249">
        <f t="shared" ref="AA473:AA478" si="610">U473+Z473</f>
        <v>41.310501903402347</v>
      </c>
    </row>
    <row r="474" spans="2:27">
      <c r="B474" s="253" t="s">
        <v>697</v>
      </c>
      <c r="C474" s="193">
        <v>0</v>
      </c>
      <c r="D474" s="203">
        <v>7.7</v>
      </c>
      <c r="E474" s="237">
        <v>5700</v>
      </c>
      <c r="F474" s="237"/>
      <c r="G474" s="237"/>
      <c r="H474" s="191">
        <v>6.1861102460408848</v>
      </c>
      <c r="I474" s="203"/>
      <c r="J474" s="191">
        <v>0</v>
      </c>
      <c r="K474" s="191"/>
      <c r="L474" s="191">
        <f t="shared" si="604"/>
        <v>8.4499999999999993</v>
      </c>
      <c r="M474" s="191"/>
      <c r="N474" s="195">
        <f t="shared" si="592"/>
        <v>4.7633048894514811</v>
      </c>
      <c r="O474" s="196">
        <f t="shared" si="605"/>
        <v>0</v>
      </c>
      <c r="P474" s="332"/>
      <c r="Q474" s="196">
        <f t="shared" si="606"/>
        <v>0</v>
      </c>
      <c r="R474" s="332"/>
      <c r="S474" s="196">
        <f t="shared" si="607"/>
        <v>4.7633048894514811</v>
      </c>
      <c r="T474" s="332"/>
      <c r="U474" s="196">
        <f t="shared" si="608"/>
        <v>4.7633048894514811</v>
      </c>
      <c r="V474" s="332"/>
      <c r="W474" s="332"/>
      <c r="X474" s="332"/>
      <c r="Y474" s="332"/>
      <c r="Z474" s="198">
        <f t="shared" si="609"/>
        <v>9.7601316474433875E-2</v>
      </c>
      <c r="AA474" s="249">
        <f t="shared" si="610"/>
        <v>4.8609062059259154</v>
      </c>
    </row>
    <row r="475" spans="2:27">
      <c r="B475" s="253" t="s">
        <v>746</v>
      </c>
      <c r="C475" s="193">
        <v>0</v>
      </c>
      <c r="D475" s="203">
        <v>12.25</v>
      </c>
      <c r="E475" s="237">
        <v>0</v>
      </c>
      <c r="F475" s="237"/>
      <c r="G475" s="237">
        <v>2813</v>
      </c>
      <c r="H475" s="191">
        <v>0</v>
      </c>
      <c r="I475" s="203"/>
      <c r="J475" s="191">
        <v>0</v>
      </c>
      <c r="K475" s="191"/>
      <c r="L475" s="191">
        <f t="shared" si="604"/>
        <v>13</v>
      </c>
      <c r="M475" s="191"/>
      <c r="N475" s="195">
        <f t="shared" si="592"/>
        <v>0</v>
      </c>
      <c r="O475" s="196">
        <f t="shared" si="605"/>
        <v>0</v>
      </c>
      <c r="P475" s="332"/>
      <c r="Q475" s="196">
        <f t="shared" si="606"/>
        <v>0</v>
      </c>
      <c r="R475" s="332"/>
      <c r="S475" s="196">
        <f t="shared" si="607"/>
        <v>0</v>
      </c>
      <c r="T475" s="332"/>
      <c r="U475" s="196">
        <f t="shared" si="608"/>
        <v>0</v>
      </c>
      <c r="V475" s="332"/>
      <c r="W475" s="332"/>
      <c r="X475" s="332"/>
      <c r="Y475" s="332"/>
      <c r="Z475" s="198">
        <f t="shared" si="609"/>
        <v>0</v>
      </c>
      <c r="AA475" s="249">
        <f t="shared" si="610"/>
        <v>0</v>
      </c>
    </row>
    <row r="476" spans="2:27">
      <c r="B476" s="253" t="s">
        <v>747</v>
      </c>
      <c r="C476" s="193">
        <v>6</v>
      </c>
      <c r="D476" s="203">
        <v>12.25</v>
      </c>
      <c r="E476" s="237">
        <v>0</v>
      </c>
      <c r="F476" s="237"/>
      <c r="G476" s="237">
        <v>2813</v>
      </c>
      <c r="H476" s="191">
        <v>1.2239271802182303</v>
      </c>
      <c r="I476" s="203"/>
      <c r="J476" s="191">
        <v>9.6999999999999993</v>
      </c>
      <c r="K476" s="191"/>
      <c r="L476" s="191">
        <f t="shared" si="604"/>
        <v>13</v>
      </c>
      <c r="M476" s="191"/>
      <c r="N476" s="195">
        <f t="shared" si="592"/>
        <v>1.4993107957673322</v>
      </c>
      <c r="O476" s="196">
        <f t="shared" si="605"/>
        <v>0</v>
      </c>
      <c r="P476" s="332"/>
      <c r="Q476" s="196">
        <f t="shared" si="606"/>
        <v>2.02536E-2</v>
      </c>
      <c r="R476" s="332"/>
      <c r="S476" s="196">
        <f t="shared" si="607"/>
        <v>1.5195643957673322</v>
      </c>
      <c r="T476" s="332"/>
      <c r="U476" s="196">
        <f t="shared" si="608"/>
        <v>1.5195643957673322</v>
      </c>
      <c r="V476" s="332"/>
      <c r="W476" s="332"/>
      <c r="X476" s="332"/>
      <c r="Y476" s="332"/>
      <c r="Z476" s="198">
        <f t="shared" si="609"/>
        <v>1.9310503580920412E-2</v>
      </c>
      <c r="AA476" s="249">
        <f t="shared" si="610"/>
        <v>1.5388748993482526</v>
      </c>
    </row>
    <row r="477" spans="2:27">
      <c r="B477" s="253" t="s">
        <v>748</v>
      </c>
      <c r="C477" s="193">
        <v>0</v>
      </c>
      <c r="D477" s="203">
        <v>6.7</v>
      </c>
      <c r="E477" s="237">
        <v>0</v>
      </c>
      <c r="F477" s="237"/>
      <c r="G477" s="237">
        <v>2813</v>
      </c>
      <c r="H477" s="191">
        <v>0</v>
      </c>
      <c r="I477" s="203"/>
      <c r="J477" s="191">
        <v>0</v>
      </c>
      <c r="K477" s="191"/>
      <c r="L477" s="191">
        <f t="shared" si="604"/>
        <v>7.45</v>
      </c>
      <c r="M477" s="191"/>
      <c r="N477" s="195">
        <f t="shared" si="592"/>
        <v>0</v>
      </c>
      <c r="O477" s="196">
        <f t="shared" si="605"/>
        <v>0</v>
      </c>
      <c r="P477" s="332"/>
      <c r="Q477" s="196">
        <f t="shared" si="606"/>
        <v>0</v>
      </c>
      <c r="R477" s="332"/>
      <c r="S477" s="196">
        <f t="shared" si="607"/>
        <v>0</v>
      </c>
      <c r="T477" s="332"/>
      <c r="U477" s="196">
        <f t="shared" si="608"/>
        <v>0</v>
      </c>
      <c r="V477" s="332"/>
      <c r="W477" s="332"/>
      <c r="X477" s="332"/>
      <c r="Y477" s="332"/>
      <c r="Z477" s="198">
        <f t="shared" si="609"/>
        <v>0</v>
      </c>
      <c r="AA477" s="249">
        <f t="shared" si="610"/>
        <v>0</v>
      </c>
    </row>
    <row r="478" spans="2:27">
      <c r="B478" s="253" t="s">
        <v>749</v>
      </c>
      <c r="C478" s="193">
        <v>0</v>
      </c>
      <c r="D478" s="203">
        <v>12.25</v>
      </c>
      <c r="E478" s="237">
        <v>0</v>
      </c>
      <c r="F478" s="237"/>
      <c r="G478" s="237">
        <v>2813</v>
      </c>
      <c r="H478" s="191">
        <v>0</v>
      </c>
      <c r="I478" s="203"/>
      <c r="J478" s="191">
        <v>0</v>
      </c>
      <c r="K478" s="191"/>
      <c r="L478" s="191">
        <f t="shared" si="604"/>
        <v>13</v>
      </c>
      <c r="M478" s="191"/>
      <c r="N478" s="195">
        <f t="shared" si="592"/>
        <v>0</v>
      </c>
      <c r="O478" s="196">
        <f t="shared" si="605"/>
        <v>0</v>
      </c>
      <c r="P478" s="332"/>
      <c r="Q478" s="196">
        <f t="shared" si="606"/>
        <v>0</v>
      </c>
      <c r="R478" s="332"/>
      <c r="S478" s="196">
        <f t="shared" si="607"/>
        <v>0</v>
      </c>
      <c r="T478" s="332"/>
      <c r="U478" s="196">
        <f t="shared" si="608"/>
        <v>0</v>
      </c>
      <c r="V478" s="332"/>
      <c r="W478" s="332"/>
      <c r="X478" s="332"/>
      <c r="Y478" s="332"/>
      <c r="Z478" s="198">
        <f t="shared" si="609"/>
        <v>0</v>
      </c>
      <c r="AA478" s="249">
        <f t="shared" si="610"/>
        <v>0</v>
      </c>
    </row>
    <row r="479" spans="2:27">
      <c r="B479" s="239" t="s">
        <v>750</v>
      </c>
      <c r="C479" s="250">
        <f>C480+C490+C491</f>
        <v>44</v>
      </c>
      <c r="D479" s="240"/>
      <c r="E479" s="240"/>
      <c r="F479" s="240"/>
      <c r="G479" s="240"/>
      <c r="H479" s="240">
        <f>H480+H490+H491</f>
        <v>4404.5132558454243</v>
      </c>
      <c r="I479" s="240">
        <f t="shared" ref="I479" si="611">I480+I490+I491</f>
        <v>0</v>
      </c>
      <c r="J479" s="240">
        <f>J480+J490+J491</f>
        <v>771.72499999999991</v>
      </c>
      <c r="K479" s="240">
        <f t="shared" ref="K479:AA479" si="612">K480+K490+K491</f>
        <v>0</v>
      </c>
      <c r="L479" s="240"/>
      <c r="M479" s="240"/>
      <c r="N479" s="240">
        <f t="shared" si="612"/>
        <v>2281.2065518567942</v>
      </c>
      <c r="O479" s="240">
        <f t="shared" si="612"/>
        <v>439.88324999999998</v>
      </c>
      <c r="P479" s="240">
        <f t="shared" si="612"/>
        <v>0</v>
      </c>
      <c r="Q479" s="240">
        <f t="shared" si="612"/>
        <v>0.1485264</v>
      </c>
      <c r="R479" s="240">
        <f t="shared" si="612"/>
        <v>0</v>
      </c>
      <c r="S479" s="240">
        <f t="shared" si="612"/>
        <v>2721.2383282567939</v>
      </c>
      <c r="T479" s="240">
        <f t="shared" si="612"/>
        <v>0</v>
      </c>
      <c r="U479" s="240">
        <f t="shared" si="612"/>
        <v>2721.2383282567939</v>
      </c>
      <c r="V479" s="240">
        <f t="shared" si="612"/>
        <v>0</v>
      </c>
      <c r="W479" s="240">
        <f t="shared" si="612"/>
        <v>0</v>
      </c>
      <c r="X479" s="240">
        <f t="shared" si="612"/>
        <v>0</v>
      </c>
      <c r="Y479" s="240">
        <f t="shared" si="612"/>
        <v>0</v>
      </c>
      <c r="Z479" s="240">
        <f t="shared" si="612"/>
        <v>69.492180886161208</v>
      </c>
      <c r="AA479" s="241">
        <f t="shared" si="612"/>
        <v>2790.7305091429553</v>
      </c>
    </row>
    <row r="480" spans="2:27">
      <c r="B480" s="215" t="s">
        <v>753</v>
      </c>
      <c r="C480" s="216">
        <f>C482+C483+C484+C486+C487+C488+C489</f>
        <v>33</v>
      </c>
      <c r="D480" s="217"/>
      <c r="E480" s="207"/>
      <c r="F480" s="217"/>
      <c r="G480" s="218"/>
      <c r="H480" s="217">
        <f>H482+H483+H484+H486+H487+H488+H489</f>
        <v>1869.9681598311606</v>
      </c>
      <c r="I480" s="217">
        <f t="shared" ref="I480" si="613">I482+I483+I484+I486+I487+I488+I489</f>
        <v>0</v>
      </c>
      <c r="J480" s="217">
        <f>J482+J483+J484+J486+J487+J488+J489</f>
        <v>440.32499999999993</v>
      </c>
      <c r="K480" s="217">
        <f t="shared" ref="K480:AA480" si="614">K482+K483+K484+K486+K487+K488+K489</f>
        <v>0</v>
      </c>
      <c r="L480" s="217"/>
      <c r="M480" s="217"/>
      <c r="N480" s="217">
        <f t="shared" si="614"/>
        <v>1026.6067293297335</v>
      </c>
      <c r="O480" s="217">
        <f t="shared" si="614"/>
        <v>250.98524999999995</v>
      </c>
      <c r="P480" s="217">
        <f t="shared" si="614"/>
        <v>0</v>
      </c>
      <c r="Q480" s="217">
        <f t="shared" si="614"/>
        <v>0.1113948</v>
      </c>
      <c r="R480" s="217">
        <f t="shared" si="614"/>
        <v>0</v>
      </c>
      <c r="S480" s="217">
        <f t="shared" si="614"/>
        <v>1277.7033741297332</v>
      </c>
      <c r="T480" s="217">
        <f t="shared" si="614"/>
        <v>0</v>
      </c>
      <c r="U480" s="217">
        <f t="shared" si="614"/>
        <v>1277.7033741297332</v>
      </c>
      <c r="V480" s="217">
        <f t="shared" si="614"/>
        <v>0</v>
      </c>
      <c r="W480" s="217">
        <f t="shared" si="614"/>
        <v>0</v>
      </c>
      <c r="X480" s="217">
        <f t="shared" si="614"/>
        <v>0</v>
      </c>
      <c r="Y480" s="217">
        <f t="shared" si="614"/>
        <v>0</v>
      </c>
      <c r="Z480" s="217">
        <f t="shared" si="614"/>
        <v>29.503411175318647</v>
      </c>
      <c r="AA480" s="219">
        <f t="shared" si="614"/>
        <v>1307.2067853050519</v>
      </c>
    </row>
    <row r="481" spans="2:27">
      <c r="B481" s="253" t="s">
        <v>918</v>
      </c>
      <c r="C481" s="193"/>
      <c r="D481" s="203"/>
      <c r="E481" s="237"/>
      <c r="F481" s="237"/>
      <c r="G481" s="237"/>
      <c r="H481" s="191"/>
      <c r="I481" s="203"/>
      <c r="J481" s="191"/>
      <c r="K481" s="191"/>
      <c r="L481" s="191">
        <f t="shared" ref="L481:L491" si="615">D481+0.75</f>
        <v>0.75</v>
      </c>
      <c r="M481" s="191"/>
      <c r="N481" s="195">
        <f t="shared" ref="N481:N491" si="616">H481*D481/10</f>
        <v>0</v>
      </c>
      <c r="O481" s="196">
        <f t="shared" ref="O481:O491" si="617">IF(E481&gt;0,(J481*10^3*E481/10^7)+(K481*0.7457*E481/10^7),(K481*F481/10^7)+(J481*(10^3)*(1/0.7457)*F481/10^7))</f>
        <v>0</v>
      </c>
      <c r="P481" s="332"/>
      <c r="Q481" s="196">
        <f t="shared" ref="Q481:Q491" si="618">G481*C481*12/10^7</f>
        <v>0</v>
      </c>
      <c r="R481" s="332"/>
      <c r="S481" s="196">
        <f t="shared" ref="S481:S491" si="619">N481+O481+P481+Q481+R481</f>
        <v>0</v>
      </c>
      <c r="T481" s="332"/>
      <c r="U481" s="196">
        <f t="shared" ref="U481:U491" si="620">S481-T481</f>
        <v>0</v>
      </c>
      <c r="V481" s="332"/>
      <c r="W481" s="332"/>
      <c r="X481" s="332"/>
      <c r="Y481" s="332"/>
      <c r="Z481" s="198"/>
      <c r="AA481" s="249">
        <f t="shared" ref="AA481:AA491" si="621">U481+Z481</f>
        <v>0</v>
      </c>
    </row>
    <row r="482" spans="2:27">
      <c r="B482" s="253" t="s">
        <v>914</v>
      </c>
      <c r="C482" s="193"/>
      <c r="D482" s="203">
        <v>6.9</v>
      </c>
      <c r="E482" s="237">
        <v>5700</v>
      </c>
      <c r="F482" s="237"/>
      <c r="G482" s="237">
        <v>2813</v>
      </c>
      <c r="H482" s="191">
        <v>310.73912167420315</v>
      </c>
      <c r="I482" s="203"/>
      <c r="J482" s="191"/>
      <c r="K482" s="191"/>
      <c r="L482" s="191">
        <f t="shared" si="615"/>
        <v>7.65</v>
      </c>
      <c r="M482" s="191"/>
      <c r="N482" s="195">
        <f t="shared" si="616"/>
        <v>214.40999395520015</v>
      </c>
      <c r="O482" s="196">
        <f t="shared" si="617"/>
        <v>0</v>
      </c>
      <c r="P482" s="332"/>
      <c r="Q482" s="196">
        <f t="shared" si="618"/>
        <v>0</v>
      </c>
      <c r="R482" s="332"/>
      <c r="S482" s="196">
        <f t="shared" si="619"/>
        <v>214.40999395520015</v>
      </c>
      <c r="T482" s="332"/>
      <c r="U482" s="196">
        <f t="shared" si="620"/>
        <v>214.40999395520015</v>
      </c>
      <c r="V482" s="332"/>
      <c r="W482" s="332"/>
      <c r="X482" s="332"/>
      <c r="Y482" s="332"/>
      <c r="Z482" s="198"/>
      <c r="AA482" s="249">
        <f t="shared" si="621"/>
        <v>214.40999395520015</v>
      </c>
    </row>
    <row r="483" spans="2:27">
      <c r="B483" s="253" t="s">
        <v>915</v>
      </c>
      <c r="C483" s="193"/>
      <c r="D483" s="203">
        <v>4.6500000000000004</v>
      </c>
      <c r="E483" s="237">
        <v>5700</v>
      </c>
      <c r="F483" s="237"/>
      <c r="G483" s="237">
        <v>2813</v>
      </c>
      <c r="H483" s="191">
        <v>446.35051073648174</v>
      </c>
      <c r="I483" s="203"/>
      <c r="J483" s="191"/>
      <c r="K483" s="191"/>
      <c r="L483" s="191">
        <f t="shared" si="615"/>
        <v>5.4</v>
      </c>
      <c r="M483" s="191"/>
      <c r="N483" s="195">
        <f t="shared" si="616"/>
        <v>207.55298749246404</v>
      </c>
      <c r="O483" s="196">
        <f t="shared" si="617"/>
        <v>0</v>
      </c>
      <c r="P483" s="332"/>
      <c r="Q483" s="196">
        <f t="shared" si="618"/>
        <v>0</v>
      </c>
      <c r="R483" s="332"/>
      <c r="S483" s="196">
        <f t="shared" si="619"/>
        <v>207.55298749246404</v>
      </c>
      <c r="T483" s="332"/>
      <c r="U483" s="196">
        <f t="shared" si="620"/>
        <v>207.55298749246404</v>
      </c>
      <c r="V483" s="332"/>
      <c r="W483" s="332"/>
      <c r="X483" s="332"/>
      <c r="Y483" s="332"/>
      <c r="Z483" s="198"/>
      <c r="AA483" s="249">
        <f t="shared" si="621"/>
        <v>207.55298749246404</v>
      </c>
    </row>
    <row r="484" spans="2:27">
      <c r="B484" s="253" t="s">
        <v>916</v>
      </c>
      <c r="C484" s="193">
        <v>33</v>
      </c>
      <c r="D484" s="203">
        <v>5.4</v>
      </c>
      <c r="E484" s="237">
        <v>5700</v>
      </c>
      <c r="F484" s="237"/>
      <c r="G484" s="237">
        <v>2813</v>
      </c>
      <c r="H484" s="191">
        <v>149.89926750540664</v>
      </c>
      <c r="I484" s="203"/>
      <c r="J484" s="191">
        <v>440.32499999999993</v>
      </c>
      <c r="K484" s="191"/>
      <c r="L484" s="191">
        <f t="shared" si="615"/>
        <v>6.15</v>
      </c>
      <c r="M484" s="191"/>
      <c r="N484" s="195">
        <f t="shared" si="616"/>
        <v>80.945604452919582</v>
      </c>
      <c r="O484" s="196">
        <f t="shared" si="617"/>
        <v>250.98524999999995</v>
      </c>
      <c r="P484" s="332"/>
      <c r="Q484" s="196">
        <f t="shared" si="618"/>
        <v>0.1113948</v>
      </c>
      <c r="R484" s="332"/>
      <c r="S484" s="196">
        <f t="shared" si="619"/>
        <v>332.04224925291959</v>
      </c>
      <c r="T484" s="332"/>
      <c r="U484" s="196">
        <f t="shared" si="620"/>
        <v>332.04224925291959</v>
      </c>
      <c r="V484" s="332"/>
      <c r="W484" s="332"/>
      <c r="X484" s="332"/>
      <c r="Y484" s="332"/>
      <c r="Z484" s="198">
        <f>(H480*$Z$532)/($H$532-$H$396-$H$398-$H$399)</f>
        <v>29.503411175318647</v>
      </c>
      <c r="AA484" s="249">
        <f t="shared" si="621"/>
        <v>361.54566042823825</v>
      </c>
    </row>
    <row r="485" spans="2:27">
      <c r="B485" s="253" t="s">
        <v>917</v>
      </c>
      <c r="C485" s="193"/>
      <c r="D485" s="203"/>
      <c r="E485" s="237"/>
      <c r="F485" s="237"/>
      <c r="G485" s="237"/>
      <c r="H485" s="191"/>
      <c r="I485" s="203"/>
      <c r="J485" s="191"/>
      <c r="K485" s="191"/>
      <c r="L485" s="191">
        <f t="shared" si="615"/>
        <v>0.75</v>
      </c>
      <c r="M485" s="191"/>
      <c r="N485" s="195">
        <f t="shared" si="616"/>
        <v>0</v>
      </c>
      <c r="O485" s="196">
        <f t="shared" si="617"/>
        <v>0</v>
      </c>
      <c r="P485" s="332"/>
      <c r="Q485" s="196">
        <f t="shared" si="618"/>
        <v>0</v>
      </c>
      <c r="R485" s="332"/>
      <c r="S485" s="196">
        <f t="shared" si="619"/>
        <v>0</v>
      </c>
      <c r="T485" s="332"/>
      <c r="U485" s="196">
        <f t="shared" si="620"/>
        <v>0</v>
      </c>
      <c r="V485" s="332"/>
      <c r="W485" s="332"/>
      <c r="X485" s="332"/>
      <c r="Y485" s="332"/>
      <c r="Z485" s="198"/>
      <c r="AA485" s="249">
        <f t="shared" si="621"/>
        <v>0</v>
      </c>
    </row>
    <row r="486" spans="2:27">
      <c r="B486" s="253" t="s">
        <v>914</v>
      </c>
      <c r="C486" s="193"/>
      <c r="D486" s="203">
        <v>6.4</v>
      </c>
      <c r="E486" s="237">
        <v>5700</v>
      </c>
      <c r="F486" s="237"/>
      <c r="G486" s="237">
        <v>2813</v>
      </c>
      <c r="H486" s="191">
        <v>314.9883816577568</v>
      </c>
      <c r="I486" s="203"/>
      <c r="J486" s="191"/>
      <c r="K486" s="191"/>
      <c r="L486" s="191">
        <f t="shared" si="615"/>
        <v>7.15</v>
      </c>
      <c r="M486" s="191"/>
      <c r="N486" s="195">
        <f t="shared" si="616"/>
        <v>201.59256426096437</v>
      </c>
      <c r="O486" s="196">
        <f t="shared" si="617"/>
        <v>0</v>
      </c>
      <c r="P486" s="332"/>
      <c r="Q486" s="196">
        <f t="shared" si="618"/>
        <v>0</v>
      </c>
      <c r="R486" s="332"/>
      <c r="S486" s="196">
        <f t="shared" si="619"/>
        <v>201.59256426096437</v>
      </c>
      <c r="T486" s="332"/>
      <c r="U486" s="196">
        <f t="shared" si="620"/>
        <v>201.59256426096437</v>
      </c>
      <c r="V486" s="332"/>
      <c r="W486" s="332"/>
      <c r="X486" s="332"/>
      <c r="Y486" s="332"/>
      <c r="Z486" s="198"/>
      <c r="AA486" s="249">
        <f t="shared" si="621"/>
        <v>201.59256426096437</v>
      </c>
    </row>
    <row r="487" spans="2:27">
      <c r="B487" s="253" t="s">
        <v>915</v>
      </c>
      <c r="C487" s="193"/>
      <c r="D487" s="203">
        <v>4.6500000000000004</v>
      </c>
      <c r="E487" s="237">
        <v>5700</v>
      </c>
      <c r="F487" s="237"/>
      <c r="G487" s="237">
        <v>2813</v>
      </c>
      <c r="H487" s="191">
        <v>452.32771107116832</v>
      </c>
      <c r="I487" s="203"/>
      <c r="J487" s="191"/>
      <c r="K487" s="191"/>
      <c r="L487" s="191">
        <f t="shared" si="615"/>
        <v>5.4</v>
      </c>
      <c r="M487" s="191"/>
      <c r="N487" s="195">
        <f t="shared" si="616"/>
        <v>210.33238564809329</v>
      </c>
      <c r="O487" s="196">
        <f t="shared" si="617"/>
        <v>0</v>
      </c>
      <c r="P487" s="332"/>
      <c r="Q487" s="196">
        <f t="shared" si="618"/>
        <v>0</v>
      </c>
      <c r="R487" s="332"/>
      <c r="S487" s="196">
        <f t="shared" si="619"/>
        <v>210.33238564809329</v>
      </c>
      <c r="T487" s="332"/>
      <c r="U487" s="196">
        <f t="shared" si="620"/>
        <v>210.33238564809329</v>
      </c>
      <c r="V487" s="332"/>
      <c r="W487" s="332"/>
      <c r="X487" s="332"/>
      <c r="Y487" s="332"/>
      <c r="Z487" s="198"/>
      <c r="AA487" s="249">
        <f t="shared" si="621"/>
        <v>210.33238564809329</v>
      </c>
    </row>
    <row r="488" spans="2:27">
      <c r="B488" s="253" t="s">
        <v>916</v>
      </c>
      <c r="C488" s="193"/>
      <c r="D488" s="203">
        <v>5.4</v>
      </c>
      <c r="E488" s="237">
        <v>5700</v>
      </c>
      <c r="F488" s="237"/>
      <c r="G488" s="237">
        <v>2813</v>
      </c>
      <c r="H488" s="191">
        <v>157.44389693880524</v>
      </c>
      <c r="I488" s="203"/>
      <c r="J488" s="191"/>
      <c r="K488" s="191"/>
      <c r="L488" s="191">
        <f t="shared" si="615"/>
        <v>6.15</v>
      </c>
      <c r="M488" s="191"/>
      <c r="N488" s="195">
        <f t="shared" si="616"/>
        <v>85.019704346954839</v>
      </c>
      <c r="O488" s="196">
        <f t="shared" si="617"/>
        <v>0</v>
      </c>
      <c r="P488" s="332"/>
      <c r="Q488" s="196">
        <f t="shared" si="618"/>
        <v>0</v>
      </c>
      <c r="R488" s="332"/>
      <c r="S488" s="196">
        <f t="shared" si="619"/>
        <v>85.019704346954839</v>
      </c>
      <c r="T488" s="332"/>
      <c r="U488" s="196">
        <f t="shared" si="620"/>
        <v>85.019704346954839</v>
      </c>
      <c r="V488" s="332"/>
      <c r="W488" s="332"/>
      <c r="X488" s="332"/>
      <c r="Y488" s="332"/>
      <c r="Z488" s="198"/>
      <c r="AA488" s="249">
        <f t="shared" si="621"/>
        <v>85.019704346954839</v>
      </c>
    </row>
    <row r="489" spans="2:27">
      <c r="B489" s="253" t="s">
        <v>592</v>
      </c>
      <c r="C489" s="193">
        <v>0</v>
      </c>
      <c r="D489" s="203">
        <v>7</v>
      </c>
      <c r="E489" s="237">
        <v>0</v>
      </c>
      <c r="F489" s="237"/>
      <c r="G489" s="237"/>
      <c r="H489" s="191">
        <v>38.219270247338699</v>
      </c>
      <c r="I489" s="203"/>
      <c r="J489" s="191">
        <v>0</v>
      </c>
      <c r="K489" s="191"/>
      <c r="L489" s="191">
        <f t="shared" si="615"/>
        <v>7.75</v>
      </c>
      <c r="M489" s="191"/>
      <c r="N489" s="195">
        <f t="shared" si="616"/>
        <v>26.753489173137087</v>
      </c>
      <c r="O489" s="196">
        <f t="shared" si="617"/>
        <v>0</v>
      </c>
      <c r="P489" s="332"/>
      <c r="Q489" s="196">
        <f t="shared" si="618"/>
        <v>0</v>
      </c>
      <c r="R489" s="332"/>
      <c r="S489" s="196">
        <f t="shared" si="619"/>
        <v>26.753489173137087</v>
      </c>
      <c r="T489" s="332"/>
      <c r="U489" s="196">
        <f t="shared" si="620"/>
        <v>26.753489173137087</v>
      </c>
      <c r="V489" s="332"/>
      <c r="W489" s="332"/>
      <c r="X489" s="332"/>
      <c r="Y489" s="332"/>
      <c r="Z489" s="198"/>
      <c r="AA489" s="249">
        <f t="shared" si="621"/>
        <v>26.753489173137087</v>
      </c>
    </row>
    <row r="490" spans="2:27">
      <c r="B490" s="215" t="s">
        <v>754</v>
      </c>
      <c r="C490" s="193">
        <v>0</v>
      </c>
      <c r="D490" s="217">
        <v>6.7</v>
      </c>
      <c r="E490" s="360">
        <v>5700</v>
      </c>
      <c r="F490" s="217"/>
      <c r="G490" s="222">
        <v>2813</v>
      </c>
      <c r="H490" s="191">
        <v>0</v>
      </c>
      <c r="I490" s="217"/>
      <c r="J490" s="191">
        <v>0</v>
      </c>
      <c r="K490" s="217"/>
      <c r="L490" s="191">
        <f t="shared" si="615"/>
        <v>7.45</v>
      </c>
      <c r="M490" s="217"/>
      <c r="N490" s="195">
        <f t="shared" si="616"/>
        <v>0</v>
      </c>
      <c r="O490" s="217">
        <f t="shared" si="617"/>
        <v>0</v>
      </c>
      <c r="P490" s="217"/>
      <c r="Q490" s="217">
        <f t="shared" si="618"/>
        <v>0</v>
      </c>
      <c r="R490" s="217"/>
      <c r="S490" s="217">
        <f t="shared" si="619"/>
        <v>0</v>
      </c>
      <c r="T490" s="217"/>
      <c r="U490" s="217">
        <f t="shared" si="620"/>
        <v>0</v>
      </c>
      <c r="V490" s="217"/>
      <c r="W490" s="217"/>
      <c r="X490" s="217"/>
      <c r="Y490" s="217"/>
      <c r="Z490" s="198">
        <f>(H490*$Z$532)/($H$532-$H$396-$H$398-$H$399)</f>
        <v>0</v>
      </c>
      <c r="AA490" s="219">
        <f t="shared" si="621"/>
        <v>0</v>
      </c>
    </row>
    <row r="491" spans="2:27">
      <c r="B491" s="215" t="s">
        <v>755</v>
      </c>
      <c r="C491" s="193">
        <v>11</v>
      </c>
      <c r="D491" s="217">
        <v>4.95</v>
      </c>
      <c r="E491" s="360">
        <v>5700</v>
      </c>
      <c r="F491" s="217"/>
      <c r="G491" s="222">
        <v>2813</v>
      </c>
      <c r="H491" s="191">
        <v>2534.5450960142639</v>
      </c>
      <c r="I491" s="217"/>
      <c r="J491" s="191">
        <v>331.4</v>
      </c>
      <c r="K491" s="217"/>
      <c r="L491" s="191">
        <f t="shared" si="615"/>
        <v>5.7</v>
      </c>
      <c r="M491" s="217"/>
      <c r="N491" s="195">
        <f t="shared" si="616"/>
        <v>1254.5998225270607</v>
      </c>
      <c r="O491" s="217">
        <f t="shared" si="617"/>
        <v>188.898</v>
      </c>
      <c r="P491" s="217"/>
      <c r="Q491" s="217">
        <f t="shared" si="618"/>
        <v>3.7131600000000001E-2</v>
      </c>
      <c r="R491" s="217"/>
      <c r="S491" s="217">
        <f t="shared" si="619"/>
        <v>1443.5349541270607</v>
      </c>
      <c r="T491" s="217"/>
      <c r="U491" s="217">
        <f t="shared" si="620"/>
        <v>1443.5349541270607</v>
      </c>
      <c r="V491" s="217"/>
      <c r="W491" s="217"/>
      <c r="X491" s="217"/>
      <c r="Y491" s="217"/>
      <c r="Z491" s="198">
        <f>(H491*$Z$532)/($H$532-$H$396-$H$398-$H$399)</f>
        <v>39.988769710842561</v>
      </c>
      <c r="AA491" s="219">
        <f t="shared" si="621"/>
        <v>1483.5237238379032</v>
      </c>
    </row>
    <row r="492" spans="2:27">
      <c r="B492" s="239" t="s">
        <v>751</v>
      </c>
      <c r="C492" s="250">
        <f>SUM(C493:C496)</f>
        <v>21</v>
      </c>
      <c r="D492" s="240"/>
      <c r="E492" s="240"/>
      <c r="F492" s="240"/>
      <c r="G492" s="240"/>
      <c r="H492" s="240">
        <f>SUM(H493:H496)</f>
        <v>1002.4210409497232</v>
      </c>
      <c r="I492" s="240">
        <f t="shared" ref="I492" si="622">SUM(I493:I496)</f>
        <v>0</v>
      </c>
      <c r="J492" s="240">
        <f>SUM(J493:J496)</f>
        <v>317.50299999999993</v>
      </c>
      <c r="K492" s="240">
        <f t="shared" ref="K492:AA492" si="623">SUM(K493:K496)</f>
        <v>0</v>
      </c>
      <c r="L492" s="240"/>
      <c r="M492" s="240"/>
      <c r="N492" s="240">
        <f t="shared" si="623"/>
        <v>551.33157252234776</v>
      </c>
      <c r="O492" s="240">
        <f t="shared" si="623"/>
        <v>133.35125999999997</v>
      </c>
      <c r="P492" s="240">
        <f t="shared" si="623"/>
        <v>0</v>
      </c>
      <c r="Q492" s="240">
        <f t="shared" si="623"/>
        <v>7.0887599999999995E-2</v>
      </c>
      <c r="R492" s="240">
        <f t="shared" si="623"/>
        <v>0</v>
      </c>
      <c r="S492" s="240">
        <f t="shared" si="623"/>
        <v>684.75372012234777</v>
      </c>
      <c r="T492" s="240">
        <f t="shared" si="623"/>
        <v>0</v>
      </c>
      <c r="U492" s="240">
        <f t="shared" si="623"/>
        <v>684.75372012234777</v>
      </c>
      <c r="V492" s="240">
        <f t="shared" si="623"/>
        <v>0</v>
      </c>
      <c r="W492" s="240">
        <f t="shared" si="623"/>
        <v>0</v>
      </c>
      <c r="X492" s="240">
        <f t="shared" si="623"/>
        <v>0</v>
      </c>
      <c r="Y492" s="240">
        <f t="shared" si="623"/>
        <v>0</v>
      </c>
      <c r="Z492" s="240">
        <f t="shared" si="623"/>
        <v>15.815691826860265</v>
      </c>
      <c r="AA492" s="241">
        <f t="shared" si="623"/>
        <v>700.56941194920807</v>
      </c>
    </row>
    <row r="493" spans="2:27" ht="21">
      <c r="B493" s="253" t="s">
        <v>756</v>
      </c>
      <c r="C493" s="193">
        <v>0</v>
      </c>
      <c r="D493" s="203">
        <v>6.7</v>
      </c>
      <c r="E493" s="237">
        <v>5700</v>
      </c>
      <c r="F493" s="237"/>
      <c r="G493" s="237">
        <v>2813</v>
      </c>
      <c r="H493" s="191">
        <v>0</v>
      </c>
      <c r="I493" s="203"/>
      <c r="J493" s="191">
        <v>0</v>
      </c>
      <c r="K493" s="191"/>
      <c r="L493" s="191">
        <f t="shared" ref="L493:L496" si="624">D493+0.75</f>
        <v>7.45</v>
      </c>
      <c r="M493" s="191"/>
      <c r="N493" s="195">
        <f t="shared" ref="N493:N496" si="625">H493*D493/10</f>
        <v>0</v>
      </c>
      <c r="O493" s="196">
        <f>IF(E493&gt;0,(J493*10^3*E493/10^7)+(K493*0.7457*E493/10^7),(K493*F493/10^7)+(J493*(10^3)*(1/0.7457)*F493/10^7))</f>
        <v>0</v>
      </c>
      <c r="P493" s="332"/>
      <c r="Q493" s="196">
        <f t="shared" ref="Q493:Q496" si="626">G493*C493*12/10^7</f>
        <v>0</v>
      </c>
      <c r="R493" s="332"/>
      <c r="S493" s="196">
        <f>N493+O493+P493+Q493+R493</f>
        <v>0</v>
      </c>
      <c r="T493" s="332"/>
      <c r="U493" s="196">
        <f t="shared" ref="U493:U496" si="627">S493-T493</f>
        <v>0</v>
      </c>
      <c r="V493" s="332"/>
      <c r="W493" s="332"/>
      <c r="X493" s="332"/>
      <c r="Y493" s="332"/>
      <c r="Z493" s="198">
        <f>(H493*$Z$532)/($H$532-$H$396-$H$398-$H$399)</f>
        <v>0</v>
      </c>
      <c r="AA493" s="249">
        <f t="shared" ref="AA493:AA496" si="628">U493+Z493</f>
        <v>0</v>
      </c>
    </row>
    <row r="494" spans="2:27">
      <c r="B494" s="253" t="s">
        <v>757</v>
      </c>
      <c r="C494" s="193">
        <v>0</v>
      </c>
      <c r="D494" s="203">
        <v>7</v>
      </c>
      <c r="E494" s="237">
        <v>5700</v>
      </c>
      <c r="F494" s="237"/>
      <c r="G494" s="237">
        <v>2813</v>
      </c>
      <c r="H494" s="191">
        <v>0</v>
      </c>
      <c r="I494" s="203"/>
      <c r="J494" s="191">
        <v>0</v>
      </c>
      <c r="K494" s="191"/>
      <c r="L494" s="191">
        <f t="shared" si="624"/>
        <v>7.75</v>
      </c>
      <c r="M494" s="191"/>
      <c r="N494" s="195">
        <f t="shared" si="625"/>
        <v>0</v>
      </c>
      <c r="O494" s="196">
        <f>IF(E494&gt;0,(J494*10^3*E494/10^7)+(K494*0.7457*E494/10^7),(K494*F494/10^7)+(J494*(10^3)*(1/0.7457)*F494/10^7))</f>
        <v>0</v>
      </c>
      <c r="P494" s="332"/>
      <c r="Q494" s="196">
        <f t="shared" si="626"/>
        <v>0</v>
      </c>
      <c r="R494" s="332"/>
      <c r="S494" s="196">
        <f>N494+O494+P494+Q494+R494</f>
        <v>0</v>
      </c>
      <c r="T494" s="332"/>
      <c r="U494" s="196">
        <f t="shared" si="627"/>
        <v>0</v>
      </c>
      <c r="V494" s="332"/>
      <c r="W494" s="332"/>
      <c r="X494" s="332"/>
      <c r="Y494" s="332"/>
      <c r="Z494" s="198">
        <f>(H494*$Z$532)/($H$532-$H$396-$H$398-$H$399)</f>
        <v>0</v>
      </c>
      <c r="AA494" s="249">
        <f t="shared" si="628"/>
        <v>0</v>
      </c>
    </row>
    <row r="495" spans="2:27">
      <c r="B495" s="253" t="s">
        <v>758</v>
      </c>
      <c r="C495" s="193">
        <v>0</v>
      </c>
      <c r="D495" s="203">
        <v>5</v>
      </c>
      <c r="E495" s="237">
        <v>360</v>
      </c>
      <c r="F495" s="237"/>
      <c r="G495" s="237">
        <v>2813</v>
      </c>
      <c r="H495" s="191">
        <v>0</v>
      </c>
      <c r="I495" s="203"/>
      <c r="J495" s="191">
        <v>0</v>
      </c>
      <c r="K495" s="191"/>
      <c r="L495" s="191">
        <f t="shared" si="624"/>
        <v>5.75</v>
      </c>
      <c r="M495" s="191"/>
      <c r="N495" s="195">
        <f t="shared" si="625"/>
        <v>0</v>
      </c>
      <c r="O495" s="196">
        <f>IF(E495&gt;0,(J495*10^3*E495/10^7)+(K495*0.7457*E495/10^7),(K495*F495/10^7)+(J495*(10^3)*(1/0.7457)*F495/10^7))</f>
        <v>0</v>
      </c>
      <c r="P495" s="332"/>
      <c r="Q495" s="196">
        <f t="shared" si="626"/>
        <v>0</v>
      </c>
      <c r="R495" s="332"/>
      <c r="S495" s="196">
        <f>N495+O495+P495+Q495+R495</f>
        <v>0</v>
      </c>
      <c r="T495" s="332"/>
      <c r="U495" s="196">
        <f t="shared" si="627"/>
        <v>0</v>
      </c>
      <c r="V495" s="332"/>
      <c r="W495" s="332"/>
      <c r="X495" s="332"/>
      <c r="Y495" s="332"/>
      <c r="Z495" s="198">
        <f>(H495*$Z$532)/($H$532-$H$396-$H$398-$H$399)</f>
        <v>0</v>
      </c>
      <c r="AA495" s="249">
        <f t="shared" si="628"/>
        <v>0</v>
      </c>
    </row>
    <row r="496" spans="2:27">
      <c r="B496" s="253" t="s">
        <v>759</v>
      </c>
      <c r="C496" s="193">
        <v>21</v>
      </c>
      <c r="D496" s="203">
        <v>5.5</v>
      </c>
      <c r="E496" s="237">
        <v>4200</v>
      </c>
      <c r="F496" s="237"/>
      <c r="G496" s="237">
        <v>2813</v>
      </c>
      <c r="H496" s="191">
        <v>1002.4210409497232</v>
      </c>
      <c r="I496" s="203"/>
      <c r="J496" s="191">
        <v>317.50299999999993</v>
      </c>
      <c r="K496" s="191"/>
      <c r="L496" s="191">
        <f t="shared" si="624"/>
        <v>6.25</v>
      </c>
      <c r="M496" s="191"/>
      <c r="N496" s="195">
        <f t="shared" si="625"/>
        <v>551.33157252234776</v>
      </c>
      <c r="O496" s="196">
        <f>IF(E496&gt;0,(J496*10^3*E496/10^7)+(K496*0.7457*E496/10^7),(K496*F496/10^7)+(J496*(10^3)*(1/0.7457)*F496/10^7))</f>
        <v>133.35125999999997</v>
      </c>
      <c r="P496" s="332"/>
      <c r="Q496" s="196">
        <f t="shared" si="626"/>
        <v>7.0887599999999995E-2</v>
      </c>
      <c r="R496" s="332"/>
      <c r="S496" s="196">
        <f>N496+O496+P496+Q496+R496</f>
        <v>684.75372012234777</v>
      </c>
      <c r="T496" s="332"/>
      <c r="U496" s="196">
        <f t="shared" si="627"/>
        <v>684.75372012234777</v>
      </c>
      <c r="V496" s="332"/>
      <c r="W496" s="332"/>
      <c r="X496" s="332"/>
      <c r="Y496" s="332"/>
      <c r="Z496" s="198">
        <f>(H496*$Z$532)/($H$532-$H$396-$H$398-$H$399)</f>
        <v>15.815691826860265</v>
      </c>
      <c r="AA496" s="249">
        <f t="shared" si="628"/>
        <v>700.56941194920807</v>
      </c>
    </row>
    <row r="497" spans="2:27">
      <c r="B497" s="239" t="s">
        <v>752</v>
      </c>
      <c r="C497" s="250">
        <f t="shared" ref="C497" si="629">C498+C499</f>
        <v>2</v>
      </c>
      <c r="D497" s="240"/>
      <c r="E497" s="240"/>
      <c r="F497" s="240"/>
      <c r="G497" s="240"/>
      <c r="H497" s="240">
        <f t="shared" ref="H497:AA497" si="630">H498+H499</f>
        <v>0</v>
      </c>
      <c r="I497" s="240">
        <f t="shared" si="630"/>
        <v>0</v>
      </c>
      <c r="J497" s="240">
        <f t="shared" ref="J497" si="631">J498+J499</f>
        <v>0</v>
      </c>
      <c r="K497" s="240">
        <f t="shared" si="630"/>
        <v>0</v>
      </c>
      <c r="L497" s="240"/>
      <c r="M497" s="240"/>
      <c r="N497" s="240">
        <f t="shared" si="630"/>
        <v>0</v>
      </c>
      <c r="O497" s="240">
        <f t="shared" si="630"/>
        <v>0</v>
      </c>
      <c r="P497" s="240">
        <f t="shared" si="630"/>
        <v>0</v>
      </c>
      <c r="Q497" s="240">
        <f t="shared" si="630"/>
        <v>6.7511999999999997E-3</v>
      </c>
      <c r="R497" s="240">
        <f t="shared" si="630"/>
        <v>0</v>
      </c>
      <c r="S497" s="240">
        <f t="shared" si="630"/>
        <v>6.7511999999999997E-3</v>
      </c>
      <c r="T497" s="240">
        <f t="shared" si="630"/>
        <v>0</v>
      </c>
      <c r="U497" s="240">
        <f t="shared" si="630"/>
        <v>6.7511999999999997E-3</v>
      </c>
      <c r="V497" s="240">
        <f t="shared" si="630"/>
        <v>0</v>
      </c>
      <c r="W497" s="240">
        <f t="shared" si="630"/>
        <v>0</v>
      </c>
      <c r="X497" s="240">
        <f t="shared" si="630"/>
        <v>0</v>
      </c>
      <c r="Y497" s="240">
        <f t="shared" si="630"/>
        <v>0</v>
      </c>
      <c r="Z497" s="240">
        <f t="shared" si="630"/>
        <v>0</v>
      </c>
      <c r="AA497" s="241">
        <f t="shared" si="630"/>
        <v>6.7511999999999997E-3</v>
      </c>
    </row>
    <row r="498" spans="2:27">
      <c r="B498" s="253" t="s">
        <v>760</v>
      </c>
      <c r="C498" s="193">
        <v>0</v>
      </c>
      <c r="D498" s="203">
        <v>3.85</v>
      </c>
      <c r="E498" s="237">
        <v>360</v>
      </c>
      <c r="F498" s="237"/>
      <c r="G498" s="237">
        <v>2813</v>
      </c>
      <c r="H498" s="191">
        <v>0</v>
      </c>
      <c r="I498" s="203"/>
      <c r="J498" s="191">
        <v>0</v>
      </c>
      <c r="K498" s="191"/>
      <c r="L498" s="191">
        <f t="shared" ref="L498:L499" si="632">D498+0.75</f>
        <v>4.5999999999999996</v>
      </c>
      <c r="M498" s="191"/>
      <c r="N498" s="195">
        <f t="shared" ref="N498:N499" si="633">H498*D498/10</f>
        <v>0</v>
      </c>
      <c r="O498" s="196">
        <f>IF(E498&gt;0,(J498*10^3*E498/10^7)+(K498*0.7457*E498/10^7),(K498*F498/10^7)+(J498*(10^3)*(1/0.7457)*F498/10^7))</f>
        <v>0</v>
      </c>
      <c r="P498" s="332"/>
      <c r="Q498" s="196">
        <f t="shared" ref="Q498:Q499" si="634">G498*C498*12/10^7</f>
        <v>0</v>
      </c>
      <c r="R498" s="332"/>
      <c r="S498" s="196">
        <f>N498+O498+P498+Q498+R498</f>
        <v>0</v>
      </c>
      <c r="T498" s="332"/>
      <c r="U498" s="196">
        <f t="shared" ref="U498:U499" si="635">S498-T498</f>
        <v>0</v>
      </c>
      <c r="V498" s="332"/>
      <c r="W498" s="332"/>
      <c r="X498" s="332"/>
      <c r="Y498" s="332"/>
      <c r="Z498" s="198">
        <f>(H498*$Z$532)/($H$532-$H$396-$H$398-$H$399)</f>
        <v>0</v>
      </c>
      <c r="AA498" s="249">
        <f t="shared" ref="AA498:AA499" si="636">U498+Z498</f>
        <v>0</v>
      </c>
    </row>
    <row r="499" spans="2:27">
      <c r="B499" s="253" t="s">
        <v>761</v>
      </c>
      <c r="C499" s="193">
        <v>2</v>
      </c>
      <c r="D499" s="203">
        <v>7.15</v>
      </c>
      <c r="E499" s="237">
        <v>0</v>
      </c>
      <c r="F499" s="237"/>
      <c r="G499" s="237">
        <v>2813</v>
      </c>
      <c r="H499" s="191">
        <v>0</v>
      </c>
      <c r="I499" s="203"/>
      <c r="J499" s="191">
        <v>0</v>
      </c>
      <c r="K499" s="191"/>
      <c r="L499" s="191">
        <f t="shared" si="632"/>
        <v>7.9</v>
      </c>
      <c r="M499" s="191"/>
      <c r="N499" s="195">
        <f t="shared" si="633"/>
        <v>0</v>
      </c>
      <c r="O499" s="196">
        <f>IF(E499&gt;0,(J499*10^3*E499/10^7)+(K499*0.7457*E499/10^7),(K499*F499/10^7)+(J499*(10^3)*(1/0.7457)*F499/10^7))</f>
        <v>0</v>
      </c>
      <c r="P499" s="332"/>
      <c r="Q499" s="196">
        <f t="shared" si="634"/>
        <v>6.7511999999999997E-3</v>
      </c>
      <c r="R499" s="332"/>
      <c r="S499" s="196">
        <f>N499+O499+P499+Q499+R499</f>
        <v>6.7511999999999997E-3</v>
      </c>
      <c r="T499" s="332"/>
      <c r="U499" s="196">
        <f t="shared" si="635"/>
        <v>6.7511999999999997E-3</v>
      </c>
      <c r="V499" s="332"/>
      <c r="W499" s="332"/>
      <c r="X499" s="332"/>
      <c r="Y499" s="332"/>
      <c r="Z499" s="198">
        <f>(H499*$Z$532)/($H$532-$H$396-$H$398-$H$399)</f>
        <v>0</v>
      </c>
      <c r="AA499" s="249">
        <f t="shared" si="636"/>
        <v>6.7511999999999997E-3</v>
      </c>
    </row>
    <row r="500" spans="2:27">
      <c r="B500" s="253"/>
      <c r="C500" s="193"/>
      <c r="D500" s="203"/>
      <c r="E500" s="237"/>
      <c r="F500" s="237"/>
      <c r="G500" s="237"/>
      <c r="H500" s="191"/>
      <c r="I500" s="203"/>
      <c r="J500" s="191"/>
      <c r="K500" s="191"/>
      <c r="L500" s="191"/>
      <c r="M500" s="191"/>
      <c r="N500" s="195"/>
      <c r="O500" s="196"/>
      <c r="P500" s="332"/>
      <c r="Q500" s="196"/>
      <c r="R500" s="332"/>
      <c r="S500" s="196"/>
      <c r="T500" s="332"/>
      <c r="U500" s="196"/>
      <c r="V500" s="332"/>
      <c r="W500" s="332"/>
      <c r="X500" s="332"/>
      <c r="Y500" s="332"/>
      <c r="Z500" s="198"/>
      <c r="AA500" s="249"/>
    </row>
    <row r="501" spans="2:27" ht="17.25" customHeight="1">
      <c r="B501" s="232" t="s">
        <v>919</v>
      </c>
      <c r="C501" s="255">
        <f>C502+C503+C510+C523+C528</f>
        <v>12</v>
      </c>
      <c r="D501" s="233"/>
      <c r="E501" s="233"/>
      <c r="F501" s="233"/>
      <c r="G501" s="234"/>
      <c r="H501" s="233">
        <f>H502+H503+H510+H523+H528</f>
        <v>3752.4311376768646</v>
      </c>
      <c r="I501" s="233">
        <f t="shared" ref="I501" si="637">I502+I503+I510+I523+I528</f>
        <v>0</v>
      </c>
      <c r="J501" s="233">
        <f>J502+J503+J510+J523+J528</f>
        <v>829.41000000000008</v>
      </c>
      <c r="K501" s="233">
        <f t="shared" ref="K501:AA501" si="638">K502+K503+K510+K523+K528</f>
        <v>0</v>
      </c>
      <c r="L501" s="233"/>
      <c r="M501" s="233"/>
      <c r="N501" s="233">
        <f t="shared" si="638"/>
        <v>1998.149078770678</v>
      </c>
      <c r="O501" s="233">
        <f t="shared" si="638"/>
        <v>325.755</v>
      </c>
      <c r="P501" s="233">
        <f t="shared" si="638"/>
        <v>0</v>
      </c>
      <c r="Q501" s="233">
        <f t="shared" si="638"/>
        <v>4.05072E-2</v>
      </c>
      <c r="R501" s="233">
        <f t="shared" si="638"/>
        <v>0</v>
      </c>
      <c r="S501" s="233">
        <f t="shared" si="638"/>
        <v>2323.944585970678</v>
      </c>
      <c r="T501" s="233">
        <f t="shared" si="638"/>
        <v>0</v>
      </c>
      <c r="U501" s="233">
        <f t="shared" si="638"/>
        <v>2323.944585970678</v>
      </c>
      <c r="V501" s="233">
        <f t="shared" si="638"/>
        <v>0</v>
      </c>
      <c r="W501" s="233">
        <f t="shared" si="638"/>
        <v>0</v>
      </c>
      <c r="X501" s="233">
        <f t="shared" si="638"/>
        <v>0</v>
      </c>
      <c r="Y501" s="233">
        <f t="shared" si="638"/>
        <v>0</v>
      </c>
      <c r="Z501" s="233">
        <f t="shared" si="638"/>
        <v>59.203959265245054</v>
      </c>
      <c r="AA501" s="235">
        <f t="shared" si="638"/>
        <v>2383.1485452359234</v>
      </c>
    </row>
    <row r="502" spans="2:27" ht="17.25" customHeight="1">
      <c r="B502" s="253" t="s">
        <v>743</v>
      </c>
      <c r="C502" s="193">
        <v>0</v>
      </c>
      <c r="D502" s="203">
        <v>7</v>
      </c>
      <c r="E502" s="237">
        <v>900</v>
      </c>
      <c r="F502" s="237"/>
      <c r="G502" s="237">
        <v>2813</v>
      </c>
      <c r="H502" s="191">
        <v>0</v>
      </c>
      <c r="I502" s="203"/>
      <c r="J502" s="191">
        <v>0</v>
      </c>
      <c r="K502" s="191"/>
      <c r="L502" s="191">
        <f t="shared" ref="L502" si="639">D502+0.75</f>
        <v>7.75</v>
      </c>
      <c r="M502" s="191"/>
      <c r="N502" s="195">
        <f t="shared" ref="N502" si="640">H502*D502/10</f>
        <v>0</v>
      </c>
      <c r="O502" s="196">
        <f>IF(E502&gt;0,(J502*10^3*E502/10^7)+(K502*0.7457*E502/10^7),(K502*F502/10^7)+(J502*(10^3)*(1/0.7457)*F502/10^7))</f>
        <v>0</v>
      </c>
      <c r="P502" s="332"/>
      <c r="Q502" s="196">
        <f t="shared" ref="Q502" si="641">G502*C502*12/10^7</f>
        <v>0</v>
      </c>
      <c r="R502" s="332"/>
      <c r="S502" s="196">
        <f>N502+O502+P502+Q502+R502</f>
        <v>0</v>
      </c>
      <c r="T502" s="332"/>
      <c r="U502" s="196">
        <f t="shared" ref="U502" si="642">S502-T502</f>
        <v>0</v>
      </c>
      <c r="V502" s="332"/>
      <c r="W502" s="332"/>
      <c r="X502" s="332"/>
      <c r="Y502" s="332"/>
      <c r="Z502" s="198">
        <f>(H502*$Z$532)/($H$532-$H$396-$H$398-$H$399)</f>
        <v>0</v>
      </c>
      <c r="AA502" s="249">
        <f t="shared" ref="AA502" si="643">U502+Z502</f>
        <v>0</v>
      </c>
    </row>
    <row r="503" spans="2:27">
      <c r="B503" s="239" t="s">
        <v>744</v>
      </c>
      <c r="C503" s="250">
        <f>SUM(C504:C509)</f>
        <v>4</v>
      </c>
      <c r="D503" s="240"/>
      <c r="E503" s="240"/>
      <c r="F503" s="240"/>
      <c r="G503" s="240"/>
      <c r="H503" s="240">
        <f>SUM(H504:H509)</f>
        <v>108.5085558144858</v>
      </c>
      <c r="I503" s="240">
        <f t="shared" ref="I503" si="644">SUM(I504:I509)</f>
        <v>0</v>
      </c>
      <c r="J503" s="240">
        <f>SUM(J504:J509)</f>
        <v>27.5</v>
      </c>
      <c r="K503" s="240">
        <f t="shared" ref="K503:AA503" si="645">SUM(K504:K509)</f>
        <v>0</v>
      </c>
      <c r="L503" s="240"/>
      <c r="M503" s="240"/>
      <c r="N503" s="240">
        <f t="shared" si="645"/>
        <v>76.603331642509559</v>
      </c>
      <c r="O503" s="240">
        <f t="shared" si="645"/>
        <v>8.2650000000000006</v>
      </c>
      <c r="P503" s="240">
        <f t="shared" si="645"/>
        <v>0</v>
      </c>
      <c r="Q503" s="240">
        <f t="shared" si="645"/>
        <v>1.3502399999999999E-2</v>
      </c>
      <c r="R503" s="240">
        <f t="shared" si="645"/>
        <v>0</v>
      </c>
      <c r="S503" s="240">
        <f t="shared" si="645"/>
        <v>84.881834042509553</v>
      </c>
      <c r="T503" s="240">
        <f t="shared" si="645"/>
        <v>0</v>
      </c>
      <c r="U503" s="240">
        <f t="shared" si="645"/>
        <v>84.881834042509553</v>
      </c>
      <c r="V503" s="240">
        <f t="shared" si="645"/>
        <v>0</v>
      </c>
      <c r="W503" s="240">
        <f t="shared" si="645"/>
        <v>0</v>
      </c>
      <c r="X503" s="240">
        <f t="shared" si="645"/>
        <v>0</v>
      </c>
      <c r="Y503" s="240">
        <f t="shared" si="645"/>
        <v>0</v>
      </c>
      <c r="Z503" s="240">
        <f t="shared" si="645"/>
        <v>1.7119930740017735</v>
      </c>
      <c r="AA503" s="241">
        <f t="shared" si="645"/>
        <v>86.593827116511335</v>
      </c>
    </row>
    <row r="504" spans="2:27">
      <c r="B504" s="253" t="s">
        <v>745</v>
      </c>
      <c r="C504" s="193">
        <v>2</v>
      </c>
      <c r="D504" s="203">
        <v>6.65</v>
      </c>
      <c r="E504" s="237">
        <v>5700</v>
      </c>
      <c r="F504" s="237"/>
      <c r="G504" s="237">
        <v>2813</v>
      </c>
      <c r="H504" s="191">
        <v>85.533298627913098</v>
      </c>
      <c r="I504" s="203"/>
      <c r="J504" s="191">
        <v>14.5</v>
      </c>
      <c r="K504" s="191"/>
      <c r="L504" s="191">
        <f t="shared" ref="L504:L509" si="646">D504+0.75</f>
        <v>7.4</v>
      </c>
      <c r="M504" s="191"/>
      <c r="N504" s="195">
        <f t="shared" ref="N504:N509" si="647">H504*D504/10</f>
        <v>56.879643587562214</v>
      </c>
      <c r="O504" s="196">
        <f t="shared" ref="O504:O509" si="648">IF(E504&gt;0,(J504*10^3*E504/10^7)+(K504*0.7457*E504/10^7),(K504*F504/10^7)+(J504*(10^3)*(1/0.7457)*F504/10^7))</f>
        <v>8.2650000000000006</v>
      </c>
      <c r="P504" s="332"/>
      <c r="Q504" s="196">
        <f t="shared" ref="Q504:Q509" si="649">G504*C504*12/10^7</f>
        <v>6.7511999999999997E-3</v>
      </c>
      <c r="R504" s="332"/>
      <c r="S504" s="196">
        <f t="shared" ref="S504:S509" si="650">N504+O504+P504+Q504+R504</f>
        <v>65.151394787562211</v>
      </c>
      <c r="T504" s="332"/>
      <c r="U504" s="196">
        <f t="shared" ref="U504:U509" si="651">S504-T504</f>
        <v>65.151394787562211</v>
      </c>
      <c r="V504" s="332"/>
      <c r="W504" s="332"/>
      <c r="X504" s="332"/>
      <c r="Y504" s="332"/>
      <c r="Z504" s="198">
        <f t="shared" ref="Z504:Z509" si="652">(H504*$Z$532)/($H$532-$H$396-$H$398-$H$399)</f>
        <v>1.3495010946221073</v>
      </c>
      <c r="AA504" s="249">
        <f t="shared" ref="AA504:AA509" si="653">U504+Z504</f>
        <v>66.500895882184324</v>
      </c>
    </row>
    <row r="505" spans="2:27">
      <c r="B505" s="253" t="s">
        <v>697</v>
      </c>
      <c r="C505" s="193">
        <v>0</v>
      </c>
      <c r="D505" s="203">
        <v>7.65</v>
      </c>
      <c r="E505" s="237">
        <v>5700</v>
      </c>
      <c r="F505" s="237"/>
      <c r="G505" s="237"/>
      <c r="H505" s="191">
        <v>18.30652608392224</v>
      </c>
      <c r="I505" s="203"/>
      <c r="J505" s="191">
        <v>0</v>
      </c>
      <c r="K505" s="191"/>
      <c r="L505" s="191">
        <f t="shared" si="646"/>
        <v>8.4</v>
      </c>
      <c r="M505" s="191"/>
      <c r="N505" s="195">
        <f t="shared" si="647"/>
        <v>14.004492454200513</v>
      </c>
      <c r="O505" s="196">
        <f t="shared" si="648"/>
        <v>0</v>
      </c>
      <c r="P505" s="332"/>
      <c r="Q505" s="196">
        <f t="shared" si="649"/>
        <v>0</v>
      </c>
      <c r="R505" s="332"/>
      <c r="S505" s="196">
        <f t="shared" si="650"/>
        <v>14.004492454200513</v>
      </c>
      <c r="T505" s="332"/>
      <c r="U505" s="196">
        <f t="shared" si="651"/>
        <v>14.004492454200513</v>
      </c>
      <c r="V505" s="332"/>
      <c r="W505" s="332"/>
      <c r="X505" s="332"/>
      <c r="Y505" s="332"/>
      <c r="Z505" s="198">
        <f t="shared" si="652"/>
        <v>0.2888311030356901</v>
      </c>
      <c r="AA505" s="249">
        <f t="shared" si="653"/>
        <v>14.293323557236203</v>
      </c>
    </row>
    <row r="506" spans="2:27">
      <c r="B506" s="253" t="s">
        <v>746</v>
      </c>
      <c r="C506" s="193">
        <v>0</v>
      </c>
      <c r="D506" s="203">
        <v>12.25</v>
      </c>
      <c r="E506" s="237">
        <v>0</v>
      </c>
      <c r="F506" s="237"/>
      <c r="G506" s="237">
        <v>2813</v>
      </c>
      <c r="H506" s="191">
        <v>0</v>
      </c>
      <c r="I506" s="203"/>
      <c r="J506" s="191">
        <v>0</v>
      </c>
      <c r="K506" s="191"/>
      <c r="L506" s="191">
        <f t="shared" si="646"/>
        <v>13</v>
      </c>
      <c r="M506" s="191"/>
      <c r="N506" s="195">
        <f t="shared" si="647"/>
        <v>0</v>
      </c>
      <c r="O506" s="196">
        <f t="shared" si="648"/>
        <v>0</v>
      </c>
      <c r="P506" s="332"/>
      <c r="Q506" s="196">
        <f t="shared" si="649"/>
        <v>0</v>
      </c>
      <c r="R506" s="332"/>
      <c r="S506" s="196">
        <f t="shared" si="650"/>
        <v>0</v>
      </c>
      <c r="T506" s="332"/>
      <c r="U506" s="196">
        <f t="shared" si="651"/>
        <v>0</v>
      </c>
      <c r="V506" s="332"/>
      <c r="W506" s="332"/>
      <c r="X506" s="332"/>
      <c r="Y506" s="332"/>
      <c r="Z506" s="198">
        <f t="shared" si="652"/>
        <v>0</v>
      </c>
      <c r="AA506" s="249">
        <f t="shared" si="653"/>
        <v>0</v>
      </c>
    </row>
    <row r="507" spans="2:27">
      <c r="B507" s="253" t="s">
        <v>747</v>
      </c>
      <c r="C507" s="193">
        <v>2</v>
      </c>
      <c r="D507" s="203">
        <v>12.25</v>
      </c>
      <c r="E507" s="237">
        <v>0</v>
      </c>
      <c r="F507" s="237"/>
      <c r="G507" s="237">
        <v>2813</v>
      </c>
      <c r="H507" s="191">
        <v>4.6687311026504732</v>
      </c>
      <c r="I507" s="203"/>
      <c r="J507" s="191">
        <v>13</v>
      </c>
      <c r="K507" s="191"/>
      <c r="L507" s="191">
        <f t="shared" si="646"/>
        <v>13</v>
      </c>
      <c r="M507" s="191"/>
      <c r="N507" s="195">
        <f t="shared" si="647"/>
        <v>5.7191956007468301</v>
      </c>
      <c r="O507" s="196">
        <f t="shared" si="648"/>
        <v>0</v>
      </c>
      <c r="P507" s="332"/>
      <c r="Q507" s="196">
        <f t="shared" si="649"/>
        <v>6.7511999999999997E-3</v>
      </c>
      <c r="R507" s="332"/>
      <c r="S507" s="196">
        <f t="shared" si="650"/>
        <v>5.7259468007468302</v>
      </c>
      <c r="T507" s="332"/>
      <c r="U507" s="196">
        <f t="shared" si="651"/>
        <v>5.7259468007468302</v>
      </c>
      <c r="V507" s="332"/>
      <c r="W507" s="332"/>
      <c r="X507" s="332"/>
      <c r="Y507" s="332"/>
      <c r="Z507" s="198">
        <f t="shared" si="652"/>
        <v>7.3660876343976139E-2</v>
      </c>
      <c r="AA507" s="249">
        <f t="shared" si="653"/>
        <v>5.7996076770908065</v>
      </c>
    </row>
    <row r="508" spans="2:27">
      <c r="B508" s="253" t="s">
        <v>748</v>
      </c>
      <c r="C508" s="193">
        <v>0</v>
      </c>
      <c r="D508" s="203">
        <v>6.7</v>
      </c>
      <c r="E508" s="237">
        <v>0</v>
      </c>
      <c r="F508" s="237"/>
      <c r="G508" s="237">
        <v>2813</v>
      </c>
      <c r="H508" s="191">
        <v>0</v>
      </c>
      <c r="I508" s="203"/>
      <c r="J508" s="191">
        <v>0</v>
      </c>
      <c r="K508" s="191"/>
      <c r="L508" s="191">
        <f t="shared" si="646"/>
        <v>7.45</v>
      </c>
      <c r="M508" s="191"/>
      <c r="N508" s="195">
        <f t="shared" si="647"/>
        <v>0</v>
      </c>
      <c r="O508" s="196">
        <f t="shared" si="648"/>
        <v>0</v>
      </c>
      <c r="P508" s="332"/>
      <c r="Q508" s="196">
        <f t="shared" si="649"/>
        <v>0</v>
      </c>
      <c r="R508" s="332"/>
      <c r="S508" s="196">
        <f t="shared" si="650"/>
        <v>0</v>
      </c>
      <c r="T508" s="332"/>
      <c r="U508" s="196">
        <f t="shared" si="651"/>
        <v>0</v>
      </c>
      <c r="V508" s="332"/>
      <c r="W508" s="332"/>
      <c r="X508" s="332"/>
      <c r="Y508" s="332"/>
      <c r="Z508" s="198">
        <f t="shared" si="652"/>
        <v>0</v>
      </c>
      <c r="AA508" s="249">
        <f t="shared" si="653"/>
        <v>0</v>
      </c>
    </row>
    <row r="509" spans="2:27">
      <c r="B509" s="253" t="s">
        <v>749</v>
      </c>
      <c r="C509" s="193">
        <v>0</v>
      </c>
      <c r="D509" s="203">
        <v>12.25</v>
      </c>
      <c r="E509" s="237">
        <v>0</v>
      </c>
      <c r="F509" s="237"/>
      <c r="G509" s="237">
        <v>2813</v>
      </c>
      <c r="H509" s="191">
        <v>0</v>
      </c>
      <c r="I509" s="203"/>
      <c r="J509" s="191">
        <v>0</v>
      </c>
      <c r="K509" s="191"/>
      <c r="L509" s="191">
        <f t="shared" si="646"/>
        <v>13</v>
      </c>
      <c r="M509" s="191"/>
      <c r="N509" s="195">
        <f t="shared" si="647"/>
        <v>0</v>
      </c>
      <c r="O509" s="196">
        <f t="shared" si="648"/>
        <v>0</v>
      </c>
      <c r="P509" s="332"/>
      <c r="Q509" s="196">
        <f t="shared" si="649"/>
        <v>0</v>
      </c>
      <c r="R509" s="332"/>
      <c r="S509" s="196">
        <f t="shared" si="650"/>
        <v>0</v>
      </c>
      <c r="T509" s="332"/>
      <c r="U509" s="196">
        <f t="shared" si="651"/>
        <v>0</v>
      </c>
      <c r="V509" s="332"/>
      <c r="W509" s="332"/>
      <c r="X509" s="332"/>
      <c r="Y509" s="332"/>
      <c r="Z509" s="198">
        <f t="shared" si="652"/>
        <v>0</v>
      </c>
      <c r="AA509" s="249">
        <f t="shared" si="653"/>
        <v>0</v>
      </c>
    </row>
    <row r="510" spans="2:27">
      <c r="B510" s="239" t="s">
        <v>750</v>
      </c>
      <c r="C510" s="250">
        <f t="shared" ref="C510" si="654">C511+C521+C522</f>
        <v>5</v>
      </c>
      <c r="D510" s="240"/>
      <c r="E510" s="240"/>
      <c r="F510" s="240"/>
      <c r="G510" s="240"/>
      <c r="H510" s="240">
        <f t="shared" ref="H510:AA510" si="655">H511+H521+H522</f>
        <v>3397.0984483622979</v>
      </c>
      <c r="I510" s="240">
        <f t="shared" si="655"/>
        <v>0</v>
      </c>
      <c r="J510" s="240">
        <f t="shared" ref="J510" si="656">J511+J521+J522</f>
        <v>557</v>
      </c>
      <c r="K510" s="240">
        <f t="shared" si="655"/>
        <v>0</v>
      </c>
      <c r="L510" s="240"/>
      <c r="M510" s="240"/>
      <c r="N510" s="240">
        <f t="shared" si="655"/>
        <v>1745.0664916756105</v>
      </c>
      <c r="O510" s="240">
        <f t="shared" si="655"/>
        <v>317.49</v>
      </c>
      <c r="P510" s="240">
        <f t="shared" si="655"/>
        <v>0</v>
      </c>
      <c r="Q510" s="240">
        <f t="shared" si="655"/>
        <v>1.6878000000000001E-2</v>
      </c>
      <c r="R510" s="240">
        <f t="shared" si="655"/>
        <v>0</v>
      </c>
      <c r="S510" s="240">
        <f t="shared" si="655"/>
        <v>2062.5733696756106</v>
      </c>
      <c r="T510" s="240">
        <f t="shared" si="655"/>
        <v>0</v>
      </c>
      <c r="U510" s="240">
        <f t="shared" si="655"/>
        <v>2062.5733696756106</v>
      </c>
      <c r="V510" s="240">
        <f t="shared" si="655"/>
        <v>0</v>
      </c>
      <c r="W510" s="240">
        <f t="shared" si="655"/>
        <v>0</v>
      </c>
      <c r="X510" s="240">
        <f t="shared" si="655"/>
        <v>0</v>
      </c>
      <c r="Y510" s="240">
        <f t="shared" si="655"/>
        <v>0</v>
      </c>
      <c r="Z510" s="240">
        <f t="shared" si="655"/>
        <v>53.597699938441338</v>
      </c>
      <c r="AA510" s="241">
        <f t="shared" si="655"/>
        <v>2116.1710696140522</v>
      </c>
    </row>
    <row r="511" spans="2:27">
      <c r="B511" s="215" t="s">
        <v>753</v>
      </c>
      <c r="C511" s="216">
        <f t="shared" ref="C511" si="657">C513+C514+C515+C517+C518+C519+C520</f>
        <v>2</v>
      </c>
      <c r="D511" s="217"/>
      <c r="E511" s="207"/>
      <c r="F511" s="217"/>
      <c r="G511" s="218"/>
      <c r="H511" s="217">
        <f t="shared" ref="H511:AA511" si="658">H513+H514+H515+H517+H518+H519+H520</f>
        <v>1436.9524168224455</v>
      </c>
      <c r="I511" s="217">
        <f t="shared" si="658"/>
        <v>0</v>
      </c>
      <c r="J511" s="217">
        <f t="shared" ref="J511" si="659">J513+J514+J515+J517+J518+J519+J520</f>
        <v>298</v>
      </c>
      <c r="K511" s="217">
        <f t="shared" si="658"/>
        <v>0</v>
      </c>
      <c r="L511" s="217"/>
      <c r="M511" s="217"/>
      <c r="N511" s="217">
        <f t="shared" si="658"/>
        <v>784.59493622108289</v>
      </c>
      <c r="O511" s="217">
        <f t="shared" si="658"/>
        <v>169.86</v>
      </c>
      <c r="P511" s="217">
        <f t="shared" si="658"/>
        <v>0</v>
      </c>
      <c r="Q511" s="217">
        <f t="shared" si="658"/>
        <v>6.7511999999999997E-3</v>
      </c>
      <c r="R511" s="217">
        <f t="shared" si="658"/>
        <v>0</v>
      </c>
      <c r="S511" s="217">
        <f t="shared" si="658"/>
        <v>954.46168742108296</v>
      </c>
      <c r="T511" s="217">
        <f t="shared" si="658"/>
        <v>0</v>
      </c>
      <c r="U511" s="217">
        <f t="shared" si="658"/>
        <v>954.46168742108296</v>
      </c>
      <c r="V511" s="217">
        <f t="shared" si="658"/>
        <v>0</v>
      </c>
      <c r="W511" s="217">
        <f t="shared" si="658"/>
        <v>0</v>
      </c>
      <c r="X511" s="217">
        <f t="shared" si="658"/>
        <v>0</v>
      </c>
      <c r="Y511" s="217">
        <f t="shared" si="658"/>
        <v>0</v>
      </c>
      <c r="Z511" s="217">
        <f t="shared" si="658"/>
        <v>22.671507945198556</v>
      </c>
      <c r="AA511" s="219">
        <f t="shared" si="658"/>
        <v>977.13319536628148</v>
      </c>
    </row>
    <row r="512" spans="2:27">
      <c r="B512" s="253" t="s">
        <v>918</v>
      </c>
      <c r="C512" s="193"/>
      <c r="D512" s="203"/>
      <c r="E512" s="237"/>
      <c r="F512" s="237"/>
      <c r="G512" s="237"/>
      <c r="H512" s="191"/>
      <c r="I512" s="203"/>
      <c r="J512" s="191"/>
      <c r="K512" s="191"/>
      <c r="L512" s="191">
        <f t="shared" ref="L512:L522" si="660">D512+0.75</f>
        <v>0.75</v>
      </c>
      <c r="M512" s="191"/>
      <c r="N512" s="195">
        <f t="shared" ref="N512:N522" si="661">H512*D512/10</f>
        <v>0</v>
      </c>
      <c r="O512" s="196">
        <f t="shared" ref="O512:O522" si="662">IF(E512&gt;0,(J512*10^3*E512/10^7)+(K512*0.7457*E512/10^7),(K512*F512/10^7)+(J512*(10^3)*(1/0.7457)*F512/10^7))</f>
        <v>0</v>
      </c>
      <c r="P512" s="332"/>
      <c r="Q512" s="196">
        <f t="shared" ref="Q512:Q522" si="663">G512*C512*12/10^7</f>
        <v>0</v>
      </c>
      <c r="R512" s="332"/>
      <c r="S512" s="196">
        <f t="shared" ref="S512:S522" si="664">N512+O512+P512+Q512+R512</f>
        <v>0</v>
      </c>
      <c r="T512" s="332"/>
      <c r="U512" s="196">
        <f t="shared" ref="U512:U522" si="665">S512-T512</f>
        <v>0</v>
      </c>
      <c r="V512" s="332"/>
      <c r="W512" s="332"/>
      <c r="X512" s="332"/>
      <c r="Y512" s="332"/>
      <c r="Z512" s="198"/>
      <c r="AA512" s="249">
        <f t="shared" ref="AA512:AA522" si="666">U512+Z512</f>
        <v>0</v>
      </c>
    </row>
    <row r="513" spans="2:28">
      <c r="B513" s="253" t="s">
        <v>914</v>
      </c>
      <c r="C513" s="193"/>
      <c r="D513" s="203">
        <v>6.85</v>
      </c>
      <c r="E513" s="237">
        <v>5700</v>
      </c>
      <c r="F513" s="237"/>
      <c r="G513" s="237">
        <v>2813</v>
      </c>
      <c r="H513" s="191">
        <v>235.03101007887079</v>
      </c>
      <c r="I513" s="203"/>
      <c r="J513" s="191"/>
      <c r="K513" s="191"/>
      <c r="L513" s="191">
        <f t="shared" si="660"/>
        <v>7.6</v>
      </c>
      <c r="M513" s="191"/>
      <c r="N513" s="195">
        <f t="shared" si="661"/>
        <v>160.99624190402648</v>
      </c>
      <c r="O513" s="196">
        <f t="shared" si="662"/>
        <v>0</v>
      </c>
      <c r="P513" s="332"/>
      <c r="Q513" s="196">
        <f t="shared" si="663"/>
        <v>0</v>
      </c>
      <c r="R513" s="332"/>
      <c r="S513" s="196">
        <f t="shared" si="664"/>
        <v>160.99624190402648</v>
      </c>
      <c r="T513" s="332"/>
      <c r="U513" s="196">
        <f t="shared" si="665"/>
        <v>160.99624190402648</v>
      </c>
      <c r="V513" s="332"/>
      <c r="W513" s="332"/>
      <c r="X513" s="332"/>
      <c r="Y513" s="332"/>
      <c r="Z513" s="198"/>
      <c r="AA513" s="249">
        <f t="shared" si="666"/>
        <v>160.99624190402648</v>
      </c>
    </row>
    <row r="514" spans="2:28">
      <c r="B514" s="253" t="s">
        <v>915</v>
      </c>
      <c r="C514" s="193"/>
      <c r="D514" s="203">
        <v>4.5999999999999996</v>
      </c>
      <c r="E514" s="237">
        <v>5700</v>
      </c>
      <c r="F514" s="237"/>
      <c r="G514" s="237">
        <v>2813</v>
      </c>
      <c r="H514" s="191">
        <v>330.93953495662322</v>
      </c>
      <c r="I514" s="203"/>
      <c r="J514" s="191"/>
      <c r="K514" s="191"/>
      <c r="L514" s="191">
        <f t="shared" si="660"/>
        <v>5.35</v>
      </c>
      <c r="M514" s="191"/>
      <c r="N514" s="195">
        <f t="shared" si="661"/>
        <v>152.23218608004669</v>
      </c>
      <c r="O514" s="196">
        <f t="shared" si="662"/>
        <v>0</v>
      </c>
      <c r="P514" s="332"/>
      <c r="Q514" s="196">
        <f t="shared" si="663"/>
        <v>0</v>
      </c>
      <c r="R514" s="332"/>
      <c r="S514" s="196">
        <f t="shared" si="664"/>
        <v>152.23218608004669</v>
      </c>
      <c r="T514" s="332"/>
      <c r="U514" s="196">
        <f t="shared" si="665"/>
        <v>152.23218608004669</v>
      </c>
      <c r="V514" s="332"/>
      <c r="W514" s="332"/>
      <c r="X514" s="332"/>
      <c r="Y514" s="332"/>
      <c r="Z514" s="198"/>
      <c r="AA514" s="249">
        <f t="shared" si="666"/>
        <v>152.23218608004669</v>
      </c>
    </row>
    <row r="515" spans="2:28">
      <c r="B515" s="253" t="s">
        <v>916</v>
      </c>
      <c r="C515" s="193">
        <v>2</v>
      </c>
      <c r="D515" s="203">
        <v>5.35</v>
      </c>
      <c r="E515" s="237">
        <v>5700</v>
      </c>
      <c r="F515" s="237"/>
      <c r="G515" s="237">
        <v>2813</v>
      </c>
      <c r="H515" s="191">
        <v>98.441097269445123</v>
      </c>
      <c r="I515" s="203"/>
      <c r="J515" s="191">
        <v>298</v>
      </c>
      <c r="K515" s="191"/>
      <c r="L515" s="191">
        <f t="shared" si="660"/>
        <v>6.1</v>
      </c>
      <c r="M515" s="191"/>
      <c r="N515" s="195">
        <f t="shared" si="661"/>
        <v>52.665987039153137</v>
      </c>
      <c r="O515" s="196">
        <f t="shared" si="662"/>
        <v>169.86</v>
      </c>
      <c r="P515" s="332"/>
      <c r="Q515" s="196">
        <f t="shared" si="663"/>
        <v>6.7511999999999997E-3</v>
      </c>
      <c r="R515" s="332"/>
      <c r="S515" s="196">
        <f t="shared" si="664"/>
        <v>222.53273823915316</v>
      </c>
      <c r="T515" s="332"/>
      <c r="U515" s="196">
        <f t="shared" si="665"/>
        <v>222.53273823915316</v>
      </c>
      <c r="V515" s="332"/>
      <c r="W515" s="332"/>
      <c r="X515" s="332"/>
      <c r="Y515" s="332"/>
      <c r="Z515" s="198">
        <f>(H511*$Z$532)/($H$532-$H$396-$H$398-$H$399)</f>
        <v>22.671507945198556</v>
      </c>
      <c r="AA515" s="249">
        <f t="shared" si="666"/>
        <v>245.20424618435172</v>
      </c>
    </row>
    <row r="516" spans="2:28">
      <c r="B516" s="253" t="s">
        <v>917</v>
      </c>
      <c r="C516" s="193"/>
      <c r="D516" s="203"/>
      <c r="E516" s="237"/>
      <c r="F516" s="237"/>
      <c r="G516" s="237"/>
      <c r="H516" s="191"/>
      <c r="I516" s="203"/>
      <c r="J516" s="191"/>
      <c r="K516" s="191"/>
      <c r="L516" s="191">
        <f t="shared" si="660"/>
        <v>0.75</v>
      </c>
      <c r="M516" s="191"/>
      <c r="N516" s="195">
        <f t="shared" si="661"/>
        <v>0</v>
      </c>
      <c r="O516" s="196">
        <f t="shared" si="662"/>
        <v>0</v>
      </c>
      <c r="P516" s="332"/>
      <c r="Q516" s="196">
        <f t="shared" si="663"/>
        <v>0</v>
      </c>
      <c r="R516" s="332"/>
      <c r="S516" s="196">
        <f t="shared" si="664"/>
        <v>0</v>
      </c>
      <c r="T516" s="332"/>
      <c r="U516" s="196">
        <f t="shared" si="665"/>
        <v>0</v>
      </c>
      <c r="V516" s="332"/>
      <c r="W516" s="332"/>
      <c r="X516" s="332"/>
      <c r="Y516" s="332"/>
      <c r="Z516" s="198"/>
      <c r="AA516" s="249">
        <f t="shared" si="666"/>
        <v>0</v>
      </c>
    </row>
    <row r="517" spans="2:28">
      <c r="B517" s="253" t="s">
        <v>914</v>
      </c>
      <c r="C517" s="193"/>
      <c r="D517" s="203">
        <v>6.35</v>
      </c>
      <c r="E517" s="237">
        <v>5700</v>
      </c>
      <c r="F517" s="237"/>
      <c r="G517" s="237">
        <v>2813</v>
      </c>
      <c r="H517" s="191">
        <v>256.47804825573098</v>
      </c>
      <c r="I517" s="203"/>
      <c r="J517" s="191"/>
      <c r="K517" s="191"/>
      <c r="L517" s="191">
        <f t="shared" si="660"/>
        <v>7.1</v>
      </c>
      <c r="M517" s="191"/>
      <c r="N517" s="195">
        <f t="shared" si="661"/>
        <v>162.86356064238916</v>
      </c>
      <c r="O517" s="196">
        <f t="shared" si="662"/>
        <v>0</v>
      </c>
      <c r="P517" s="332"/>
      <c r="Q517" s="196">
        <f t="shared" si="663"/>
        <v>0</v>
      </c>
      <c r="R517" s="332"/>
      <c r="S517" s="196">
        <f t="shared" si="664"/>
        <v>162.86356064238916</v>
      </c>
      <c r="T517" s="332"/>
      <c r="U517" s="196">
        <f t="shared" si="665"/>
        <v>162.86356064238916</v>
      </c>
      <c r="V517" s="332"/>
      <c r="W517" s="332"/>
      <c r="X517" s="332"/>
      <c r="Y517" s="332"/>
      <c r="Z517" s="198"/>
      <c r="AA517" s="249">
        <f t="shared" si="666"/>
        <v>162.86356064238916</v>
      </c>
    </row>
    <row r="518" spans="2:28">
      <c r="B518" s="253" t="s">
        <v>915</v>
      </c>
      <c r="C518" s="193"/>
      <c r="D518" s="203">
        <v>4.5999999999999996</v>
      </c>
      <c r="E518" s="237">
        <v>5700</v>
      </c>
      <c r="F518" s="237"/>
      <c r="G518" s="237">
        <v>2813</v>
      </c>
      <c r="H518" s="191">
        <v>357.57877740921663</v>
      </c>
      <c r="I518" s="203"/>
      <c r="J518" s="191"/>
      <c r="K518" s="191"/>
      <c r="L518" s="191">
        <f t="shared" si="660"/>
        <v>5.35</v>
      </c>
      <c r="M518" s="191"/>
      <c r="N518" s="195">
        <f t="shared" si="661"/>
        <v>164.48623760823963</v>
      </c>
      <c r="O518" s="196">
        <f t="shared" si="662"/>
        <v>0</v>
      </c>
      <c r="P518" s="332"/>
      <c r="Q518" s="196">
        <f t="shared" si="663"/>
        <v>0</v>
      </c>
      <c r="R518" s="332"/>
      <c r="S518" s="196">
        <f t="shared" si="664"/>
        <v>164.48623760823963</v>
      </c>
      <c r="T518" s="332"/>
      <c r="U518" s="196">
        <f t="shared" si="665"/>
        <v>164.48623760823963</v>
      </c>
      <c r="V518" s="332"/>
      <c r="W518" s="332"/>
      <c r="X518" s="332"/>
      <c r="Y518" s="332"/>
      <c r="Z518" s="198"/>
      <c r="AA518" s="249">
        <f t="shared" si="666"/>
        <v>164.48623760823963</v>
      </c>
    </row>
    <row r="519" spans="2:28">
      <c r="B519" s="253" t="s">
        <v>916</v>
      </c>
      <c r="C519" s="193"/>
      <c r="D519" s="203">
        <v>5.35</v>
      </c>
      <c r="E519" s="237">
        <v>5700</v>
      </c>
      <c r="F519" s="237"/>
      <c r="G519" s="237">
        <v>2813</v>
      </c>
      <c r="H519" s="191">
        <v>118.71540151250582</v>
      </c>
      <c r="I519" s="203"/>
      <c r="J519" s="191"/>
      <c r="K519" s="191"/>
      <c r="L519" s="191">
        <f t="shared" si="660"/>
        <v>6.1</v>
      </c>
      <c r="M519" s="191"/>
      <c r="N519" s="195">
        <f t="shared" si="661"/>
        <v>63.512739809190613</v>
      </c>
      <c r="O519" s="196">
        <f t="shared" si="662"/>
        <v>0</v>
      </c>
      <c r="P519" s="332"/>
      <c r="Q519" s="196">
        <f t="shared" si="663"/>
        <v>0</v>
      </c>
      <c r="R519" s="332"/>
      <c r="S519" s="196">
        <f t="shared" si="664"/>
        <v>63.512739809190613</v>
      </c>
      <c r="T519" s="332"/>
      <c r="U519" s="196">
        <f t="shared" si="665"/>
        <v>63.512739809190613</v>
      </c>
      <c r="V519" s="332"/>
      <c r="W519" s="332"/>
      <c r="X519" s="332"/>
      <c r="Y519" s="332"/>
      <c r="Z519" s="198"/>
      <c r="AA519" s="249">
        <f t="shared" si="666"/>
        <v>63.512739809190613</v>
      </c>
    </row>
    <row r="520" spans="2:28">
      <c r="B520" s="253" t="s">
        <v>592</v>
      </c>
      <c r="C520" s="193">
        <v>0</v>
      </c>
      <c r="D520" s="203">
        <v>7</v>
      </c>
      <c r="E520" s="237">
        <v>0</v>
      </c>
      <c r="F520" s="237"/>
      <c r="G520" s="237">
        <v>2813</v>
      </c>
      <c r="H520" s="191">
        <v>39.768547340052926</v>
      </c>
      <c r="I520" s="203"/>
      <c r="J520" s="191">
        <v>0</v>
      </c>
      <c r="K520" s="191"/>
      <c r="L520" s="191">
        <f t="shared" si="660"/>
        <v>7.75</v>
      </c>
      <c r="M520" s="191"/>
      <c r="N520" s="195">
        <f t="shared" si="661"/>
        <v>27.83798313803705</v>
      </c>
      <c r="O520" s="196">
        <f t="shared" si="662"/>
        <v>0</v>
      </c>
      <c r="P520" s="332"/>
      <c r="Q520" s="196">
        <f t="shared" si="663"/>
        <v>0</v>
      </c>
      <c r="R520" s="332"/>
      <c r="S520" s="196">
        <f t="shared" si="664"/>
        <v>27.83798313803705</v>
      </c>
      <c r="T520" s="332"/>
      <c r="U520" s="196">
        <f t="shared" si="665"/>
        <v>27.83798313803705</v>
      </c>
      <c r="V520" s="332"/>
      <c r="W520" s="332"/>
      <c r="X520" s="332"/>
      <c r="Y520" s="332"/>
      <c r="Z520" s="198"/>
      <c r="AA520" s="249">
        <f t="shared" si="666"/>
        <v>27.83798313803705</v>
      </c>
    </row>
    <row r="521" spans="2:28">
      <c r="B521" s="215" t="s">
        <v>754</v>
      </c>
      <c r="C521" s="193">
        <v>0</v>
      </c>
      <c r="D521" s="217">
        <v>6.65</v>
      </c>
      <c r="E521" s="360">
        <v>5700</v>
      </c>
      <c r="F521" s="217"/>
      <c r="G521" s="222">
        <v>2813</v>
      </c>
      <c r="H521" s="191">
        <v>0</v>
      </c>
      <c r="I521" s="217"/>
      <c r="J521" s="191">
        <v>0</v>
      </c>
      <c r="K521" s="217"/>
      <c r="L521" s="191">
        <f t="shared" si="660"/>
        <v>7.4</v>
      </c>
      <c r="M521" s="217"/>
      <c r="N521" s="195">
        <f t="shared" si="661"/>
        <v>0</v>
      </c>
      <c r="O521" s="217">
        <f t="shared" si="662"/>
        <v>0</v>
      </c>
      <c r="P521" s="217"/>
      <c r="Q521" s="217">
        <f t="shared" si="663"/>
        <v>0</v>
      </c>
      <c r="R521" s="217"/>
      <c r="S521" s="217">
        <f t="shared" si="664"/>
        <v>0</v>
      </c>
      <c r="T521" s="217"/>
      <c r="U521" s="217">
        <f t="shared" si="665"/>
        <v>0</v>
      </c>
      <c r="V521" s="217"/>
      <c r="W521" s="217"/>
      <c r="X521" s="217"/>
      <c r="Y521" s="217"/>
      <c r="Z521" s="198">
        <f>(H521*$Z$532)/($H$532-$H$396-$H$398-$H$399)</f>
        <v>0</v>
      </c>
      <c r="AA521" s="219">
        <f t="shared" si="666"/>
        <v>0</v>
      </c>
    </row>
    <row r="522" spans="2:28">
      <c r="B522" s="215" t="s">
        <v>755</v>
      </c>
      <c r="C522" s="193">
        <v>3</v>
      </c>
      <c r="D522" s="217">
        <v>4.9000000000000004</v>
      </c>
      <c r="E522" s="360">
        <v>5700</v>
      </c>
      <c r="F522" s="217"/>
      <c r="G522" s="222">
        <v>2813</v>
      </c>
      <c r="H522" s="191">
        <v>1960.1460315398524</v>
      </c>
      <c r="I522" s="217"/>
      <c r="J522" s="191">
        <v>259</v>
      </c>
      <c r="K522" s="217"/>
      <c r="L522" s="191">
        <f t="shared" si="660"/>
        <v>5.65</v>
      </c>
      <c r="M522" s="217"/>
      <c r="N522" s="195">
        <f t="shared" si="661"/>
        <v>960.47155545452767</v>
      </c>
      <c r="O522" s="217">
        <f t="shared" si="662"/>
        <v>147.63</v>
      </c>
      <c r="P522" s="217"/>
      <c r="Q522" s="217">
        <f t="shared" si="663"/>
        <v>1.01268E-2</v>
      </c>
      <c r="R522" s="217"/>
      <c r="S522" s="217">
        <f t="shared" si="664"/>
        <v>1108.1116822545278</v>
      </c>
      <c r="T522" s="217"/>
      <c r="U522" s="217">
        <f t="shared" si="665"/>
        <v>1108.1116822545278</v>
      </c>
      <c r="V522" s="217"/>
      <c r="W522" s="217"/>
      <c r="X522" s="217"/>
      <c r="Y522" s="217"/>
      <c r="Z522" s="198">
        <f>(H522*$Z$532)/($H$532-$H$396-$H$398-$H$399)</f>
        <v>30.926191993242785</v>
      </c>
      <c r="AA522" s="219">
        <f t="shared" si="666"/>
        <v>1139.0378742477706</v>
      </c>
      <c r="AB522" s="177"/>
    </row>
    <row r="523" spans="2:28">
      <c r="B523" s="239" t="s">
        <v>751</v>
      </c>
      <c r="C523" s="250">
        <f>SUM(C524:C527)</f>
        <v>0</v>
      </c>
      <c r="D523" s="240"/>
      <c r="E523" s="240"/>
      <c r="F523" s="240"/>
      <c r="G523" s="240"/>
      <c r="H523" s="240">
        <f>SUM(H524:H527)</f>
        <v>0</v>
      </c>
      <c r="I523" s="240">
        <f t="shared" ref="I523" si="667">SUM(I524:I527)</f>
        <v>0</v>
      </c>
      <c r="J523" s="240">
        <f>SUM(J524:J527)</f>
        <v>0</v>
      </c>
      <c r="K523" s="240">
        <f t="shared" ref="K523:AA523" si="668">SUM(K524:K527)</f>
        <v>0</v>
      </c>
      <c r="L523" s="240"/>
      <c r="M523" s="240"/>
      <c r="N523" s="240">
        <f t="shared" si="668"/>
        <v>0</v>
      </c>
      <c r="O523" s="240">
        <f t="shared" si="668"/>
        <v>0</v>
      </c>
      <c r="P523" s="240">
        <f t="shared" si="668"/>
        <v>0</v>
      </c>
      <c r="Q523" s="240">
        <f t="shared" si="668"/>
        <v>0</v>
      </c>
      <c r="R523" s="240">
        <f t="shared" si="668"/>
        <v>0</v>
      </c>
      <c r="S523" s="240">
        <f t="shared" si="668"/>
        <v>0</v>
      </c>
      <c r="T523" s="240">
        <f t="shared" si="668"/>
        <v>0</v>
      </c>
      <c r="U523" s="240">
        <f t="shared" si="668"/>
        <v>0</v>
      </c>
      <c r="V523" s="240">
        <f t="shared" si="668"/>
        <v>0</v>
      </c>
      <c r="W523" s="240">
        <f t="shared" si="668"/>
        <v>0</v>
      </c>
      <c r="X523" s="240">
        <f t="shared" si="668"/>
        <v>0</v>
      </c>
      <c r="Y523" s="240">
        <f t="shared" si="668"/>
        <v>0</v>
      </c>
      <c r="Z523" s="240">
        <f t="shared" si="668"/>
        <v>0</v>
      </c>
      <c r="AA523" s="241">
        <f t="shared" si="668"/>
        <v>0</v>
      </c>
      <c r="AB523" s="177"/>
    </row>
    <row r="524" spans="2:28" ht="28.5" customHeight="1">
      <c r="B524" s="253" t="s">
        <v>756</v>
      </c>
      <c r="C524" s="193">
        <v>0</v>
      </c>
      <c r="D524" s="203">
        <v>6.65</v>
      </c>
      <c r="E524" s="237">
        <v>5700</v>
      </c>
      <c r="F524" s="237"/>
      <c r="G524" s="237">
        <v>2813</v>
      </c>
      <c r="H524" s="191">
        <v>0</v>
      </c>
      <c r="I524" s="203"/>
      <c r="J524" s="191">
        <v>0</v>
      </c>
      <c r="K524" s="191"/>
      <c r="L524" s="191">
        <f t="shared" ref="L524:L527" si="669">D524+0.75</f>
        <v>7.4</v>
      </c>
      <c r="M524" s="191"/>
      <c r="N524" s="195">
        <f t="shared" ref="N524:N527" si="670">H524*D524/10</f>
        <v>0</v>
      </c>
      <c r="O524" s="196">
        <f>IF(E524&gt;0,(J524*10^3*E524/10^7)+(K524*0.7457*E524/10^7),(K524*F524/10^7)+(J524*(10^3)*(1/0.7457)*F524/10^7))</f>
        <v>0</v>
      </c>
      <c r="P524" s="332"/>
      <c r="Q524" s="196">
        <f t="shared" ref="Q524:Q527" si="671">G524*C524*12/10^7</f>
        <v>0</v>
      </c>
      <c r="R524" s="332"/>
      <c r="S524" s="196">
        <f>N524+O524+P524+Q524+R524</f>
        <v>0</v>
      </c>
      <c r="T524" s="332"/>
      <c r="U524" s="196">
        <f t="shared" ref="U524:U527" si="672">S524-T524</f>
        <v>0</v>
      </c>
      <c r="V524" s="332"/>
      <c r="W524" s="332"/>
      <c r="X524" s="332"/>
      <c r="Y524" s="332"/>
      <c r="Z524" s="198">
        <f>(H524*$Z$532)/($H$532-$H$396-$H$398-$H$399)</f>
        <v>0</v>
      </c>
      <c r="AA524" s="249">
        <f t="shared" ref="AA524:AA527" si="673">U524+Z524</f>
        <v>0</v>
      </c>
    </row>
    <row r="525" spans="2:28">
      <c r="B525" s="253" t="s">
        <v>757</v>
      </c>
      <c r="C525" s="193">
        <v>0</v>
      </c>
      <c r="D525" s="203">
        <v>6.95</v>
      </c>
      <c r="E525" s="237">
        <v>5700</v>
      </c>
      <c r="F525" s="237"/>
      <c r="G525" s="237">
        <v>2813</v>
      </c>
      <c r="H525" s="191">
        <v>0</v>
      </c>
      <c r="I525" s="203"/>
      <c r="J525" s="191">
        <v>0</v>
      </c>
      <c r="K525" s="191"/>
      <c r="L525" s="191">
        <f t="shared" si="669"/>
        <v>7.7</v>
      </c>
      <c r="M525" s="191"/>
      <c r="N525" s="195">
        <f t="shared" si="670"/>
        <v>0</v>
      </c>
      <c r="O525" s="196">
        <f>IF(E525&gt;0,(J525*10^3*E525/10^7)+(K525*0.7457*E525/10^7),(K525*F525/10^7)+(J525*(10^3)*(1/0.7457)*F525/10^7))</f>
        <v>0</v>
      </c>
      <c r="P525" s="332"/>
      <c r="Q525" s="196">
        <f t="shared" si="671"/>
        <v>0</v>
      </c>
      <c r="R525" s="332"/>
      <c r="S525" s="196">
        <f>N525+O525+P525+Q525+R525</f>
        <v>0</v>
      </c>
      <c r="T525" s="332"/>
      <c r="U525" s="196">
        <f t="shared" si="672"/>
        <v>0</v>
      </c>
      <c r="V525" s="332"/>
      <c r="W525" s="332"/>
      <c r="X525" s="332"/>
      <c r="Y525" s="332"/>
      <c r="Z525" s="198">
        <f>(H525*$Z$532)/($H$532-$H$396-$H$398-$H$399)</f>
        <v>0</v>
      </c>
      <c r="AA525" s="249">
        <f t="shared" si="673"/>
        <v>0</v>
      </c>
    </row>
    <row r="526" spans="2:28">
      <c r="B526" s="253" t="s">
        <v>758</v>
      </c>
      <c r="C526" s="193">
        <v>0</v>
      </c>
      <c r="D526" s="203">
        <v>5</v>
      </c>
      <c r="E526" s="237">
        <v>360</v>
      </c>
      <c r="F526" s="237"/>
      <c r="G526" s="237">
        <v>2813</v>
      </c>
      <c r="H526" s="191">
        <v>0</v>
      </c>
      <c r="I526" s="203"/>
      <c r="J526" s="191">
        <v>0</v>
      </c>
      <c r="K526" s="191"/>
      <c r="L526" s="191">
        <f t="shared" si="669"/>
        <v>5.75</v>
      </c>
      <c r="M526" s="191"/>
      <c r="N526" s="195">
        <f t="shared" si="670"/>
        <v>0</v>
      </c>
      <c r="O526" s="196">
        <f>IF(E526&gt;0,(J526*10^3*E526/10^7)+(K526*0.7457*E526/10^7),(K526*F526/10^7)+(J526*(10^3)*(1/0.7457)*F526/10^7))</f>
        <v>0</v>
      </c>
      <c r="P526" s="332"/>
      <c r="Q526" s="196">
        <f t="shared" si="671"/>
        <v>0</v>
      </c>
      <c r="R526" s="332"/>
      <c r="S526" s="196">
        <f>N526+O526+P526+Q526+R526</f>
        <v>0</v>
      </c>
      <c r="T526" s="332"/>
      <c r="U526" s="196">
        <f t="shared" si="672"/>
        <v>0</v>
      </c>
      <c r="V526" s="332"/>
      <c r="W526" s="332"/>
      <c r="X526" s="332"/>
      <c r="Y526" s="332"/>
      <c r="Z526" s="198">
        <f>(H526*$Z$532)/($H$532-$H$396-$H$398-$H$399)</f>
        <v>0</v>
      </c>
      <c r="AA526" s="249">
        <f t="shared" si="673"/>
        <v>0</v>
      </c>
    </row>
    <row r="527" spans="2:28">
      <c r="B527" s="253" t="s">
        <v>759</v>
      </c>
      <c r="C527" s="193">
        <v>0</v>
      </c>
      <c r="D527" s="203">
        <v>5.5</v>
      </c>
      <c r="E527" s="237">
        <v>4200</v>
      </c>
      <c r="F527" s="237"/>
      <c r="G527" s="237">
        <v>2813</v>
      </c>
      <c r="H527" s="191">
        <v>0</v>
      </c>
      <c r="I527" s="203"/>
      <c r="J527" s="191">
        <v>0</v>
      </c>
      <c r="K527" s="191"/>
      <c r="L527" s="191">
        <f t="shared" si="669"/>
        <v>6.25</v>
      </c>
      <c r="M527" s="191"/>
      <c r="N527" s="195">
        <f t="shared" si="670"/>
        <v>0</v>
      </c>
      <c r="O527" s="196">
        <f>IF(E527&gt;0,(J527*10^3*E527/10^7)+(K527*0.7457*E527/10^7),(K527*F527/10^7)+(J527*(10^3)*(1/0.7457)*F527/10^7))</f>
        <v>0</v>
      </c>
      <c r="P527" s="332"/>
      <c r="Q527" s="196">
        <f t="shared" si="671"/>
        <v>0</v>
      </c>
      <c r="R527" s="332"/>
      <c r="S527" s="196">
        <f>N527+O527+P527+Q527+R527</f>
        <v>0</v>
      </c>
      <c r="T527" s="332"/>
      <c r="U527" s="196">
        <f t="shared" si="672"/>
        <v>0</v>
      </c>
      <c r="V527" s="332"/>
      <c r="W527" s="332"/>
      <c r="X527" s="332"/>
      <c r="Y527" s="332"/>
      <c r="Z527" s="198">
        <f>(H527*$Z$532)/($H$532-$H$396-$H$398-$H$399)</f>
        <v>0</v>
      </c>
      <c r="AA527" s="249">
        <f t="shared" si="673"/>
        <v>0</v>
      </c>
    </row>
    <row r="528" spans="2:28">
      <c r="B528" s="239" t="s">
        <v>752</v>
      </c>
      <c r="C528" s="250">
        <f t="shared" ref="C528" si="674">C529+C530</f>
        <v>3</v>
      </c>
      <c r="D528" s="240"/>
      <c r="E528" s="240"/>
      <c r="F528" s="240"/>
      <c r="G528" s="240"/>
      <c r="H528" s="240">
        <f t="shared" ref="H528:AA528" si="675">H529+H530</f>
        <v>246.8241335000811</v>
      </c>
      <c r="I528" s="240">
        <f t="shared" si="675"/>
        <v>0</v>
      </c>
      <c r="J528" s="240">
        <f t="shared" ref="J528" si="676">J529+J530</f>
        <v>244.91000000000003</v>
      </c>
      <c r="K528" s="240">
        <f t="shared" si="675"/>
        <v>0</v>
      </c>
      <c r="L528" s="240"/>
      <c r="M528" s="240"/>
      <c r="N528" s="240">
        <f t="shared" si="675"/>
        <v>176.47925545255799</v>
      </c>
      <c r="O528" s="240">
        <f t="shared" si="675"/>
        <v>0</v>
      </c>
      <c r="P528" s="240">
        <f t="shared" si="675"/>
        <v>0</v>
      </c>
      <c r="Q528" s="240">
        <f t="shared" si="675"/>
        <v>1.01268E-2</v>
      </c>
      <c r="R528" s="240">
        <f t="shared" si="675"/>
        <v>0</v>
      </c>
      <c r="S528" s="240">
        <f t="shared" si="675"/>
        <v>176.48938225255799</v>
      </c>
      <c r="T528" s="240">
        <f t="shared" si="675"/>
        <v>0</v>
      </c>
      <c r="U528" s="240">
        <f t="shared" si="675"/>
        <v>176.48938225255799</v>
      </c>
      <c r="V528" s="240">
        <f t="shared" si="675"/>
        <v>0</v>
      </c>
      <c r="W528" s="240">
        <f t="shared" si="675"/>
        <v>0</v>
      </c>
      <c r="X528" s="240">
        <f t="shared" si="675"/>
        <v>0</v>
      </c>
      <c r="Y528" s="240">
        <f t="shared" si="675"/>
        <v>0</v>
      </c>
      <c r="Z528" s="240">
        <f t="shared" si="675"/>
        <v>3.8942662528019412</v>
      </c>
      <c r="AA528" s="241">
        <f t="shared" si="675"/>
        <v>180.38364850535993</v>
      </c>
    </row>
    <row r="529" spans="2:29">
      <c r="B529" s="253" t="s">
        <v>760</v>
      </c>
      <c r="C529" s="193">
        <v>0</v>
      </c>
      <c r="D529" s="203">
        <v>3.85</v>
      </c>
      <c r="E529" s="237">
        <v>360</v>
      </c>
      <c r="F529" s="237"/>
      <c r="G529" s="237">
        <v>2813</v>
      </c>
      <c r="H529" s="191">
        <v>0</v>
      </c>
      <c r="I529" s="203"/>
      <c r="J529" s="191">
        <v>0</v>
      </c>
      <c r="K529" s="191"/>
      <c r="L529" s="191">
        <f t="shared" ref="L529:L530" si="677">D529+0.75</f>
        <v>4.5999999999999996</v>
      </c>
      <c r="M529" s="191"/>
      <c r="N529" s="195">
        <f t="shared" ref="N529:N530" si="678">H529*D529/10</f>
        <v>0</v>
      </c>
      <c r="O529" s="196">
        <f>IF(E529&gt;0,(J529*10^3*E529/10^7)+(K529*0.7457*E529/10^7),(K529*F529/10^7)+(J529*(10^3)*(1/0.7457)*F529/10^7))</f>
        <v>0</v>
      </c>
      <c r="P529" s="332"/>
      <c r="Q529" s="196">
        <f t="shared" ref="Q529:Q530" si="679">G529*C529*12/10^7</f>
        <v>0</v>
      </c>
      <c r="R529" s="332"/>
      <c r="S529" s="196">
        <f>N529+O529+P529+Q529+R529</f>
        <v>0</v>
      </c>
      <c r="T529" s="332"/>
      <c r="U529" s="196">
        <f t="shared" ref="U529:U530" si="680">S529-T529</f>
        <v>0</v>
      </c>
      <c r="V529" s="332"/>
      <c r="W529" s="332"/>
      <c r="X529" s="332"/>
      <c r="Y529" s="332"/>
      <c r="Z529" s="198">
        <f>(H529*$Z$532)/($H$532-$H$396-$H$398-$H$399)</f>
        <v>0</v>
      </c>
      <c r="AA529" s="249">
        <f t="shared" ref="AA529:AA530" si="681">U529+Z529</f>
        <v>0</v>
      </c>
    </row>
    <row r="530" spans="2:29">
      <c r="B530" s="253" t="s">
        <v>761</v>
      </c>
      <c r="C530" s="193">
        <v>3</v>
      </c>
      <c r="D530" s="203">
        <v>7.15</v>
      </c>
      <c r="E530" s="237">
        <v>0</v>
      </c>
      <c r="F530" s="237"/>
      <c r="G530" s="237">
        <v>2813</v>
      </c>
      <c r="H530" s="191">
        <v>246.8241335000811</v>
      </c>
      <c r="I530" s="203"/>
      <c r="J530" s="191">
        <v>244.91000000000003</v>
      </c>
      <c r="K530" s="191"/>
      <c r="L530" s="191">
        <f t="shared" si="677"/>
        <v>7.9</v>
      </c>
      <c r="M530" s="191"/>
      <c r="N530" s="195">
        <f t="shared" si="678"/>
        <v>176.47925545255799</v>
      </c>
      <c r="O530" s="196">
        <f>IF(E530&gt;0,(J530*10^3*E530/10^7)+(K530*0.7457*E530/10^7),(K530*F530/10^7)+(J530*(10^3)*(1/0.7457)*F530/10^7))</f>
        <v>0</v>
      </c>
      <c r="P530" s="332"/>
      <c r="Q530" s="196">
        <f t="shared" si="679"/>
        <v>1.01268E-2</v>
      </c>
      <c r="R530" s="332"/>
      <c r="S530" s="196">
        <f>N530+O530+P530+Q530+R530</f>
        <v>176.48938225255799</v>
      </c>
      <c r="T530" s="332"/>
      <c r="U530" s="196">
        <f t="shared" si="680"/>
        <v>176.48938225255799</v>
      </c>
      <c r="V530" s="332"/>
      <c r="W530" s="332"/>
      <c r="X530" s="332"/>
      <c r="Y530" s="332"/>
      <c r="Z530" s="198">
        <f>(H530*$Z$532)/($H$532-$H$396-$H$398-$H$399)</f>
        <v>3.8942662528019412</v>
      </c>
      <c r="AA530" s="249">
        <f t="shared" si="681"/>
        <v>180.38364850535993</v>
      </c>
    </row>
    <row r="531" spans="2:29">
      <c r="B531" s="239" t="s">
        <v>643</v>
      </c>
      <c r="C531" s="250">
        <f>C407+C439+C470+C501</f>
        <v>5118</v>
      </c>
      <c r="D531" s="240">
        <v>0</v>
      </c>
      <c r="E531" s="250">
        <v>0</v>
      </c>
      <c r="F531" s="250">
        <v>0</v>
      </c>
      <c r="G531" s="250">
        <v>0</v>
      </c>
      <c r="H531" s="240">
        <f>H407+H439+H470+H501</f>
        <v>14832.701689344693</v>
      </c>
      <c r="I531" s="240">
        <f t="shared" ref="I531" si="682">I407+I439+I470+I501</f>
        <v>0</v>
      </c>
      <c r="J531" s="240">
        <f>J407+J439+J470+J501</f>
        <v>4001.8378599999996</v>
      </c>
      <c r="K531" s="240">
        <f t="shared" ref="K531:AA531" si="683">K407+K439+K470+K501</f>
        <v>0</v>
      </c>
      <c r="L531" s="240"/>
      <c r="M531" s="240">
        <f t="shared" ref="M531" si="684">M407+M439+M470+M501</f>
        <v>7.7972797500000004</v>
      </c>
      <c r="N531" s="240">
        <f t="shared" si="683"/>
        <v>8469.4045180966932</v>
      </c>
      <c r="O531" s="240">
        <f t="shared" si="683"/>
        <v>1960.4916871800001</v>
      </c>
      <c r="P531" s="240">
        <f t="shared" si="683"/>
        <v>0</v>
      </c>
      <c r="Q531" s="240">
        <f t="shared" si="683"/>
        <v>9.4201955999999996</v>
      </c>
      <c r="R531" s="240">
        <f t="shared" si="683"/>
        <v>0</v>
      </c>
      <c r="S531" s="240">
        <f t="shared" si="683"/>
        <v>10439.316400876691</v>
      </c>
      <c r="T531" s="240">
        <f t="shared" si="683"/>
        <v>0</v>
      </c>
      <c r="U531" s="240">
        <f t="shared" si="683"/>
        <v>10439.316400876691</v>
      </c>
      <c r="V531" s="240">
        <f t="shared" si="683"/>
        <v>0</v>
      </c>
      <c r="W531" s="240">
        <f t="shared" si="683"/>
        <v>0</v>
      </c>
      <c r="X531" s="240">
        <f t="shared" si="683"/>
        <v>0</v>
      </c>
      <c r="Y531" s="240">
        <f t="shared" si="683"/>
        <v>0</v>
      </c>
      <c r="Z531" s="240">
        <f t="shared" si="683"/>
        <v>234.0228599513118</v>
      </c>
      <c r="AA531" s="241">
        <f t="shared" si="683"/>
        <v>10673.339260828005</v>
      </c>
      <c r="AC531" s="177"/>
    </row>
    <row r="532" spans="2:29" ht="11.25" thickBot="1">
      <c r="B532" s="262" t="s">
        <v>644</v>
      </c>
      <c r="C532" s="263">
        <f>C404+C531</f>
        <v>7275328</v>
      </c>
      <c r="D532" s="264">
        <v>0</v>
      </c>
      <c r="E532" s="263">
        <v>0</v>
      </c>
      <c r="F532" s="263">
        <v>0</v>
      </c>
      <c r="G532" s="263">
        <v>0</v>
      </c>
      <c r="H532" s="264">
        <f>H404+H531</f>
        <v>29846.261691569911</v>
      </c>
      <c r="I532" s="264">
        <f t="shared" ref="I532" si="685">I404+I531</f>
        <v>0</v>
      </c>
      <c r="J532" s="264">
        <f>J404+J531</f>
        <v>14762.478909600599</v>
      </c>
      <c r="K532" s="264">
        <f t="shared" ref="K532:AA532" si="686">K404+K531</f>
        <v>2416521.9335961598</v>
      </c>
      <c r="L532" s="264"/>
      <c r="M532" s="264">
        <f t="shared" ref="M532" si="687">M404+M531</f>
        <v>7.7972797500000004</v>
      </c>
      <c r="N532" s="264">
        <f t="shared" si="686"/>
        <v>14643.386866643981</v>
      </c>
      <c r="O532" s="264">
        <f t="shared" si="686"/>
        <v>2310.6568488043213</v>
      </c>
      <c r="P532" s="264">
        <f t="shared" si="686"/>
        <v>17.650973348977502</v>
      </c>
      <c r="Q532" s="264">
        <f t="shared" si="686"/>
        <v>360.19679280000003</v>
      </c>
      <c r="R532" s="264">
        <f t="shared" si="686"/>
        <v>0</v>
      </c>
      <c r="S532" s="264">
        <f t="shared" si="686"/>
        <v>17331.891481597275</v>
      </c>
      <c r="T532" s="264">
        <f t="shared" si="686"/>
        <v>0</v>
      </c>
      <c r="U532" s="264">
        <f t="shared" si="686"/>
        <v>17331.891481597275</v>
      </c>
      <c r="V532" s="264">
        <f t="shared" si="686"/>
        <v>0</v>
      </c>
      <c r="W532" s="264">
        <f t="shared" si="686"/>
        <v>0</v>
      </c>
      <c r="X532" s="264">
        <f t="shared" si="686"/>
        <v>0</v>
      </c>
      <c r="Y532" s="264">
        <f t="shared" si="686"/>
        <v>0</v>
      </c>
      <c r="Z532" s="264">
        <f>'11|NTI proposed'!G19</f>
        <v>432.55799999999999</v>
      </c>
      <c r="AA532" s="265">
        <f t="shared" si="686"/>
        <v>17764.449481597279</v>
      </c>
    </row>
    <row r="533" spans="2:29" ht="53.25" customHeight="1">
      <c r="H533" s="370"/>
      <c r="I533" s="370"/>
      <c r="J533" s="370"/>
      <c r="K533" s="370"/>
      <c r="L533" s="1067" t="s">
        <v>1113</v>
      </c>
      <c r="M533" s="1069">
        <f>H532+M532</f>
        <v>29854.058971319912</v>
      </c>
      <c r="N533" s="370"/>
      <c r="O533" s="370"/>
      <c r="P533" s="370"/>
      <c r="Q533" s="370"/>
      <c r="R533" s="370"/>
      <c r="S533" s="370"/>
      <c r="T533" s="370"/>
      <c r="U533" s="370"/>
      <c r="V533" s="370"/>
      <c r="W533" s="370"/>
      <c r="X533" s="370"/>
      <c r="Y533" s="370"/>
      <c r="Z533" s="370"/>
      <c r="AA533" s="370"/>
    </row>
    <row r="536" spans="2:29">
      <c r="O536" s="1068"/>
    </row>
  </sheetData>
  <mergeCells count="37">
    <mergeCell ref="L6:M6"/>
    <mergeCell ref="L181:M181"/>
    <mergeCell ref="L359:M359"/>
    <mergeCell ref="B357:AA357"/>
    <mergeCell ref="N181:S181"/>
    <mergeCell ref="N359:S359"/>
    <mergeCell ref="Y359:Z359"/>
    <mergeCell ref="AA359:AA360"/>
    <mergeCell ref="V359:W359"/>
    <mergeCell ref="U359:U360"/>
    <mergeCell ref="X359:X360"/>
    <mergeCell ref="B359:B360"/>
    <mergeCell ref="C359:C360"/>
    <mergeCell ref="D359:G359"/>
    <mergeCell ref="H359:K359"/>
    <mergeCell ref="T359:T360"/>
    <mergeCell ref="B4:AA4"/>
    <mergeCell ref="B181:B182"/>
    <mergeCell ref="C181:C182"/>
    <mergeCell ref="D181:G181"/>
    <mergeCell ref="H181:K181"/>
    <mergeCell ref="Y181:Z181"/>
    <mergeCell ref="AA181:AA182"/>
    <mergeCell ref="V181:W181"/>
    <mergeCell ref="T181:T182"/>
    <mergeCell ref="U181:U182"/>
    <mergeCell ref="X181:X182"/>
    <mergeCell ref="B6:B7"/>
    <mergeCell ref="C6:C7"/>
    <mergeCell ref="D6:G6"/>
    <mergeCell ref="H6:K6"/>
    <mergeCell ref="AA6:AA7"/>
    <mergeCell ref="T6:T7"/>
    <mergeCell ref="U6:U7"/>
    <mergeCell ref="V6:W6"/>
    <mergeCell ref="X6:X7"/>
    <mergeCell ref="Y6:Z6"/>
  </mergeCells>
  <phoneticPr fontId="11" type="noConversion"/>
  <dataValidations count="1">
    <dataValidation type="decimal" allowBlank="1" showInputMessage="1" showErrorMessage="1" sqref="Z49:AA50 Z55:AA55 U88:AA88 Z57:AA62 T86:T88 R86:R88 Z31:AA33 Z38:AA39 Z35:AA36 Z52:AA53 Z65:AA75 L439:Q439 Z11:AA17 Z20:AA29 Z140:AA143 Z128:AA138 Z145:AA147 Z120:AA125 Z118:AA118 Z149:AA149 Z97:AA107 Z114:AA116 V87:AA87 Z89:AA94 Z159:AA169 Z42:AA47 S86 Z109:AA112 Z151:AA156 Z82:AA85 Z77:AA80 S88 U86:AA86 Z467:AA469 Z450:AA460 V440:AA440 Z442:AA447 Z524:AA527 Z391:AA392 Z462:AA465 S439 Z504:AA509 Z418:AA428 S441 Z395:AA400 Z210:AA211 Z224:AA225 U263:AA263 Z230:AA230 T261:T263 R261:R263 Z186:AA192 Z206:AA208 Z195:AA204 Z227:AA228 Z232:AA237 Z171:AA174 Z435:AA438 Z217:AA222 Z326:AA331 Z295:AA300 Z303:AA313 Z293:AA293 Z289:AA291 Z315:AA318 Z264:AA269 Z284:AA287 Z252:AA255 V262:AA262 Z324:AA324 Z502:AA502 Z213:AA214 S261 Z272:AA282 Z320:AA322 Z257:AA260 Z402:AA403 Z240:AA250 S263 U261:AA261 Z408:AA408 T439:T441 Z373:AA382 R439:R441 Z512:AA522 Z384:AA386 Z405:AA406 Z410:AA415 Z351:AA352 Z346:AA349 Z334:AA344 Z364:AA370 Z493:AA496 Z481:AA491 Z498:AA500 Z473:AA478 Z471:AA471 Z388:AA389 U441:AA441 U439:AA439 Z430:AA433 Z529:AA530 L461:AA461 L470:AA470 L528:AA528 L407:AA407 L371:AA372 L510:AA511 L501:AA501 L472:AA472 L416:AA417 L409:AA409 L401:AA401 L387:AA387 N390:AA390 L434:AA434 N383:AA383 L503:AA503 L479:AA480 L466:AA466 L429:AA429 L393:AA394 N404:AA404 L523:AA523 L497:AA497 L418:M428 L388:M392 L410:M415 L408:M408 L442:M447 L430:M433 K363:AA363 L373:M386 K325:AA325 K256:AA256 K195:M208 N205:AA205 K209:AA209 K113:AA113 N212:AA212 K223:AA223 K186:M192 K231:AA231 K238:AA239 K257:M260 K261:Q261 K263:Q263 K272:M282 K294:AA294 K295:M300 K303:M313 K320:M322 K323:AA323 K326:M331 K332:AA333 K334:M344 K346:M349 K353:AA354 K293:M293 K224:M228 K193:AA194 K324:M324 K262:M262 K229:AA229 C1:C2 C180:Z180 D1:Z3 C183:AA183 K315:M318 K284:M287 K350:AA350 K289:M291 K292:AA292 K283:AA283 K270:AA271 K314:AA314 K351:M352 K319:AA319 K345:AA345 K240:M250 K210:M214 K35:M39 K232:M237 K215:AA216 K230:M230 K264:M269 K185:AA185 N226:AA226 K251:AA251 K252:M255 C358:Z358 D356:Z356 L395:M400 K301:AA302 L364:M370 L435:M438 L441:Q441 K531:AA532 L450:M460 L492:AA492 L473:M478 L481:M491 L498:M500 L504:M509 L512:M522 L524:M527 L471:M471 K448:AA449 L402:M406 K217:M222 L502:M502 L440:M440 L493:M496 C361:AA361 L462:M465 L467:M469 L529:M530 K176:M177 C185:J354 K150:AA150 K81:AA81 K11:M17 N30:AA30 K34:AA34 C10:J179 N37:AA37 K48:AA48 K288:AA288 K56:AA56 K63:AA64 K77:M80 K86:Q86 K88:Q88 K89:M94 C363:J532 K119:AA119 K118:M118 K120:M125 K140:M143 K148:AA148 K149:M149 K157:AA158 K151:M156 K159:M169 K178:AA179 K114:M116 K42:M47 K18:AA19 K145:M147 K82:M85 K54:AA54 C5:Z5 C8:AA8 K128:M138 K97:M107 K175:AA175 K109:M112 K117:AA117 K108:AA108 K95:AA96 K139:AA139 K171:M174 K144:AA144 K170:AA170 K57:M62 K20:M33 C533:Z65113 K55:M55 K40:AA41 K49:M53 K87:M87 K10:AA10 N51:AA51 K76:AA76 K65:M75 K126:AA127 K364:K447 K450:K530 Z176:AA177">
      <formula1>0</formula1>
      <formula2>9.99999999999999E+30</formula2>
    </dataValidation>
  </dataValidations>
  <printOptions horizontalCentered="1"/>
  <pageMargins left="0.51181102362204722" right="0.51181102362204722" top="0.51181102362204722" bottom="0.51181102362204722" header="0.23622047244094491" footer="0.23622047244094491"/>
  <pageSetup paperSize="9" scale="65" fitToHeight="66" pageOrder="overThenDown" orientation="landscape" blackAndWhite="1" r:id="rId1"/>
  <headerFooter alignWithMargins="0"/>
  <rowBreaks count="5" manualBreakCount="5">
    <brk id="283" min="1" max="26" man="1"/>
    <brk id="354" max="16383" man="1"/>
    <brk id="399" max="16383" man="1"/>
    <brk id="447" max="16383" man="1"/>
    <brk id="487" max="16383" man="1"/>
  </rowBreaks>
  <colBreaks count="2" manualBreakCount="2">
    <brk id="13" min="355" max="531" man="1"/>
    <brk id="14" min="2" max="353" man="1"/>
  </colBreaks>
</worksheet>
</file>

<file path=xl/worksheets/sheet35.xml><?xml version="1.0" encoding="utf-8"?>
<worksheet xmlns="http://schemas.openxmlformats.org/spreadsheetml/2006/main" xmlns:r="http://schemas.openxmlformats.org/officeDocument/2006/relationships">
  <sheetPr codeName="Sheet32"/>
  <dimension ref="A1:H372"/>
  <sheetViews>
    <sheetView zoomScaleSheetLayoutView="100" workbookViewId="0">
      <selection activeCell="G7" sqref="G7"/>
    </sheetView>
  </sheetViews>
  <sheetFormatPr defaultRowHeight="10.5"/>
  <cols>
    <col min="1" max="1" width="9.140625" style="92"/>
    <col min="2" max="2" width="0" style="92" hidden="1" customWidth="1"/>
    <col min="3" max="3" width="42.42578125" style="92" customWidth="1"/>
    <col min="4" max="4" width="12.7109375" style="92" customWidth="1"/>
    <col min="5" max="5" width="17.7109375" style="92" hidden="1" customWidth="1"/>
    <col min="6" max="6" width="15.42578125" style="92" customWidth="1"/>
    <col min="7" max="7" width="22.42578125" style="92" customWidth="1"/>
    <col min="8" max="16384" width="9.140625" style="92"/>
  </cols>
  <sheetData>
    <row r="1" spans="1:7">
      <c r="A1" s="136" t="s">
        <v>396</v>
      </c>
    </row>
    <row r="3" spans="1:7" ht="18" customHeight="1">
      <c r="C3" s="305" t="s">
        <v>180</v>
      </c>
      <c r="D3" s="305" t="s">
        <v>429</v>
      </c>
      <c r="E3" s="305"/>
      <c r="F3" s="91"/>
      <c r="G3" s="91"/>
    </row>
    <row r="4" spans="1:7" ht="17.25" customHeight="1">
      <c r="C4" s="91"/>
      <c r="D4" s="91"/>
      <c r="E4" s="91"/>
      <c r="F4" s="91"/>
      <c r="G4" s="91"/>
    </row>
    <row r="5" spans="1:7" ht="17.25" customHeight="1" thickBot="1">
      <c r="C5" s="91"/>
    </row>
    <row r="6" spans="1:7" ht="36" customHeight="1">
      <c r="C6" s="306" t="s">
        <v>21</v>
      </c>
      <c r="D6" s="268" t="s">
        <v>140</v>
      </c>
      <c r="E6" s="268" t="s">
        <v>645</v>
      </c>
      <c r="F6" s="268" t="str">
        <f>Notes!$C$5</f>
        <v>Base Year</v>
      </c>
      <c r="G6" s="269" t="str">
        <f>Notes!$C$6</f>
        <v>FY 2024-25</v>
      </c>
    </row>
    <row r="7" spans="1:7" ht="31.5" customHeight="1">
      <c r="B7" s="121">
        <v>10001</v>
      </c>
      <c r="C7" s="274" t="s">
        <v>181</v>
      </c>
      <c r="D7" s="96" t="s">
        <v>56</v>
      </c>
      <c r="E7" s="307">
        <f>'1|ARR'!F24</f>
        <v>18149.427676947802</v>
      </c>
      <c r="F7" s="307">
        <f>'1|ARR'!G24</f>
        <v>21518.592370288352</v>
      </c>
      <c r="G7" s="436">
        <f>'1|ARR'!H24</f>
        <v>21161.863536030251</v>
      </c>
    </row>
    <row r="8" spans="1:7" ht="31.5" customHeight="1">
      <c r="B8" s="121">
        <v>10002</v>
      </c>
      <c r="C8" s="308" t="s">
        <v>333</v>
      </c>
      <c r="D8" s="309"/>
      <c r="E8" s="310">
        <f t="shared" ref="E8:G8" si="0">SUM(E9:E18)</f>
        <v>14719.319418349396</v>
      </c>
      <c r="F8" s="310">
        <f t="shared" si="0"/>
        <v>16674.610970001766</v>
      </c>
      <c r="G8" s="311">
        <f t="shared" si="0"/>
        <v>17764.449481597276</v>
      </c>
    </row>
    <row r="9" spans="1:7" ht="36" customHeight="1">
      <c r="B9" s="121">
        <v>10003</v>
      </c>
      <c r="C9" s="312" t="s">
        <v>274</v>
      </c>
      <c r="D9" s="96" t="s">
        <v>173</v>
      </c>
      <c r="E9" s="307">
        <f>'7|Total Rev Current'!U179</f>
        <v>14369.154820413396</v>
      </c>
      <c r="F9" s="307">
        <f>'7|Total Rev Current'!U354</f>
        <v>16257.960970001765</v>
      </c>
      <c r="G9" s="436">
        <f>'7|Total Rev Current'!U532</f>
        <v>17331.891481597275</v>
      </c>
    </row>
    <row r="10" spans="1:7" ht="26.25" customHeight="1">
      <c r="B10" s="121">
        <v>10004</v>
      </c>
      <c r="C10" s="313" t="s">
        <v>182</v>
      </c>
      <c r="D10" s="97" t="s">
        <v>487</v>
      </c>
      <c r="E10" s="307">
        <f>'6|NTI current'!E17</f>
        <v>350.16459793600006</v>
      </c>
      <c r="F10" s="307">
        <f>'6|NTI current'!F17</f>
        <v>416.65</v>
      </c>
      <c r="G10" s="436">
        <f>'6|NTI current'!G17</f>
        <v>432.55799999999999</v>
      </c>
    </row>
    <row r="11" spans="1:7" ht="28.5" customHeight="1">
      <c r="B11" s="121">
        <v>10005</v>
      </c>
      <c r="C11" s="313" t="s">
        <v>341</v>
      </c>
      <c r="D11" s="96" t="s">
        <v>488</v>
      </c>
      <c r="E11" s="307"/>
      <c r="F11" s="307"/>
      <c r="G11" s="436"/>
    </row>
    <row r="12" spans="1:7" ht="12.75" hidden="1">
      <c r="B12" s="121"/>
      <c r="C12" s="314"/>
      <c r="D12" s="315"/>
      <c r="E12" s="316"/>
      <c r="F12" s="316"/>
      <c r="G12" s="1369"/>
    </row>
    <row r="13" spans="1:7" ht="12.75" hidden="1">
      <c r="B13" s="121"/>
      <c r="C13" s="314"/>
      <c r="D13" s="315"/>
      <c r="E13" s="316"/>
      <c r="F13" s="316"/>
      <c r="G13" s="1369"/>
    </row>
    <row r="14" spans="1:7" ht="12.75" hidden="1">
      <c r="B14" s="121"/>
      <c r="C14" s="314"/>
      <c r="D14" s="315"/>
      <c r="E14" s="316"/>
      <c r="F14" s="316"/>
      <c r="G14" s="1369"/>
    </row>
    <row r="15" spans="1:7" ht="12.75" hidden="1">
      <c r="B15" s="121"/>
      <c r="C15" s="314"/>
      <c r="D15" s="315"/>
      <c r="E15" s="316"/>
      <c r="F15" s="316"/>
      <c r="G15" s="1369"/>
    </row>
    <row r="16" spans="1:7" ht="12.75" hidden="1">
      <c r="B16" s="121"/>
      <c r="C16" s="314"/>
      <c r="D16" s="315"/>
      <c r="E16" s="316"/>
      <c r="F16" s="316"/>
      <c r="G16" s="1369"/>
    </row>
    <row r="17" spans="2:7" ht="12.75" hidden="1">
      <c r="B17" s="121"/>
      <c r="C17" s="314"/>
      <c r="D17" s="315"/>
      <c r="E17" s="316"/>
      <c r="F17" s="316"/>
      <c r="G17" s="1369"/>
    </row>
    <row r="18" spans="2:7" ht="12.75" hidden="1">
      <c r="B18" s="121"/>
      <c r="C18" s="314"/>
      <c r="D18" s="315"/>
      <c r="E18" s="316"/>
      <c r="F18" s="316"/>
      <c r="G18" s="1369"/>
    </row>
    <row r="19" spans="2:7" ht="30.75" customHeight="1" thickBot="1">
      <c r="B19" s="121">
        <v>10006</v>
      </c>
      <c r="C19" s="317" t="s">
        <v>970</v>
      </c>
      <c r="D19" s="318"/>
      <c r="E19" s="280">
        <f>E8-E7</f>
        <v>-3430.1082585984059</v>
      </c>
      <c r="F19" s="280">
        <f t="shared" ref="F19:G19" si="1">F8-F7</f>
        <v>-4843.981400286586</v>
      </c>
      <c r="G19" s="281">
        <f t="shared" si="1"/>
        <v>-3397.4140544329748</v>
      </c>
    </row>
    <row r="20" spans="2:7" ht="18.75" customHeight="1">
      <c r="C20" s="1803" t="s">
        <v>859</v>
      </c>
      <c r="D20" s="1803"/>
      <c r="E20" s="1803"/>
      <c r="F20" s="1803"/>
      <c r="G20" s="1803"/>
    </row>
    <row r="22" spans="2:7">
      <c r="F22" s="104"/>
    </row>
    <row r="353" spans="8:8">
      <c r="H353" s="104"/>
    </row>
    <row r="359" spans="8:8">
      <c r="H359" s="104"/>
    </row>
    <row r="362" spans="8:8">
      <c r="H362" s="104"/>
    </row>
    <row r="371" spans="8:8">
      <c r="H371" s="104"/>
    </row>
    <row r="372" spans="8:8">
      <c r="H372" s="319"/>
    </row>
  </sheetData>
  <mergeCells count="1">
    <mergeCell ref="C20:G20"/>
  </mergeCells>
  <phoneticPr fontId="11" type="noConversion"/>
  <hyperlinks>
    <hyperlink ref="A1" location="Index!A1" display="Index sheet"/>
    <hyperlink ref="D7" location="'Form 1'!A1" display="'Form 1'"/>
    <hyperlink ref="D9" location="'Form 5'!A1" display="Form 5"/>
    <hyperlink ref="D10" location="'Form 6'!A1" display="'Form 6'"/>
    <hyperlink ref="D11" location="'Form 1.4 b'!A1" display="'Form 1.4 b'!A1"/>
  </hyperlinks>
  <printOptions horizontalCentered="1"/>
  <pageMargins left="0.5" right="0.5" top="0.5" bottom="0.5" header="0.25" footer="0.25"/>
  <pageSetup paperSize="9" scale="105" orientation="landscape" blackAndWhite="1" r:id="rId1"/>
  <headerFooter alignWithMargins="0"/>
</worksheet>
</file>

<file path=xl/worksheets/sheet36.xml><?xml version="1.0" encoding="utf-8"?>
<worksheet xmlns="http://schemas.openxmlformats.org/spreadsheetml/2006/main" xmlns:r="http://schemas.openxmlformats.org/officeDocument/2006/relationships">
  <sheetPr codeName="Sheet33"/>
  <dimension ref="A1:L25"/>
  <sheetViews>
    <sheetView topLeftCell="A4" zoomScaleSheetLayoutView="115" workbookViewId="0">
      <selection activeCell="C18" sqref="C18:G18"/>
    </sheetView>
  </sheetViews>
  <sheetFormatPr defaultRowHeight="10.5"/>
  <cols>
    <col min="1" max="1" width="7.140625" style="92" customWidth="1"/>
    <col min="2" max="2" width="9.140625" style="92" hidden="1" customWidth="1"/>
    <col min="3" max="3" width="6.7109375" style="92" customWidth="1"/>
    <col min="4" max="4" width="48.28515625" style="92" customWidth="1"/>
    <col min="5" max="5" width="10.5703125" style="92" customWidth="1"/>
    <col min="6" max="6" width="10" style="92" hidden="1" customWidth="1"/>
    <col min="7" max="7" width="10" style="92" customWidth="1"/>
    <col min="8" max="8" width="11.85546875" style="92" customWidth="1"/>
    <col min="9" max="16384" width="9.140625" style="92"/>
  </cols>
  <sheetData>
    <row r="1" spans="1:12">
      <c r="A1" s="136" t="s">
        <v>396</v>
      </c>
    </row>
    <row r="3" spans="1:12" ht="15.75" customHeight="1">
      <c r="C3" s="105" t="s">
        <v>183</v>
      </c>
      <c r="D3" s="105" t="s">
        <v>197</v>
      </c>
      <c r="E3" s="1934"/>
      <c r="F3" s="1934"/>
      <c r="G3" s="1934"/>
      <c r="H3" s="1934"/>
    </row>
    <row r="4" spans="1:12" ht="12">
      <c r="C4" s="105"/>
      <c r="D4" s="105"/>
      <c r="E4" s="107"/>
      <c r="F4" s="107"/>
      <c r="G4" s="107"/>
      <c r="H4" s="107"/>
    </row>
    <row r="5" spans="1:12" ht="12.75" customHeight="1" thickBot="1">
      <c r="C5" s="106"/>
      <c r="D5" s="105"/>
      <c r="E5" s="106"/>
      <c r="F5" s="106"/>
      <c r="G5" s="106"/>
      <c r="H5" s="106"/>
    </row>
    <row r="6" spans="1:12" ht="12">
      <c r="C6" s="1370"/>
      <c r="D6" s="1371" t="s">
        <v>20</v>
      </c>
      <c r="E6" s="1371" t="s">
        <v>140</v>
      </c>
      <c r="F6" s="1371" t="s">
        <v>645</v>
      </c>
      <c r="G6" s="1371" t="str">
        <f>Notes!$C$5</f>
        <v>Base Year</v>
      </c>
      <c r="H6" s="1372" t="str">
        <f>Notes!$C$6</f>
        <v>FY 2024-25</v>
      </c>
    </row>
    <row r="7" spans="1:12" s="270" customFormat="1" ht="24" customHeight="1">
      <c r="B7" s="304">
        <v>10001</v>
      </c>
      <c r="C7" s="1373" t="s">
        <v>63</v>
      </c>
      <c r="D7" s="108" t="s">
        <v>184</v>
      </c>
      <c r="E7" s="109" t="s">
        <v>56</v>
      </c>
      <c r="F7" s="110">
        <f>'1|ARR'!F24</f>
        <v>18149.427676947802</v>
      </c>
      <c r="G7" s="110">
        <f>'1|ARR'!G24</f>
        <v>21518.592370288352</v>
      </c>
      <c r="H7" s="1374">
        <f>'1|ARR'!H24</f>
        <v>21161.863536030251</v>
      </c>
    </row>
    <row r="8" spans="1:12" s="270" customFormat="1" ht="24" customHeight="1">
      <c r="B8" s="304">
        <v>10003</v>
      </c>
      <c r="C8" s="1373" t="s">
        <v>66</v>
      </c>
      <c r="D8" s="108" t="s">
        <v>274</v>
      </c>
      <c r="E8" s="109" t="s">
        <v>173</v>
      </c>
      <c r="F8" s="110">
        <f>'8|Rev Gap'!E9</f>
        <v>14369.154820413396</v>
      </c>
      <c r="G8" s="110">
        <f>'8|Rev Gap'!F9</f>
        <v>16257.960970001765</v>
      </c>
      <c r="H8" s="1374">
        <f>'8|Rev Gap'!G9</f>
        <v>17331.891481597275</v>
      </c>
    </row>
    <row r="9" spans="1:12" s="270" customFormat="1" ht="24" customHeight="1">
      <c r="B9" s="304">
        <v>10004</v>
      </c>
      <c r="C9" s="1373" t="s">
        <v>69</v>
      </c>
      <c r="D9" s="108" t="s">
        <v>182</v>
      </c>
      <c r="E9" s="111" t="s">
        <v>487</v>
      </c>
      <c r="F9" s="110">
        <f>'8|Rev Gap'!E10</f>
        <v>350.16459793600006</v>
      </c>
      <c r="G9" s="110">
        <f>'8|Rev Gap'!F10</f>
        <v>416.65</v>
      </c>
      <c r="H9" s="1374">
        <f>'8|Rev Gap'!G10</f>
        <v>432.55799999999999</v>
      </c>
    </row>
    <row r="10" spans="1:12" s="270" customFormat="1" ht="24" customHeight="1">
      <c r="B10" s="304">
        <v>10005</v>
      </c>
      <c r="C10" s="1373" t="s">
        <v>72</v>
      </c>
      <c r="D10" s="108" t="s">
        <v>335</v>
      </c>
      <c r="E10" s="109" t="s">
        <v>488</v>
      </c>
      <c r="F10" s="110">
        <v>0</v>
      </c>
      <c r="G10" s="110">
        <f>'8|Rev Gap'!F11</f>
        <v>0</v>
      </c>
      <c r="H10" s="1374">
        <f>'8|Rev Gap'!G11</f>
        <v>0</v>
      </c>
    </row>
    <row r="11" spans="1:12" s="270" customFormat="1" ht="24" customHeight="1">
      <c r="B11" s="304">
        <v>10006</v>
      </c>
      <c r="C11" s="1373" t="s">
        <v>73</v>
      </c>
      <c r="D11" s="108" t="s">
        <v>384</v>
      </c>
      <c r="E11" s="108"/>
      <c r="F11" s="112">
        <f t="shared" ref="F11:H11" si="0">(F8+F9+F10)-F7</f>
        <v>-3430.1082585984059</v>
      </c>
      <c r="G11" s="112">
        <f t="shared" si="0"/>
        <v>-4843.981400286586</v>
      </c>
      <c r="H11" s="1375">
        <f t="shared" si="0"/>
        <v>-3397.4140544329748</v>
      </c>
    </row>
    <row r="12" spans="1:12" s="270" customFormat="1" ht="21" customHeight="1">
      <c r="B12" s="304">
        <v>10007</v>
      </c>
      <c r="C12" s="1373" t="s">
        <v>75</v>
      </c>
      <c r="D12" s="113" t="s">
        <v>902</v>
      </c>
      <c r="E12" s="108"/>
      <c r="F12" s="108"/>
      <c r="G12" s="114"/>
      <c r="H12" s="1376">
        <v>3307.7</v>
      </c>
      <c r="I12" s="326"/>
      <c r="J12" s="326"/>
      <c r="K12" s="326"/>
      <c r="L12" s="935"/>
    </row>
    <row r="13" spans="1:12" s="270" customFormat="1" ht="21" customHeight="1">
      <c r="B13" s="304">
        <v>10008</v>
      </c>
      <c r="C13" s="1373" t="s">
        <v>78</v>
      </c>
      <c r="D13" s="113" t="s">
        <v>185</v>
      </c>
      <c r="E13" s="108"/>
      <c r="F13" s="108"/>
      <c r="G13" s="114"/>
      <c r="H13" s="1376"/>
      <c r="I13" s="326"/>
    </row>
    <row r="14" spans="1:12" s="270" customFormat="1" ht="21" customHeight="1">
      <c r="B14" s="304"/>
      <c r="C14" s="1373" t="s">
        <v>81</v>
      </c>
      <c r="D14" s="113" t="s">
        <v>1150</v>
      </c>
      <c r="E14" s="108"/>
      <c r="F14" s="108"/>
      <c r="G14" s="110">
        <v>1114.57</v>
      </c>
      <c r="H14" s="1376"/>
      <c r="K14" s="935"/>
    </row>
    <row r="15" spans="1:12" s="270" customFormat="1" ht="33.75" customHeight="1">
      <c r="B15" s="304"/>
      <c r="C15" s="1373" t="s">
        <v>84</v>
      </c>
      <c r="D15" s="1064" t="s">
        <v>1110</v>
      </c>
      <c r="E15" s="108"/>
      <c r="F15" s="110">
        <f>'[5]CSS Grid Support Charges'!$D$5+'[5]CSS Grid Support Charges'!$I$5</f>
        <v>77.361800000000002</v>
      </c>
      <c r="G15" s="114">
        <f>'[5]CSS Grid Support Charges'!$D$6+'[5]CSS Grid Support Charges'!$I$6</f>
        <v>87.243799999999993</v>
      </c>
      <c r="H15" s="1376">
        <f>'[5]CSS Grid Support Charges'!$D$7+'[5]CSS Grid Support Charges'!$I$7</f>
        <v>89.711800000000011</v>
      </c>
      <c r="J15" s="1065"/>
      <c r="K15" s="935"/>
    </row>
    <row r="16" spans="1:12" s="270" customFormat="1" ht="24" hidden="1" customHeight="1">
      <c r="B16" s="304"/>
      <c r="C16" s="1373"/>
      <c r="D16" s="115"/>
      <c r="E16" s="108"/>
      <c r="F16" s="108"/>
      <c r="G16" s="114"/>
      <c r="H16" s="1376"/>
    </row>
    <row r="17" spans="2:8" ht="12.75" hidden="1">
      <c r="B17" s="121"/>
      <c r="C17" s="131"/>
      <c r="D17" s="116"/>
      <c r="E17" s="117"/>
      <c r="F17" s="117"/>
      <c r="G17" s="118"/>
      <c r="H17" s="1377"/>
    </row>
    <row r="18" spans="2:8" ht="12.75" hidden="1">
      <c r="B18" s="121"/>
      <c r="C18" s="131"/>
      <c r="D18" s="119"/>
      <c r="E18" s="117"/>
      <c r="F18" s="117"/>
      <c r="G18" s="118"/>
      <c r="H18" s="1377"/>
    </row>
    <row r="19" spans="2:8" ht="12.75" hidden="1">
      <c r="B19" s="121"/>
      <c r="C19" s="131"/>
      <c r="D19" s="116"/>
      <c r="E19" s="117"/>
      <c r="F19" s="117"/>
      <c r="G19" s="118"/>
      <c r="H19" s="1377"/>
    </row>
    <row r="20" spans="2:8" ht="12.75" hidden="1">
      <c r="B20" s="121"/>
      <c r="C20" s="131"/>
      <c r="D20" s="120"/>
      <c r="E20" s="117"/>
      <c r="F20" s="117"/>
      <c r="G20" s="118"/>
      <c r="H20" s="1377"/>
    </row>
    <row r="21" spans="2:8" ht="12.75" hidden="1">
      <c r="B21" s="121">
        <v>10009</v>
      </c>
      <c r="C21" s="131"/>
      <c r="D21" s="120"/>
      <c r="E21" s="117"/>
      <c r="F21" s="117"/>
      <c r="G21" s="118"/>
      <c r="H21" s="1377"/>
    </row>
    <row r="22" spans="2:8" s="270" customFormat="1" ht="25.5" customHeight="1" thickBot="1">
      <c r="B22" s="304">
        <v>10010</v>
      </c>
      <c r="C22" s="1378"/>
      <c r="D22" s="1379" t="s">
        <v>354</v>
      </c>
      <c r="E22" s="1380"/>
      <c r="F22" s="1381">
        <f t="shared" ref="F22:H22" si="1">SUM(F11:F21)</f>
        <v>-3352.7464585984058</v>
      </c>
      <c r="G22" s="1381">
        <f t="shared" si="1"/>
        <v>-3642.1676002865861</v>
      </c>
      <c r="H22" s="1382">
        <f t="shared" si="1"/>
        <v>-2.2544329749791814E-3</v>
      </c>
    </row>
    <row r="23" spans="2:8" ht="24" customHeight="1">
      <c r="C23" s="1935" t="s">
        <v>860</v>
      </c>
      <c r="D23" s="1936"/>
      <c r="E23" s="1936"/>
      <c r="F23" s="1936"/>
      <c r="G23" s="1936"/>
      <c r="H23" s="1937"/>
    </row>
    <row r="24" spans="2:8" ht="12">
      <c r="C24" s="106"/>
      <c r="D24" s="106"/>
      <c r="E24" s="106"/>
      <c r="F24" s="106"/>
      <c r="G24" s="106"/>
      <c r="H24" s="106"/>
    </row>
    <row r="25" spans="2:8" ht="12.75">
      <c r="H25" s="121"/>
    </row>
  </sheetData>
  <mergeCells count="2">
    <mergeCell ref="E3:H3"/>
    <mergeCell ref="C23:H23"/>
  </mergeCells>
  <phoneticPr fontId="11" type="noConversion"/>
  <dataValidations count="1">
    <dataValidation type="decimal" allowBlank="1" showInputMessage="1" showErrorMessage="1" sqref="H12:H21">
      <formula1>-999999999999999000000</formula1>
      <formula2>9.99999999999999E+21</formula2>
    </dataValidation>
  </dataValidations>
  <hyperlinks>
    <hyperlink ref="A1" location="Index!A1" display="Index sheet"/>
    <hyperlink ref="E7" location="'Form 1'!A1" display="'Form 1'!A1"/>
    <hyperlink ref="E8" location="'Form 5'!A1" display="Form 5"/>
    <hyperlink ref="E9" location="'Form 6'!A1" display="'Form 6'"/>
    <hyperlink ref="E10" location="'Form 1.4 b'!A1" display="'Form 1.4 b'!A1"/>
  </hyperlinks>
  <printOptions horizontalCentered="1"/>
  <pageMargins left="0.23622047244094491" right="0.23622047244094491" top="0.74803149606299213" bottom="0.23622047244094491" header="0.23622047244094491" footer="0.23622047244094491"/>
  <pageSetup paperSize="9" scale="130" orientation="landscape" blackAndWhite="1" r:id="rId1"/>
  <headerFooter alignWithMargins="0"/>
</worksheet>
</file>

<file path=xl/worksheets/sheet37.xml><?xml version="1.0" encoding="utf-8"?>
<worksheet xmlns="http://schemas.openxmlformats.org/spreadsheetml/2006/main" xmlns:r="http://schemas.openxmlformats.org/officeDocument/2006/relationships">
  <sheetPr codeName="Sheet34">
    <pageSetUpPr fitToPage="1"/>
  </sheetPr>
  <dimension ref="A1:K180"/>
  <sheetViews>
    <sheetView view="pageBreakPreview" topLeftCell="C64" zoomScale="136" zoomScaleNormal="145" zoomScaleSheetLayoutView="136" workbookViewId="0">
      <selection activeCell="C18" sqref="C18:G18"/>
    </sheetView>
  </sheetViews>
  <sheetFormatPr defaultRowHeight="10.5"/>
  <cols>
    <col min="1" max="1" width="7.85546875" style="92" customWidth="1"/>
    <col min="2" max="2" width="5.140625" style="92" customWidth="1"/>
    <col min="3" max="3" width="43.42578125" style="301" bestFit="1" customWidth="1"/>
    <col min="4" max="4" width="9.28515625" style="92" customWidth="1"/>
    <col min="5" max="5" width="10.5703125" style="92" customWidth="1"/>
    <col min="6" max="6" width="10" style="92" customWidth="1"/>
    <col min="7" max="7" width="13" style="92" customWidth="1"/>
    <col min="8" max="8" width="11.140625" style="92" customWidth="1"/>
    <col min="9" max="9" width="10.42578125" style="92" customWidth="1"/>
    <col min="10" max="10" width="9.28515625" style="92" customWidth="1"/>
    <col min="11" max="11" width="10.5703125" style="92" customWidth="1"/>
    <col min="12" max="16384" width="9.140625" style="92"/>
  </cols>
  <sheetData>
    <row r="1" spans="1:11">
      <c r="A1" s="136" t="s">
        <v>396</v>
      </c>
    </row>
    <row r="2" spans="1:11">
      <c r="D2" s="302"/>
    </row>
    <row r="3" spans="1:11">
      <c r="C3" s="303" t="s">
        <v>186</v>
      </c>
      <c r="D3" s="91" t="s">
        <v>187</v>
      </c>
      <c r="E3" s="91"/>
      <c r="F3" s="91"/>
      <c r="G3" s="91"/>
      <c r="H3" s="91"/>
      <c r="I3" s="91"/>
    </row>
    <row r="4" spans="1:11" ht="6.75" customHeight="1" thickBot="1">
      <c r="C4" s="303"/>
      <c r="D4" s="91"/>
      <c r="E4" s="91"/>
      <c r="F4" s="91"/>
      <c r="G4" s="91"/>
      <c r="H4" s="91"/>
      <c r="I4" s="91"/>
    </row>
    <row r="5" spans="1:11" hidden="1">
      <c r="C5" s="303"/>
    </row>
    <row r="6" spans="1:11">
      <c r="C6" s="1938" t="s">
        <v>372</v>
      </c>
      <c r="D6" s="1940" t="s">
        <v>140</v>
      </c>
      <c r="E6" s="1940" t="str">
        <f>+Notes!$C$6</f>
        <v>FY 2024-25</v>
      </c>
      <c r="F6" s="1940"/>
      <c r="G6" s="1940"/>
      <c r="H6" s="1940"/>
      <c r="I6" s="1940"/>
      <c r="J6" s="1940"/>
      <c r="K6" s="1941"/>
    </row>
    <row r="7" spans="1:11">
      <c r="C7" s="1939"/>
      <c r="D7" s="1905"/>
      <c r="E7" s="1905" t="s">
        <v>334</v>
      </c>
      <c r="F7" s="1905"/>
      <c r="G7" s="1905"/>
      <c r="H7" s="1905" t="s">
        <v>331</v>
      </c>
      <c r="I7" s="1905"/>
      <c r="J7" s="1905" t="s">
        <v>329</v>
      </c>
      <c r="K7" s="1942" t="s">
        <v>333</v>
      </c>
    </row>
    <row r="8" spans="1:11" ht="21">
      <c r="C8" s="1939"/>
      <c r="D8" s="1905"/>
      <c r="E8" s="1078" t="s">
        <v>261</v>
      </c>
      <c r="F8" s="1078" t="s">
        <v>262</v>
      </c>
      <c r="G8" s="1078" t="s">
        <v>263</v>
      </c>
      <c r="H8" s="1078" t="s">
        <v>248</v>
      </c>
      <c r="I8" s="1078" t="s">
        <v>332</v>
      </c>
      <c r="J8" s="1905"/>
      <c r="K8" s="1942"/>
    </row>
    <row r="9" spans="1:11">
      <c r="C9" s="173" t="s">
        <v>598</v>
      </c>
      <c r="D9" s="287"/>
      <c r="E9" s="287"/>
      <c r="F9" s="287"/>
      <c r="G9" s="287"/>
      <c r="H9" s="287"/>
      <c r="I9" s="287"/>
      <c r="J9" s="287"/>
      <c r="K9" s="288"/>
    </row>
    <row r="10" spans="1:11" ht="12.75" customHeight="1">
      <c r="C10" s="204" t="s">
        <v>923</v>
      </c>
      <c r="D10" s="181"/>
      <c r="E10" s="181">
        <f>E11</f>
        <v>3642.6109217794765</v>
      </c>
      <c r="F10" s="181">
        <f t="shared" ref="F10:G10" si="0">F11</f>
        <v>0</v>
      </c>
      <c r="G10" s="181">
        <f t="shared" si="0"/>
        <v>3642.6109217794765</v>
      </c>
      <c r="H10" s="181">
        <f t="shared" ref="H10:K10" si="1">H11</f>
        <v>0</v>
      </c>
      <c r="I10" s="181">
        <f t="shared" si="1"/>
        <v>0</v>
      </c>
      <c r="J10" s="181">
        <f t="shared" si="1"/>
        <v>0</v>
      </c>
      <c r="K10" s="182">
        <f t="shared" si="1"/>
        <v>3642.6109217794765</v>
      </c>
    </row>
    <row r="11" spans="1:11" ht="11.25" customHeight="1">
      <c r="C11" s="183" t="s">
        <v>921</v>
      </c>
      <c r="D11" s="186" t="s">
        <v>47</v>
      </c>
      <c r="E11" s="186">
        <f>SUM(E12:E18)</f>
        <v>3642.6109217794765</v>
      </c>
      <c r="F11" s="186">
        <f t="shared" ref="F11:G11" si="2">SUM(F12:F18)</f>
        <v>0</v>
      </c>
      <c r="G11" s="186">
        <f t="shared" si="2"/>
        <v>3642.6109217794765</v>
      </c>
      <c r="H11" s="186">
        <f t="shared" ref="H11:K11" si="3">SUM(H12:H18)</f>
        <v>0</v>
      </c>
      <c r="I11" s="186">
        <f t="shared" si="3"/>
        <v>0</v>
      </c>
      <c r="J11" s="186">
        <f t="shared" si="3"/>
        <v>0</v>
      </c>
      <c r="K11" s="187">
        <f t="shared" si="3"/>
        <v>3642.6109217794765</v>
      </c>
    </row>
    <row r="12" spans="1:11" ht="12.95" customHeight="1">
      <c r="C12" s="189" t="s">
        <v>854</v>
      </c>
      <c r="D12" s="191"/>
      <c r="E12" s="191">
        <f>'12|Total Rev Proposed Tarif '!S10</f>
        <v>406.04658261018892</v>
      </c>
      <c r="F12" s="191">
        <f>'12|Total Rev Proposed Tarif '!T10</f>
        <v>0</v>
      </c>
      <c r="G12" s="191">
        <f>'12|Total Rev Proposed Tarif '!U10</f>
        <v>406.04658261018892</v>
      </c>
      <c r="H12" s="191"/>
      <c r="I12" s="191"/>
      <c r="J12" s="191"/>
      <c r="K12" s="254">
        <f>G12+H12+I12+J12</f>
        <v>406.04658261018892</v>
      </c>
    </row>
    <row r="13" spans="1:11" ht="12.95" customHeight="1">
      <c r="C13" s="189" t="s">
        <v>855</v>
      </c>
      <c r="D13" s="191"/>
      <c r="E13" s="191">
        <f>'12|Total Rev Proposed Tarif '!S11</f>
        <v>740.41371335262977</v>
      </c>
      <c r="F13" s="191">
        <f>'12|Total Rev Proposed Tarif '!T11</f>
        <v>0</v>
      </c>
      <c r="G13" s="191">
        <f>'12|Total Rev Proposed Tarif '!U11</f>
        <v>740.41371335262977</v>
      </c>
      <c r="H13" s="191"/>
      <c r="I13" s="191"/>
      <c r="J13" s="191"/>
      <c r="K13" s="254">
        <f t="shared" ref="K13:K18" si="4">G13+H13+I13+J13</f>
        <v>740.41371335262977</v>
      </c>
    </row>
    <row r="14" spans="1:11" ht="12.95" customHeight="1">
      <c r="C14" s="189" t="s">
        <v>906</v>
      </c>
      <c r="D14" s="191"/>
      <c r="E14" s="191">
        <f>'12|Total Rev Proposed Tarif '!S12</f>
        <v>785.48466143394023</v>
      </c>
      <c r="F14" s="191">
        <f>'12|Total Rev Proposed Tarif '!T12</f>
        <v>0</v>
      </c>
      <c r="G14" s="191">
        <f>'12|Total Rev Proposed Tarif '!U12</f>
        <v>785.48466143394023</v>
      </c>
      <c r="H14" s="191"/>
      <c r="I14" s="191"/>
      <c r="J14" s="191"/>
      <c r="K14" s="254">
        <f t="shared" si="4"/>
        <v>785.48466143394023</v>
      </c>
    </row>
    <row r="15" spans="1:11" ht="12.95" customHeight="1">
      <c r="C15" s="189" t="s">
        <v>907</v>
      </c>
      <c r="D15" s="191"/>
      <c r="E15" s="191">
        <f>'12|Total Rev Proposed Tarif '!S13</f>
        <v>844.6071112250072</v>
      </c>
      <c r="F15" s="191">
        <f>'12|Total Rev Proposed Tarif '!T13</f>
        <v>0</v>
      </c>
      <c r="G15" s="191">
        <f>'12|Total Rev Proposed Tarif '!U13</f>
        <v>844.6071112250072</v>
      </c>
      <c r="H15" s="191"/>
      <c r="I15" s="191"/>
      <c r="J15" s="191"/>
      <c r="K15" s="254">
        <f t="shared" si="4"/>
        <v>844.6071112250072</v>
      </c>
    </row>
    <row r="16" spans="1:11" ht="12.95" customHeight="1">
      <c r="C16" s="189" t="s">
        <v>908</v>
      </c>
      <c r="D16" s="191"/>
      <c r="E16" s="191">
        <f>'12|Total Rev Proposed Tarif '!S14</f>
        <v>490.90207766046905</v>
      </c>
      <c r="F16" s="191">
        <f>'12|Total Rev Proposed Tarif '!T14</f>
        <v>0</v>
      </c>
      <c r="G16" s="191">
        <f>'12|Total Rev Proposed Tarif '!U14</f>
        <v>490.90207766046905</v>
      </c>
      <c r="H16" s="191"/>
      <c r="I16" s="191"/>
      <c r="J16" s="191"/>
      <c r="K16" s="254">
        <f t="shared" si="4"/>
        <v>490.90207766046905</v>
      </c>
    </row>
    <row r="17" spans="3:11">
      <c r="C17" s="189" t="s">
        <v>909</v>
      </c>
      <c r="D17" s="191"/>
      <c r="E17" s="191">
        <f>'12|Total Rev Proposed Tarif '!S15</f>
        <v>375.15677549724182</v>
      </c>
      <c r="F17" s="191">
        <f>'12|Total Rev Proposed Tarif '!T15</f>
        <v>0</v>
      </c>
      <c r="G17" s="191">
        <f>'12|Total Rev Proposed Tarif '!U15</f>
        <v>375.15677549724182</v>
      </c>
      <c r="H17" s="191"/>
      <c r="I17" s="191"/>
      <c r="J17" s="191"/>
      <c r="K17" s="254">
        <f t="shared" si="4"/>
        <v>375.15677549724182</v>
      </c>
    </row>
    <row r="18" spans="3:11" ht="27" customHeight="1">
      <c r="C18" s="189" t="s">
        <v>910</v>
      </c>
      <c r="D18" s="191"/>
      <c r="E18" s="191">
        <f>'12|Total Rev Proposed Tarif '!S16</f>
        <v>0</v>
      </c>
      <c r="F18" s="191">
        <f>'12|Total Rev Proposed Tarif '!T16</f>
        <v>0</v>
      </c>
      <c r="G18" s="191">
        <f>'12|Total Rev Proposed Tarif '!U16</f>
        <v>0</v>
      </c>
      <c r="H18" s="191"/>
      <c r="I18" s="191"/>
      <c r="J18" s="191"/>
      <c r="K18" s="254">
        <f t="shared" si="4"/>
        <v>0</v>
      </c>
    </row>
    <row r="19" spans="3:11" ht="12.95" customHeight="1">
      <c r="C19" s="204" t="s">
        <v>922</v>
      </c>
      <c r="D19" s="181"/>
      <c r="E19" s="181">
        <f>E20+E26+E27+E28+E29</f>
        <v>1510.7665733083261</v>
      </c>
      <c r="F19" s="181">
        <f t="shared" ref="F19:G19" si="5">F20+F26+F27+F28+F29</f>
        <v>0</v>
      </c>
      <c r="G19" s="181">
        <f t="shared" si="5"/>
        <v>1510.7665733083261</v>
      </c>
      <c r="H19" s="181">
        <f t="shared" ref="H19:K19" si="6">H20+H26+H27+H28+H29</f>
        <v>0</v>
      </c>
      <c r="I19" s="181">
        <f t="shared" si="6"/>
        <v>0</v>
      </c>
      <c r="J19" s="181">
        <f t="shared" si="6"/>
        <v>0</v>
      </c>
      <c r="K19" s="182">
        <f t="shared" si="6"/>
        <v>1510.7665733083261</v>
      </c>
    </row>
    <row r="20" spans="3:11" ht="12.95" customHeight="1">
      <c r="C20" s="183" t="s">
        <v>924</v>
      </c>
      <c r="D20" s="186"/>
      <c r="E20" s="186">
        <f>SUM(E21:E25)</f>
        <v>1489.7001945872023</v>
      </c>
      <c r="F20" s="186">
        <f t="shared" ref="F20:G20" si="7">SUM(F21:F25)</f>
        <v>0</v>
      </c>
      <c r="G20" s="186">
        <f t="shared" si="7"/>
        <v>1489.7001945872023</v>
      </c>
      <c r="H20" s="186">
        <f t="shared" ref="H20:K20" si="8">SUM(H21:H25)</f>
        <v>0</v>
      </c>
      <c r="I20" s="186">
        <f t="shared" si="8"/>
        <v>0</v>
      </c>
      <c r="J20" s="186">
        <f t="shared" si="8"/>
        <v>0</v>
      </c>
      <c r="K20" s="187">
        <f t="shared" si="8"/>
        <v>1489.7001945872023</v>
      </c>
    </row>
    <row r="21" spans="3:11" ht="12.95" customHeight="1">
      <c r="C21" s="189" t="s">
        <v>583</v>
      </c>
      <c r="D21" s="191"/>
      <c r="E21" s="191">
        <f>'12|Total Rev Proposed Tarif '!S19</f>
        <v>223.1502031132558</v>
      </c>
      <c r="F21" s="191">
        <f>'12|Total Rev Proposed Tarif '!T19</f>
        <v>0</v>
      </c>
      <c r="G21" s="191">
        <f>'12|Total Rev Proposed Tarif '!U19</f>
        <v>223.1502031132558</v>
      </c>
      <c r="H21" s="191"/>
      <c r="I21" s="191"/>
      <c r="J21" s="191"/>
      <c r="K21" s="254">
        <f t="shared" ref="K21:K30" si="9">G21+H21+I21+J21</f>
        <v>223.1502031132558</v>
      </c>
    </row>
    <row r="22" spans="3:11" ht="12.95" customHeight="1">
      <c r="C22" s="189" t="s">
        <v>584</v>
      </c>
      <c r="D22" s="191"/>
      <c r="E22" s="191">
        <f>'12|Total Rev Proposed Tarif '!S20</f>
        <v>139.33886546501435</v>
      </c>
      <c r="F22" s="191">
        <f>'12|Total Rev Proposed Tarif '!T20</f>
        <v>0</v>
      </c>
      <c r="G22" s="191">
        <f>'12|Total Rev Proposed Tarif '!U20</f>
        <v>139.33886546501435</v>
      </c>
      <c r="H22" s="191"/>
      <c r="I22" s="191"/>
      <c r="J22" s="191"/>
      <c r="K22" s="254">
        <f t="shared" si="9"/>
        <v>139.33886546501435</v>
      </c>
    </row>
    <row r="23" spans="3:11" ht="12.95" customHeight="1">
      <c r="C23" s="189" t="s">
        <v>585</v>
      </c>
      <c r="D23" s="191"/>
      <c r="E23" s="191">
        <f>'12|Total Rev Proposed Tarif '!S21</f>
        <v>290.09004360307404</v>
      </c>
      <c r="F23" s="191">
        <f>'12|Total Rev Proposed Tarif '!T21</f>
        <v>0</v>
      </c>
      <c r="G23" s="191">
        <f>'12|Total Rev Proposed Tarif '!U21</f>
        <v>290.09004360307404</v>
      </c>
      <c r="H23" s="191"/>
      <c r="I23" s="191"/>
      <c r="J23" s="191"/>
      <c r="K23" s="254">
        <f t="shared" si="9"/>
        <v>290.09004360307404</v>
      </c>
    </row>
    <row r="24" spans="3:11" ht="12.95" customHeight="1">
      <c r="C24" s="189" t="s">
        <v>586</v>
      </c>
      <c r="D24" s="191"/>
      <c r="E24" s="191">
        <f>'12|Total Rev Proposed Tarif '!S22</f>
        <v>144.04718321970267</v>
      </c>
      <c r="F24" s="191">
        <f>'12|Total Rev Proposed Tarif '!T22</f>
        <v>0</v>
      </c>
      <c r="G24" s="191">
        <f>'12|Total Rev Proposed Tarif '!U22</f>
        <v>144.04718321970267</v>
      </c>
      <c r="H24" s="191"/>
      <c r="I24" s="191"/>
      <c r="J24" s="191"/>
      <c r="K24" s="254">
        <f t="shared" si="9"/>
        <v>144.04718321970267</v>
      </c>
    </row>
    <row r="25" spans="3:11" ht="12.95" customHeight="1">
      <c r="C25" s="189" t="s">
        <v>587</v>
      </c>
      <c r="D25" s="191"/>
      <c r="E25" s="191">
        <f>'12|Total Rev Proposed Tarif '!S23</f>
        <v>693.07389918615547</v>
      </c>
      <c r="F25" s="191">
        <f>'12|Total Rev Proposed Tarif '!T23</f>
        <v>0</v>
      </c>
      <c r="G25" s="191">
        <f>'12|Total Rev Proposed Tarif '!U23</f>
        <v>693.07389918615547</v>
      </c>
      <c r="H25" s="191"/>
      <c r="I25" s="191"/>
      <c r="J25" s="191"/>
      <c r="K25" s="254">
        <f t="shared" si="9"/>
        <v>693.07389918615547</v>
      </c>
    </row>
    <row r="26" spans="3:11" ht="12.95" customHeight="1">
      <c r="C26" s="183" t="s">
        <v>911</v>
      </c>
      <c r="D26" s="186"/>
      <c r="E26" s="191">
        <f>'12|Total Rev Proposed Tarif '!S24</f>
        <v>3.1781946263417389</v>
      </c>
      <c r="F26" s="191">
        <f>'12|Total Rev Proposed Tarif '!T24</f>
        <v>0</v>
      </c>
      <c r="G26" s="191">
        <f>'12|Total Rev Proposed Tarif '!U24</f>
        <v>3.1781946263417389</v>
      </c>
      <c r="H26" s="186"/>
      <c r="I26" s="186"/>
      <c r="J26" s="186"/>
      <c r="K26" s="254">
        <f t="shared" si="9"/>
        <v>3.1781946263417389</v>
      </c>
    </row>
    <row r="27" spans="3:11" ht="12.95" customHeight="1">
      <c r="C27" s="183" t="s">
        <v>925</v>
      </c>
      <c r="D27" s="186"/>
      <c r="E27" s="191">
        <f>'12|Total Rev Proposed Tarif '!S25</f>
        <v>17.571765888151166</v>
      </c>
      <c r="F27" s="191">
        <f>'12|Total Rev Proposed Tarif '!T25</f>
        <v>0</v>
      </c>
      <c r="G27" s="191">
        <f>'12|Total Rev Proposed Tarif '!U25</f>
        <v>17.571765888151166</v>
      </c>
      <c r="H27" s="186"/>
      <c r="I27" s="186"/>
      <c r="J27" s="186"/>
      <c r="K27" s="254">
        <f t="shared" si="9"/>
        <v>17.571765888151166</v>
      </c>
    </row>
    <row r="28" spans="3:11" ht="12.95" customHeight="1">
      <c r="C28" s="183" t="s">
        <v>723</v>
      </c>
      <c r="D28" s="186"/>
      <c r="E28" s="191">
        <f>'12|Total Rev Proposed Tarif '!S26</f>
        <v>3.0000000000000001E-3</v>
      </c>
      <c r="F28" s="191">
        <f>'12|Total Rev Proposed Tarif '!T26</f>
        <v>0</v>
      </c>
      <c r="G28" s="191">
        <f>'12|Total Rev Proposed Tarif '!U26</f>
        <v>3.0000000000000001E-3</v>
      </c>
      <c r="H28" s="186"/>
      <c r="I28" s="186"/>
      <c r="J28" s="186"/>
      <c r="K28" s="254">
        <f t="shared" si="9"/>
        <v>3.0000000000000001E-3</v>
      </c>
    </row>
    <row r="29" spans="3:11" ht="12.95" customHeight="1">
      <c r="C29" s="183" t="s">
        <v>724</v>
      </c>
      <c r="D29" s="186"/>
      <c r="E29" s="191">
        <f>'12|Total Rev Proposed Tarif '!S27</f>
        <v>0.31341820663070119</v>
      </c>
      <c r="F29" s="191">
        <f>'12|Total Rev Proposed Tarif '!T27</f>
        <v>0</v>
      </c>
      <c r="G29" s="191">
        <f>'12|Total Rev Proposed Tarif '!U27</f>
        <v>0.31341820663070119</v>
      </c>
      <c r="H29" s="186"/>
      <c r="I29" s="186"/>
      <c r="J29" s="186"/>
      <c r="K29" s="254">
        <f t="shared" si="9"/>
        <v>0.31341820663070119</v>
      </c>
    </row>
    <row r="30" spans="3:11">
      <c r="C30" s="183" t="s">
        <v>725</v>
      </c>
      <c r="D30" s="186"/>
      <c r="E30" s="191">
        <f>'12|Total Rev Proposed Tarif '!S28</f>
        <v>0</v>
      </c>
      <c r="F30" s="191">
        <f>'12|Total Rev Proposed Tarif '!T28</f>
        <v>0</v>
      </c>
      <c r="G30" s="191">
        <f>'12|Total Rev Proposed Tarif '!U28</f>
        <v>0</v>
      </c>
      <c r="H30" s="186"/>
      <c r="I30" s="186"/>
      <c r="J30" s="186"/>
      <c r="K30" s="254">
        <f t="shared" si="9"/>
        <v>0</v>
      </c>
    </row>
    <row r="31" spans="3:11" ht="12.95" customHeight="1">
      <c r="C31" s="204" t="s">
        <v>926</v>
      </c>
      <c r="D31" s="181"/>
      <c r="E31" s="181">
        <f>E32+E33+E34</f>
        <v>399.06592131944541</v>
      </c>
      <c r="F31" s="181">
        <f t="shared" ref="F31:G31" si="10">F32+F33+F34</f>
        <v>0</v>
      </c>
      <c r="G31" s="181">
        <f t="shared" si="10"/>
        <v>399.06592131944541</v>
      </c>
      <c r="H31" s="181">
        <f t="shared" ref="H31:K31" si="11">H32+H33+H34</f>
        <v>0</v>
      </c>
      <c r="I31" s="181">
        <f t="shared" si="11"/>
        <v>0</v>
      </c>
      <c r="J31" s="181">
        <f t="shared" si="11"/>
        <v>0</v>
      </c>
      <c r="K31" s="182">
        <f t="shared" si="11"/>
        <v>399.06592131944541</v>
      </c>
    </row>
    <row r="32" spans="3:11" ht="12.95" customHeight="1">
      <c r="C32" s="189" t="s">
        <v>927</v>
      </c>
      <c r="D32" s="191"/>
      <c r="E32" s="191">
        <f>'12|Total Rev Proposed Tarif '!S30</f>
        <v>396.31535812222154</v>
      </c>
      <c r="F32" s="191">
        <f>'12|Total Rev Proposed Tarif '!T30</f>
        <v>0</v>
      </c>
      <c r="G32" s="191">
        <f>'12|Total Rev Proposed Tarif '!U30</f>
        <v>396.31535812222154</v>
      </c>
      <c r="H32" s="191"/>
      <c r="I32" s="191"/>
      <c r="J32" s="191"/>
      <c r="K32" s="254">
        <f t="shared" ref="K32:K34" si="12">G32+H32+I32+J32</f>
        <v>396.31535812222154</v>
      </c>
    </row>
    <row r="33" spans="3:11" ht="12.95" customHeight="1">
      <c r="C33" s="189" t="s">
        <v>726</v>
      </c>
      <c r="D33" s="191"/>
      <c r="E33" s="191">
        <f>'12|Total Rev Proposed Tarif '!S31</f>
        <v>1.3099020501727039</v>
      </c>
      <c r="F33" s="191">
        <f>'12|Total Rev Proposed Tarif '!T31</f>
        <v>0</v>
      </c>
      <c r="G33" s="191">
        <f>'12|Total Rev Proposed Tarif '!U31</f>
        <v>1.3099020501727039</v>
      </c>
      <c r="H33" s="191"/>
      <c r="I33" s="191"/>
      <c r="J33" s="191"/>
      <c r="K33" s="254">
        <f t="shared" si="12"/>
        <v>1.3099020501727039</v>
      </c>
    </row>
    <row r="34" spans="3:11" ht="12.95" customHeight="1">
      <c r="C34" s="189" t="s">
        <v>928</v>
      </c>
      <c r="D34" s="191"/>
      <c r="E34" s="191">
        <f>'12|Total Rev Proposed Tarif '!S32</f>
        <v>1.4406611470511483</v>
      </c>
      <c r="F34" s="191">
        <f>'12|Total Rev Proposed Tarif '!T32</f>
        <v>0</v>
      </c>
      <c r="G34" s="191">
        <f>'12|Total Rev Proposed Tarif '!U32</f>
        <v>1.4406611470511483</v>
      </c>
      <c r="H34" s="191"/>
      <c r="I34" s="191"/>
      <c r="J34" s="191"/>
      <c r="K34" s="254">
        <f t="shared" si="12"/>
        <v>1.4406611470511483</v>
      </c>
    </row>
    <row r="35" spans="3:11" ht="22.5" customHeight="1">
      <c r="C35" s="204" t="s">
        <v>727</v>
      </c>
      <c r="D35" s="181"/>
      <c r="E35" s="181">
        <f>E36+E37+E38</f>
        <v>376.29791413423914</v>
      </c>
      <c r="F35" s="181">
        <f t="shared" ref="F35:G35" si="13">F36+F37+F38</f>
        <v>0</v>
      </c>
      <c r="G35" s="181">
        <f t="shared" si="13"/>
        <v>376.29791413423914</v>
      </c>
      <c r="H35" s="181">
        <f t="shared" ref="H35:K35" si="14">H36+H37+H38</f>
        <v>0</v>
      </c>
      <c r="I35" s="181">
        <f t="shared" si="14"/>
        <v>0</v>
      </c>
      <c r="J35" s="181">
        <f t="shared" si="14"/>
        <v>0</v>
      </c>
      <c r="K35" s="182">
        <f t="shared" si="14"/>
        <v>376.29791413423914</v>
      </c>
    </row>
    <row r="36" spans="3:11" ht="12.95" customHeight="1">
      <c r="C36" s="183" t="s">
        <v>728</v>
      </c>
      <c r="D36" s="186"/>
      <c r="E36" s="191">
        <f>'12|Total Rev Proposed Tarif '!S34</f>
        <v>250.62683600079711</v>
      </c>
      <c r="F36" s="191">
        <f>'12|Total Rev Proposed Tarif '!T34</f>
        <v>0</v>
      </c>
      <c r="G36" s="191">
        <f>'12|Total Rev Proposed Tarif '!U34</f>
        <v>250.62683600079711</v>
      </c>
      <c r="H36" s="186"/>
      <c r="I36" s="186"/>
      <c r="J36" s="186"/>
      <c r="K36" s="254">
        <f t="shared" ref="K36:K40" si="15">G36+H36+I36+J36</f>
        <v>250.62683600079711</v>
      </c>
    </row>
    <row r="37" spans="3:11" ht="12.95" customHeight="1">
      <c r="C37" s="183" t="s">
        <v>729</v>
      </c>
      <c r="D37" s="186"/>
      <c r="E37" s="191">
        <f>'12|Total Rev Proposed Tarif '!S35</f>
        <v>106.52993769796949</v>
      </c>
      <c r="F37" s="191">
        <f>'12|Total Rev Proposed Tarif '!T35</f>
        <v>0</v>
      </c>
      <c r="G37" s="191">
        <f>'12|Total Rev Proposed Tarif '!U35</f>
        <v>106.52993769796949</v>
      </c>
      <c r="H37" s="186"/>
      <c r="I37" s="186"/>
      <c r="J37" s="186"/>
      <c r="K37" s="254">
        <f t="shared" si="15"/>
        <v>106.52993769796949</v>
      </c>
    </row>
    <row r="38" spans="3:11" ht="12.95" customHeight="1">
      <c r="C38" s="183" t="s">
        <v>730</v>
      </c>
      <c r="D38" s="186"/>
      <c r="E38" s="186">
        <f t="shared" ref="E38:K38" si="16">E39+E40</f>
        <v>19.141140435472565</v>
      </c>
      <c r="F38" s="186">
        <f t="shared" ref="F38:G38" si="17">F39+F40</f>
        <v>0</v>
      </c>
      <c r="G38" s="186">
        <f t="shared" si="17"/>
        <v>19.141140435472565</v>
      </c>
      <c r="H38" s="186">
        <f t="shared" si="16"/>
        <v>0</v>
      </c>
      <c r="I38" s="186">
        <f t="shared" si="16"/>
        <v>0</v>
      </c>
      <c r="J38" s="186">
        <f t="shared" si="16"/>
        <v>0</v>
      </c>
      <c r="K38" s="187">
        <f t="shared" si="16"/>
        <v>19.141140435472565</v>
      </c>
    </row>
    <row r="39" spans="3:11" ht="12.95" customHeight="1">
      <c r="C39" s="140" t="s">
        <v>689</v>
      </c>
      <c r="D39" s="199"/>
      <c r="E39" s="191">
        <f>'12|Total Rev Proposed Tarif '!S37</f>
        <v>16.515896915252501</v>
      </c>
      <c r="F39" s="191">
        <f>'12|Total Rev Proposed Tarif '!T37</f>
        <v>0</v>
      </c>
      <c r="G39" s="191">
        <f>'12|Total Rev Proposed Tarif '!U37</f>
        <v>16.515896915252501</v>
      </c>
      <c r="H39" s="199"/>
      <c r="I39" s="199"/>
      <c r="J39" s="199"/>
      <c r="K39" s="254">
        <f t="shared" si="15"/>
        <v>16.515896915252501</v>
      </c>
    </row>
    <row r="40" spans="3:11" ht="12.95" customHeight="1">
      <c r="C40" s="140" t="s">
        <v>690</v>
      </c>
      <c r="D40" s="199"/>
      <c r="E40" s="191">
        <f>'12|Total Rev Proposed Tarif '!S38</f>
        <v>2.6252435202200628</v>
      </c>
      <c r="F40" s="191">
        <f>'12|Total Rev Proposed Tarif '!T38</f>
        <v>0</v>
      </c>
      <c r="G40" s="191">
        <f>'12|Total Rev Proposed Tarif '!U38</f>
        <v>2.6252435202200628</v>
      </c>
      <c r="H40" s="199"/>
      <c r="I40" s="199"/>
      <c r="J40" s="199"/>
      <c r="K40" s="254">
        <f t="shared" si="15"/>
        <v>2.6252435202200628</v>
      </c>
    </row>
    <row r="41" spans="3:11" ht="12.95" customHeight="1">
      <c r="C41" s="204" t="s">
        <v>731</v>
      </c>
      <c r="D41" s="181"/>
      <c r="E41" s="181">
        <f t="shared" ref="E41:K41" si="18">E42+E49</f>
        <v>963.83375017909759</v>
      </c>
      <c r="F41" s="181">
        <f t="shared" ref="F41:G41" si="19">F42+F49</f>
        <v>0</v>
      </c>
      <c r="G41" s="181">
        <f t="shared" si="19"/>
        <v>963.83375017909759</v>
      </c>
      <c r="H41" s="181">
        <f t="shared" si="18"/>
        <v>0</v>
      </c>
      <c r="I41" s="181">
        <f t="shared" si="18"/>
        <v>0</v>
      </c>
      <c r="J41" s="181">
        <f t="shared" si="18"/>
        <v>0</v>
      </c>
      <c r="K41" s="182">
        <f t="shared" si="18"/>
        <v>963.83375017909759</v>
      </c>
    </row>
    <row r="42" spans="3:11">
      <c r="C42" s="215" t="s">
        <v>732</v>
      </c>
      <c r="D42" s="217"/>
      <c r="E42" s="217">
        <f t="shared" ref="E42:K42" si="20">SUM(E43:E48)</f>
        <v>14.138221901217017</v>
      </c>
      <c r="F42" s="217">
        <f t="shared" ref="F42:G42" si="21">SUM(F43:F48)</f>
        <v>0</v>
      </c>
      <c r="G42" s="217">
        <f t="shared" si="21"/>
        <v>14.138221901217017</v>
      </c>
      <c r="H42" s="217">
        <f t="shared" si="20"/>
        <v>0</v>
      </c>
      <c r="I42" s="217">
        <f t="shared" si="20"/>
        <v>0</v>
      </c>
      <c r="J42" s="217">
        <f t="shared" si="20"/>
        <v>0</v>
      </c>
      <c r="K42" s="219">
        <f t="shared" si="20"/>
        <v>14.138221901217017</v>
      </c>
    </row>
    <row r="43" spans="3:11" ht="12.95" customHeight="1">
      <c r="C43" s="189" t="s">
        <v>912</v>
      </c>
      <c r="D43" s="191"/>
      <c r="E43" s="191">
        <f>'12|Total Rev Proposed Tarif '!S41</f>
        <v>2.9825292085732671</v>
      </c>
      <c r="F43" s="191">
        <f>'12|Total Rev Proposed Tarif '!T41</f>
        <v>0</v>
      </c>
      <c r="G43" s="191">
        <f>'12|Total Rev Proposed Tarif '!U41</f>
        <v>2.9825292085732671</v>
      </c>
      <c r="H43" s="191"/>
      <c r="I43" s="191"/>
      <c r="J43" s="191"/>
      <c r="K43" s="254">
        <f t="shared" ref="K43:K51" si="22">G43+H43+I43+J43</f>
        <v>2.9825292085732671</v>
      </c>
    </row>
    <row r="44" spans="3:11" ht="12.95" customHeight="1">
      <c r="C44" s="189" t="s">
        <v>913</v>
      </c>
      <c r="D44" s="191"/>
      <c r="E44" s="191">
        <f>'12|Total Rev Proposed Tarif '!S42</f>
        <v>10.715688</v>
      </c>
      <c r="F44" s="191">
        <f>'12|Total Rev Proposed Tarif '!T42</f>
        <v>0</v>
      </c>
      <c r="G44" s="191">
        <f>'12|Total Rev Proposed Tarif '!U42</f>
        <v>10.715688</v>
      </c>
      <c r="H44" s="191"/>
      <c r="I44" s="191"/>
      <c r="J44" s="191"/>
      <c r="K44" s="254">
        <f t="shared" si="22"/>
        <v>10.715688</v>
      </c>
    </row>
    <row r="45" spans="3:11" ht="12.95" customHeight="1">
      <c r="C45" s="189" t="s">
        <v>733</v>
      </c>
      <c r="D45" s="191"/>
      <c r="E45" s="191">
        <f>'12|Total Rev Proposed Tarif '!S43</f>
        <v>0.34330449853125011</v>
      </c>
      <c r="F45" s="191">
        <f>'12|Total Rev Proposed Tarif '!T43</f>
        <v>0</v>
      </c>
      <c r="G45" s="191">
        <f>'12|Total Rev Proposed Tarif '!U43</f>
        <v>0.34330449853125011</v>
      </c>
      <c r="H45" s="191"/>
      <c r="I45" s="191"/>
      <c r="J45" s="191"/>
      <c r="K45" s="254">
        <f t="shared" si="22"/>
        <v>0.34330449853125011</v>
      </c>
    </row>
    <row r="46" spans="3:11" ht="12.95" customHeight="1">
      <c r="C46" s="189" t="s">
        <v>734</v>
      </c>
      <c r="D46" s="191"/>
      <c r="E46" s="191">
        <f>'12|Total Rev Proposed Tarif '!S44</f>
        <v>1.116E-3</v>
      </c>
      <c r="F46" s="191">
        <f>'12|Total Rev Proposed Tarif '!T44</f>
        <v>0</v>
      </c>
      <c r="G46" s="191">
        <f>'12|Total Rev Proposed Tarif '!U44</f>
        <v>1.116E-3</v>
      </c>
      <c r="H46" s="191"/>
      <c r="I46" s="191"/>
      <c r="J46" s="191"/>
      <c r="K46" s="254">
        <f t="shared" si="22"/>
        <v>1.116E-3</v>
      </c>
    </row>
    <row r="47" spans="3:11">
      <c r="C47" s="189" t="s">
        <v>735</v>
      </c>
      <c r="D47" s="191"/>
      <c r="E47" s="191">
        <f>'12|Total Rev Proposed Tarif '!S45</f>
        <v>6.9084000000000007E-2</v>
      </c>
      <c r="F47" s="191">
        <f>'12|Total Rev Proposed Tarif '!T45</f>
        <v>0</v>
      </c>
      <c r="G47" s="191">
        <f>'12|Total Rev Proposed Tarif '!U45</f>
        <v>6.9084000000000007E-2</v>
      </c>
      <c r="H47" s="191"/>
      <c r="I47" s="191"/>
      <c r="J47" s="191"/>
      <c r="K47" s="254">
        <f t="shared" si="22"/>
        <v>6.9084000000000007E-2</v>
      </c>
    </row>
    <row r="48" spans="3:11">
      <c r="C48" s="220" t="s">
        <v>736</v>
      </c>
      <c r="D48" s="289"/>
      <c r="E48" s="191">
        <f>'12|Total Rev Proposed Tarif '!S46</f>
        <v>2.65001941125E-2</v>
      </c>
      <c r="F48" s="191">
        <f>'12|Total Rev Proposed Tarif '!T46</f>
        <v>0</v>
      </c>
      <c r="G48" s="191">
        <f>'12|Total Rev Proposed Tarif '!U46</f>
        <v>2.65001941125E-2</v>
      </c>
      <c r="H48" s="221"/>
      <c r="I48" s="221"/>
      <c r="J48" s="221"/>
      <c r="K48" s="254">
        <f t="shared" si="22"/>
        <v>2.65001941125E-2</v>
      </c>
    </row>
    <row r="49" spans="3:11">
      <c r="C49" s="215" t="s">
        <v>691</v>
      </c>
      <c r="D49" s="217"/>
      <c r="E49" s="217">
        <f t="shared" ref="E49:K49" si="23">E50+E51</f>
        <v>949.69552827788061</v>
      </c>
      <c r="F49" s="217">
        <f t="shared" ref="F49:G49" si="24">F50+F51</f>
        <v>0</v>
      </c>
      <c r="G49" s="217">
        <f t="shared" si="24"/>
        <v>949.69552827788061</v>
      </c>
      <c r="H49" s="217">
        <f t="shared" si="23"/>
        <v>0</v>
      </c>
      <c r="I49" s="217">
        <f t="shared" si="23"/>
        <v>0</v>
      </c>
      <c r="J49" s="217">
        <f t="shared" si="23"/>
        <v>0</v>
      </c>
      <c r="K49" s="219">
        <f t="shared" si="23"/>
        <v>949.69552827788061</v>
      </c>
    </row>
    <row r="50" spans="3:11" ht="12.95" customHeight="1">
      <c r="C50" s="189" t="s">
        <v>737</v>
      </c>
      <c r="D50" s="191"/>
      <c r="E50" s="191">
        <f>'12|Total Rev Proposed Tarif '!S48</f>
        <v>949.08164476449986</v>
      </c>
      <c r="F50" s="191">
        <f>'12|Total Rev Proposed Tarif '!T48</f>
        <v>0</v>
      </c>
      <c r="G50" s="191">
        <f>'12|Total Rev Proposed Tarif '!U48</f>
        <v>949.08164476449986</v>
      </c>
      <c r="H50" s="191"/>
      <c r="I50" s="191"/>
      <c r="J50" s="191"/>
      <c r="K50" s="254">
        <f t="shared" si="22"/>
        <v>949.08164476449986</v>
      </c>
    </row>
    <row r="51" spans="3:11">
      <c r="C51" s="189" t="s">
        <v>741</v>
      </c>
      <c r="D51" s="191"/>
      <c r="E51" s="191">
        <f>'12|Total Rev Proposed Tarif '!S49</f>
        <v>0.61388351338073333</v>
      </c>
      <c r="F51" s="191">
        <f>'12|Total Rev Proposed Tarif '!T49</f>
        <v>0</v>
      </c>
      <c r="G51" s="191">
        <f>'12|Total Rev Proposed Tarif '!U49</f>
        <v>0.61388351338073333</v>
      </c>
      <c r="H51" s="191"/>
      <c r="I51" s="191"/>
      <c r="J51" s="191"/>
      <c r="K51" s="254">
        <f t="shared" si="22"/>
        <v>0.61388351338073333</v>
      </c>
    </row>
    <row r="52" spans="3:11" ht="12.95" customHeight="1">
      <c r="C52" s="223" t="s">
        <v>600</v>
      </c>
      <c r="D52" s="174"/>
      <c r="E52" s="174">
        <f>E10+E19+E31+E35+E41</f>
        <v>6892.575080720585</v>
      </c>
      <c r="F52" s="174">
        <f t="shared" ref="F52:G52" si="25">F10+F19+F31+F35+F41</f>
        <v>0</v>
      </c>
      <c r="G52" s="174">
        <f t="shared" si="25"/>
        <v>6892.575080720585</v>
      </c>
      <c r="H52" s="174">
        <f t="shared" ref="H52:K52" si="26">H10+H19+H31+H35+H41</f>
        <v>0</v>
      </c>
      <c r="I52" s="174">
        <f t="shared" si="26"/>
        <v>0</v>
      </c>
      <c r="J52" s="174">
        <f t="shared" si="26"/>
        <v>0</v>
      </c>
      <c r="K52" s="225">
        <f t="shared" si="26"/>
        <v>6892.575080720585</v>
      </c>
    </row>
    <row r="53" spans="3:11" ht="12.95" customHeight="1">
      <c r="C53" s="291"/>
      <c r="D53" s="228"/>
      <c r="E53" s="228"/>
      <c r="F53" s="228"/>
      <c r="G53" s="228"/>
      <c r="H53" s="228"/>
      <c r="I53" s="228"/>
      <c r="J53" s="228"/>
      <c r="K53" s="292"/>
    </row>
    <row r="54" spans="3:11">
      <c r="C54" s="293" t="s">
        <v>601</v>
      </c>
      <c r="D54" s="234"/>
      <c r="E54" s="234"/>
      <c r="F54" s="234"/>
      <c r="G54" s="234"/>
      <c r="H54" s="234"/>
      <c r="I54" s="234"/>
      <c r="J54" s="234"/>
      <c r="K54" s="294"/>
    </row>
    <row r="55" spans="3:11">
      <c r="C55" s="232" t="s">
        <v>742</v>
      </c>
      <c r="D55" s="232"/>
      <c r="E55" s="233">
        <f t="shared" ref="E55" si="27">E56+E57+E64+E77+E82</f>
        <v>2389.6416505929228</v>
      </c>
      <c r="F55" s="233">
        <f t="shared" ref="F55:G55" si="28">F56+F57+F64+F77+F82</f>
        <v>0</v>
      </c>
      <c r="G55" s="233">
        <f t="shared" si="28"/>
        <v>2389.6416505929228</v>
      </c>
      <c r="H55" s="233">
        <f t="shared" ref="H55:K55" si="29">H56+H57+H64+H77+H82</f>
        <v>0</v>
      </c>
      <c r="I55" s="233">
        <f t="shared" si="29"/>
        <v>0</v>
      </c>
      <c r="J55" s="233">
        <f t="shared" si="29"/>
        <v>0</v>
      </c>
      <c r="K55" s="235">
        <f t="shared" si="29"/>
        <v>2389.6416505929228</v>
      </c>
    </row>
    <row r="56" spans="3:11" ht="12.95" customHeight="1">
      <c r="C56" s="236" t="s">
        <v>743</v>
      </c>
      <c r="D56" s="236"/>
      <c r="E56" s="195">
        <f>'12|Total Rev Proposed Tarif '!S54</f>
        <v>16.892855299156182</v>
      </c>
      <c r="F56" s="195">
        <f>'12|Total Rev Proposed Tarif '!T54</f>
        <v>0</v>
      </c>
      <c r="G56" s="195">
        <f>'12|Total Rev Proposed Tarif '!U54</f>
        <v>16.892855299156182</v>
      </c>
      <c r="H56" s="195"/>
      <c r="I56" s="195"/>
      <c r="J56" s="195"/>
      <c r="K56" s="254">
        <f>G56+H56+I56+J56</f>
        <v>16.892855299156182</v>
      </c>
    </row>
    <row r="57" spans="3:11" ht="12.95" customHeight="1">
      <c r="C57" s="239" t="s">
        <v>744</v>
      </c>
      <c r="D57" s="239"/>
      <c r="E57" s="240">
        <f t="shared" ref="E57" si="30">SUM(E58:E63)</f>
        <v>705.14979359277186</v>
      </c>
      <c r="F57" s="240">
        <f t="shared" ref="F57:G57" si="31">SUM(F58:F63)</f>
        <v>0</v>
      </c>
      <c r="G57" s="240">
        <f t="shared" si="31"/>
        <v>705.14979359277186</v>
      </c>
      <c r="H57" s="240">
        <f t="shared" ref="H57:K57" si="32">SUM(H58:H63)</f>
        <v>0</v>
      </c>
      <c r="I57" s="240">
        <f t="shared" si="32"/>
        <v>0</v>
      </c>
      <c r="J57" s="240">
        <f t="shared" si="32"/>
        <v>0</v>
      </c>
      <c r="K57" s="241">
        <f t="shared" si="32"/>
        <v>705.14979359277186</v>
      </c>
    </row>
    <row r="58" spans="3:11" ht="12.95" customHeight="1">
      <c r="C58" s="236" t="s">
        <v>745</v>
      </c>
      <c r="D58" s="236"/>
      <c r="E58" s="195">
        <f>'12|Total Rev Proposed Tarif '!S56</f>
        <v>566.14856222947901</v>
      </c>
      <c r="F58" s="195">
        <f>'12|Total Rev Proposed Tarif '!T56</f>
        <v>0</v>
      </c>
      <c r="G58" s="195">
        <f>'12|Total Rev Proposed Tarif '!U56</f>
        <v>566.14856222947901</v>
      </c>
      <c r="H58" s="195"/>
      <c r="I58" s="195"/>
      <c r="J58" s="195"/>
      <c r="K58" s="254">
        <f>G58+H58+I58+J58</f>
        <v>566.14856222947901</v>
      </c>
    </row>
    <row r="59" spans="3:11" ht="12.95" customHeight="1">
      <c r="C59" s="236" t="s">
        <v>697</v>
      </c>
      <c r="D59" s="236"/>
      <c r="E59" s="195">
        <f>'12|Total Rev Proposed Tarif '!S57</f>
        <v>117.48085489087239</v>
      </c>
      <c r="F59" s="195">
        <f>'12|Total Rev Proposed Tarif '!T57</f>
        <v>0</v>
      </c>
      <c r="G59" s="195">
        <f>'12|Total Rev Proposed Tarif '!U57</f>
        <v>117.48085489087239</v>
      </c>
      <c r="H59" s="195"/>
      <c r="I59" s="195"/>
      <c r="J59" s="195"/>
      <c r="K59" s="254">
        <f t="shared" ref="K59:K63" si="33">G59+H59+I59+J59</f>
        <v>117.48085489087239</v>
      </c>
    </row>
    <row r="60" spans="3:11" ht="12.95" customHeight="1">
      <c r="C60" s="236" t="s">
        <v>746</v>
      </c>
      <c r="D60" s="236"/>
      <c r="E60" s="195">
        <f>'12|Total Rev Proposed Tarif '!S58</f>
        <v>17.699712562822754</v>
      </c>
      <c r="F60" s="195">
        <f>'12|Total Rev Proposed Tarif '!T58</f>
        <v>0</v>
      </c>
      <c r="G60" s="195">
        <f>'12|Total Rev Proposed Tarif '!U58</f>
        <v>17.699712562822754</v>
      </c>
      <c r="H60" s="195"/>
      <c r="I60" s="195"/>
      <c r="J60" s="195"/>
      <c r="K60" s="254">
        <f t="shared" si="33"/>
        <v>17.699712562822754</v>
      </c>
    </row>
    <row r="61" spans="3:11">
      <c r="C61" s="236" t="s">
        <v>747</v>
      </c>
      <c r="D61" s="236"/>
      <c r="E61" s="195">
        <f>'12|Total Rev Proposed Tarif '!S59</f>
        <v>1.6838509597569284E-2</v>
      </c>
      <c r="F61" s="195">
        <f>'12|Total Rev Proposed Tarif '!T59</f>
        <v>0</v>
      </c>
      <c r="G61" s="195">
        <f>'12|Total Rev Proposed Tarif '!U59</f>
        <v>1.6838509597569284E-2</v>
      </c>
      <c r="H61" s="195"/>
      <c r="I61" s="195"/>
      <c r="J61" s="195"/>
      <c r="K61" s="254">
        <f t="shared" si="33"/>
        <v>1.6838509597569284E-2</v>
      </c>
    </row>
    <row r="62" spans="3:11" ht="12.95" customHeight="1">
      <c r="C62" s="236" t="s">
        <v>748</v>
      </c>
      <c r="D62" s="236"/>
      <c r="E62" s="195">
        <f>'12|Total Rev Proposed Tarif '!S60</f>
        <v>3.8038254000000005</v>
      </c>
      <c r="F62" s="195">
        <f>'12|Total Rev Proposed Tarif '!T60</f>
        <v>0</v>
      </c>
      <c r="G62" s="195">
        <f>'12|Total Rev Proposed Tarif '!U60</f>
        <v>3.8038254000000005</v>
      </c>
      <c r="H62" s="195"/>
      <c r="I62" s="195"/>
      <c r="J62" s="195"/>
      <c r="K62" s="254">
        <f t="shared" si="33"/>
        <v>3.8038254000000005</v>
      </c>
    </row>
    <row r="63" spans="3:11" ht="12.95" customHeight="1">
      <c r="C63" s="236" t="s">
        <v>749</v>
      </c>
      <c r="D63" s="236"/>
      <c r="E63" s="195">
        <f>'12|Total Rev Proposed Tarif '!S61</f>
        <v>0</v>
      </c>
      <c r="F63" s="195">
        <f>'12|Total Rev Proposed Tarif '!T61</f>
        <v>0</v>
      </c>
      <c r="G63" s="195">
        <f>'12|Total Rev Proposed Tarif '!U61</f>
        <v>0</v>
      </c>
      <c r="H63" s="195"/>
      <c r="I63" s="195"/>
      <c r="J63" s="195"/>
      <c r="K63" s="254">
        <f t="shared" si="33"/>
        <v>0</v>
      </c>
    </row>
    <row r="64" spans="3:11" ht="12.95" customHeight="1">
      <c r="C64" s="239" t="s">
        <v>750</v>
      </c>
      <c r="D64" s="239"/>
      <c r="E64" s="240">
        <f t="shared" ref="E64" si="34">SUM(E66:E76)</f>
        <v>1478.7050211276846</v>
      </c>
      <c r="F64" s="240">
        <f t="shared" ref="F64:G64" si="35">SUM(F66:F76)</f>
        <v>0</v>
      </c>
      <c r="G64" s="240">
        <f t="shared" si="35"/>
        <v>1478.7050211276846</v>
      </c>
      <c r="H64" s="240">
        <f t="shared" ref="H64:K64" si="36">SUM(H66:H76)</f>
        <v>0</v>
      </c>
      <c r="I64" s="240">
        <f t="shared" si="36"/>
        <v>0</v>
      </c>
      <c r="J64" s="240">
        <f t="shared" si="36"/>
        <v>0</v>
      </c>
      <c r="K64" s="241">
        <f t="shared" si="36"/>
        <v>1478.7050211276846</v>
      </c>
    </row>
    <row r="65" spans="3:11">
      <c r="C65" s="215" t="s">
        <v>753</v>
      </c>
      <c r="D65" s="215"/>
      <c r="E65" s="217"/>
      <c r="F65" s="217"/>
      <c r="G65" s="217"/>
      <c r="H65" s="217"/>
      <c r="I65" s="217"/>
      <c r="J65" s="217"/>
      <c r="K65" s="219"/>
    </row>
    <row r="66" spans="3:11" ht="12.95" customHeight="1">
      <c r="C66" s="236" t="s">
        <v>918</v>
      </c>
      <c r="D66" s="236"/>
      <c r="E66" s="195">
        <f>'12|Total Rev Proposed Tarif '!S64</f>
        <v>0</v>
      </c>
      <c r="F66" s="195">
        <f>'12|Total Rev Proposed Tarif '!T64</f>
        <v>0</v>
      </c>
      <c r="G66" s="195">
        <f>'12|Total Rev Proposed Tarif '!U64</f>
        <v>0</v>
      </c>
      <c r="H66" s="195"/>
      <c r="I66" s="195"/>
      <c r="J66" s="195"/>
      <c r="K66" s="254">
        <f>G66+H66+I66+J66</f>
        <v>0</v>
      </c>
    </row>
    <row r="67" spans="3:11" ht="12.95" customHeight="1">
      <c r="C67" s="236" t="s">
        <v>914</v>
      </c>
      <c r="D67" s="236"/>
      <c r="E67" s="195">
        <f>'12|Total Rev Proposed Tarif '!S65</f>
        <v>211.66138470453052</v>
      </c>
      <c r="F67" s="195">
        <f>'12|Total Rev Proposed Tarif '!T65</f>
        <v>0</v>
      </c>
      <c r="G67" s="195">
        <f>'12|Total Rev Proposed Tarif '!U65</f>
        <v>211.66138470453052</v>
      </c>
      <c r="H67" s="195"/>
      <c r="I67" s="195"/>
      <c r="J67" s="195"/>
      <c r="K67" s="254">
        <f t="shared" ref="K67:K84" si="37">G67+H67+I67+J67</f>
        <v>211.66138470453052</v>
      </c>
    </row>
    <row r="68" spans="3:11" ht="12.95" customHeight="1">
      <c r="C68" s="236" t="s">
        <v>915</v>
      </c>
      <c r="D68" s="236"/>
      <c r="E68" s="195">
        <f>'12|Total Rev Proposed Tarif '!S66</f>
        <v>207.18649016740383</v>
      </c>
      <c r="F68" s="195">
        <f>'12|Total Rev Proposed Tarif '!T66</f>
        <v>0</v>
      </c>
      <c r="G68" s="195">
        <f>'12|Total Rev Proposed Tarif '!U66</f>
        <v>207.18649016740383</v>
      </c>
      <c r="H68" s="195"/>
      <c r="I68" s="195"/>
      <c r="J68" s="195"/>
      <c r="K68" s="254">
        <f t="shared" si="37"/>
        <v>207.18649016740383</v>
      </c>
    </row>
    <row r="69" spans="3:11" ht="12.95" customHeight="1">
      <c r="C69" s="236" t="s">
        <v>916</v>
      </c>
      <c r="D69" s="236"/>
      <c r="E69" s="195">
        <f>'12|Total Rev Proposed Tarif '!S67</f>
        <v>480.54279564883581</v>
      </c>
      <c r="F69" s="195">
        <f>'12|Total Rev Proposed Tarif '!T67</f>
        <v>0</v>
      </c>
      <c r="G69" s="195">
        <f>'12|Total Rev Proposed Tarif '!U67</f>
        <v>480.54279564883581</v>
      </c>
      <c r="H69" s="195"/>
      <c r="I69" s="195"/>
      <c r="J69" s="195"/>
      <c r="K69" s="254">
        <f t="shared" si="37"/>
        <v>480.54279564883581</v>
      </c>
    </row>
    <row r="70" spans="3:11" ht="12.95" customHeight="1">
      <c r="C70" s="236" t="s">
        <v>917</v>
      </c>
      <c r="D70" s="236"/>
      <c r="E70" s="195">
        <f>'12|Total Rev Proposed Tarif '!S68</f>
        <v>0</v>
      </c>
      <c r="F70" s="195">
        <f>'12|Total Rev Proposed Tarif '!T68</f>
        <v>0</v>
      </c>
      <c r="G70" s="195">
        <f>'12|Total Rev Proposed Tarif '!U68</f>
        <v>0</v>
      </c>
      <c r="H70" s="195"/>
      <c r="I70" s="195"/>
      <c r="J70" s="195"/>
      <c r="K70" s="254">
        <f t="shared" si="37"/>
        <v>0</v>
      </c>
    </row>
    <row r="71" spans="3:11">
      <c r="C71" s="236" t="s">
        <v>914</v>
      </c>
      <c r="D71" s="236"/>
      <c r="E71" s="195">
        <f>'12|Total Rev Proposed Tarif '!S69</f>
        <v>204.223001994002</v>
      </c>
      <c r="F71" s="195">
        <f>'12|Total Rev Proposed Tarif '!T69</f>
        <v>0</v>
      </c>
      <c r="G71" s="195">
        <f>'12|Total Rev Proposed Tarif '!U69</f>
        <v>204.223001994002</v>
      </c>
      <c r="H71" s="195"/>
      <c r="I71" s="195"/>
      <c r="J71" s="195"/>
      <c r="K71" s="254">
        <f t="shared" si="37"/>
        <v>204.223001994002</v>
      </c>
    </row>
    <row r="72" spans="3:11" ht="12.95" customHeight="1">
      <c r="C72" s="236" t="s">
        <v>915</v>
      </c>
      <c r="D72" s="236"/>
      <c r="E72" s="195">
        <f>'12|Total Rev Proposed Tarif '!S70</f>
        <v>212.92464509716547</v>
      </c>
      <c r="F72" s="195">
        <f>'12|Total Rev Proposed Tarif '!T70</f>
        <v>0</v>
      </c>
      <c r="G72" s="195">
        <f>'12|Total Rev Proposed Tarif '!U70</f>
        <v>212.92464509716547</v>
      </c>
      <c r="H72" s="195"/>
      <c r="I72" s="195"/>
      <c r="J72" s="195"/>
      <c r="K72" s="254">
        <f>G72+H72+I72+J72</f>
        <v>212.92464509716547</v>
      </c>
    </row>
    <row r="73" spans="3:11" ht="12.95" customHeight="1">
      <c r="C73" s="236" t="s">
        <v>916</v>
      </c>
      <c r="D73" s="236"/>
      <c r="E73" s="195">
        <f>'12|Total Rev Proposed Tarif '!S71</f>
        <v>128.92558974585637</v>
      </c>
      <c r="F73" s="195">
        <f>'12|Total Rev Proposed Tarif '!T71</f>
        <v>0</v>
      </c>
      <c r="G73" s="195">
        <f>'12|Total Rev Proposed Tarif '!U71</f>
        <v>128.92558974585637</v>
      </c>
      <c r="H73" s="195"/>
      <c r="I73" s="195"/>
      <c r="J73" s="195"/>
      <c r="K73" s="254">
        <f t="shared" si="37"/>
        <v>128.92558974585637</v>
      </c>
    </row>
    <row r="74" spans="3:11" ht="12.95" customHeight="1">
      <c r="C74" s="236" t="s">
        <v>592</v>
      </c>
      <c r="D74" s="236"/>
      <c r="E74" s="195">
        <f>'12|Total Rev Proposed Tarif '!S72</f>
        <v>2.4377386475318366</v>
      </c>
      <c r="F74" s="195">
        <f>'12|Total Rev Proposed Tarif '!T72</f>
        <v>0</v>
      </c>
      <c r="G74" s="195">
        <f>'12|Total Rev Proposed Tarif '!U72</f>
        <v>2.4377386475318366</v>
      </c>
      <c r="H74" s="195"/>
      <c r="I74" s="195"/>
      <c r="J74" s="195"/>
      <c r="K74" s="254">
        <f t="shared" si="37"/>
        <v>2.4377386475318366</v>
      </c>
    </row>
    <row r="75" spans="3:11" ht="12.95" customHeight="1">
      <c r="C75" s="215" t="s">
        <v>754</v>
      </c>
      <c r="D75" s="215"/>
      <c r="E75" s="195">
        <f>'12|Total Rev Proposed Tarif '!S73</f>
        <v>30.803375122358787</v>
      </c>
      <c r="F75" s="195">
        <f>'12|Total Rev Proposed Tarif '!T73</f>
        <v>0</v>
      </c>
      <c r="G75" s="195">
        <f>'12|Total Rev Proposed Tarif '!U73</f>
        <v>30.803375122358787</v>
      </c>
      <c r="H75" s="195"/>
      <c r="I75" s="195"/>
      <c r="J75" s="195"/>
      <c r="K75" s="254">
        <f t="shared" si="37"/>
        <v>30.803375122358787</v>
      </c>
    </row>
    <row r="76" spans="3:11" ht="12.95" customHeight="1">
      <c r="C76" s="215" t="s">
        <v>755</v>
      </c>
      <c r="D76" s="215"/>
      <c r="E76" s="195">
        <f>'12|Total Rev Proposed Tarif '!S74</f>
        <v>0</v>
      </c>
      <c r="F76" s="195">
        <f>'12|Total Rev Proposed Tarif '!T74</f>
        <v>0</v>
      </c>
      <c r="G76" s="195">
        <f>'12|Total Rev Proposed Tarif '!U74</f>
        <v>0</v>
      </c>
      <c r="H76" s="195"/>
      <c r="I76" s="195"/>
      <c r="J76" s="195"/>
      <c r="K76" s="254">
        <f t="shared" si="37"/>
        <v>0</v>
      </c>
    </row>
    <row r="77" spans="3:11" ht="12.95" customHeight="1">
      <c r="C77" s="239" t="s">
        <v>751</v>
      </c>
      <c r="D77" s="239"/>
      <c r="E77" s="240">
        <f t="shared" ref="E77" si="38">SUM(E78:E81)</f>
        <v>162.2600250177517</v>
      </c>
      <c r="F77" s="240">
        <f t="shared" ref="F77:G77" si="39">SUM(F78:F81)</f>
        <v>0</v>
      </c>
      <c r="G77" s="240">
        <f t="shared" si="39"/>
        <v>162.2600250177517</v>
      </c>
      <c r="H77" s="240">
        <f t="shared" ref="H77:K77" si="40">SUM(H78:H81)</f>
        <v>0</v>
      </c>
      <c r="I77" s="240">
        <f t="shared" si="40"/>
        <v>0</v>
      </c>
      <c r="J77" s="240">
        <f t="shared" si="40"/>
        <v>0</v>
      </c>
      <c r="K77" s="241">
        <f t="shared" si="40"/>
        <v>162.2600250177517</v>
      </c>
    </row>
    <row r="78" spans="3:11" ht="12.95" customHeight="1">
      <c r="C78" s="245" t="s">
        <v>756</v>
      </c>
      <c r="D78" s="245"/>
      <c r="E78" s="195">
        <f>'12|Total Rev Proposed Tarif '!S76</f>
        <v>117.41126397714289</v>
      </c>
      <c r="F78" s="195">
        <f>'12|Total Rev Proposed Tarif '!T76</f>
        <v>0</v>
      </c>
      <c r="G78" s="195">
        <f>'12|Total Rev Proposed Tarif '!U76</f>
        <v>117.41126397714289</v>
      </c>
      <c r="H78" s="195"/>
      <c r="I78" s="195"/>
      <c r="J78" s="195"/>
      <c r="K78" s="254">
        <f t="shared" si="37"/>
        <v>117.41126397714289</v>
      </c>
    </row>
    <row r="79" spans="3:11" ht="12.95" customHeight="1">
      <c r="C79" s="245" t="s">
        <v>757</v>
      </c>
      <c r="D79" s="245"/>
      <c r="E79" s="195">
        <f>'12|Total Rev Proposed Tarif '!S77</f>
        <v>42.63644298958603</v>
      </c>
      <c r="F79" s="195">
        <f>'12|Total Rev Proposed Tarif '!T77</f>
        <v>0</v>
      </c>
      <c r="G79" s="195">
        <f>'12|Total Rev Proposed Tarif '!U77</f>
        <v>42.63644298958603</v>
      </c>
      <c r="H79" s="195"/>
      <c r="I79" s="195"/>
      <c r="J79" s="195"/>
      <c r="K79" s="254">
        <f t="shared" si="37"/>
        <v>42.63644298958603</v>
      </c>
    </row>
    <row r="80" spans="3:11" ht="12.95" customHeight="1">
      <c r="C80" s="245" t="s">
        <v>758</v>
      </c>
      <c r="D80" s="245"/>
      <c r="E80" s="195">
        <f>'12|Total Rev Proposed Tarif '!S78</f>
        <v>2.2123180510227884</v>
      </c>
      <c r="F80" s="195">
        <f>'12|Total Rev Proposed Tarif '!T78</f>
        <v>0</v>
      </c>
      <c r="G80" s="195">
        <f>'12|Total Rev Proposed Tarif '!U78</f>
        <v>2.2123180510227884</v>
      </c>
      <c r="H80" s="195"/>
      <c r="I80" s="195"/>
      <c r="J80" s="195"/>
      <c r="K80" s="254">
        <f t="shared" si="37"/>
        <v>2.2123180510227884</v>
      </c>
    </row>
    <row r="81" spans="3:11" ht="12.95" customHeight="1">
      <c r="C81" s="245" t="s">
        <v>759</v>
      </c>
      <c r="D81" s="245"/>
      <c r="E81" s="195">
        <f>'12|Total Rev Proposed Tarif '!S79</f>
        <v>0</v>
      </c>
      <c r="F81" s="195">
        <f>'12|Total Rev Proposed Tarif '!T79</f>
        <v>0</v>
      </c>
      <c r="G81" s="195">
        <f>'12|Total Rev Proposed Tarif '!U79</f>
        <v>0</v>
      </c>
      <c r="H81" s="195"/>
      <c r="I81" s="195"/>
      <c r="J81" s="195"/>
      <c r="K81" s="254">
        <f t="shared" si="37"/>
        <v>0</v>
      </c>
    </row>
    <row r="82" spans="3:11" ht="12.95" customHeight="1">
      <c r="C82" s="239" t="s">
        <v>752</v>
      </c>
      <c r="D82" s="239"/>
      <c r="E82" s="240">
        <f t="shared" ref="E82" si="41">E83+E84</f>
        <v>26.633955555558856</v>
      </c>
      <c r="F82" s="240">
        <f t="shared" ref="F82:G82" si="42">F83+F84</f>
        <v>0</v>
      </c>
      <c r="G82" s="240">
        <f t="shared" si="42"/>
        <v>26.633955555558856</v>
      </c>
      <c r="H82" s="240">
        <f t="shared" ref="H82:K82" si="43">H83+H84</f>
        <v>0</v>
      </c>
      <c r="I82" s="240">
        <f t="shared" si="43"/>
        <v>0</v>
      </c>
      <c r="J82" s="240">
        <f t="shared" si="43"/>
        <v>0</v>
      </c>
      <c r="K82" s="241">
        <f t="shared" si="43"/>
        <v>26.633955555558856</v>
      </c>
    </row>
    <row r="83" spans="3:11" ht="12.95" customHeight="1">
      <c r="C83" s="236" t="s">
        <v>760</v>
      </c>
      <c r="D83" s="236"/>
      <c r="E83" s="195">
        <f>'12|Total Rev Proposed Tarif '!S81</f>
        <v>11.121320219418868</v>
      </c>
      <c r="F83" s="195">
        <f>'12|Total Rev Proposed Tarif '!T81</f>
        <v>0</v>
      </c>
      <c r="G83" s="195">
        <f>'12|Total Rev Proposed Tarif '!U81</f>
        <v>11.121320219418868</v>
      </c>
      <c r="H83" s="195"/>
      <c r="I83" s="195"/>
      <c r="J83" s="195"/>
      <c r="K83" s="254">
        <f t="shared" si="37"/>
        <v>11.121320219418868</v>
      </c>
    </row>
    <row r="84" spans="3:11" ht="12.95" customHeight="1">
      <c r="C84" s="236" t="s">
        <v>761</v>
      </c>
      <c r="D84" s="236"/>
      <c r="E84" s="195">
        <f>'12|Total Rev Proposed Tarif '!S82</f>
        <v>15.512635336139986</v>
      </c>
      <c r="F84" s="195">
        <f>'12|Total Rev Proposed Tarif '!T82</f>
        <v>0</v>
      </c>
      <c r="G84" s="195">
        <f>'12|Total Rev Proposed Tarif '!U82</f>
        <v>15.512635336139986</v>
      </c>
      <c r="H84" s="195"/>
      <c r="I84" s="195"/>
      <c r="J84" s="195"/>
      <c r="K84" s="254">
        <f t="shared" si="37"/>
        <v>15.512635336139986</v>
      </c>
    </row>
    <row r="85" spans="3:11">
      <c r="C85" s="246"/>
      <c r="D85" s="246"/>
      <c r="E85" s="195"/>
      <c r="F85" s="195"/>
      <c r="G85" s="195"/>
      <c r="H85" s="195"/>
      <c r="I85" s="195"/>
      <c r="J85" s="195"/>
      <c r="K85" s="201"/>
    </row>
    <row r="86" spans="3:11" ht="12.95" customHeight="1">
      <c r="C86" s="140"/>
      <c r="D86" s="140"/>
      <c r="E86" s="195"/>
      <c r="F86" s="195"/>
      <c r="G86" s="195"/>
      <c r="H86" s="195"/>
      <c r="I86" s="195"/>
      <c r="J86" s="195"/>
      <c r="K86" s="201"/>
    </row>
    <row r="87" spans="3:11">
      <c r="C87" s="232" t="s">
        <v>721</v>
      </c>
      <c r="D87" s="232"/>
      <c r="E87" s="233">
        <f t="shared" ref="E87" si="44">E88+E89+E96+E109+E114</f>
        <v>2272.8042240030609</v>
      </c>
      <c r="F87" s="233">
        <f t="shared" ref="F87:G87" si="45">F88+F89+F96+F109+F114</f>
        <v>0</v>
      </c>
      <c r="G87" s="233">
        <f t="shared" si="45"/>
        <v>2272.8042240030609</v>
      </c>
      <c r="H87" s="233">
        <f t="shared" ref="H87:K87" si="46">H88+H89+H96+H109+H114</f>
        <v>0</v>
      </c>
      <c r="I87" s="233">
        <f t="shared" si="46"/>
        <v>0</v>
      </c>
      <c r="J87" s="233">
        <f t="shared" si="46"/>
        <v>0</v>
      </c>
      <c r="K87" s="235">
        <f t="shared" si="46"/>
        <v>2272.8042240030609</v>
      </c>
    </row>
    <row r="88" spans="3:11" ht="12.95" customHeight="1">
      <c r="C88" s="236" t="s">
        <v>743</v>
      </c>
      <c r="D88" s="236"/>
      <c r="E88" s="195">
        <f>'12|Total Rev Proposed Tarif '!S86</f>
        <v>9.1145715350682739</v>
      </c>
      <c r="F88" s="195">
        <f>'12|Total Rev Proposed Tarif '!T86</f>
        <v>0</v>
      </c>
      <c r="G88" s="195">
        <f>'12|Total Rev Proposed Tarif '!U86</f>
        <v>9.1145715350682739</v>
      </c>
      <c r="H88" s="195"/>
      <c r="I88" s="195"/>
      <c r="J88" s="195"/>
      <c r="K88" s="254">
        <f t="shared" ref="K88" si="47">G88+H88+I88+J88</f>
        <v>9.1145715350682739</v>
      </c>
    </row>
    <row r="89" spans="3:11" ht="12.95" customHeight="1">
      <c r="C89" s="239" t="s">
        <v>744</v>
      </c>
      <c r="D89" s="239"/>
      <c r="E89" s="240">
        <f t="shared" ref="E89" si="48">SUM(E90:E95)</f>
        <v>257.56334337542603</v>
      </c>
      <c r="F89" s="240">
        <f t="shared" ref="F89:G89" si="49">SUM(F90:F95)</f>
        <v>0</v>
      </c>
      <c r="G89" s="240">
        <f t="shared" si="49"/>
        <v>257.56334337542603</v>
      </c>
      <c r="H89" s="240">
        <f t="shared" ref="H89:K89" si="50">SUM(H90:H95)</f>
        <v>0</v>
      </c>
      <c r="I89" s="240">
        <f t="shared" si="50"/>
        <v>0</v>
      </c>
      <c r="J89" s="240">
        <f t="shared" si="50"/>
        <v>0</v>
      </c>
      <c r="K89" s="241">
        <f t="shared" si="50"/>
        <v>257.56334337542603</v>
      </c>
    </row>
    <row r="90" spans="3:11" ht="12.95" customHeight="1">
      <c r="C90" s="236" t="s">
        <v>745</v>
      </c>
      <c r="D90" s="236"/>
      <c r="E90" s="195">
        <f>'12|Total Rev Proposed Tarif '!S88</f>
        <v>209.39237538900946</v>
      </c>
      <c r="F90" s="195">
        <f>'12|Total Rev Proposed Tarif '!T88</f>
        <v>0</v>
      </c>
      <c r="G90" s="195">
        <f>'12|Total Rev Proposed Tarif '!U88</f>
        <v>209.39237538900946</v>
      </c>
      <c r="H90" s="195"/>
      <c r="I90" s="195"/>
      <c r="J90" s="195"/>
      <c r="K90" s="254">
        <f t="shared" ref="K90:K95" si="51">G90+H90+I90+J90</f>
        <v>209.39237538900946</v>
      </c>
    </row>
    <row r="91" spans="3:11">
      <c r="C91" s="236" t="s">
        <v>697</v>
      </c>
      <c r="D91" s="236"/>
      <c r="E91" s="195">
        <f>'12|Total Rev Proposed Tarif '!S89</f>
        <v>45.423767010276407</v>
      </c>
      <c r="F91" s="195">
        <f>'12|Total Rev Proposed Tarif '!T89</f>
        <v>0</v>
      </c>
      <c r="G91" s="195">
        <f>'12|Total Rev Proposed Tarif '!U89</f>
        <v>45.423767010276407</v>
      </c>
      <c r="H91" s="195"/>
      <c r="I91" s="195"/>
      <c r="J91" s="195"/>
      <c r="K91" s="254">
        <f t="shared" si="51"/>
        <v>45.423767010276407</v>
      </c>
    </row>
    <row r="92" spans="3:11" ht="12.95" customHeight="1">
      <c r="C92" s="236" t="s">
        <v>746</v>
      </c>
      <c r="D92" s="236"/>
      <c r="E92" s="195">
        <f>'12|Total Rev Proposed Tarif '!S90</f>
        <v>0</v>
      </c>
      <c r="F92" s="195">
        <f>'12|Total Rev Proposed Tarif '!T90</f>
        <v>0</v>
      </c>
      <c r="G92" s="195">
        <f>'12|Total Rev Proposed Tarif '!U90</f>
        <v>0</v>
      </c>
      <c r="H92" s="195"/>
      <c r="I92" s="195"/>
      <c r="J92" s="195"/>
      <c r="K92" s="254">
        <f t="shared" si="51"/>
        <v>0</v>
      </c>
    </row>
    <row r="93" spans="3:11" ht="12.95" customHeight="1">
      <c r="C93" s="236" t="s">
        <v>747</v>
      </c>
      <c r="D93" s="236"/>
      <c r="E93" s="195">
        <f>'12|Total Rev Proposed Tarif '!S91</f>
        <v>2.7472009761401663</v>
      </c>
      <c r="F93" s="195">
        <f>'12|Total Rev Proposed Tarif '!T91</f>
        <v>0</v>
      </c>
      <c r="G93" s="195">
        <f>'12|Total Rev Proposed Tarif '!U91</f>
        <v>2.7472009761401663</v>
      </c>
      <c r="H93" s="195"/>
      <c r="I93" s="195"/>
      <c r="J93" s="195"/>
      <c r="K93" s="254">
        <f t="shared" si="51"/>
        <v>2.7472009761401663</v>
      </c>
    </row>
    <row r="94" spans="3:11" ht="12.95" customHeight="1">
      <c r="C94" s="236" t="s">
        <v>748</v>
      </c>
      <c r="D94" s="236"/>
      <c r="E94" s="195">
        <f>'12|Total Rev Proposed Tarif '!S92</f>
        <v>0</v>
      </c>
      <c r="F94" s="195">
        <f>'12|Total Rev Proposed Tarif '!T92</f>
        <v>0</v>
      </c>
      <c r="G94" s="195">
        <f>'12|Total Rev Proposed Tarif '!U92</f>
        <v>0</v>
      </c>
      <c r="H94" s="195"/>
      <c r="I94" s="195"/>
      <c r="J94" s="195"/>
      <c r="K94" s="254">
        <f t="shared" si="51"/>
        <v>0</v>
      </c>
    </row>
    <row r="95" spans="3:11" ht="12.95" customHeight="1">
      <c r="C95" s="236" t="s">
        <v>749</v>
      </c>
      <c r="D95" s="236"/>
      <c r="E95" s="195">
        <f>'12|Total Rev Proposed Tarif '!S93</f>
        <v>0</v>
      </c>
      <c r="F95" s="195">
        <f>'12|Total Rev Proposed Tarif '!T93</f>
        <v>0</v>
      </c>
      <c r="G95" s="195">
        <f>'12|Total Rev Proposed Tarif '!U93</f>
        <v>0</v>
      </c>
      <c r="H95" s="195"/>
      <c r="I95" s="195"/>
      <c r="J95" s="195"/>
      <c r="K95" s="254">
        <f t="shared" si="51"/>
        <v>0</v>
      </c>
    </row>
    <row r="96" spans="3:11" ht="12.95" customHeight="1">
      <c r="C96" s="239" t="s">
        <v>750</v>
      </c>
      <c r="D96" s="239"/>
      <c r="E96" s="240">
        <f t="shared" ref="E96" si="52">SUM(E98:E108)</f>
        <v>1964.172548337081</v>
      </c>
      <c r="F96" s="240">
        <f t="shared" ref="F96:G96" si="53">SUM(F98:F108)</f>
        <v>0</v>
      </c>
      <c r="G96" s="240">
        <f t="shared" si="53"/>
        <v>1964.172548337081</v>
      </c>
      <c r="H96" s="240">
        <f t="shared" ref="H96:K96" si="54">SUM(H98:H108)</f>
        <v>0</v>
      </c>
      <c r="I96" s="240">
        <f t="shared" si="54"/>
        <v>0</v>
      </c>
      <c r="J96" s="240">
        <f t="shared" si="54"/>
        <v>0</v>
      </c>
      <c r="K96" s="241">
        <f t="shared" si="54"/>
        <v>1964.172548337081</v>
      </c>
    </row>
    <row r="97" spans="3:11">
      <c r="C97" s="215" t="s">
        <v>753</v>
      </c>
      <c r="D97" s="215"/>
      <c r="E97" s="217"/>
      <c r="F97" s="217"/>
      <c r="G97" s="217"/>
      <c r="H97" s="217"/>
      <c r="I97" s="217"/>
      <c r="J97" s="217"/>
      <c r="K97" s="219"/>
    </row>
    <row r="98" spans="3:11" ht="21">
      <c r="C98" s="236" t="s">
        <v>918</v>
      </c>
      <c r="D98" s="236"/>
      <c r="E98" s="195">
        <f>'12|Total Rev Proposed Tarif '!S96</f>
        <v>0</v>
      </c>
      <c r="F98" s="195">
        <f>'12|Total Rev Proposed Tarif '!T96</f>
        <v>0</v>
      </c>
      <c r="G98" s="195">
        <f>'12|Total Rev Proposed Tarif '!U96</f>
        <v>0</v>
      </c>
      <c r="H98" s="195"/>
      <c r="I98" s="195"/>
      <c r="J98" s="195"/>
      <c r="K98" s="254">
        <f t="shared" ref="K98:K108" si="55">G98+H98+I98+J98</f>
        <v>0</v>
      </c>
    </row>
    <row r="99" spans="3:11" ht="12.95" customHeight="1">
      <c r="C99" s="236" t="s">
        <v>914</v>
      </c>
      <c r="D99" s="236"/>
      <c r="E99" s="195">
        <f>'12|Total Rev Proposed Tarif '!S97</f>
        <v>331.82603133694664</v>
      </c>
      <c r="F99" s="195">
        <f>'12|Total Rev Proposed Tarif '!T97</f>
        <v>0</v>
      </c>
      <c r="G99" s="195">
        <f>'12|Total Rev Proposed Tarif '!U97</f>
        <v>331.82603133694664</v>
      </c>
      <c r="H99" s="195"/>
      <c r="I99" s="195"/>
      <c r="J99" s="195"/>
      <c r="K99" s="254">
        <f t="shared" si="55"/>
        <v>331.82603133694664</v>
      </c>
    </row>
    <row r="100" spans="3:11" ht="12.95" customHeight="1">
      <c r="C100" s="236" t="s">
        <v>915</v>
      </c>
      <c r="D100" s="236"/>
      <c r="E100" s="195">
        <f>'12|Total Rev Proposed Tarif '!S98</f>
        <v>309.29979858599438</v>
      </c>
      <c r="F100" s="195">
        <f>'12|Total Rev Proposed Tarif '!T98</f>
        <v>0</v>
      </c>
      <c r="G100" s="195">
        <f>'12|Total Rev Proposed Tarif '!U98</f>
        <v>309.29979858599438</v>
      </c>
      <c r="H100" s="195"/>
      <c r="I100" s="195"/>
      <c r="J100" s="195"/>
      <c r="K100" s="254">
        <f t="shared" si="55"/>
        <v>309.29979858599438</v>
      </c>
    </row>
    <row r="101" spans="3:11" ht="12.95" customHeight="1">
      <c r="C101" s="236" t="s">
        <v>916</v>
      </c>
      <c r="D101" s="236"/>
      <c r="E101" s="195">
        <f>'12|Total Rev Proposed Tarif '!S99</f>
        <v>459.03186356803764</v>
      </c>
      <c r="F101" s="195">
        <f>'12|Total Rev Proposed Tarif '!T99</f>
        <v>0</v>
      </c>
      <c r="G101" s="195">
        <f>'12|Total Rev Proposed Tarif '!U99</f>
        <v>459.03186356803764</v>
      </c>
      <c r="H101" s="195"/>
      <c r="I101" s="195"/>
      <c r="J101" s="195"/>
      <c r="K101" s="254">
        <f t="shared" si="55"/>
        <v>459.03186356803764</v>
      </c>
    </row>
    <row r="102" spans="3:11" ht="12.95" customHeight="1">
      <c r="C102" s="236" t="s">
        <v>917</v>
      </c>
      <c r="D102" s="236"/>
      <c r="E102" s="195">
        <f>'12|Total Rev Proposed Tarif '!S100</f>
        <v>0</v>
      </c>
      <c r="F102" s="195">
        <f>'12|Total Rev Proposed Tarif '!T100</f>
        <v>0</v>
      </c>
      <c r="G102" s="195">
        <f>'12|Total Rev Proposed Tarif '!U100</f>
        <v>0</v>
      </c>
      <c r="H102" s="195"/>
      <c r="I102" s="195"/>
      <c r="J102" s="195"/>
      <c r="K102" s="254">
        <f t="shared" si="55"/>
        <v>0</v>
      </c>
    </row>
    <row r="103" spans="3:11" ht="12.95" customHeight="1">
      <c r="C103" s="236" t="s">
        <v>914</v>
      </c>
      <c r="D103" s="236"/>
      <c r="E103" s="195">
        <f>'12|Total Rev Proposed Tarif '!S101</f>
        <v>293.32433863079643</v>
      </c>
      <c r="F103" s="195">
        <f>'12|Total Rev Proposed Tarif '!T101</f>
        <v>0</v>
      </c>
      <c r="G103" s="195">
        <f>'12|Total Rev Proposed Tarif '!U101</f>
        <v>293.32433863079643</v>
      </c>
      <c r="H103" s="195"/>
      <c r="I103" s="195"/>
      <c r="J103" s="195"/>
      <c r="K103" s="254">
        <f t="shared" si="55"/>
        <v>293.32433863079643</v>
      </c>
    </row>
    <row r="104" spans="3:11" ht="12.95" customHeight="1">
      <c r="C104" s="236" t="s">
        <v>915</v>
      </c>
      <c r="D104" s="236"/>
      <c r="E104" s="195">
        <f>'12|Total Rev Proposed Tarif '!S102</f>
        <v>288.49337940998464</v>
      </c>
      <c r="F104" s="195">
        <f>'12|Total Rev Proposed Tarif '!T102</f>
        <v>0</v>
      </c>
      <c r="G104" s="195">
        <f>'12|Total Rev Proposed Tarif '!U102</f>
        <v>288.49337940998464</v>
      </c>
      <c r="H104" s="195"/>
      <c r="I104" s="195"/>
      <c r="J104" s="195"/>
      <c r="K104" s="254">
        <f t="shared" si="55"/>
        <v>288.49337940998464</v>
      </c>
    </row>
    <row r="105" spans="3:11" ht="12.95" customHeight="1">
      <c r="C105" s="236" t="s">
        <v>916</v>
      </c>
      <c r="D105" s="236"/>
      <c r="E105" s="195">
        <f>'12|Total Rev Proposed Tarif '!S103</f>
        <v>135.08567981679465</v>
      </c>
      <c r="F105" s="195">
        <f>'12|Total Rev Proposed Tarif '!T103</f>
        <v>0</v>
      </c>
      <c r="G105" s="195">
        <f>'12|Total Rev Proposed Tarif '!U103</f>
        <v>135.08567981679465</v>
      </c>
      <c r="H105" s="195"/>
      <c r="I105" s="195"/>
      <c r="J105" s="195"/>
      <c r="K105" s="254">
        <f t="shared" si="55"/>
        <v>135.08567981679465</v>
      </c>
    </row>
    <row r="106" spans="3:11" ht="12.95" customHeight="1">
      <c r="C106" s="236" t="s">
        <v>592</v>
      </c>
      <c r="D106" s="236"/>
      <c r="E106" s="195">
        <f>'12|Total Rev Proposed Tarif '!S104</f>
        <v>0.79235894701493881</v>
      </c>
      <c r="F106" s="195">
        <f>'12|Total Rev Proposed Tarif '!T104</f>
        <v>0</v>
      </c>
      <c r="G106" s="195">
        <f>'12|Total Rev Proposed Tarif '!U104</f>
        <v>0.79235894701493881</v>
      </c>
      <c r="H106" s="195"/>
      <c r="I106" s="195"/>
      <c r="J106" s="195"/>
      <c r="K106" s="254">
        <f t="shared" si="55"/>
        <v>0.79235894701493881</v>
      </c>
    </row>
    <row r="107" spans="3:11">
      <c r="C107" s="251" t="s">
        <v>754</v>
      </c>
      <c r="D107" s="251"/>
      <c r="E107" s="195">
        <f>'12|Total Rev Proposed Tarif '!S105</f>
        <v>9.8306205025285358</v>
      </c>
      <c r="F107" s="195">
        <f>'12|Total Rev Proposed Tarif '!T105</f>
        <v>0</v>
      </c>
      <c r="G107" s="195">
        <f>'12|Total Rev Proposed Tarif '!U105</f>
        <v>9.8306205025285358</v>
      </c>
      <c r="H107" s="195"/>
      <c r="I107" s="195"/>
      <c r="J107" s="195"/>
      <c r="K107" s="254">
        <f t="shared" si="55"/>
        <v>9.8306205025285358</v>
      </c>
    </row>
    <row r="108" spans="3:11" ht="12.95" customHeight="1">
      <c r="C108" s="251" t="s">
        <v>755</v>
      </c>
      <c r="D108" s="251"/>
      <c r="E108" s="195">
        <f>'12|Total Rev Proposed Tarif '!S106</f>
        <v>136.48847753898315</v>
      </c>
      <c r="F108" s="195">
        <f>'12|Total Rev Proposed Tarif '!T106</f>
        <v>0</v>
      </c>
      <c r="G108" s="195">
        <f>'12|Total Rev Proposed Tarif '!U106</f>
        <v>136.48847753898315</v>
      </c>
      <c r="H108" s="195"/>
      <c r="I108" s="195"/>
      <c r="J108" s="195"/>
      <c r="K108" s="254">
        <f t="shared" si="55"/>
        <v>136.48847753898315</v>
      </c>
    </row>
    <row r="109" spans="3:11" ht="12.95" customHeight="1">
      <c r="C109" s="239" t="s">
        <v>751</v>
      </c>
      <c r="D109" s="239"/>
      <c r="E109" s="240">
        <f t="shared" ref="E109" si="56">SUM(E110:E113)</f>
        <v>5.2715033075000006</v>
      </c>
      <c r="F109" s="240">
        <f t="shared" ref="F109:G109" si="57">SUM(F110:F113)</f>
        <v>0</v>
      </c>
      <c r="G109" s="240">
        <f t="shared" si="57"/>
        <v>5.2715033075000006</v>
      </c>
      <c r="H109" s="240">
        <f t="shared" ref="H109:K109" si="58">SUM(H110:H113)</f>
        <v>0</v>
      </c>
      <c r="I109" s="240">
        <f t="shared" si="58"/>
        <v>0</v>
      </c>
      <c r="J109" s="240">
        <f t="shared" si="58"/>
        <v>0</v>
      </c>
      <c r="K109" s="241">
        <f t="shared" si="58"/>
        <v>5.2715033075000006</v>
      </c>
    </row>
    <row r="110" spans="3:11" ht="12.95" customHeight="1">
      <c r="C110" s="236" t="s">
        <v>756</v>
      </c>
      <c r="D110" s="236"/>
      <c r="E110" s="195">
        <f>'12|Total Rev Proposed Tarif '!S108</f>
        <v>5.2715033075000006</v>
      </c>
      <c r="F110" s="195">
        <f>'12|Total Rev Proposed Tarif '!T108</f>
        <v>0</v>
      </c>
      <c r="G110" s="195">
        <f>'12|Total Rev Proposed Tarif '!U108</f>
        <v>5.2715033075000006</v>
      </c>
      <c r="H110" s="195"/>
      <c r="I110" s="195"/>
      <c r="J110" s="195"/>
      <c r="K110" s="254">
        <f t="shared" ref="K110:K113" si="59">G110+H110+I110+J110</f>
        <v>5.2715033075000006</v>
      </c>
    </row>
    <row r="111" spans="3:11">
      <c r="C111" s="236" t="s">
        <v>757</v>
      </c>
      <c r="D111" s="236"/>
      <c r="E111" s="195">
        <f>'12|Total Rev Proposed Tarif '!S109</f>
        <v>0</v>
      </c>
      <c r="F111" s="195">
        <f>'12|Total Rev Proposed Tarif '!T109</f>
        <v>0</v>
      </c>
      <c r="G111" s="195">
        <f>'12|Total Rev Proposed Tarif '!U109</f>
        <v>0</v>
      </c>
      <c r="H111" s="195"/>
      <c r="I111" s="195"/>
      <c r="J111" s="195"/>
      <c r="K111" s="254">
        <f t="shared" si="59"/>
        <v>0</v>
      </c>
    </row>
    <row r="112" spans="3:11" ht="12.95" customHeight="1">
      <c r="C112" s="236" t="s">
        <v>758</v>
      </c>
      <c r="D112" s="236"/>
      <c r="E112" s="195">
        <f>'12|Total Rev Proposed Tarif '!S110</f>
        <v>0</v>
      </c>
      <c r="F112" s="195">
        <f>'12|Total Rev Proposed Tarif '!T110</f>
        <v>0</v>
      </c>
      <c r="G112" s="195">
        <f>'12|Total Rev Proposed Tarif '!U110</f>
        <v>0</v>
      </c>
      <c r="H112" s="195"/>
      <c r="I112" s="195"/>
      <c r="J112" s="195"/>
      <c r="K112" s="254">
        <f t="shared" si="59"/>
        <v>0</v>
      </c>
    </row>
    <row r="113" spans="3:11" ht="12.95" customHeight="1">
      <c r="C113" s="236" t="s">
        <v>759</v>
      </c>
      <c r="D113" s="236"/>
      <c r="E113" s="195">
        <f>'12|Total Rev Proposed Tarif '!S111</f>
        <v>0</v>
      </c>
      <c r="F113" s="195">
        <f>'12|Total Rev Proposed Tarif '!T111</f>
        <v>0</v>
      </c>
      <c r="G113" s="195">
        <f>'12|Total Rev Proposed Tarif '!U111</f>
        <v>0</v>
      </c>
      <c r="H113" s="195"/>
      <c r="I113" s="195"/>
      <c r="J113" s="195"/>
      <c r="K113" s="254">
        <f t="shared" si="59"/>
        <v>0</v>
      </c>
    </row>
    <row r="114" spans="3:11" ht="12.95" customHeight="1">
      <c r="C114" s="239" t="s">
        <v>752</v>
      </c>
      <c r="D114" s="239"/>
      <c r="E114" s="240">
        <f t="shared" ref="E114" si="60">E115+E116</f>
        <v>36.682257447985421</v>
      </c>
      <c r="F114" s="240">
        <f t="shared" ref="F114:G114" si="61">F115+F116</f>
        <v>0</v>
      </c>
      <c r="G114" s="240">
        <f t="shared" si="61"/>
        <v>36.682257447985421</v>
      </c>
      <c r="H114" s="240">
        <f t="shared" ref="H114:K114" si="62">H115+H116</f>
        <v>0</v>
      </c>
      <c r="I114" s="240">
        <f t="shared" si="62"/>
        <v>0</v>
      </c>
      <c r="J114" s="240">
        <f t="shared" si="62"/>
        <v>0</v>
      </c>
      <c r="K114" s="241">
        <f t="shared" si="62"/>
        <v>36.682257447985421</v>
      </c>
    </row>
    <row r="115" spans="3:11">
      <c r="C115" s="236" t="s">
        <v>760</v>
      </c>
      <c r="D115" s="236"/>
      <c r="E115" s="195">
        <f>'12|Total Rev Proposed Tarif '!S113</f>
        <v>0</v>
      </c>
      <c r="F115" s="195">
        <f>'12|Total Rev Proposed Tarif '!T113</f>
        <v>0</v>
      </c>
      <c r="G115" s="195">
        <f>'12|Total Rev Proposed Tarif '!U113</f>
        <v>0</v>
      </c>
      <c r="H115" s="195"/>
      <c r="I115" s="195"/>
      <c r="J115" s="195"/>
      <c r="K115" s="254">
        <f t="shared" ref="K115:K117" si="63">G115+H115+I115+J115</f>
        <v>0</v>
      </c>
    </row>
    <row r="116" spans="3:11" ht="12.95" customHeight="1">
      <c r="C116" s="236" t="s">
        <v>761</v>
      </c>
      <c r="D116" s="236"/>
      <c r="E116" s="195">
        <f>'12|Total Rev Proposed Tarif '!S114</f>
        <v>36.682257447985421</v>
      </c>
      <c r="F116" s="195">
        <f>'12|Total Rev Proposed Tarif '!T114</f>
        <v>0</v>
      </c>
      <c r="G116" s="195">
        <f>'12|Total Rev Proposed Tarif '!U114</f>
        <v>36.682257447985421</v>
      </c>
      <c r="H116" s="195"/>
      <c r="I116" s="195"/>
      <c r="J116" s="195"/>
      <c r="K116" s="254">
        <f t="shared" si="63"/>
        <v>36.682257447985421</v>
      </c>
    </row>
    <row r="117" spans="3:11" ht="12.95" customHeight="1">
      <c r="C117" s="253"/>
      <c r="D117" s="253"/>
      <c r="E117" s="195"/>
      <c r="F117" s="195"/>
      <c r="G117" s="195"/>
      <c r="H117" s="195"/>
      <c r="I117" s="195"/>
      <c r="J117" s="195"/>
      <c r="K117" s="254">
        <f t="shared" si="63"/>
        <v>0</v>
      </c>
    </row>
    <row r="118" spans="3:11" ht="12.95" customHeight="1">
      <c r="C118" s="232" t="s">
        <v>604</v>
      </c>
      <c r="D118" s="232"/>
      <c r="E118" s="233">
        <f t="shared" ref="E118" si="64">E119+E120+E127+E140+E145</f>
        <v>3553.3629763987528</v>
      </c>
      <c r="F118" s="233">
        <f t="shared" ref="F118:G118" si="65">F119+F120+F127+F140+F145</f>
        <v>0</v>
      </c>
      <c r="G118" s="233">
        <f t="shared" si="65"/>
        <v>3553.3629763987528</v>
      </c>
      <c r="H118" s="233">
        <f t="shared" ref="H118:K118" si="66">H119+H120+H127+H140+H145</f>
        <v>0</v>
      </c>
      <c r="I118" s="233">
        <f t="shared" si="66"/>
        <v>0</v>
      </c>
      <c r="J118" s="233">
        <f t="shared" si="66"/>
        <v>0</v>
      </c>
      <c r="K118" s="235">
        <f t="shared" si="66"/>
        <v>3553.3629763987528</v>
      </c>
    </row>
    <row r="119" spans="3:11" ht="12.95" customHeight="1">
      <c r="C119" s="236" t="s">
        <v>743</v>
      </c>
      <c r="D119" s="236"/>
      <c r="E119" s="195">
        <f>'12|Total Rev Proposed Tarif '!S117</f>
        <v>0</v>
      </c>
      <c r="F119" s="195">
        <f>'12|Total Rev Proposed Tarif '!T117</f>
        <v>0</v>
      </c>
      <c r="G119" s="195">
        <f>'12|Total Rev Proposed Tarif '!U117</f>
        <v>0</v>
      </c>
      <c r="H119" s="195"/>
      <c r="I119" s="195"/>
      <c r="J119" s="195"/>
      <c r="K119" s="254">
        <f t="shared" ref="K119" si="67">G119+H119+I119+J119</f>
        <v>0</v>
      </c>
    </row>
    <row r="120" spans="3:11" ht="12.95" customHeight="1">
      <c r="C120" s="239" t="s">
        <v>744</v>
      </c>
      <c r="D120" s="239"/>
      <c r="E120" s="240">
        <f t="shared" ref="E120" si="68">SUM(E121:E126)</f>
        <v>47.122072724638571</v>
      </c>
      <c r="F120" s="240">
        <f t="shared" ref="F120:G120" si="69">SUM(F121:F126)</f>
        <v>0</v>
      </c>
      <c r="G120" s="240">
        <f t="shared" si="69"/>
        <v>47.122072724638571</v>
      </c>
      <c r="H120" s="240">
        <f t="shared" ref="H120:K120" si="70">SUM(H121:H126)</f>
        <v>0</v>
      </c>
      <c r="I120" s="240">
        <f t="shared" si="70"/>
        <v>0</v>
      </c>
      <c r="J120" s="240">
        <f t="shared" si="70"/>
        <v>0</v>
      </c>
      <c r="K120" s="241">
        <f t="shared" si="70"/>
        <v>47.122072724638571</v>
      </c>
    </row>
    <row r="121" spans="3:11" ht="12.95" customHeight="1">
      <c r="C121" s="236" t="s">
        <v>745</v>
      </c>
      <c r="D121" s="236"/>
      <c r="E121" s="195">
        <f>'12|Total Rev Proposed Tarif '!S119</f>
        <v>40.839203439419755</v>
      </c>
      <c r="F121" s="195">
        <f>'12|Total Rev Proposed Tarif '!T119</f>
        <v>0</v>
      </c>
      <c r="G121" s="195">
        <f>'12|Total Rev Proposed Tarif '!U119</f>
        <v>40.839203439419755</v>
      </c>
      <c r="H121" s="195"/>
      <c r="I121" s="195"/>
      <c r="J121" s="195"/>
      <c r="K121" s="254">
        <f t="shared" ref="K121:K126" si="71">G121+H121+I121+J121</f>
        <v>40.839203439419755</v>
      </c>
    </row>
    <row r="122" spans="3:11">
      <c r="C122" s="236" t="s">
        <v>697</v>
      </c>
      <c r="D122" s="236"/>
      <c r="E122" s="195">
        <f>'12|Total Rev Proposed Tarif '!S120</f>
        <v>4.7633048894514811</v>
      </c>
      <c r="F122" s="195">
        <f>'12|Total Rev Proposed Tarif '!T120</f>
        <v>0</v>
      </c>
      <c r="G122" s="195">
        <f>'12|Total Rev Proposed Tarif '!U120</f>
        <v>4.7633048894514811</v>
      </c>
      <c r="H122" s="195"/>
      <c r="I122" s="195"/>
      <c r="J122" s="195"/>
      <c r="K122" s="254">
        <f t="shared" si="71"/>
        <v>4.7633048894514811</v>
      </c>
    </row>
    <row r="123" spans="3:11">
      <c r="C123" s="236" t="s">
        <v>746</v>
      </c>
      <c r="D123" s="236"/>
      <c r="E123" s="195">
        <f>'12|Total Rev Proposed Tarif '!S121</f>
        <v>0</v>
      </c>
      <c r="F123" s="195">
        <f>'12|Total Rev Proposed Tarif '!T121</f>
        <v>0</v>
      </c>
      <c r="G123" s="195">
        <f>'12|Total Rev Proposed Tarif '!U121</f>
        <v>0</v>
      </c>
      <c r="H123" s="195"/>
      <c r="I123" s="195"/>
      <c r="J123" s="195"/>
      <c r="K123" s="254">
        <f t="shared" si="71"/>
        <v>0</v>
      </c>
    </row>
    <row r="124" spans="3:11" ht="12.95" customHeight="1">
      <c r="C124" s="236" t="s">
        <v>747</v>
      </c>
      <c r="D124" s="236"/>
      <c r="E124" s="195">
        <f>'12|Total Rev Proposed Tarif '!S122</f>
        <v>1.5195643957673322</v>
      </c>
      <c r="F124" s="195">
        <f>'12|Total Rev Proposed Tarif '!T122</f>
        <v>0</v>
      </c>
      <c r="G124" s="195">
        <f>'12|Total Rev Proposed Tarif '!U122</f>
        <v>1.5195643957673322</v>
      </c>
      <c r="H124" s="195"/>
      <c r="I124" s="195"/>
      <c r="J124" s="195"/>
      <c r="K124" s="254">
        <f t="shared" si="71"/>
        <v>1.5195643957673322</v>
      </c>
    </row>
    <row r="125" spans="3:11" ht="12.95" customHeight="1">
      <c r="C125" s="236" t="s">
        <v>748</v>
      </c>
      <c r="D125" s="236"/>
      <c r="E125" s="195">
        <f>'12|Total Rev Proposed Tarif '!S123</f>
        <v>0</v>
      </c>
      <c r="F125" s="195">
        <f>'12|Total Rev Proposed Tarif '!T123</f>
        <v>0</v>
      </c>
      <c r="G125" s="195">
        <f>'12|Total Rev Proposed Tarif '!U123</f>
        <v>0</v>
      </c>
      <c r="H125" s="195"/>
      <c r="I125" s="195"/>
      <c r="J125" s="195"/>
      <c r="K125" s="254">
        <f t="shared" si="71"/>
        <v>0</v>
      </c>
    </row>
    <row r="126" spans="3:11">
      <c r="C126" s="236" t="s">
        <v>749</v>
      </c>
      <c r="D126" s="236"/>
      <c r="E126" s="195">
        <f>'12|Total Rev Proposed Tarif '!S124</f>
        <v>0</v>
      </c>
      <c r="F126" s="195">
        <f>'12|Total Rev Proposed Tarif '!T124</f>
        <v>0</v>
      </c>
      <c r="G126" s="195">
        <f>'12|Total Rev Proposed Tarif '!U124</f>
        <v>0</v>
      </c>
      <c r="H126" s="195"/>
      <c r="I126" s="195"/>
      <c r="J126" s="195"/>
      <c r="K126" s="254">
        <f t="shared" si="71"/>
        <v>0</v>
      </c>
    </row>
    <row r="127" spans="3:11">
      <c r="C127" s="239" t="s">
        <v>750</v>
      </c>
      <c r="D127" s="239"/>
      <c r="E127" s="240">
        <f t="shared" ref="E127" si="72">SUM(E128:E139)</f>
        <v>2721.2383282567939</v>
      </c>
      <c r="F127" s="240">
        <f t="shared" ref="F127:G127" si="73">SUM(F128:F139)</f>
        <v>0</v>
      </c>
      <c r="G127" s="240">
        <f t="shared" si="73"/>
        <v>2721.2383282567939</v>
      </c>
      <c r="H127" s="240">
        <f t="shared" ref="H127:K127" si="74">SUM(H128:H139)</f>
        <v>0</v>
      </c>
      <c r="I127" s="240">
        <f t="shared" si="74"/>
        <v>0</v>
      </c>
      <c r="J127" s="240">
        <f t="shared" si="74"/>
        <v>0</v>
      </c>
      <c r="K127" s="241">
        <f t="shared" si="74"/>
        <v>2721.2383282567939</v>
      </c>
    </row>
    <row r="128" spans="3:11">
      <c r="C128" s="215" t="s">
        <v>753</v>
      </c>
      <c r="D128" s="215"/>
      <c r="E128" s="217"/>
      <c r="F128" s="217"/>
      <c r="G128" s="217"/>
      <c r="H128" s="217"/>
      <c r="I128" s="217"/>
      <c r="J128" s="217"/>
      <c r="K128" s="219"/>
    </row>
    <row r="129" spans="3:11" ht="21">
      <c r="C129" s="236" t="s">
        <v>918</v>
      </c>
      <c r="D129" s="236"/>
      <c r="E129" s="195">
        <f>'12|Total Rev Proposed Tarif '!S127</f>
        <v>0</v>
      </c>
      <c r="F129" s="195">
        <f>'12|Total Rev Proposed Tarif '!T127</f>
        <v>0</v>
      </c>
      <c r="G129" s="195">
        <f>'12|Total Rev Proposed Tarif '!U127</f>
        <v>0</v>
      </c>
      <c r="H129" s="195"/>
      <c r="I129" s="195"/>
      <c r="J129" s="195"/>
      <c r="K129" s="254">
        <f t="shared" ref="K129:K139" si="75">G129+H129+I129+J129</f>
        <v>0</v>
      </c>
    </row>
    <row r="130" spans="3:11">
      <c r="C130" s="236" t="s">
        <v>914</v>
      </c>
      <c r="D130" s="236"/>
      <c r="E130" s="195">
        <f>'12|Total Rev Proposed Tarif '!S128</f>
        <v>214.40999395520015</v>
      </c>
      <c r="F130" s="195">
        <f>'12|Total Rev Proposed Tarif '!T128</f>
        <v>0</v>
      </c>
      <c r="G130" s="195">
        <f>'12|Total Rev Proposed Tarif '!U128</f>
        <v>214.40999395520015</v>
      </c>
      <c r="H130" s="195"/>
      <c r="I130" s="195"/>
      <c r="J130" s="195"/>
      <c r="K130" s="254">
        <f t="shared" si="75"/>
        <v>214.40999395520015</v>
      </c>
    </row>
    <row r="131" spans="3:11">
      <c r="C131" s="236" t="s">
        <v>915</v>
      </c>
      <c r="D131" s="236"/>
      <c r="E131" s="195">
        <f>'12|Total Rev Proposed Tarif '!S129</f>
        <v>207.55298749246404</v>
      </c>
      <c r="F131" s="195">
        <f>'12|Total Rev Proposed Tarif '!T129</f>
        <v>0</v>
      </c>
      <c r="G131" s="195">
        <f>'12|Total Rev Proposed Tarif '!U129</f>
        <v>207.55298749246404</v>
      </c>
      <c r="H131" s="195"/>
      <c r="I131" s="195"/>
      <c r="J131" s="195"/>
      <c r="K131" s="254">
        <f t="shared" si="75"/>
        <v>207.55298749246404</v>
      </c>
    </row>
    <row r="132" spans="3:11" ht="12.95" customHeight="1">
      <c r="C132" s="236" t="s">
        <v>916</v>
      </c>
      <c r="D132" s="236"/>
      <c r="E132" s="195">
        <f>'12|Total Rev Proposed Tarif '!S130</f>
        <v>332.04224925291959</v>
      </c>
      <c r="F132" s="195">
        <f>'12|Total Rev Proposed Tarif '!T130</f>
        <v>0</v>
      </c>
      <c r="G132" s="195">
        <f>'12|Total Rev Proposed Tarif '!U130</f>
        <v>332.04224925291959</v>
      </c>
      <c r="H132" s="195"/>
      <c r="I132" s="195"/>
      <c r="J132" s="195"/>
      <c r="K132" s="254">
        <f t="shared" si="75"/>
        <v>332.04224925291959</v>
      </c>
    </row>
    <row r="133" spans="3:11" ht="12.95" customHeight="1">
      <c r="C133" s="236" t="s">
        <v>917</v>
      </c>
      <c r="D133" s="236"/>
      <c r="E133" s="195">
        <f>'12|Total Rev Proposed Tarif '!S131</f>
        <v>0</v>
      </c>
      <c r="F133" s="195">
        <f>'12|Total Rev Proposed Tarif '!T131</f>
        <v>0</v>
      </c>
      <c r="G133" s="195">
        <f>'12|Total Rev Proposed Tarif '!U131</f>
        <v>0</v>
      </c>
      <c r="H133" s="195"/>
      <c r="I133" s="195"/>
      <c r="J133" s="195"/>
      <c r="K133" s="254">
        <f t="shared" si="75"/>
        <v>0</v>
      </c>
    </row>
    <row r="134" spans="3:11" ht="12.95" customHeight="1">
      <c r="C134" s="236" t="s">
        <v>914</v>
      </c>
      <c r="D134" s="236"/>
      <c r="E134" s="195">
        <f>'12|Total Rev Proposed Tarif '!S132</f>
        <v>201.59256426096437</v>
      </c>
      <c r="F134" s="195">
        <f>'12|Total Rev Proposed Tarif '!T132</f>
        <v>0</v>
      </c>
      <c r="G134" s="195">
        <f>'12|Total Rev Proposed Tarif '!U132</f>
        <v>201.59256426096437</v>
      </c>
      <c r="H134" s="195"/>
      <c r="I134" s="195"/>
      <c r="J134" s="195"/>
      <c r="K134" s="254">
        <f t="shared" si="75"/>
        <v>201.59256426096437</v>
      </c>
    </row>
    <row r="135" spans="3:11">
      <c r="C135" s="236" t="s">
        <v>915</v>
      </c>
      <c r="D135" s="236"/>
      <c r="E135" s="195">
        <f>'12|Total Rev Proposed Tarif '!S133</f>
        <v>210.33238564809329</v>
      </c>
      <c r="F135" s="195">
        <f>'12|Total Rev Proposed Tarif '!T133</f>
        <v>0</v>
      </c>
      <c r="G135" s="195">
        <f>'12|Total Rev Proposed Tarif '!U133</f>
        <v>210.33238564809329</v>
      </c>
      <c r="H135" s="195"/>
      <c r="I135" s="195"/>
      <c r="J135" s="195"/>
      <c r="K135" s="254">
        <f t="shared" si="75"/>
        <v>210.33238564809329</v>
      </c>
    </row>
    <row r="136" spans="3:11">
      <c r="C136" s="236" t="s">
        <v>916</v>
      </c>
      <c r="D136" s="236"/>
      <c r="E136" s="195">
        <f>'12|Total Rev Proposed Tarif '!S134</f>
        <v>85.019704346954839</v>
      </c>
      <c r="F136" s="195">
        <f>'12|Total Rev Proposed Tarif '!T134</f>
        <v>0</v>
      </c>
      <c r="G136" s="195">
        <f>'12|Total Rev Proposed Tarif '!U134</f>
        <v>85.019704346954839</v>
      </c>
      <c r="H136" s="195"/>
      <c r="I136" s="195"/>
      <c r="J136" s="195"/>
      <c r="K136" s="254">
        <f t="shared" si="75"/>
        <v>85.019704346954839</v>
      </c>
    </row>
    <row r="137" spans="3:11">
      <c r="C137" s="236" t="s">
        <v>592</v>
      </c>
      <c r="D137" s="236"/>
      <c r="E137" s="195">
        <f>'12|Total Rev Proposed Tarif '!S135</f>
        <v>26.753489173137087</v>
      </c>
      <c r="F137" s="195">
        <f>'12|Total Rev Proposed Tarif '!T135</f>
        <v>0</v>
      </c>
      <c r="G137" s="195">
        <f>'12|Total Rev Proposed Tarif '!U135</f>
        <v>26.753489173137087</v>
      </c>
      <c r="H137" s="195"/>
      <c r="I137" s="195"/>
      <c r="J137" s="195"/>
      <c r="K137" s="254">
        <f t="shared" si="75"/>
        <v>26.753489173137087</v>
      </c>
    </row>
    <row r="138" spans="3:11">
      <c r="C138" s="251" t="s">
        <v>754</v>
      </c>
      <c r="D138" s="251"/>
      <c r="E138" s="195">
        <f>'12|Total Rev Proposed Tarif '!S136</f>
        <v>0</v>
      </c>
      <c r="F138" s="195">
        <f>'12|Total Rev Proposed Tarif '!T136</f>
        <v>0</v>
      </c>
      <c r="G138" s="195">
        <f>'12|Total Rev Proposed Tarif '!U136</f>
        <v>0</v>
      </c>
      <c r="H138" s="195"/>
      <c r="I138" s="195"/>
      <c r="J138" s="195"/>
      <c r="K138" s="254">
        <f t="shared" si="75"/>
        <v>0</v>
      </c>
    </row>
    <row r="139" spans="3:11">
      <c r="C139" s="215" t="s">
        <v>755</v>
      </c>
      <c r="D139" s="215"/>
      <c r="E139" s="195">
        <f>'12|Total Rev Proposed Tarif '!S137</f>
        <v>1443.5349541270607</v>
      </c>
      <c r="F139" s="195">
        <f>'12|Total Rev Proposed Tarif '!T137</f>
        <v>0</v>
      </c>
      <c r="G139" s="195">
        <f>'12|Total Rev Proposed Tarif '!U137</f>
        <v>1443.5349541270607</v>
      </c>
      <c r="H139" s="195"/>
      <c r="I139" s="195"/>
      <c r="J139" s="195"/>
      <c r="K139" s="254">
        <f t="shared" si="75"/>
        <v>1443.5349541270607</v>
      </c>
    </row>
    <row r="140" spans="3:11">
      <c r="C140" s="239" t="s">
        <v>751</v>
      </c>
      <c r="D140" s="239"/>
      <c r="E140" s="240">
        <f t="shared" ref="E140" si="76">SUM(E141:E144)</f>
        <v>784.99582421732009</v>
      </c>
      <c r="F140" s="240">
        <f t="shared" ref="F140:G140" si="77">SUM(F141:F144)</f>
        <v>0</v>
      </c>
      <c r="G140" s="240">
        <f t="shared" si="77"/>
        <v>784.99582421732009</v>
      </c>
      <c r="H140" s="240">
        <f t="shared" ref="H140:K140" si="78">SUM(H141:H144)</f>
        <v>0</v>
      </c>
      <c r="I140" s="240">
        <f t="shared" si="78"/>
        <v>0</v>
      </c>
      <c r="J140" s="240">
        <f t="shared" si="78"/>
        <v>0</v>
      </c>
      <c r="K140" s="241">
        <f t="shared" si="78"/>
        <v>784.99582421732009</v>
      </c>
    </row>
    <row r="141" spans="3:11" ht="15" customHeight="1">
      <c r="C141" s="236" t="s">
        <v>756</v>
      </c>
      <c r="D141" s="236"/>
      <c r="E141" s="195">
        <f>'12|Total Rev Proposed Tarif '!S139</f>
        <v>0</v>
      </c>
      <c r="F141" s="195">
        <f>'12|Total Rev Proposed Tarif '!T139</f>
        <v>0</v>
      </c>
      <c r="G141" s="195">
        <f>'12|Total Rev Proposed Tarif '!U139</f>
        <v>0</v>
      </c>
      <c r="H141" s="195"/>
      <c r="I141" s="195"/>
      <c r="J141" s="195"/>
      <c r="K141" s="254">
        <f t="shared" ref="K141:K144" si="79">G141+H141+I141+J141</f>
        <v>0</v>
      </c>
    </row>
    <row r="142" spans="3:11" ht="15" customHeight="1">
      <c r="C142" s="236" t="s">
        <v>757</v>
      </c>
      <c r="D142" s="236"/>
      <c r="E142" s="195">
        <f>'12|Total Rev Proposed Tarif '!S140</f>
        <v>0</v>
      </c>
      <c r="F142" s="195">
        <f>'12|Total Rev Proposed Tarif '!T140</f>
        <v>0</v>
      </c>
      <c r="G142" s="195">
        <f>'12|Total Rev Proposed Tarif '!U140</f>
        <v>0</v>
      </c>
      <c r="H142" s="195"/>
      <c r="I142" s="195"/>
      <c r="J142" s="195"/>
      <c r="K142" s="254">
        <f t="shared" si="79"/>
        <v>0</v>
      </c>
    </row>
    <row r="143" spans="3:11">
      <c r="C143" s="236" t="s">
        <v>758</v>
      </c>
      <c r="D143" s="236"/>
      <c r="E143" s="195">
        <f>'12|Total Rev Proposed Tarif '!S141</f>
        <v>0</v>
      </c>
      <c r="F143" s="195">
        <f>'12|Total Rev Proposed Tarif '!T141</f>
        <v>0</v>
      </c>
      <c r="G143" s="195">
        <f>'12|Total Rev Proposed Tarif '!U141</f>
        <v>0</v>
      </c>
      <c r="H143" s="195"/>
      <c r="I143" s="195"/>
      <c r="J143" s="195"/>
      <c r="K143" s="254">
        <f t="shared" si="79"/>
        <v>0</v>
      </c>
    </row>
    <row r="144" spans="3:11">
      <c r="C144" s="236" t="s">
        <v>759</v>
      </c>
      <c r="D144" s="236"/>
      <c r="E144" s="195">
        <f>'12|Total Rev Proposed Tarif '!S142</f>
        <v>784.99582421732009</v>
      </c>
      <c r="F144" s="195">
        <f>'12|Total Rev Proposed Tarif '!T142</f>
        <v>0</v>
      </c>
      <c r="G144" s="195">
        <f>'12|Total Rev Proposed Tarif '!U142</f>
        <v>784.99582421732009</v>
      </c>
      <c r="H144" s="195"/>
      <c r="I144" s="195"/>
      <c r="J144" s="195"/>
      <c r="K144" s="254">
        <f t="shared" si="79"/>
        <v>784.99582421732009</v>
      </c>
    </row>
    <row r="145" spans="3:11">
      <c r="C145" s="239" t="s">
        <v>752</v>
      </c>
      <c r="D145" s="239"/>
      <c r="E145" s="240">
        <f t="shared" ref="E145" si="80">E146+E147</f>
        <v>6.7511999999999997E-3</v>
      </c>
      <c r="F145" s="240">
        <f t="shared" ref="F145:G145" si="81">F146+F147</f>
        <v>0</v>
      </c>
      <c r="G145" s="240">
        <f t="shared" si="81"/>
        <v>6.7511999999999997E-3</v>
      </c>
      <c r="H145" s="240">
        <f t="shared" ref="H145:K145" si="82">H146+H147</f>
        <v>0</v>
      </c>
      <c r="I145" s="240">
        <f t="shared" si="82"/>
        <v>0</v>
      </c>
      <c r="J145" s="240">
        <f t="shared" si="82"/>
        <v>0</v>
      </c>
      <c r="K145" s="241">
        <f t="shared" si="82"/>
        <v>6.7511999999999997E-3</v>
      </c>
    </row>
    <row r="146" spans="3:11">
      <c r="C146" s="236" t="s">
        <v>760</v>
      </c>
      <c r="D146" s="236"/>
      <c r="E146" s="195">
        <f>'12|Total Rev Proposed Tarif '!S144</f>
        <v>0</v>
      </c>
      <c r="F146" s="195">
        <f>'12|Total Rev Proposed Tarif '!T144</f>
        <v>0</v>
      </c>
      <c r="G146" s="195">
        <f>'12|Total Rev Proposed Tarif '!U144</f>
        <v>0</v>
      </c>
      <c r="H146" s="195"/>
      <c r="I146" s="195"/>
      <c r="J146" s="195"/>
      <c r="K146" s="254">
        <f t="shared" ref="K146:K147" si="83">G146+H146+I146+J146</f>
        <v>0</v>
      </c>
    </row>
    <row r="147" spans="3:11">
      <c r="C147" s="236" t="s">
        <v>761</v>
      </c>
      <c r="D147" s="236"/>
      <c r="E147" s="195">
        <f>'12|Total Rev Proposed Tarif '!S145</f>
        <v>6.7511999999999997E-3</v>
      </c>
      <c r="F147" s="195">
        <f>'12|Total Rev Proposed Tarif '!T145</f>
        <v>0</v>
      </c>
      <c r="G147" s="195">
        <f>'12|Total Rev Proposed Tarif '!U145</f>
        <v>6.7511999999999997E-3</v>
      </c>
      <c r="H147" s="195"/>
      <c r="I147" s="195"/>
      <c r="J147" s="195"/>
      <c r="K147" s="254">
        <f t="shared" si="83"/>
        <v>6.7511999999999997E-3</v>
      </c>
    </row>
    <row r="148" spans="3:11">
      <c r="C148" s="253"/>
      <c r="D148" s="253"/>
      <c r="E148" s="195"/>
      <c r="F148" s="195"/>
      <c r="G148" s="195"/>
      <c r="H148" s="195"/>
      <c r="I148" s="195"/>
      <c r="J148" s="195"/>
      <c r="K148" s="201"/>
    </row>
    <row r="149" spans="3:11">
      <c r="C149" s="232" t="s">
        <v>919</v>
      </c>
      <c r="D149" s="232"/>
      <c r="E149" s="233">
        <f t="shared" ref="E149" si="84">E150+E151+E158+E171+E176</f>
        <v>2323.944585970678</v>
      </c>
      <c r="F149" s="233">
        <f t="shared" ref="F149:G149" si="85">F150+F151+F158+F171+F176</f>
        <v>0</v>
      </c>
      <c r="G149" s="233">
        <f t="shared" si="85"/>
        <v>2323.944585970678</v>
      </c>
      <c r="H149" s="233">
        <f t="shared" ref="H149:K149" si="86">H150+H151+H158+H171+H176</f>
        <v>0</v>
      </c>
      <c r="I149" s="233">
        <f t="shared" si="86"/>
        <v>0</v>
      </c>
      <c r="J149" s="233">
        <f t="shared" si="86"/>
        <v>0</v>
      </c>
      <c r="K149" s="235">
        <f t="shared" si="86"/>
        <v>2323.944585970678</v>
      </c>
    </row>
    <row r="150" spans="3:11">
      <c r="C150" s="236" t="s">
        <v>743</v>
      </c>
      <c r="D150" s="236"/>
      <c r="E150" s="195">
        <f>'12|Total Rev Proposed Tarif '!S148</f>
        <v>0</v>
      </c>
      <c r="F150" s="195">
        <f>'12|Total Rev Proposed Tarif '!T148</f>
        <v>0</v>
      </c>
      <c r="G150" s="195">
        <f>'12|Total Rev Proposed Tarif '!U148</f>
        <v>0</v>
      </c>
      <c r="H150" s="195"/>
      <c r="I150" s="195"/>
      <c r="J150" s="195"/>
      <c r="K150" s="254">
        <f t="shared" ref="K150" si="87">G150+H150+I150+J150</f>
        <v>0</v>
      </c>
    </row>
    <row r="151" spans="3:11">
      <c r="C151" s="239" t="s">
        <v>744</v>
      </c>
      <c r="D151" s="239"/>
      <c r="E151" s="240">
        <f t="shared" ref="E151" si="88">SUM(E152:E157)</f>
        <v>84.881834042509553</v>
      </c>
      <c r="F151" s="240">
        <f t="shared" ref="F151:G151" si="89">SUM(F152:F157)</f>
        <v>0</v>
      </c>
      <c r="G151" s="240">
        <f t="shared" si="89"/>
        <v>84.881834042509553</v>
      </c>
      <c r="H151" s="240">
        <f t="shared" ref="H151:K151" si="90">SUM(H152:H157)</f>
        <v>0</v>
      </c>
      <c r="I151" s="240">
        <f t="shared" si="90"/>
        <v>0</v>
      </c>
      <c r="J151" s="240">
        <f t="shared" si="90"/>
        <v>0</v>
      </c>
      <c r="K151" s="241">
        <f t="shared" si="90"/>
        <v>84.881834042509553</v>
      </c>
    </row>
    <row r="152" spans="3:11">
      <c r="C152" s="236" t="s">
        <v>745</v>
      </c>
      <c r="D152" s="236"/>
      <c r="E152" s="195">
        <f>'12|Total Rev Proposed Tarif '!S150</f>
        <v>65.151394787562211</v>
      </c>
      <c r="F152" s="195">
        <f>'12|Total Rev Proposed Tarif '!T150</f>
        <v>0</v>
      </c>
      <c r="G152" s="195">
        <f>'12|Total Rev Proposed Tarif '!U150</f>
        <v>65.151394787562211</v>
      </c>
      <c r="H152" s="195"/>
      <c r="I152" s="195"/>
      <c r="J152" s="195"/>
      <c r="K152" s="254">
        <f t="shared" ref="K152:K157" si="91">G152+H152+I152+J152</f>
        <v>65.151394787562211</v>
      </c>
    </row>
    <row r="153" spans="3:11">
      <c r="C153" s="236" t="s">
        <v>697</v>
      </c>
      <c r="D153" s="236"/>
      <c r="E153" s="195">
        <f>'12|Total Rev Proposed Tarif '!S151</f>
        <v>14.004492454200513</v>
      </c>
      <c r="F153" s="195">
        <f>'12|Total Rev Proposed Tarif '!T151</f>
        <v>0</v>
      </c>
      <c r="G153" s="195">
        <f>'12|Total Rev Proposed Tarif '!U151</f>
        <v>14.004492454200513</v>
      </c>
      <c r="H153" s="195"/>
      <c r="I153" s="195"/>
      <c r="J153" s="195"/>
      <c r="K153" s="254">
        <f t="shared" si="91"/>
        <v>14.004492454200513</v>
      </c>
    </row>
    <row r="154" spans="3:11" ht="13.5" customHeight="1">
      <c r="C154" s="236" t="s">
        <v>746</v>
      </c>
      <c r="D154" s="236"/>
      <c r="E154" s="195">
        <f>'12|Total Rev Proposed Tarif '!S152</f>
        <v>0</v>
      </c>
      <c r="F154" s="195">
        <f>'12|Total Rev Proposed Tarif '!T152</f>
        <v>0</v>
      </c>
      <c r="G154" s="195">
        <f>'12|Total Rev Proposed Tarif '!U152</f>
        <v>0</v>
      </c>
      <c r="H154" s="195"/>
      <c r="I154" s="195"/>
      <c r="J154" s="195"/>
      <c r="K154" s="254">
        <f t="shared" si="91"/>
        <v>0</v>
      </c>
    </row>
    <row r="155" spans="3:11" ht="13.5" customHeight="1">
      <c r="C155" s="236" t="s">
        <v>747</v>
      </c>
      <c r="D155" s="236"/>
      <c r="E155" s="195">
        <f>'12|Total Rev Proposed Tarif '!S153</f>
        <v>5.7259468007468302</v>
      </c>
      <c r="F155" s="195">
        <f>'12|Total Rev Proposed Tarif '!T153</f>
        <v>0</v>
      </c>
      <c r="G155" s="195">
        <f>'12|Total Rev Proposed Tarif '!U153</f>
        <v>5.7259468007468302</v>
      </c>
      <c r="H155" s="195"/>
      <c r="I155" s="195"/>
      <c r="J155" s="195"/>
      <c r="K155" s="254">
        <f t="shared" si="91"/>
        <v>5.7259468007468302</v>
      </c>
    </row>
    <row r="156" spans="3:11" ht="13.5" customHeight="1">
      <c r="C156" s="236" t="s">
        <v>748</v>
      </c>
      <c r="D156" s="236"/>
      <c r="E156" s="195">
        <f>'12|Total Rev Proposed Tarif '!S154</f>
        <v>0</v>
      </c>
      <c r="F156" s="195">
        <f>'12|Total Rev Proposed Tarif '!T154</f>
        <v>0</v>
      </c>
      <c r="G156" s="195">
        <f>'12|Total Rev Proposed Tarif '!U154</f>
        <v>0</v>
      </c>
      <c r="H156" s="195"/>
      <c r="I156" s="195"/>
      <c r="J156" s="195"/>
      <c r="K156" s="254">
        <f t="shared" si="91"/>
        <v>0</v>
      </c>
    </row>
    <row r="157" spans="3:11" ht="13.5" customHeight="1">
      <c r="C157" s="236" t="s">
        <v>749</v>
      </c>
      <c r="D157" s="236"/>
      <c r="E157" s="195">
        <f>'12|Total Rev Proposed Tarif '!S155</f>
        <v>0</v>
      </c>
      <c r="F157" s="195">
        <f>'12|Total Rev Proposed Tarif '!T155</f>
        <v>0</v>
      </c>
      <c r="G157" s="195">
        <f>'12|Total Rev Proposed Tarif '!U155</f>
        <v>0</v>
      </c>
      <c r="H157" s="195"/>
      <c r="I157" s="195"/>
      <c r="J157" s="195"/>
      <c r="K157" s="254">
        <f t="shared" si="91"/>
        <v>0</v>
      </c>
    </row>
    <row r="158" spans="3:11" ht="13.5" customHeight="1">
      <c r="C158" s="239" t="s">
        <v>750</v>
      </c>
      <c r="D158" s="239"/>
      <c r="E158" s="240">
        <f t="shared" ref="E158" si="92">SUM(E160:E170)</f>
        <v>2062.5733696756106</v>
      </c>
      <c r="F158" s="240">
        <f t="shared" ref="F158:G158" si="93">SUM(F160:F170)</f>
        <v>0</v>
      </c>
      <c r="G158" s="240">
        <f t="shared" si="93"/>
        <v>2062.5733696756106</v>
      </c>
      <c r="H158" s="240">
        <f t="shared" ref="H158:K158" si="94">SUM(H160:H170)</f>
        <v>0</v>
      </c>
      <c r="I158" s="240">
        <f t="shared" si="94"/>
        <v>0</v>
      </c>
      <c r="J158" s="240">
        <f t="shared" si="94"/>
        <v>0</v>
      </c>
      <c r="K158" s="241">
        <f t="shared" si="94"/>
        <v>2062.5733696756106</v>
      </c>
    </row>
    <row r="159" spans="3:11" ht="13.5" customHeight="1">
      <c r="C159" s="215" t="s">
        <v>753</v>
      </c>
      <c r="D159" s="215"/>
      <c r="E159" s="217"/>
      <c r="F159" s="217"/>
      <c r="G159" s="217"/>
      <c r="H159" s="217"/>
      <c r="I159" s="217"/>
      <c r="J159" s="217"/>
      <c r="K159" s="219"/>
    </row>
    <row r="160" spans="3:11" ht="13.5" customHeight="1">
      <c r="C160" s="236" t="s">
        <v>918</v>
      </c>
      <c r="D160" s="236"/>
      <c r="E160" s="195">
        <f>'12|Total Rev Proposed Tarif '!S158</f>
        <v>0</v>
      </c>
      <c r="F160" s="195">
        <f>'12|Total Rev Proposed Tarif '!T158</f>
        <v>0</v>
      </c>
      <c r="G160" s="195">
        <f>'12|Total Rev Proposed Tarif '!U158</f>
        <v>0</v>
      </c>
      <c r="H160" s="195"/>
      <c r="I160" s="195"/>
      <c r="J160" s="195"/>
      <c r="K160" s="254">
        <f t="shared" ref="K160:K170" si="95">G160+H160+I160+J160</f>
        <v>0</v>
      </c>
    </row>
    <row r="161" spans="3:11" ht="12.95" customHeight="1">
      <c r="C161" s="236" t="s">
        <v>914</v>
      </c>
      <c r="D161" s="236"/>
      <c r="E161" s="195">
        <f>'12|Total Rev Proposed Tarif '!S159</f>
        <v>160.99624190402648</v>
      </c>
      <c r="F161" s="195">
        <f>'12|Total Rev Proposed Tarif '!T159</f>
        <v>0</v>
      </c>
      <c r="G161" s="195">
        <f>'12|Total Rev Proposed Tarif '!U159</f>
        <v>160.99624190402648</v>
      </c>
      <c r="H161" s="195"/>
      <c r="I161" s="195"/>
      <c r="J161" s="195"/>
      <c r="K161" s="254">
        <f t="shared" si="95"/>
        <v>160.99624190402648</v>
      </c>
    </row>
    <row r="162" spans="3:11" ht="12.95" customHeight="1">
      <c r="C162" s="236" t="s">
        <v>915</v>
      </c>
      <c r="D162" s="236"/>
      <c r="E162" s="195">
        <f>'12|Total Rev Proposed Tarif '!S160</f>
        <v>152.23218608004669</v>
      </c>
      <c r="F162" s="195">
        <f>'12|Total Rev Proposed Tarif '!T160</f>
        <v>0</v>
      </c>
      <c r="G162" s="195">
        <f>'12|Total Rev Proposed Tarif '!U160</f>
        <v>152.23218608004669</v>
      </c>
      <c r="H162" s="195"/>
      <c r="I162" s="195"/>
      <c r="J162" s="195"/>
      <c r="K162" s="254">
        <f t="shared" si="95"/>
        <v>152.23218608004669</v>
      </c>
    </row>
    <row r="163" spans="3:11" ht="12.95" customHeight="1">
      <c r="C163" s="236" t="s">
        <v>916</v>
      </c>
      <c r="D163" s="236"/>
      <c r="E163" s="195">
        <f>'12|Total Rev Proposed Tarif '!S161</f>
        <v>222.53273823915316</v>
      </c>
      <c r="F163" s="195">
        <f>'12|Total Rev Proposed Tarif '!T161</f>
        <v>0</v>
      </c>
      <c r="G163" s="195">
        <f>'12|Total Rev Proposed Tarif '!U161</f>
        <v>222.53273823915316</v>
      </c>
      <c r="H163" s="195"/>
      <c r="I163" s="195"/>
      <c r="J163" s="195"/>
      <c r="K163" s="254">
        <f t="shared" si="95"/>
        <v>222.53273823915316</v>
      </c>
    </row>
    <row r="164" spans="3:11">
      <c r="C164" s="236" t="s">
        <v>917</v>
      </c>
      <c r="D164" s="236"/>
      <c r="E164" s="195">
        <f>'12|Total Rev Proposed Tarif '!S162</f>
        <v>0</v>
      </c>
      <c r="F164" s="195">
        <f>'12|Total Rev Proposed Tarif '!T162</f>
        <v>0</v>
      </c>
      <c r="G164" s="195">
        <f>'12|Total Rev Proposed Tarif '!U162</f>
        <v>0</v>
      </c>
      <c r="H164" s="195"/>
      <c r="I164" s="195"/>
      <c r="J164" s="195"/>
      <c r="K164" s="254">
        <f t="shared" si="95"/>
        <v>0</v>
      </c>
    </row>
    <row r="165" spans="3:11">
      <c r="C165" s="236" t="s">
        <v>914</v>
      </c>
      <c r="D165" s="236"/>
      <c r="E165" s="195">
        <f>'12|Total Rev Proposed Tarif '!S163</f>
        <v>162.86356064238916</v>
      </c>
      <c r="F165" s="195">
        <f>'12|Total Rev Proposed Tarif '!T163</f>
        <v>0</v>
      </c>
      <c r="G165" s="195">
        <f>'12|Total Rev Proposed Tarif '!U163</f>
        <v>162.86356064238916</v>
      </c>
      <c r="H165" s="195"/>
      <c r="I165" s="195"/>
      <c r="J165" s="195"/>
      <c r="K165" s="254">
        <f t="shared" si="95"/>
        <v>162.86356064238916</v>
      </c>
    </row>
    <row r="166" spans="3:11" ht="14.25" customHeight="1">
      <c r="C166" s="236" t="s">
        <v>915</v>
      </c>
      <c r="D166" s="236"/>
      <c r="E166" s="195">
        <f>'12|Total Rev Proposed Tarif '!S164</f>
        <v>164.48623760823963</v>
      </c>
      <c r="F166" s="195">
        <f>'12|Total Rev Proposed Tarif '!T164</f>
        <v>0</v>
      </c>
      <c r="G166" s="195">
        <f>'12|Total Rev Proposed Tarif '!U164</f>
        <v>164.48623760823963</v>
      </c>
      <c r="H166" s="195"/>
      <c r="I166" s="195"/>
      <c r="J166" s="195"/>
      <c r="K166" s="254">
        <f t="shared" si="95"/>
        <v>164.48623760823963</v>
      </c>
    </row>
    <row r="167" spans="3:11" ht="14.25" customHeight="1">
      <c r="C167" s="236" t="s">
        <v>916</v>
      </c>
      <c r="D167" s="236"/>
      <c r="E167" s="195">
        <f>'12|Total Rev Proposed Tarif '!S165</f>
        <v>63.512739809190613</v>
      </c>
      <c r="F167" s="195">
        <f>'12|Total Rev Proposed Tarif '!T165</f>
        <v>0</v>
      </c>
      <c r="G167" s="195">
        <f>'12|Total Rev Proposed Tarif '!U165</f>
        <v>63.512739809190613</v>
      </c>
      <c r="H167" s="195"/>
      <c r="I167" s="195"/>
      <c r="J167" s="195"/>
      <c r="K167" s="254">
        <f t="shared" si="95"/>
        <v>63.512739809190613</v>
      </c>
    </row>
    <row r="168" spans="3:11" ht="14.25" customHeight="1">
      <c r="C168" s="236" t="s">
        <v>592</v>
      </c>
      <c r="D168" s="236"/>
      <c r="E168" s="195">
        <f>'12|Total Rev Proposed Tarif '!S166</f>
        <v>27.83798313803705</v>
      </c>
      <c r="F168" s="195">
        <f>'12|Total Rev Proposed Tarif '!T166</f>
        <v>0</v>
      </c>
      <c r="G168" s="195">
        <f>'12|Total Rev Proposed Tarif '!U166</f>
        <v>27.83798313803705</v>
      </c>
      <c r="H168" s="195"/>
      <c r="I168" s="195"/>
      <c r="J168" s="195"/>
      <c r="K168" s="254">
        <f t="shared" si="95"/>
        <v>27.83798313803705</v>
      </c>
    </row>
    <row r="169" spans="3:11" ht="14.25" customHeight="1">
      <c r="C169" s="251" t="s">
        <v>754</v>
      </c>
      <c r="D169" s="251"/>
      <c r="E169" s="195">
        <f>'12|Total Rev Proposed Tarif '!S167</f>
        <v>0</v>
      </c>
      <c r="F169" s="195">
        <f>'12|Total Rev Proposed Tarif '!T167</f>
        <v>0</v>
      </c>
      <c r="G169" s="195">
        <f>'12|Total Rev Proposed Tarif '!U167</f>
        <v>0</v>
      </c>
      <c r="H169" s="195"/>
      <c r="I169" s="195"/>
      <c r="J169" s="195"/>
      <c r="K169" s="254">
        <f t="shared" si="95"/>
        <v>0</v>
      </c>
    </row>
    <row r="170" spans="3:11" ht="15" customHeight="1">
      <c r="C170" s="251" t="s">
        <v>755</v>
      </c>
      <c r="D170" s="251"/>
      <c r="E170" s="195">
        <f>'12|Total Rev Proposed Tarif '!S168</f>
        <v>1108.1116822545278</v>
      </c>
      <c r="F170" s="195">
        <f>'12|Total Rev Proposed Tarif '!T168</f>
        <v>0</v>
      </c>
      <c r="G170" s="195">
        <f>'12|Total Rev Proposed Tarif '!U168</f>
        <v>1108.1116822545278</v>
      </c>
      <c r="H170" s="195"/>
      <c r="I170" s="195"/>
      <c r="J170" s="195"/>
      <c r="K170" s="254">
        <f t="shared" si="95"/>
        <v>1108.1116822545278</v>
      </c>
    </row>
    <row r="171" spans="3:11" ht="15" customHeight="1">
      <c r="C171" s="239" t="s">
        <v>751</v>
      </c>
      <c r="D171" s="239"/>
      <c r="E171" s="240">
        <f t="shared" ref="E171" si="96">SUM(E172:E175)</f>
        <v>0</v>
      </c>
      <c r="F171" s="240">
        <f t="shared" ref="F171:G171" si="97">SUM(F172:F175)</f>
        <v>0</v>
      </c>
      <c r="G171" s="240">
        <f t="shared" si="97"/>
        <v>0</v>
      </c>
      <c r="H171" s="240">
        <f t="shared" ref="H171:K171" si="98">SUM(H172:H175)</f>
        <v>0</v>
      </c>
      <c r="I171" s="240">
        <f t="shared" si="98"/>
        <v>0</v>
      </c>
      <c r="J171" s="240">
        <f t="shared" si="98"/>
        <v>0</v>
      </c>
      <c r="K171" s="241">
        <f t="shared" si="98"/>
        <v>0</v>
      </c>
    </row>
    <row r="172" spans="3:11" ht="21">
      <c r="C172" s="236" t="s">
        <v>756</v>
      </c>
      <c r="D172" s="236"/>
      <c r="E172" s="195">
        <f>'12|Total Rev Proposed Tarif '!S170</f>
        <v>0</v>
      </c>
      <c r="F172" s="195">
        <f>'12|Total Rev Proposed Tarif '!T170</f>
        <v>0</v>
      </c>
      <c r="G172" s="195">
        <f>'12|Total Rev Proposed Tarif '!U170</f>
        <v>0</v>
      </c>
      <c r="H172" s="195"/>
      <c r="I172" s="195"/>
      <c r="J172" s="195"/>
      <c r="K172" s="254">
        <f t="shared" ref="K172:K175" si="99">G172+H172+I172+J172</f>
        <v>0</v>
      </c>
    </row>
    <row r="173" spans="3:11">
      <c r="C173" s="236" t="s">
        <v>757</v>
      </c>
      <c r="D173" s="236"/>
      <c r="E173" s="195">
        <f>'12|Total Rev Proposed Tarif '!S171</f>
        <v>0</v>
      </c>
      <c r="F173" s="195">
        <f>'12|Total Rev Proposed Tarif '!T171</f>
        <v>0</v>
      </c>
      <c r="G173" s="195">
        <f>'12|Total Rev Proposed Tarif '!U171</f>
        <v>0</v>
      </c>
      <c r="H173" s="195"/>
      <c r="I173" s="195"/>
      <c r="J173" s="195"/>
      <c r="K173" s="254">
        <f t="shared" si="99"/>
        <v>0</v>
      </c>
    </row>
    <row r="174" spans="3:11">
      <c r="C174" s="236" t="s">
        <v>758</v>
      </c>
      <c r="D174" s="236"/>
      <c r="E174" s="195">
        <f>'12|Total Rev Proposed Tarif '!S172</f>
        <v>0</v>
      </c>
      <c r="F174" s="195">
        <f>'12|Total Rev Proposed Tarif '!T172</f>
        <v>0</v>
      </c>
      <c r="G174" s="195">
        <f>'12|Total Rev Proposed Tarif '!U172</f>
        <v>0</v>
      </c>
      <c r="H174" s="195"/>
      <c r="I174" s="195"/>
      <c r="J174" s="195"/>
      <c r="K174" s="254">
        <f t="shared" si="99"/>
        <v>0</v>
      </c>
    </row>
    <row r="175" spans="3:11">
      <c r="C175" s="236" t="s">
        <v>759</v>
      </c>
      <c r="D175" s="236"/>
      <c r="E175" s="195">
        <f>'12|Total Rev Proposed Tarif '!S173</f>
        <v>0</v>
      </c>
      <c r="F175" s="195">
        <f>'12|Total Rev Proposed Tarif '!T173</f>
        <v>0</v>
      </c>
      <c r="G175" s="195">
        <f>'12|Total Rev Proposed Tarif '!U173</f>
        <v>0</v>
      </c>
      <c r="H175" s="195"/>
      <c r="I175" s="195"/>
      <c r="J175" s="195"/>
      <c r="K175" s="254">
        <f t="shared" si="99"/>
        <v>0</v>
      </c>
    </row>
    <row r="176" spans="3:11">
      <c r="C176" s="239" t="s">
        <v>752</v>
      </c>
      <c r="D176" s="239"/>
      <c r="E176" s="240">
        <f t="shared" ref="E176" si="100">E177+E178</f>
        <v>176.48938225255799</v>
      </c>
      <c r="F176" s="240">
        <f t="shared" ref="F176:G176" si="101">F177+F178</f>
        <v>0</v>
      </c>
      <c r="G176" s="240">
        <f t="shared" si="101"/>
        <v>176.48938225255799</v>
      </c>
      <c r="H176" s="240">
        <f t="shared" ref="H176:K176" si="102">H177+H178</f>
        <v>0</v>
      </c>
      <c r="I176" s="240">
        <f t="shared" si="102"/>
        <v>0</v>
      </c>
      <c r="J176" s="240">
        <f t="shared" si="102"/>
        <v>0</v>
      </c>
      <c r="K176" s="241">
        <f t="shared" si="102"/>
        <v>176.48938225255799</v>
      </c>
    </row>
    <row r="177" spans="3:11">
      <c r="C177" s="236" t="s">
        <v>760</v>
      </c>
      <c r="D177" s="236"/>
      <c r="E177" s="195">
        <f>'12|Total Rev Proposed Tarif '!S175</f>
        <v>0</v>
      </c>
      <c r="F177" s="195">
        <f>'12|Total Rev Proposed Tarif '!T175</f>
        <v>0</v>
      </c>
      <c r="G177" s="195">
        <f>'12|Total Rev Proposed Tarif '!U175</f>
        <v>0</v>
      </c>
      <c r="H177" s="195"/>
      <c r="I177" s="195"/>
      <c r="J177" s="195"/>
      <c r="K177" s="254">
        <f t="shared" ref="K177:K178" si="103">G177+H177+I177+J177</f>
        <v>0</v>
      </c>
    </row>
    <row r="178" spans="3:11">
      <c r="C178" s="236" t="s">
        <v>761</v>
      </c>
      <c r="D178" s="236"/>
      <c r="E178" s="195">
        <f>'12|Total Rev Proposed Tarif '!S176</f>
        <v>176.48938225255799</v>
      </c>
      <c r="F178" s="195">
        <f>'12|Total Rev Proposed Tarif '!T176</f>
        <v>0</v>
      </c>
      <c r="G178" s="195">
        <f>'12|Total Rev Proposed Tarif '!U176</f>
        <v>176.48938225255799</v>
      </c>
      <c r="H178" s="195"/>
      <c r="I178" s="195"/>
      <c r="J178" s="195"/>
      <c r="K178" s="254">
        <f t="shared" si="103"/>
        <v>176.48938225255799</v>
      </c>
    </row>
    <row r="179" spans="3:11">
      <c r="C179" s="239" t="s">
        <v>643</v>
      </c>
      <c r="D179" s="239"/>
      <c r="E179" s="240">
        <f t="shared" ref="E179" si="104">E55+E87+E118+E149</f>
        <v>10539.753436965415</v>
      </c>
      <c r="F179" s="240">
        <f t="shared" ref="F179:G179" si="105">F55+F87+F118+F149</f>
        <v>0</v>
      </c>
      <c r="G179" s="240">
        <f t="shared" si="105"/>
        <v>10539.753436965415</v>
      </c>
      <c r="H179" s="240">
        <f t="shared" ref="H179:K179" si="106">H55+H87+H118+H149</f>
        <v>0</v>
      </c>
      <c r="I179" s="240">
        <f t="shared" si="106"/>
        <v>0</v>
      </c>
      <c r="J179" s="240">
        <f t="shared" si="106"/>
        <v>0</v>
      </c>
      <c r="K179" s="241">
        <f t="shared" si="106"/>
        <v>10539.753436965415</v>
      </c>
    </row>
    <row r="180" spans="3:11" ht="11.25" thickBot="1">
      <c r="C180" s="262" t="s">
        <v>644</v>
      </c>
      <c r="D180" s="262"/>
      <c r="E180" s="264">
        <f t="shared" ref="E180" si="107">E52+E179</f>
        <v>17432.328517686001</v>
      </c>
      <c r="F180" s="264">
        <f t="shared" ref="F180:G180" si="108">F52+F179</f>
        <v>0</v>
      </c>
      <c r="G180" s="264">
        <f t="shared" si="108"/>
        <v>17432.328517686001</v>
      </c>
      <c r="H180" s="264">
        <f t="shared" ref="H180:K180" si="109">H52+H179</f>
        <v>0</v>
      </c>
      <c r="I180" s="264">
        <f t="shared" si="109"/>
        <v>0</v>
      </c>
      <c r="J180" s="264">
        <f t="shared" si="109"/>
        <v>0</v>
      </c>
      <c r="K180" s="265">
        <f t="shared" si="109"/>
        <v>17432.328517686001</v>
      </c>
    </row>
  </sheetData>
  <mergeCells count="7">
    <mergeCell ref="C6:C8"/>
    <mergeCell ref="D6:D8"/>
    <mergeCell ref="E6:K6"/>
    <mergeCell ref="E7:G7"/>
    <mergeCell ref="H7:I7"/>
    <mergeCell ref="J7:J8"/>
    <mergeCell ref="K7:K8"/>
  </mergeCells>
  <phoneticPr fontId="11" type="noConversion"/>
  <dataValidations count="2">
    <dataValidation type="decimal" allowBlank="1" showInputMessage="1" showErrorMessage="1" sqref="E1:K5 H15:J16 H18:J18 H13:J13 H24:J25 H22:J22 H51:J51 H40:J40 H48:J48 E7:K10 E181:K65534">
      <formula1>-9.99999999999999E+23</formula1>
      <formula2>9.99999999999999E+25</formula2>
    </dataValidation>
    <dataValidation type="decimal" allowBlank="1" showInputMessage="1" showErrorMessage="1" sqref="E87:K87 E151:K151 E140:K140 E145:K145 E149:K149 E77:K77 E82:K82 E118:K118 E89:K89 E57:K57 E55:K55 E64:K65 E96:K96 E120:K120 E109:K109 E114:K114 E127:K128 E158:K159 E176:K176 E171:K171 E179:K180">
      <formula1>0</formula1>
      <formula2>9.99999999999999E+30</formula2>
    </dataValidation>
  </dataValidations>
  <hyperlinks>
    <hyperlink ref="A1" location="Index!A1" display="Index sheet"/>
    <hyperlink ref="D11" location="'12|Total Rev Proposed Tariff'!Print_Area" display="Form-12"/>
  </hyperlinks>
  <printOptions horizontalCentered="1"/>
  <pageMargins left="0.51181102362204722" right="0.51181102362204722" top="0.51181102362204722" bottom="0.51181102362204722" header="0.23622047244094491" footer="0.23622047244094491"/>
  <pageSetup paperSize="9" fitToHeight="5" orientation="landscape" blackAndWhite="1" r:id="rId1"/>
  <headerFooter alignWithMargins="0"/>
  <rowBreaks count="4" manualBreakCount="4">
    <brk id="41" min="2" max="10" man="1"/>
    <brk id="84" min="2" max="10" man="1"/>
    <brk id="113" min="2" max="10" man="1"/>
    <brk id="142" min="2" max="10" man="1"/>
  </rowBreaks>
</worksheet>
</file>

<file path=xl/worksheets/sheet38.xml><?xml version="1.0" encoding="utf-8"?>
<worksheet xmlns="http://schemas.openxmlformats.org/spreadsheetml/2006/main" xmlns:r="http://schemas.openxmlformats.org/officeDocument/2006/relationships">
  <sheetPr codeName="Sheet35"/>
  <dimension ref="A1:E163"/>
  <sheetViews>
    <sheetView topLeftCell="B16" zoomScaleSheetLayoutView="115" workbookViewId="0">
      <selection activeCell="C18" sqref="C18:G18"/>
    </sheetView>
  </sheetViews>
  <sheetFormatPr defaultRowHeight="10.5"/>
  <cols>
    <col min="1" max="1" width="9.140625" style="92" hidden="1" customWidth="1"/>
    <col min="2" max="2" width="49.5703125" style="92" customWidth="1"/>
    <col min="3" max="3" width="14.5703125" style="282" customWidth="1"/>
    <col min="4" max="4" width="14.7109375" style="104" customWidth="1"/>
    <col min="5" max="5" width="9.5703125" style="92" customWidth="1"/>
    <col min="6" max="16384" width="9.140625" style="92"/>
  </cols>
  <sheetData>
    <row r="1" spans="1:5">
      <c r="B1" s="136" t="s">
        <v>396</v>
      </c>
    </row>
    <row r="3" spans="1:5" s="91" customFormat="1">
      <c r="D3" s="283"/>
    </row>
    <row r="4" spans="1:5" s="91" customFormat="1">
      <c r="C4" s="284"/>
      <c r="D4" s="283"/>
    </row>
    <row r="5" spans="1:5" s="91" customFormat="1">
      <c r="C5" s="285" t="s">
        <v>48</v>
      </c>
      <c r="D5" s="283"/>
    </row>
    <row r="6" spans="1:5">
      <c r="B6" s="91" t="s">
        <v>379</v>
      </c>
      <c r="C6" s="284" t="s">
        <v>470</v>
      </c>
    </row>
    <row r="8" spans="1:5" ht="11.25" thickBot="1">
      <c r="B8" s="91" t="s">
        <v>974</v>
      </c>
    </row>
    <row r="9" spans="1:5" ht="12" customHeight="1">
      <c r="B9" s="1823" t="s">
        <v>342</v>
      </c>
      <c r="C9" s="1825" t="s">
        <v>98</v>
      </c>
      <c r="D9" s="1825"/>
      <c r="E9" s="1943" t="s">
        <v>365</v>
      </c>
    </row>
    <row r="10" spans="1:5" ht="24" customHeight="1">
      <c r="B10" s="1824"/>
      <c r="C10" s="286" t="s">
        <v>343</v>
      </c>
      <c r="D10" s="170" t="s">
        <v>469</v>
      </c>
      <c r="E10" s="1727"/>
    </row>
    <row r="11" spans="1:5" ht="12.75" customHeight="1">
      <c r="A11" s="92">
        <v>10074</v>
      </c>
      <c r="B11" s="173" t="s">
        <v>598</v>
      </c>
      <c r="C11" s="287"/>
      <c r="D11" s="287"/>
      <c r="E11" s="288"/>
    </row>
    <row r="12" spans="1:5" ht="13.5" customHeight="1">
      <c r="A12" s="92">
        <v>10054</v>
      </c>
      <c r="B12" s="204" t="s">
        <v>923</v>
      </c>
      <c r="C12" s="181"/>
      <c r="D12" s="181"/>
      <c r="E12" s="182"/>
    </row>
    <row r="13" spans="1:5" ht="12.75" customHeight="1">
      <c r="B13" s="183" t="s">
        <v>921</v>
      </c>
      <c r="C13" s="186"/>
      <c r="D13" s="186"/>
      <c r="E13" s="187"/>
    </row>
    <row r="14" spans="1:5">
      <c r="A14" s="92">
        <v>10055</v>
      </c>
      <c r="B14" s="189" t="s">
        <v>854</v>
      </c>
      <c r="C14" s="191"/>
      <c r="D14" s="191"/>
      <c r="E14" s="254"/>
    </row>
    <row r="15" spans="1:5">
      <c r="B15" s="189" t="s">
        <v>855</v>
      </c>
      <c r="C15" s="191"/>
      <c r="D15" s="191"/>
      <c r="E15" s="254"/>
    </row>
    <row r="16" spans="1:5">
      <c r="A16" s="92">
        <v>10077</v>
      </c>
      <c r="B16" s="189" t="s">
        <v>906</v>
      </c>
      <c r="C16" s="191"/>
      <c r="D16" s="191"/>
      <c r="E16" s="254"/>
    </row>
    <row r="17" spans="1:5">
      <c r="A17" s="92">
        <v>10058</v>
      </c>
      <c r="B17" s="189" t="s">
        <v>907</v>
      </c>
      <c r="C17" s="191"/>
      <c r="D17" s="191"/>
      <c r="E17" s="254"/>
    </row>
    <row r="18" spans="1:5">
      <c r="A18" s="92">
        <v>10085</v>
      </c>
      <c r="B18" s="189" t="s">
        <v>908</v>
      </c>
      <c r="C18" s="191"/>
      <c r="D18" s="191"/>
      <c r="E18" s="254"/>
    </row>
    <row r="19" spans="1:5">
      <c r="A19" s="92">
        <v>10063</v>
      </c>
      <c r="B19" s="189" t="s">
        <v>909</v>
      </c>
      <c r="C19" s="191"/>
      <c r="D19" s="191"/>
      <c r="E19" s="254"/>
    </row>
    <row r="20" spans="1:5" ht="21">
      <c r="A20" s="92">
        <v>10064</v>
      </c>
      <c r="B20" s="189" t="s">
        <v>910</v>
      </c>
      <c r="C20" s="191"/>
      <c r="D20" s="191"/>
      <c r="E20" s="254"/>
    </row>
    <row r="21" spans="1:5">
      <c r="B21" s="204" t="s">
        <v>922</v>
      </c>
      <c r="C21" s="181"/>
      <c r="D21" s="181"/>
      <c r="E21" s="182"/>
    </row>
    <row r="22" spans="1:5">
      <c r="B22" s="183" t="s">
        <v>924</v>
      </c>
      <c r="C22" s="186"/>
      <c r="D22" s="186"/>
      <c r="E22" s="187"/>
    </row>
    <row r="23" spans="1:5">
      <c r="B23" s="189" t="s">
        <v>583</v>
      </c>
      <c r="C23" s="191"/>
      <c r="D23" s="191"/>
      <c r="E23" s="254"/>
    </row>
    <row r="24" spans="1:5">
      <c r="B24" s="189" t="s">
        <v>584</v>
      </c>
      <c r="C24" s="191"/>
      <c r="D24" s="191"/>
      <c r="E24" s="254"/>
    </row>
    <row r="25" spans="1:5">
      <c r="B25" s="189" t="s">
        <v>585</v>
      </c>
      <c r="C25" s="191"/>
      <c r="D25" s="191"/>
      <c r="E25" s="254"/>
    </row>
    <row r="26" spans="1:5">
      <c r="B26" s="189" t="s">
        <v>586</v>
      </c>
      <c r="C26" s="191"/>
      <c r="D26" s="191"/>
      <c r="E26" s="254"/>
    </row>
    <row r="27" spans="1:5">
      <c r="B27" s="189" t="s">
        <v>587</v>
      </c>
      <c r="C27" s="191"/>
      <c r="D27" s="191"/>
      <c r="E27" s="254"/>
    </row>
    <row r="28" spans="1:5">
      <c r="B28" s="183" t="s">
        <v>911</v>
      </c>
      <c r="C28" s="186"/>
      <c r="D28" s="186"/>
      <c r="E28" s="187"/>
    </row>
    <row r="29" spans="1:5">
      <c r="B29" s="183" t="s">
        <v>925</v>
      </c>
      <c r="C29" s="186"/>
      <c r="D29" s="186"/>
      <c r="E29" s="187"/>
    </row>
    <row r="30" spans="1:5">
      <c r="B30" s="183" t="s">
        <v>723</v>
      </c>
      <c r="C30" s="186"/>
      <c r="D30" s="186"/>
      <c r="E30" s="187"/>
    </row>
    <row r="31" spans="1:5">
      <c r="B31" s="183" t="s">
        <v>724</v>
      </c>
      <c r="C31" s="186"/>
      <c r="D31" s="186"/>
      <c r="E31" s="187"/>
    </row>
    <row r="32" spans="1:5" ht="8.25" customHeight="1">
      <c r="A32" s="92">
        <v>10055</v>
      </c>
      <c r="B32" s="183" t="s">
        <v>725</v>
      </c>
      <c r="C32" s="186"/>
      <c r="D32" s="186"/>
      <c r="E32" s="187"/>
    </row>
    <row r="33" spans="1:5" ht="10.5" customHeight="1">
      <c r="B33" s="204" t="s">
        <v>926</v>
      </c>
      <c r="C33" s="181"/>
      <c r="D33" s="181"/>
      <c r="E33" s="182"/>
    </row>
    <row r="34" spans="1:5">
      <c r="A34" s="92">
        <v>10077</v>
      </c>
      <c r="B34" s="189" t="s">
        <v>927</v>
      </c>
      <c r="C34" s="191"/>
      <c r="D34" s="191"/>
      <c r="E34" s="254"/>
    </row>
    <row r="35" spans="1:5">
      <c r="A35" s="92">
        <v>10058</v>
      </c>
      <c r="B35" s="189" t="s">
        <v>726</v>
      </c>
      <c r="C35" s="191"/>
      <c r="D35" s="191"/>
      <c r="E35" s="254"/>
    </row>
    <row r="36" spans="1:5" ht="11.25" customHeight="1">
      <c r="A36" s="92">
        <v>10085</v>
      </c>
      <c r="B36" s="189" t="s">
        <v>928</v>
      </c>
      <c r="C36" s="191"/>
      <c r="D36" s="191"/>
      <c r="E36" s="254"/>
    </row>
    <row r="37" spans="1:5">
      <c r="A37" s="92">
        <v>10063</v>
      </c>
      <c r="B37" s="204" t="s">
        <v>727</v>
      </c>
      <c r="C37" s="181"/>
      <c r="D37" s="181"/>
      <c r="E37" s="182"/>
    </row>
    <row r="38" spans="1:5" ht="21">
      <c r="A38" s="92">
        <v>10064</v>
      </c>
      <c r="B38" s="183" t="s">
        <v>728</v>
      </c>
      <c r="C38" s="186"/>
      <c r="D38" s="186"/>
      <c r="E38" s="187"/>
    </row>
    <row r="39" spans="1:5">
      <c r="B39" s="183" t="s">
        <v>729</v>
      </c>
      <c r="C39" s="186"/>
      <c r="D39" s="186"/>
      <c r="E39" s="187"/>
    </row>
    <row r="40" spans="1:5">
      <c r="B40" s="183" t="s">
        <v>730</v>
      </c>
      <c r="C40" s="186"/>
      <c r="D40" s="186"/>
      <c r="E40" s="187"/>
    </row>
    <row r="41" spans="1:5" ht="12.75" customHeight="1">
      <c r="B41" s="140" t="s">
        <v>689</v>
      </c>
      <c r="C41" s="199"/>
      <c r="D41" s="199"/>
      <c r="E41" s="249"/>
    </row>
    <row r="42" spans="1:5" ht="12.75" customHeight="1">
      <c r="B42" s="140" t="s">
        <v>690</v>
      </c>
      <c r="C42" s="199"/>
      <c r="D42" s="199"/>
      <c r="E42" s="249"/>
    </row>
    <row r="43" spans="1:5">
      <c r="B43" s="204" t="s">
        <v>731</v>
      </c>
      <c r="C43" s="181"/>
      <c r="D43" s="181"/>
      <c r="E43" s="182"/>
    </row>
    <row r="44" spans="1:5">
      <c r="B44" s="215" t="s">
        <v>732</v>
      </c>
      <c r="C44" s="217"/>
      <c r="D44" s="217"/>
      <c r="E44" s="219"/>
    </row>
    <row r="45" spans="1:5">
      <c r="B45" s="189" t="s">
        <v>912</v>
      </c>
      <c r="C45" s="191"/>
      <c r="D45" s="191"/>
      <c r="E45" s="254"/>
    </row>
    <row r="46" spans="1:5">
      <c r="B46" s="189" t="s">
        <v>913</v>
      </c>
      <c r="C46" s="191"/>
      <c r="D46" s="191"/>
      <c r="E46" s="254"/>
    </row>
    <row r="47" spans="1:5">
      <c r="B47" s="189" t="s">
        <v>733</v>
      </c>
      <c r="C47" s="191"/>
      <c r="D47" s="191"/>
      <c r="E47" s="254"/>
    </row>
    <row r="48" spans="1:5">
      <c r="B48" s="189" t="s">
        <v>734</v>
      </c>
      <c r="C48" s="191"/>
      <c r="D48" s="191"/>
      <c r="E48" s="254"/>
    </row>
    <row r="49" spans="1:5">
      <c r="B49" s="189" t="s">
        <v>735</v>
      </c>
      <c r="C49" s="191"/>
      <c r="D49" s="191"/>
      <c r="E49" s="254"/>
    </row>
    <row r="50" spans="1:5">
      <c r="B50" s="220" t="s">
        <v>736</v>
      </c>
      <c r="C50" s="289"/>
      <c r="D50" s="289"/>
      <c r="E50" s="290"/>
    </row>
    <row r="51" spans="1:5">
      <c r="B51" s="215" t="s">
        <v>691</v>
      </c>
      <c r="C51" s="217"/>
      <c r="D51" s="217"/>
      <c r="E51" s="219"/>
    </row>
    <row r="52" spans="1:5">
      <c r="B52" s="189" t="s">
        <v>737</v>
      </c>
      <c r="C52" s="191"/>
      <c r="D52" s="191"/>
      <c r="E52" s="254"/>
    </row>
    <row r="53" spans="1:5">
      <c r="B53" s="189" t="s">
        <v>741</v>
      </c>
      <c r="C53" s="191"/>
      <c r="D53" s="191"/>
      <c r="E53" s="254"/>
    </row>
    <row r="54" spans="1:5">
      <c r="B54" s="223" t="s">
        <v>600</v>
      </c>
      <c r="C54" s="174"/>
      <c r="D54" s="174"/>
      <c r="E54" s="225"/>
    </row>
    <row r="55" spans="1:5" ht="11.25" customHeight="1">
      <c r="B55" s="291"/>
      <c r="C55" s="228"/>
      <c r="D55" s="228"/>
      <c r="E55" s="292"/>
    </row>
    <row r="56" spans="1:5" ht="11.25" customHeight="1">
      <c r="B56" s="293" t="s">
        <v>601</v>
      </c>
      <c r="C56" s="234"/>
      <c r="D56" s="234"/>
      <c r="E56" s="294"/>
    </row>
    <row r="57" spans="1:5">
      <c r="B57" s="295" t="s">
        <v>602</v>
      </c>
      <c r="C57" s="296"/>
      <c r="D57" s="296"/>
      <c r="E57" s="297"/>
    </row>
    <row r="58" spans="1:5">
      <c r="B58" s="239" t="s">
        <v>712</v>
      </c>
      <c r="C58" s="240"/>
      <c r="D58" s="240"/>
      <c r="E58" s="241"/>
    </row>
    <row r="59" spans="1:5">
      <c r="B59" s="298" t="s">
        <v>713</v>
      </c>
      <c r="C59" s="194"/>
      <c r="D59" s="194"/>
      <c r="E59" s="299"/>
    </row>
    <row r="60" spans="1:5">
      <c r="B60" s="239" t="s">
        <v>695</v>
      </c>
      <c r="C60" s="240"/>
      <c r="D60" s="240"/>
      <c r="E60" s="241"/>
    </row>
    <row r="61" spans="1:5">
      <c r="B61" s="298" t="s">
        <v>696</v>
      </c>
      <c r="C61" s="194"/>
      <c r="D61" s="194"/>
      <c r="E61" s="299"/>
    </row>
    <row r="62" spans="1:5">
      <c r="A62" s="92">
        <v>10071</v>
      </c>
      <c r="B62" s="298" t="s">
        <v>697</v>
      </c>
      <c r="C62" s="194"/>
      <c r="D62" s="194"/>
      <c r="E62" s="299"/>
    </row>
    <row r="63" spans="1:5">
      <c r="A63" s="92">
        <v>10043</v>
      </c>
      <c r="B63" s="298" t="s">
        <v>682</v>
      </c>
      <c r="C63" s="194"/>
      <c r="D63" s="194"/>
      <c r="E63" s="299"/>
    </row>
    <row r="64" spans="1:5">
      <c r="A64" s="92">
        <v>10107</v>
      </c>
      <c r="B64" s="298" t="s">
        <v>683</v>
      </c>
      <c r="C64" s="194"/>
      <c r="D64" s="194"/>
      <c r="E64" s="299"/>
    </row>
    <row r="65" spans="1:5">
      <c r="A65" s="92">
        <v>10111</v>
      </c>
      <c r="B65" s="298" t="s">
        <v>684</v>
      </c>
      <c r="C65" s="194"/>
      <c r="D65" s="194"/>
      <c r="E65" s="299"/>
    </row>
    <row r="66" spans="1:5">
      <c r="B66" s="298" t="s">
        <v>685</v>
      </c>
      <c r="C66" s="194"/>
      <c r="D66" s="194"/>
      <c r="E66" s="299"/>
    </row>
    <row r="67" spans="1:5">
      <c r="B67" s="239" t="s">
        <v>698</v>
      </c>
      <c r="C67" s="240"/>
      <c r="D67" s="240"/>
      <c r="E67" s="241"/>
    </row>
    <row r="68" spans="1:5">
      <c r="A68" s="92">
        <v>10118</v>
      </c>
      <c r="B68" s="298" t="s">
        <v>699</v>
      </c>
      <c r="C68" s="194"/>
      <c r="D68" s="194"/>
      <c r="E68" s="299"/>
    </row>
    <row r="69" spans="1:5">
      <c r="A69" s="92">
        <v>10153</v>
      </c>
      <c r="B69" s="298" t="s">
        <v>914</v>
      </c>
      <c r="C69" s="194"/>
      <c r="D69" s="194"/>
      <c r="E69" s="299"/>
    </row>
    <row r="70" spans="1:5">
      <c r="A70" s="92">
        <v>10156</v>
      </c>
      <c r="B70" s="298" t="s">
        <v>915</v>
      </c>
      <c r="C70" s="194"/>
      <c r="D70" s="194"/>
      <c r="E70" s="299"/>
    </row>
    <row r="71" spans="1:5">
      <c r="B71" s="298" t="s">
        <v>916</v>
      </c>
      <c r="C71" s="194"/>
      <c r="D71" s="194"/>
      <c r="E71" s="299"/>
    </row>
    <row r="72" spans="1:5">
      <c r="B72" s="298" t="s">
        <v>592</v>
      </c>
      <c r="C72" s="194"/>
      <c r="D72" s="194"/>
      <c r="E72" s="299"/>
    </row>
    <row r="73" spans="1:5">
      <c r="B73" s="298" t="s">
        <v>702</v>
      </c>
      <c r="C73" s="194"/>
      <c r="D73" s="194"/>
      <c r="E73" s="299"/>
    </row>
    <row r="74" spans="1:5">
      <c r="A74" s="92">
        <v>10159</v>
      </c>
      <c r="B74" s="298" t="s">
        <v>703</v>
      </c>
      <c r="C74" s="194"/>
      <c r="D74" s="194"/>
      <c r="E74" s="299"/>
    </row>
    <row r="75" spans="1:5">
      <c r="B75" s="239" t="s">
        <v>714</v>
      </c>
      <c r="C75" s="240"/>
      <c r="D75" s="240"/>
      <c r="E75" s="241"/>
    </row>
    <row r="76" spans="1:5" ht="9.75" customHeight="1">
      <c r="B76" s="298" t="s">
        <v>708</v>
      </c>
      <c r="C76" s="194"/>
      <c r="D76" s="194"/>
      <c r="E76" s="299"/>
    </row>
    <row r="77" spans="1:5">
      <c r="B77" s="298" t="s">
        <v>687</v>
      </c>
      <c r="C77" s="194"/>
      <c r="D77" s="194"/>
      <c r="E77" s="299"/>
    </row>
    <row r="78" spans="1:5">
      <c r="B78" s="298" t="s">
        <v>688</v>
      </c>
      <c r="C78" s="194"/>
      <c r="D78" s="194"/>
      <c r="E78" s="299"/>
    </row>
    <row r="79" spans="1:5" ht="10.5" customHeight="1">
      <c r="B79" s="298" t="s">
        <v>704</v>
      </c>
      <c r="C79" s="194"/>
      <c r="D79" s="194"/>
      <c r="E79" s="299"/>
    </row>
    <row r="80" spans="1:5" ht="11.25" customHeight="1">
      <c r="B80" s="239" t="s">
        <v>715</v>
      </c>
      <c r="C80" s="240"/>
      <c r="D80" s="240"/>
      <c r="E80" s="241"/>
    </row>
    <row r="81" spans="1:5">
      <c r="B81" s="298" t="s">
        <v>692</v>
      </c>
      <c r="C81" s="194"/>
      <c r="D81" s="194"/>
      <c r="E81" s="299"/>
    </row>
    <row r="82" spans="1:5">
      <c r="B82" s="298" t="s">
        <v>707</v>
      </c>
      <c r="C82" s="194"/>
      <c r="D82" s="194"/>
      <c r="E82" s="299"/>
    </row>
    <row r="83" spans="1:5">
      <c r="B83" s="300"/>
      <c r="C83" s="95"/>
      <c r="D83" s="95"/>
      <c r="E83" s="146"/>
    </row>
    <row r="84" spans="1:5">
      <c r="B84" s="293" t="s">
        <v>717</v>
      </c>
      <c r="C84" s="234"/>
      <c r="D84" s="234"/>
      <c r="E84" s="294"/>
    </row>
    <row r="85" spans="1:5">
      <c r="B85" s="239" t="s">
        <v>712</v>
      </c>
      <c r="C85" s="240"/>
      <c r="D85" s="240"/>
      <c r="E85" s="241"/>
    </row>
    <row r="86" spans="1:5" ht="21">
      <c r="B86" s="298" t="s">
        <v>718</v>
      </c>
      <c r="C86" s="194"/>
      <c r="D86" s="194"/>
      <c r="E86" s="299"/>
    </row>
    <row r="87" spans="1:5">
      <c r="B87" s="239" t="s">
        <v>695</v>
      </c>
      <c r="C87" s="240"/>
      <c r="D87" s="240"/>
      <c r="E87" s="241"/>
    </row>
    <row r="88" spans="1:5">
      <c r="B88" s="298" t="s">
        <v>696</v>
      </c>
      <c r="C88" s="194"/>
      <c r="D88" s="194"/>
      <c r="E88" s="299"/>
    </row>
    <row r="89" spans="1:5">
      <c r="B89" s="298" t="s">
        <v>719</v>
      </c>
      <c r="C89" s="194"/>
      <c r="D89" s="194"/>
      <c r="E89" s="299"/>
    </row>
    <row r="90" spans="1:5">
      <c r="B90" s="298" t="s">
        <v>682</v>
      </c>
      <c r="C90" s="194"/>
      <c r="D90" s="194"/>
      <c r="E90" s="299"/>
    </row>
    <row r="91" spans="1:5">
      <c r="A91" s="92">
        <v>10072</v>
      </c>
      <c r="B91" s="298" t="s">
        <v>683</v>
      </c>
      <c r="C91" s="194"/>
      <c r="D91" s="194"/>
      <c r="E91" s="299"/>
    </row>
    <row r="92" spans="1:5">
      <c r="A92" s="92">
        <v>10042</v>
      </c>
      <c r="B92" s="298" t="s">
        <v>684</v>
      </c>
      <c r="C92" s="194"/>
      <c r="D92" s="194"/>
      <c r="E92" s="299"/>
    </row>
    <row r="93" spans="1:5">
      <c r="A93" s="92">
        <v>10106</v>
      </c>
      <c r="B93" s="298" t="s">
        <v>685</v>
      </c>
      <c r="C93" s="194"/>
      <c r="D93" s="194"/>
      <c r="E93" s="299"/>
    </row>
    <row r="94" spans="1:5">
      <c r="A94" s="92">
        <v>10110</v>
      </c>
      <c r="B94" s="239" t="s">
        <v>698</v>
      </c>
      <c r="C94" s="240"/>
      <c r="D94" s="240"/>
      <c r="E94" s="241"/>
    </row>
    <row r="95" spans="1:5">
      <c r="A95" s="92">
        <v>10117</v>
      </c>
      <c r="B95" s="298" t="s">
        <v>699</v>
      </c>
      <c r="C95" s="194"/>
      <c r="D95" s="194"/>
      <c r="E95" s="299"/>
    </row>
    <row r="96" spans="1:5">
      <c r="A96" s="92">
        <v>10149</v>
      </c>
      <c r="B96" s="298" t="s">
        <v>914</v>
      </c>
      <c r="C96" s="194"/>
      <c r="D96" s="194"/>
      <c r="E96" s="299"/>
    </row>
    <row r="97" spans="1:5">
      <c r="A97" s="92">
        <v>10152</v>
      </c>
      <c r="B97" s="298" t="s">
        <v>915</v>
      </c>
      <c r="C97" s="194"/>
      <c r="D97" s="194"/>
      <c r="E97" s="299"/>
    </row>
    <row r="98" spans="1:5">
      <c r="A98" s="92">
        <v>10155</v>
      </c>
      <c r="B98" s="298" t="s">
        <v>916</v>
      </c>
      <c r="C98" s="194"/>
      <c r="D98" s="194"/>
      <c r="E98" s="299"/>
    </row>
    <row r="99" spans="1:5">
      <c r="B99" s="298" t="s">
        <v>592</v>
      </c>
      <c r="C99" s="194"/>
      <c r="D99" s="194"/>
      <c r="E99" s="299"/>
    </row>
    <row r="100" spans="1:5">
      <c r="B100" s="298" t="s">
        <v>702</v>
      </c>
      <c r="C100" s="194"/>
      <c r="D100" s="194"/>
      <c r="E100" s="299"/>
    </row>
    <row r="101" spans="1:5">
      <c r="B101" s="298" t="s">
        <v>703</v>
      </c>
      <c r="C101" s="194"/>
      <c r="D101" s="194"/>
      <c r="E101" s="299"/>
    </row>
    <row r="102" spans="1:5">
      <c r="A102" s="92">
        <v>10158</v>
      </c>
      <c r="B102" s="239" t="s">
        <v>714</v>
      </c>
      <c r="C102" s="240"/>
      <c r="D102" s="240"/>
      <c r="E102" s="241"/>
    </row>
    <row r="103" spans="1:5">
      <c r="A103" s="92">
        <v>10161</v>
      </c>
      <c r="B103" s="298" t="s">
        <v>708</v>
      </c>
      <c r="C103" s="194"/>
      <c r="D103" s="194"/>
      <c r="E103" s="299"/>
    </row>
    <row r="104" spans="1:5">
      <c r="B104" s="298" t="s">
        <v>687</v>
      </c>
      <c r="C104" s="194"/>
      <c r="D104" s="194"/>
      <c r="E104" s="299"/>
    </row>
    <row r="105" spans="1:5">
      <c r="B105" s="298" t="s">
        <v>688</v>
      </c>
      <c r="C105" s="194"/>
      <c r="D105" s="194"/>
      <c r="E105" s="299"/>
    </row>
    <row r="106" spans="1:5">
      <c r="B106" s="298" t="s">
        <v>704</v>
      </c>
      <c r="C106" s="194"/>
      <c r="D106" s="194"/>
      <c r="E106" s="299"/>
    </row>
    <row r="107" spans="1:5">
      <c r="B107" s="239" t="s">
        <v>715</v>
      </c>
      <c r="C107" s="240"/>
      <c r="D107" s="240"/>
      <c r="E107" s="241"/>
    </row>
    <row r="108" spans="1:5">
      <c r="B108" s="298" t="s">
        <v>692</v>
      </c>
      <c r="C108" s="194"/>
      <c r="D108" s="194"/>
      <c r="E108" s="299"/>
    </row>
    <row r="109" spans="1:5">
      <c r="B109" s="298" t="s">
        <v>707</v>
      </c>
      <c r="C109" s="194"/>
      <c r="D109" s="194"/>
      <c r="E109" s="299"/>
    </row>
    <row r="110" spans="1:5">
      <c r="B110" s="293" t="s">
        <v>170</v>
      </c>
      <c r="C110" s="234"/>
      <c r="D110" s="234"/>
      <c r="E110" s="294"/>
    </row>
    <row r="111" spans="1:5">
      <c r="B111" s="239" t="s">
        <v>712</v>
      </c>
      <c r="C111" s="240"/>
      <c r="D111" s="240"/>
      <c r="E111" s="241"/>
    </row>
    <row r="112" spans="1:5">
      <c r="B112" s="298" t="s">
        <v>720</v>
      </c>
      <c r="C112" s="194"/>
      <c r="D112" s="194"/>
      <c r="E112" s="299"/>
    </row>
    <row r="113" spans="1:5">
      <c r="B113" s="239" t="s">
        <v>695</v>
      </c>
      <c r="C113" s="240"/>
      <c r="D113" s="240"/>
      <c r="E113" s="241"/>
    </row>
    <row r="114" spans="1:5">
      <c r="B114" s="298" t="s">
        <v>696</v>
      </c>
      <c r="C114" s="194"/>
      <c r="D114" s="194"/>
      <c r="E114" s="299"/>
    </row>
    <row r="115" spans="1:5">
      <c r="B115" s="298" t="s">
        <v>697</v>
      </c>
      <c r="C115" s="194"/>
      <c r="D115" s="194"/>
      <c r="E115" s="299"/>
    </row>
    <row r="116" spans="1:5">
      <c r="B116" s="298" t="s">
        <v>682</v>
      </c>
      <c r="C116" s="194"/>
      <c r="D116" s="194"/>
      <c r="E116" s="299"/>
    </row>
    <row r="117" spans="1:5">
      <c r="B117" s="298" t="s">
        <v>683</v>
      </c>
      <c r="C117" s="194"/>
      <c r="D117" s="194"/>
      <c r="E117" s="299"/>
    </row>
    <row r="118" spans="1:5">
      <c r="B118" s="298" t="s">
        <v>684</v>
      </c>
      <c r="C118" s="194"/>
      <c r="D118" s="194"/>
      <c r="E118" s="299"/>
    </row>
    <row r="119" spans="1:5">
      <c r="B119" s="298" t="s">
        <v>685</v>
      </c>
      <c r="C119" s="194"/>
      <c r="D119" s="194"/>
      <c r="E119" s="299"/>
    </row>
    <row r="120" spans="1:5">
      <c r="B120" s="239" t="s">
        <v>698</v>
      </c>
      <c r="C120" s="240"/>
      <c r="D120" s="240"/>
      <c r="E120" s="241"/>
    </row>
    <row r="121" spans="1:5">
      <c r="B121" s="298" t="s">
        <v>699</v>
      </c>
      <c r="C121" s="194"/>
      <c r="D121" s="194"/>
      <c r="E121" s="299"/>
    </row>
    <row r="122" spans="1:5">
      <c r="B122" s="298" t="s">
        <v>914</v>
      </c>
      <c r="C122" s="194"/>
      <c r="D122" s="194"/>
      <c r="E122" s="299"/>
    </row>
    <row r="123" spans="1:5">
      <c r="B123" s="298" t="s">
        <v>915</v>
      </c>
      <c r="C123" s="194"/>
      <c r="D123" s="194"/>
      <c r="E123" s="299"/>
    </row>
    <row r="124" spans="1:5">
      <c r="A124" s="92">
        <v>10073</v>
      </c>
      <c r="B124" s="298" t="s">
        <v>916</v>
      </c>
      <c r="C124" s="194"/>
      <c r="D124" s="194"/>
      <c r="E124" s="299"/>
    </row>
    <row r="125" spans="1:5">
      <c r="A125" s="92">
        <v>10041</v>
      </c>
      <c r="B125" s="298" t="s">
        <v>592</v>
      </c>
      <c r="C125" s="194"/>
      <c r="D125" s="194"/>
      <c r="E125" s="299"/>
    </row>
    <row r="126" spans="1:5">
      <c r="A126" s="92">
        <v>10105</v>
      </c>
      <c r="B126" s="298" t="s">
        <v>702</v>
      </c>
      <c r="C126" s="194"/>
      <c r="D126" s="194"/>
      <c r="E126" s="299"/>
    </row>
    <row r="127" spans="1:5">
      <c r="A127" s="92">
        <v>10109</v>
      </c>
      <c r="B127" s="298" t="s">
        <v>703</v>
      </c>
      <c r="C127" s="194"/>
      <c r="D127" s="194"/>
      <c r="E127" s="299"/>
    </row>
    <row r="128" spans="1:5">
      <c r="B128" s="239" t="s">
        <v>714</v>
      </c>
      <c r="C128" s="240"/>
      <c r="D128" s="240"/>
      <c r="E128" s="241"/>
    </row>
    <row r="129" spans="1:5">
      <c r="A129" s="92">
        <v>10116</v>
      </c>
      <c r="B129" s="298" t="s">
        <v>708</v>
      </c>
      <c r="C129" s="194"/>
      <c r="D129" s="194"/>
      <c r="E129" s="299"/>
    </row>
    <row r="130" spans="1:5">
      <c r="A130" s="92">
        <v>10148</v>
      </c>
      <c r="B130" s="298" t="s">
        <v>687</v>
      </c>
      <c r="C130" s="194"/>
      <c r="D130" s="194"/>
      <c r="E130" s="299"/>
    </row>
    <row r="131" spans="1:5">
      <c r="A131" s="92">
        <v>10151</v>
      </c>
      <c r="B131" s="298" t="s">
        <v>688</v>
      </c>
      <c r="C131" s="194"/>
      <c r="D131" s="194"/>
      <c r="E131" s="299"/>
    </row>
    <row r="132" spans="1:5">
      <c r="A132" s="92">
        <v>10068</v>
      </c>
      <c r="B132" s="298" t="s">
        <v>704</v>
      </c>
      <c r="C132" s="194"/>
      <c r="D132" s="194"/>
      <c r="E132" s="299"/>
    </row>
    <row r="133" spans="1:5">
      <c r="B133" s="239" t="s">
        <v>715</v>
      </c>
      <c r="C133" s="240"/>
      <c r="D133" s="240"/>
      <c r="E133" s="241"/>
    </row>
    <row r="134" spans="1:5">
      <c r="A134" s="92">
        <v>10157</v>
      </c>
      <c r="B134" s="298" t="s">
        <v>692</v>
      </c>
      <c r="C134" s="194"/>
      <c r="D134" s="194"/>
      <c r="E134" s="299"/>
    </row>
    <row r="135" spans="1:5">
      <c r="A135" s="92">
        <v>10160</v>
      </c>
      <c r="B135" s="298" t="s">
        <v>707</v>
      </c>
      <c r="C135" s="194"/>
      <c r="D135" s="194"/>
      <c r="E135" s="299"/>
    </row>
    <row r="136" spans="1:5">
      <c r="B136" s="293" t="s">
        <v>903</v>
      </c>
      <c r="C136" s="234"/>
      <c r="D136" s="234"/>
      <c r="E136" s="294"/>
    </row>
    <row r="137" spans="1:5">
      <c r="B137" s="239" t="s">
        <v>712</v>
      </c>
      <c r="C137" s="240"/>
      <c r="D137" s="240"/>
      <c r="E137" s="241"/>
    </row>
    <row r="138" spans="1:5">
      <c r="B138" s="298" t="s">
        <v>720</v>
      </c>
      <c r="C138" s="194"/>
      <c r="D138" s="194"/>
      <c r="E138" s="299"/>
    </row>
    <row r="139" spans="1:5">
      <c r="B139" s="239" t="s">
        <v>695</v>
      </c>
      <c r="C139" s="240"/>
      <c r="D139" s="240"/>
      <c r="E139" s="241"/>
    </row>
    <row r="140" spans="1:5">
      <c r="B140" s="298" t="s">
        <v>696</v>
      </c>
      <c r="C140" s="194"/>
      <c r="D140" s="194"/>
      <c r="E140" s="299"/>
    </row>
    <row r="141" spans="1:5">
      <c r="B141" s="298" t="s">
        <v>697</v>
      </c>
      <c r="C141" s="194"/>
      <c r="D141" s="194"/>
      <c r="E141" s="299"/>
    </row>
    <row r="142" spans="1:5">
      <c r="B142" s="298" t="s">
        <v>682</v>
      </c>
      <c r="C142" s="194"/>
      <c r="D142" s="194"/>
      <c r="E142" s="299"/>
    </row>
    <row r="143" spans="1:5">
      <c r="B143" s="298" t="s">
        <v>683</v>
      </c>
      <c r="C143" s="194"/>
      <c r="D143" s="194"/>
      <c r="E143" s="299"/>
    </row>
    <row r="144" spans="1:5">
      <c r="B144" s="298" t="s">
        <v>684</v>
      </c>
      <c r="C144" s="194"/>
      <c r="D144" s="194"/>
      <c r="E144" s="299"/>
    </row>
    <row r="145" spans="2:5">
      <c r="B145" s="298" t="s">
        <v>685</v>
      </c>
      <c r="C145" s="194"/>
      <c r="D145" s="194"/>
      <c r="E145" s="299"/>
    </row>
    <row r="146" spans="2:5">
      <c r="B146" s="239" t="s">
        <v>698</v>
      </c>
      <c r="C146" s="240"/>
      <c r="D146" s="240"/>
      <c r="E146" s="241"/>
    </row>
    <row r="147" spans="2:5">
      <c r="B147" s="298" t="s">
        <v>699</v>
      </c>
      <c r="C147" s="194"/>
      <c r="D147" s="194"/>
      <c r="E147" s="299"/>
    </row>
    <row r="148" spans="2:5">
      <c r="B148" s="298" t="s">
        <v>930</v>
      </c>
      <c r="C148" s="194"/>
      <c r="D148" s="194"/>
      <c r="E148" s="299"/>
    </row>
    <row r="149" spans="2:5">
      <c r="B149" s="298" t="s">
        <v>931</v>
      </c>
      <c r="C149" s="194"/>
      <c r="D149" s="194"/>
      <c r="E149" s="299"/>
    </row>
    <row r="150" spans="2:5">
      <c r="B150" s="298" t="s">
        <v>932</v>
      </c>
      <c r="C150" s="194"/>
      <c r="D150" s="194"/>
      <c r="E150" s="299"/>
    </row>
    <row r="151" spans="2:5">
      <c r="B151" s="298" t="s">
        <v>592</v>
      </c>
      <c r="C151" s="194"/>
      <c r="D151" s="194"/>
      <c r="E151" s="299"/>
    </row>
    <row r="152" spans="2:5">
      <c r="B152" s="298" t="s">
        <v>702</v>
      </c>
      <c r="C152" s="194"/>
      <c r="D152" s="194"/>
      <c r="E152" s="299"/>
    </row>
    <row r="153" spans="2:5">
      <c r="B153" s="298" t="s">
        <v>703</v>
      </c>
      <c r="C153" s="194"/>
      <c r="D153" s="194"/>
      <c r="E153" s="299"/>
    </row>
    <row r="154" spans="2:5">
      <c r="B154" s="239" t="s">
        <v>714</v>
      </c>
      <c r="C154" s="240"/>
      <c r="D154" s="240"/>
      <c r="E154" s="241"/>
    </row>
    <row r="155" spans="2:5">
      <c r="B155" s="298" t="s">
        <v>708</v>
      </c>
      <c r="C155" s="194"/>
      <c r="D155" s="194"/>
      <c r="E155" s="299"/>
    </row>
    <row r="156" spans="2:5">
      <c r="B156" s="298" t="s">
        <v>687</v>
      </c>
      <c r="C156" s="194"/>
      <c r="D156" s="194"/>
      <c r="E156" s="299"/>
    </row>
    <row r="157" spans="2:5">
      <c r="B157" s="298" t="s">
        <v>688</v>
      </c>
      <c r="C157" s="194"/>
      <c r="D157" s="194"/>
      <c r="E157" s="299"/>
    </row>
    <row r="158" spans="2:5">
      <c r="B158" s="298" t="s">
        <v>704</v>
      </c>
      <c r="C158" s="194"/>
      <c r="D158" s="194"/>
      <c r="E158" s="299"/>
    </row>
    <row r="159" spans="2:5">
      <c r="B159" s="239" t="s">
        <v>715</v>
      </c>
      <c r="C159" s="240"/>
      <c r="D159" s="240"/>
      <c r="E159" s="241"/>
    </row>
    <row r="160" spans="2:5">
      <c r="B160" s="298" t="s">
        <v>692</v>
      </c>
      <c r="C160" s="194"/>
      <c r="D160" s="194"/>
      <c r="E160" s="299"/>
    </row>
    <row r="161" spans="2:5">
      <c r="B161" s="298" t="s">
        <v>707</v>
      </c>
      <c r="C161" s="194"/>
      <c r="D161" s="194"/>
      <c r="E161" s="299"/>
    </row>
    <row r="162" spans="2:5">
      <c r="B162" s="239" t="s">
        <v>643</v>
      </c>
      <c r="C162" s="240"/>
      <c r="D162" s="240"/>
      <c r="E162" s="241"/>
    </row>
    <row r="163" spans="2:5" ht="11.25" thickBot="1">
      <c r="B163" s="262" t="s">
        <v>644</v>
      </c>
      <c r="C163" s="264"/>
      <c r="D163" s="264"/>
      <c r="E163" s="265"/>
    </row>
  </sheetData>
  <mergeCells count="3">
    <mergeCell ref="C9:D9"/>
    <mergeCell ref="B9:B10"/>
    <mergeCell ref="E9:E10"/>
  </mergeCells>
  <phoneticPr fontId="11" type="noConversion"/>
  <dataValidations count="1">
    <dataValidation type="decimal" allowBlank="1" showInputMessage="1" showErrorMessage="1" sqref="D1:D5 C4 C1:C2 C6:D65344">
      <formula1>-99999999999999900000</formula1>
      <formula2>9.99999999999999E+30</formula2>
    </dataValidation>
  </dataValidations>
  <hyperlinks>
    <hyperlink ref="B1" location="Index!A1" display="Index sheet"/>
    <hyperlink ref="C5" location="'10|Revenue Proposed Tariff'!Print_Area" display="Form-10"/>
  </hyperlinks>
  <printOptions horizontalCentered="1"/>
  <pageMargins left="0.5" right="0.5" top="0.75" bottom="0.75" header="0.25" footer="0.25"/>
  <pageSetup paperSize="9" fitToHeight="4" orientation="landscape" blackAndWhite="1" r:id="rId1"/>
  <headerFooter alignWithMargins="0"/>
</worksheet>
</file>

<file path=xl/worksheets/sheet39.xml><?xml version="1.0" encoding="utf-8"?>
<worksheet xmlns="http://schemas.openxmlformats.org/spreadsheetml/2006/main" xmlns:r="http://schemas.openxmlformats.org/officeDocument/2006/relationships">
  <sheetPr codeName="Sheet36"/>
  <dimension ref="A1:R19"/>
  <sheetViews>
    <sheetView view="pageBreakPreview" zoomScale="85" zoomScaleSheetLayoutView="85" workbookViewId="0">
      <selection activeCell="N9" sqref="N9"/>
    </sheetView>
  </sheetViews>
  <sheetFormatPr defaultRowHeight="10.5"/>
  <cols>
    <col min="1" max="1" width="9.140625" style="92"/>
    <col min="2" max="2" width="0" style="92" hidden="1" customWidth="1"/>
    <col min="3" max="3" width="39.42578125" style="92" customWidth="1"/>
    <col min="4" max="4" width="12.7109375" style="92" customWidth="1"/>
    <col min="5" max="5" width="12.85546875" style="92" hidden="1" customWidth="1"/>
    <col min="6" max="6" width="14.42578125" style="92" customWidth="1"/>
    <col min="7" max="7" width="17.42578125" style="92" customWidth="1"/>
    <col min="8" max="17" width="9.140625" style="92"/>
    <col min="18" max="18" width="0" style="92" hidden="1" customWidth="1"/>
    <col min="19" max="16384" width="9.140625" style="92"/>
  </cols>
  <sheetData>
    <row r="1" spans="1:18">
      <c r="A1" s="136" t="s">
        <v>396</v>
      </c>
    </row>
    <row r="3" spans="1:18" ht="20.25" customHeight="1">
      <c r="C3" s="1053" t="s">
        <v>188</v>
      </c>
      <c r="D3" s="1802" t="s">
        <v>191</v>
      </c>
      <c r="E3" s="1802"/>
      <c r="F3" s="1802"/>
      <c r="G3" s="1802"/>
    </row>
    <row r="4" spans="1:18" ht="42.75" customHeight="1">
      <c r="C4" s="1944" t="s">
        <v>533</v>
      </c>
      <c r="D4" s="1944"/>
      <c r="E4" s="1944"/>
      <c r="F4" s="1944"/>
      <c r="G4" s="1944"/>
    </row>
    <row r="5" spans="1:18" ht="12.75" customHeight="1">
      <c r="C5" s="91"/>
    </row>
    <row r="6" spans="1:18" ht="40.5" customHeight="1">
      <c r="C6" s="389" t="s">
        <v>376</v>
      </c>
      <c r="D6" s="389" t="s">
        <v>140</v>
      </c>
      <c r="E6" s="389" t="s">
        <v>645</v>
      </c>
      <c r="F6" s="389" t="str">
        <f>Notes!$C$5</f>
        <v>Base Year</v>
      </c>
      <c r="G6" s="389" t="str">
        <f>Notes!$C$6</f>
        <v>FY 2024-25</v>
      </c>
    </row>
    <row r="7" spans="1:18" s="270" customFormat="1" ht="30.75" customHeight="1">
      <c r="B7" s="270">
        <v>10018</v>
      </c>
      <c r="C7" s="1054" t="str">
        <f>'6|NTI current'!C9</f>
        <v>Delayed Payment Surcharge</v>
      </c>
      <c r="D7" s="271"/>
      <c r="E7" s="272">
        <f>'6|NTI current'!E9</f>
        <v>263.24</v>
      </c>
      <c r="F7" s="272">
        <f>'6|NTI current'!F9</f>
        <v>346.02</v>
      </c>
      <c r="G7" s="272">
        <f>'6|NTI current'!G9</f>
        <v>363.32099999999997</v>
      </c>
      <c r="R7" s="270" t="s">
        <v>485</v>
      </c>
    </row>
    <row r="8" spans="1:18" s="270" customFormat="1" ht="30.75" customHeight="1">
      <c r="B8" s="270">
        <v>10006</v>
      </c>
      <c r="C8" s="1054" t="str">
        <f>'6|NTI current'!C10</f>
        <v>Interest on ED</v>
      </c>
      <c r="D8" s="271"/>
      <c r="E8" s="272">
        <f>'6|NTI current'!E10</f>
        <v>7.3025152390000017</v>
      </c>
      <c r="F8" s="272">
        <f>'6|NTI current'!F10</f>
        <v>4.18</v>
      </c>
      <c r="G8" s="272">
        <f>'6|NTI current'!G10</f>
        <v>4.3889999999999993</v>
      </c>
      <c r="R8" s="270" t="s">
        <v>485</v>
      </c>
    </row>
    <row r="9" spans="1:18" s="270" customFormat="1" ht="30.75" customHeight="1">
      <c r="B9" s="270">
        <v>10009</v>
      </c>
      <c r="C9" s="1054" t="str">
        <f>'6|NTI current'!C11</f>
        <v>Miscellaneous charges from consumers</v>
      </c>
      <c r="D9" s="271"/>
      <c r="E9" s="272">
        <f>'6|NTI current'!E11</f>
        <v>53.641079109000003</v>
      </c>
      <c r="F9" s="272">
        <f>'6|NTI current'!F11</f>
        <v>45.46</v>
      </c>
      <c r="G9" s="272">
        <f>'6|NTI current'!G11</f>
        <v>47.733000000000004</v>
      </c>
      <c r="R9" s="270" t="s">
        <v>485</v>
      </c>
    </row>
    <row r="10" spans="1:18" s="270" customFormat="1" ht="30.75" customHeight="1">
      <c r="B10" s="270">
        <v>10031</v>
      </c>
      <c r="C10" s="1054" t="str">
        <f>'6|NTI current'!C12</f>
        <v>Recoveries for theft of power / Malpractices</v>
      </c>
      <c r="D10" s="271"/>
      <c r="E10" s="272">
        <f>'6|NTI current'!E12</f>
        <v>8.3056217879999998</v>
      </c>
      <c r="F10" s="272">
        <f>'6|NTI current'!F12</f>
        <v>4.6900000000000004</v>
      </c>
      <c r="G10" s="272">
        <f>'6|NTI current'!G12</f>
        <v>0</v>
      </c>
      <c r="R10" s="270" t="s">
        <v>485</v>
      </c>
    </row>
    <row r="11" spans="1:18" s="270" customFormat="1" ht="30.75" customHeight="1">
      <c r="B11" s="270">
        <v>10025</v>
      </c>
      <c r="C11" s="1054" t="str">
        <f>'6|NTI current'!C13</f>
        <v>UI &amp; other charges</v>
      </c>
      <c r="D11" s="271"/>
      <c r="E11" s="272">
        <f>'6|NTI current'!E13</f>
        <v>17.6753818</v>
      </c>
      <c r="F11" s="272">
        <f>'6|NTI current'!F13</f>
        <v>16.3</v>
      </c>
      <c r="G11" s="272">
        <f>'6|NTI current'!G13</f>
        <v>17.115000000000002</v>
      </c>
      <c r="R11" s="270" t="s">
        <v>485</v>
      </c>
    </row>
    <row r="12" spans="1:18" s="270" customFormat="1" ht="30.75" hidden="1" customHeight="1">
      <c r="B12" s="270">
        <v>10013</v>
      </c>
      <c r="C12" s="1054">
        <f>'6|NTI current'!C14</f>
        <v>0</v>
      </c>
      <c r="D12" s="271"/>
      <c r="E12" s="272">
        <f>'6|NTI current'!E14</f>
        <v>0</v>
      </c>
      <c r="F12" s="272">
        <f>'6|NTI current'!F14</f>
        <v>0</v>
      </c>
      <c r="G12" s="272">
        <f>'6|NTI current'!G14</f>
        <v>0</v>
      </c>
      <c r="R12" s="270" t="s">
        <v>485</v>
      </c>
    </row>
    <row r="13" spans="1:18" s="270" customFormat="1" ht="32.25" hidden="1" customHeight="1">
      <c r="C13" s="271">
        <f>'6|NTI current'!C15</f>
        <v>0</v>
      </c>
      <c r="D13" s="275"/>
      <c r="E13" s="275"/>
      <c r="F13" s="275"/>
      <c r="G13" s="272"/>
    </row>
    <row r="14" spans="1:18" ht="32.25" hidden="1" customHeight="1">
      <c r="C14" s="1055"/>
      <c r="D14" s="275"/>
      <c r="E14" s="275"/>
      <c r="F14" s="275"/>
      <c r="G14" s="272"/>
    </row>
    <row r="15" spans="1:18" ht="32.25" hidden="1" customHeight="1">
      <c r="C15" s="271"/>
      <c r="D15" s="275"/>
      <c r="E15" s="275"/>
      <c r="F15" s="275"/>
      <c r="G15" s="272"/>
    </row>
    <row r="16" spans="1:18" ht="32.25" hidden="1" customHeight="1">
      <c r="C16" s="271"/>
      <c r="D16" s="275"/>
      <c r="E16" s="275"/>
      <c r="F16" s="275"/>
      <c r="G16" s="272"/>
    </row>
    <row r="17" spans="3:18" ht="32.25" hidden="1" customHeight="1">
      <c r="C17" s="271"/>
      <c r="D17" s="275"/>
      <c r="E17" s="275"/>
      <c r="F17" s="275"/>
      <c r="G17" s="272"/>
      <c r="R17" s="92" t="s">
        <v>485</v>
      </c>
    </row>
    <row r="18" spans="3:18" ht="32.25" hidden="1" customHeight="1">
      <c r="C18" s="1055"/>
      <c r="D18" s="275"/>
      <c r="E18" s="275"/>
      <c r="F18" s="275"/>
      <c r="G18" s="272"/>
      <c r="R18" s="92" t="s">
        <v>485</v>
      </c>
    </row>
    <row r="19" spans="3:18" ht="32.25" customHeight="1">
      <c r="C19" s="1056" t="s">
        <v>178</v>
      </c>
      <c r="D19" s="1056"/>
      <c r="E19" s="528">
        <f t="shared" ref="E19:G19" si="0">SUM(E7:E18)</f>
        <v>350.16459793600006</v>
      </c>
      <c r="F19" s="528">
        <f t="shared" si="0"/>
        <v>416.65</v>
      </c>
      <c r="G19" s="528">
        <f t="shared" si="0"/>
        <v>432.55799999999999</v>
      </c>
    </row>
  </sheetData>
  <mergeCells count="2">
    <mergeCell ref="C4:G4"/>
    <mergeCell ref="D3:G3"/>
  </mergeCells>
  <phoneticPr fontId="11" type="noConversion"/>
  <dataValidations count="1">
    <dataValidation type="decimal" allowBlank="1" showInputMessage="1" showErrorMessage="1" sqref="E19:F19 G1:G2 G5 G7:G65532 E7:F12">
      <formula1>-99999999999999900000</formula1>
      <formula2>9.99999999999999E+29</formula2>
    </dataValidation>
  </dataValidations>
  <hyperlinks>
    <hyperlink ref="A1" location="Index!A1" display="Index sheet"/>
  </hyperlinks>
  <printOptions horizontalCentered="1" verticalCentered="1"/>
  <pageMargins left="0.5" right="0.5" top="0.75" bottom="0.5" header="0.25" footer="0.25"/>
  <pageSetup paperSize="9" scale="111" orientation="landscape" blackAndWhite="1" r:id="rId1"/>
  <headerFooter alignWithMargins="0"/>
</worksheet>
</file>

<file path=xl/worksheets/sheet40.xml><?xml version="1.0" encoding="utf-8"?>
<worksheet xmlns="http://schemas.openxmlformats.org/spreadsheetml/2006/main" xmlns:r="http://schemas.openxmlformats.org/officeDocument/2006/relationships">
  <dimension ref="A1:AG186"/>
  <sheetViews>
    <sheetView tabSelected="1" view="pageBreakPreview" zoomScale="93" zoomScaleNormal="106" zoomScaleSheetLayoutView="93" workbookViewId="0">
      <selection activeCell="D142" sqref="D142"/>
    </sheetView>
  </sheetViews>
  <sheetFormatPr defaultRowHeight="10.5" customHeight="1"/>
  <cols>
    <col min="1" max="1" width="6.42578125" style="160" customWidth="1"/>
    <col min="2" max="2" width="30.28515625" style="153" customWidth="1"/>
    <col min="3" max="3" width="11" style="161" customWidth="1"/>
    <col min="4" max="4" width="8" style="162" customWidth="1"/>
    <col min="5" max="5" width="9.85546875" style="162" customWidth="1"/>
    <col min="6" max="6" width="8" style="162" customWidth="1"/>
    <col min="7" max="7" width="10" style="162" customWidth="1"/>
    <col min="8" max="8" width="11.28515625" style="162" customWidth="1"/>
    <col min="9" max="9" width="6.42578125" style="157" customWidth="1"/>
    <col min="10" max="11" width="13" style="157" customWidth="1"/>
    <col min="12" max="12" width="8.42578125" style="157" customWidth="1"/>
    <col min="13" max="13" width="9.140625" style="157" customWidth="1"/>
    <col min="14" max="14" width="11.42578125" style="157" customWidth="1"/>
    <col min="15" max="15" width="10" style="157" customWidth="1"/>
    <col min="16" max="16" width="9.140625" style="157" customWidth="1"/>
    <col min="17" max="17" width="10" style="157" customWidth="1"/>
    <col min="18" max="18" width="6.42578125" style="157" customWidth="1"/>
    <col min="19" max="19" width="12" style="157" customWidth="1"/>
    <col min="20" max="20" width="8.42578125" style="157" customWidth="1"/>
    <col min="21" max="21" width="11.7109375" style="157" customWidth="1"/>
    <col min="22" max="22" width="8.5703125" style="157" customWidth="1"/>
    <col min="23" max="23" width="9.28515625" style="157" customWidth="1"/>
    <col min="24" max="24" width="9.140625" style="158" customWidth="1"/>
    <col min="25" max="25" width="6.5703125" style="158" customWidth="1"/>
    <col min="26" max="26" width="9.140625" style="159" customWidth="1"/>
    <col min="27" max="27" width="11.42578125" style="160" customWidth="1"/>
    <col min="28" max="28" width="12.28515625" style="160" customWidth="1"/>
    <col min="29" max="29" width="13.7109375" style="160" customWidth="1"/>
    <col min="30" max="30" width="13.42578125" style="160" bestFit="1" customWidth="1"/>
    <col min="31" max="16384" width="9.140625" style="160"/>
  </cols>
  <sheetData>
    <row r="1" spans="1:33" ht="10.5" customHeight="1">
      <c r="A1" s="136" t="s">
        <v>396</v>
      </c>
      <c r="C1" s="154"/>
      <c r="D1" s="155"/>
      <c r="E1" s="155"/>
      <c r="F1" s="155"/>
      <c r="G1" s="155"/>
      <c r="H1" s="155"/>
      <c r="I1" s="156"/>
    </row>
    <row r="2" spans="1:33" ht="10.5" customHeight="1">
      <c r="Q2" s="163"/>
    </row>
    <row r="3" spans="1:33" ht="17.25" customHeight="1">
      <c r="B3" s="164" t="s">
        <v>593</v>
      </c>
      <c r="C3" s="165" t="s">
        <v>192</v>
      </c>
      <c r="D3" s="155"/>
      <c r="E3" s="155"/>
      <c r="F3" s="155"/>
      <c r="G3" s="155"/>
      <c r="H3" s="155"/>
      <c r="I3" s="156"/>
      <c r="J3" s="156"/>
      <c r="K3" s="156"/>
      <c r="L3" s="156"/>
      <c r="M3" s="156"/>
      <c r="N3" s="156"/>
      <c r="O3" s="156"/>
      <c r="P3" s="156"/>
      <c r="Q3" s="156"/>
    </row>
    <row r="4" spans="1:33" ht="110.25" customHeight="1" thickBot="1">
      <c r="B4" s="1945" t="s">
        <v>996</v>
      </c>
      <c r="C4" s="1945"/>
      <c r="D4" s="1945"/>
      <c r="E4" s="1945"/>
      <c r="F4" s="1945"/>
      <c r="G4" s="1945"/>
      <c r="H4" s="1945"/>
      <c r="I4" s="1945"/>
      <c r="J4" s="1945"/>
      <c r="K4" s="1945"/>
      <c r="L4" s="1945"/>
      <c r="M4" s="1945"/>
      <c r="N4" s="1945"/>
      <c r="O4" s="1945"/>
      <c r="P4" s="1945"/>
      <c r="Q4" s="1945"/>
      <c r="R4" s="1945"/>
      <c r="S4" s="1945"/>
      <c r="T4" s="1945"/>
      <c r="U4" s="1945"/>
      <c r="V4" s="1945"/>
      <c r="W4" s="1945"/>
      <c r="X4" s="1945"/>
      <c r="Y4" s="1945"/>
      <c r="Z4" s="1945"/>
      <c r="AA4" s="1945"/>
    </row>
    <row r="5" spans="1:33" ht="24.75" customHeight="1">
      <c r="A5" s="166"/>
      <c r="B5" s="167" t="str">
        <f>Notes!$C$6</f>
        <v>FY 2024-25</v>
      </c>
      <c r="C5" s="1946" t="s">
        <v>201</v>
      </c>
      <c r="D5" s="1948" t="s">
        <v>856</v>
      </c>
      <c r="E5" s="1948"/>
      <c r="F5" s="1948"/>
      <c r="G5" s="1948"/>
      <c r="H5" s="1948" t="s">
        <v>857</v>
      </c>
      <c r="I5" s="1948"/>
      <c r="J5" s="1948"/>
      <c r="K5" s="1948"/>
      <c r="L5" s="1951" t="s">
        <v>1111</v>
      </c>
      <c r="M5" s="1952"/>
      <c r="N5" s="1948" t="s">
        <v>204</v>
      </c>
      <c r="O5" s="1948"/>
      <c r="P5" s="1948"/>
      <c r="Q5" s="1948"/>
      <c r="R5" s="1948"/>
      <c r="S5" s="1948"/>
      <c r="T5" s="1762" t="s">
        <v>1</v>
      </c>
      <c r="U5" s="168"/>
      <c r="V5" s="168"/>
      <c r="W5" s="1949" t="s">
        <v>858</v>
      </c>
      <c r="X5" s="1949"/>
      <c r="Y5" s="1950" t="s">
        <v>624</v>
      </c>
      <c r="Z5" s="1950"/>
      <c r="AA5" s="1762" t="s">
        <v>625</v>
      </c>
      <c r="AB5" s="1762" t="s">
        <v>889</v>
      </c>
      <c r="AC5" s="1943" t="s">
        <v>891</v>
      </c>
    </row>
    <row r="6" spans="1:33" s="138" customFormat="1" ht="55.5" customHeight="1">
      <c r="B6" s="169" t="s">
        <v>205</v>
      </c>
      <c r="C6" s="1947"/>
      <c r="D6" s="170" t="s">
        <v>890</v>
      </c>
      <c r="E6" s="170" t="s">
        <v>23</v>
      </c>
      <c r="F6" s="170" t="s">
        <v>0</v>
      </c>
      <c r="G6" s="170" t="s">
        <v>605</v>
      </c>
      <c r="H6" s="170" t="s">
        <v>9</v>
      </c>
      <c r="I6" s="170" t="s">
        <v>22</v>
      </c>
      <c r="J6" s="170" t="s">
        <v>527</v>
      </c>
      <c r="K6" s="170" t="s">
        <v>528</v>
      </c>
      <c r="L6" s="1383" t="s">
        <v>24</v>
      </c>
      <c r="M6" s="1384" t="s">
        <v>9</v>
      </c>
      <c r="N6" s="170" t="s">
        <v>8</v>
      </c>
      <c r="O6" s="170" t="s">
        <v>7</v>
      </c>
      <c r="P6" s="170" t="s">
        <v>6</v>
      </c>
      <c r="Q6" s="170" t="s">
        <v>529</v>
      </c>
      <c r="R6" s="170" t="s">
        <v>5</v>
      </c>
      <c r="S6" s="170" t="s">
        <v>4</v>
      </c>
      <c r="T6" s="1726"/>
      <c r="U6" s="170" t="s">
        <v>522</v>
      </c>
      <c r="V6" s="170" t="s">
        <v>2</v>
      </c>
      <c r="W6" s="170" t="s">
        <v>3</v>
      </c>
      <c r="X6" s="170" t="s">
        <v>623</v>
      </c>
      <c r="Y6" s="171" t="s">
        <v>471</v>
      </c>
      <c r="Z6" s="170" t="s">
        <v>450</v>
      </c>
      <c r="AA6" s="1726" t="s">
        <v>625</v>
      </c>
      <c r="AB6" s="1726"/>
      <c r="AC6" s="1727"/>
    </row>
    <row r="7" spans="1:33" s="92" customFormat="1">
      <c r="A7" s="172"/>
      <c r="B7" s="173" t="s">
        <v>598</v>
      </c>
      <c r="C7" s="174"/>
      <c r="D7" s="174"/>
      <c r="E7" s="174"/>
      <c r="F7" s="174"/>
      <c r="G7" s="174"/>
      <c r="H7" s="174"/>
      <c r="I7" s="174"/>
      <c r="J7" s="174"/>
      <c r="K7" s="174"/>
      <c r="L7" s="174"/>
      <c r="M7" s="174"/>
      <c r="N7" s="174"/>
      <c r="O7" s="174"/>
      <c r="P7" s="174"/>
      <c r="Q7" s="174"/>
      <c r="R7" s="174"/>
      <c r="S7" s="174"/>
      <c r="T7" s="174"/>
      <c r="U7" s="174"/>
      <c r="V7" s="174"/>
      <c r="W7" s="174"/>
      <c r="X7" s="174"/>
      <c r="Y7" s="174"/>
      <c r="Z7" s="175"/>
      <c r="AA7" s="174"/>
      <c r="AB7" s="101"/>
      <c r="AC7" s="176"/>
      <c r="AF7" s="92">
        <f>AF10/AC10</f>
        <v>0.99999280492632547</v>
      </c>
    </row>
    <row r="8" spans="1:33" s="92" customFormat="1" ht="18" customHeight="1">
      <c r="A8" s="177"/>
      <c r="B8" s="178" t="s">
        <v>722</v>
      </c>
      <c r="C8" s="179">
        <f>C9</f>
        <v>6079127</v>
      </c>
      <c r="D8" s="180"/>
      <c r="E8" s="180"/>
      <c r="F8" s="180"/>
      <c r="G8" s="180"/>
      <c r="H8" s="181">
        <f>H9</f>
        <v>7741.838471777276</v>
      </c>
      <c r="I8" s="181">
        <f t="shared" ref="I8:AC8" si="0">I9</f>
        <v>0</v>
      </c>
      <c r="J8" s="181">
        <f t="shared" si="0"/>
        <v>6867.2622050999989</v>
      </c>
      <c r="K8" s="181">
        <f t="shared" si="0"/>
        <v>0</v>
      </c>
      <c r="L8" s="181"/>
      <c r="M8" s="181"/>
      <c r="N8" s="181">
        <f t="shared" si="0"/>
        <v>3279.9793013182771</v>
      </c>
      <c r="O8" s="181">
        <f t="shared" si="0"/>
        <v>82.4071464612</v>
      </c>
      <c r="P8" s="181">
        <f t="shared" si="0"/>
        <v>0</v>
      </c>
      <c r="Q8" s="181">
        <f t="shared" si="0"/>
        <v>280.22447400000004</v>
      </c>
      <c r="R8" s="181">
        <f t="shared" si="0"/>
        <v>0</v>
      </c>
      <c r="S8" s="181">
        <f t="shared" si="0"/>
        <v>3642.6109217794765</v>
      </c>
      <c r="T8" s="181">
        <f t="shared" si="0"/>
        <v>0</v>
      </c>
      <c r="U8" s="181">
        <f t="shared" si="0"/>
        <v>3642.6109217794765</v>
      </c>
      <c r="V8" s="181">
        <f t="shared" si="0"/>
        <v>0</v>
      </c>
      <c r="W8" s="181">
        <f t="shared" si="0"/>
        <v>0</v>
      </c>
      <c r="X8" s="181">
        <f t="shared" si="0"/>
        <v>0</v>
      </c>
      <c r="Y8" s="181">
        <f t="shared" si="0"/>
        <v>0</v>
      </c>
      <c r="Z8" s="181">
        <f t="shared" si="0"/>
        <v>122.14680901645339</v>
      </c>
      <c r="AA8" s="181">
        <f t="shared" si="0"/>
        <v>3764.7577307959305</v>
      </c>
      <c r="AB8" s="181"/>
      <c r="AC8" s="182">
        <f t="shared" si="0"/>
        <v>4548.3983351605975</v>
      </c>
    </row>
    <row r="9" spans="1:33" s="92" customFormat="1" ht="14.25">
      <c r="B9" s="183" t="s">
        <v>921</v>
      </c>
      <c r="C9" s="184">
        <f>SUM(C10:C16)</f>
        <v>6079127</v>
      </c>
      <c r="D9" s="185"/>
      <c r="E9" s="185"/>
      <c r="F9" s="185"/>
      <c r="G9" s="185"/>
      <c r="H9" s="186">
        <f>SUM(H10:H16)</f>
        <v>7741.838471777276</v>
      </c>
      <c r="I9" s="186">
        <f t="shared" ref="I9:AC9" si="1">SUM(I10:I16)</f>
        <v>0</v>
      </c>
      <c r="J9" s="186">
        <f t="shared" si="1"/>
        <v>6867.2622050999989</v>
      </c>
      <c r="K9" s="186">
        <f t="shared" si="1"/>
        <v>0</v>
      </c>
      <c r="L9" s="186"/>
      <c r="M9" s="186"/>
      <c r="N9" s="186">
        <f t="shared" si="1"/>
        <v>3279.9793013182771</v>
      </c>
      <c r="O9" s="186">
        <f t="shared" si="1"/>
        <v>82.4071464612</v>
      </c>
      <c r="P9" s="186">
        <f t="shared" si="1"/>
        <v>0</v>
      </c>
      <c r="Q9" s="186">
        <f t="shared" si="1"/>
        <v>280.22447400000004</v>
      </c>
      <c r="R9" s="186">
        <f t="shared" si="1"/>
        <v>0</v>
      </c>
      <c r="S9" s="186">
        <f t="shared" si="1"/>
        <v>3642.6109217794765</v>
      </c>
      <c r="T9" s="186">
        <f t="shared" si="1"/>
        <v>0</v>
      </c>
      <c r="U9" s="186">
        <f t="shared" si="1"/>
        <v>3642.6109217794765</v>
      </c>
      <c r="V9" s="186">
        <f t="shared" si="1"/>
        <v>0</v>
      </c>
      <c r="W9" s="186">
        <f t="shared" si="1"/>
        <v>0</v>
      </c>
      <c r="X9" s="186">
        <f t="shared" si="1"/>
        <v>0</v>
      </c>
      <c r="Y9" s="186">
        <f t="shared" si="1"/>
        <v>0</v>
      </c>
      <c r="Z9" s="186">
        <f t="shared" si="1"/>
        <v>122.14680901645339</v>
      </c>
      <c r="AA9" s="186">
        <f t="shared" si="1"/>
        <v>3764.7577307959305</v>
      </c>
      <c r="AB9" s="186"/>
      <c r="AC9" s="187">
        <f t="shared" si="1"/>
        <v>4548.3983351605975</v>
      </c>
      <c r="AE9" s="1422" t="s">
        <v>1148</v>
      </c>
    </row>
    <row r="10" spans="1:33" s="92" customFormat="1">
      <c r="A10" s="188"/>
      <c r="B10" s="189" t="s">
        <v>854</v>
      </c>
      <c r="C10" s="190">
        <f>'7|Total Rev Current'!C364</f>
        <v>1311268</v>
      </c>
      <c r="D10" s="191">
        <v>1.9</v>
      </c>
      <c r="E10" s="192">
        <v>120</v>
      </c>
      <c r="F10" s="193"/>
      <c r="G10" s="190">
        <v>25</v>
      </c>
      <c r="H10" s="194">
        <f>'7|Total Rev Current'!H364</f>
        <v>1852.1345032689851</v>
      </c>
      <c r="I10" s="194"/>
      <c r="J10" s="194">
        <f>'7|Total Rev Current'!J364</f>
        <v>1233.5822490901501</v>
      </c>
      <c r="K10" s="194"/>
      <c r="L10" s="194">
        <f>D10+0.75</f>
        <v>2.65</v>
      </c>
      <c r="M10" s="194"/>
      <c r="N10" s="195">
        <f>D10*H10/10</f>
        <v>351.90555562110717</v>
      </c>
      <c r="O10" s="196">
        <f>IF(E10&gt;0,(J10*10^3*E10/10^7)+(K10*0.7457*E10/10^7),(K10*F10/10^7)+(J10*(10^3)*(1/0.7457)*F10/10^7))</f>
        <v>14.8029869890818</v>
      </c>
      <c r="P10" s="197"/>
      <c r="Q10" s="196">
        <f>G10*C10*12/10^7</f>
        <v>39.338039999999999</v>
      </c>
      <c r="R10" s="197"/>
      <c r="S10" s="196">
        <f t="shared" ref="S10:S16" si="2">N10+O10+P10+Q10+R10</f>
        <v>406.04658261018892</v>
      </c>
      <c r="T10" s="197"/>
      <c r="U10" s="196">
        <f t="shared" ref="U10:U16" si="3">S10-T10</f>
        <v>406.04658261018892</v>
      </c>
      <c r="V10" s="197"/>
      <c r="W10" s="197"/>
      <c r="X10" s="197"/>
      <c r="Y10" s="197"/>
      <c r="Z10" s="198">
        <f>'7|Total Rev Current'!Z364</f>
        <v>29.22204076826274</v>
      </c>
      <c r="AA10" s="199">
        <f>U10+Z10</f>
        <v>435.26862337845165</v>
      </c>
      <c r="AB10" s="200">
        <v>3.9119999999999999</v>
      </c>
      <c r="AC10" s="201">
        <f>(H10*AB10/10)+O10+Q10+P10+R10+Z10</f>
        <v>807.91808543617151</v>
      </c>
      <c r="AE10" s="104">
        <f>AC180</f>
        <v>21161.863536030251</v>
      </c>
      <c r="AF10" s="177">
        <f>AC10+AF13</f>
        <v>807.91227240602382</v>
      </c>
      <c r="AG10" s="92">
        <f>H10*AB10</f>
        <v>7245.5501767882697</v>
      </c>
    </row>
    <row r="11" spans="1:33" s="92" customFormat="1" ht="11.25" customHeight="1">
      <c r="A11" s="188"/>
      <c r="B11" s="189" t="s">
        <v>855</v>
      </c>
      <c r="C11" s="190">
        <f>'7|Total Rev Current'!C365</f>
        <v>1625087</v>
      </c>
      <c r="D11" s="191">
        <v>3</v>
      </c>
      <c r="E11" s="192">
        <v>120</v>
      </c>
      <c r="F11" s="193"/>
      <c r="G11" s="190">
        <v>30</v>
      </c>
      <c r="H11" s="194">
        <f>'7|Total Rev Current'!H365</f>
        <v>2211.5616596521404</v>
      </c>
      <c r="I11" s="194"/>
      <c r="J11" s="194">
        <f>'7|Total Rev Current'!J365</f>
        <v>1536.8402880822987</v>
      </c>
      <c r="K11" s="202"/>
      <c r="L11" s="194">
        <f t="shared" ref="L11:L16" si="4">D11+0.75</f>
        <v>3.75</v>
      </c>
      <c r="M11" s="202"/>
      <c r="N11" s="195">
        <f t="shared" ref="N11:N16" si="5">D11*H11/10</f>
        <v>663.46849789564214</v>
      </c>
      <c r="O11" s="196">
        <f t="shared" ref="O11:O16" si="6">IF(E11&gt;0,(J11*10^3*E11/10^7)+(K11*0.7457*E11/10^7),(K11*F11/10^7)+(J11*(10^3)*(1/0.7457)*F11/10^7))</f>
        <v>18.442083456987582</v>
      </c>
      <c r="P11" s="197"/>
      <c r="Q11" s="196">
        <f t="shared" ref="Q11:Q16" si="7">G11*C11*12/10^7</f>
        <v>58.503132000000001</v>
      </c>
      <c r="R11" s="197"/>
      <c r="S11" s="196">
        <f t="shared" si="2"/>
        <v>740.41371335262977</v>
      </c>
      <c r="T11" s="197"/>
      <c r="U11" s="196">
        <f t="shared" si="3"/>
        <v>740.41371335262977</v>
      </c>
      <c r="V11" s="197"/>
      <c r="W11" s="197"/>
      <c r="X11" s="197"/>
      <c r="Y11" s="197"/>
      <c r="Z11" s="198">
        <f>'7|Total Rev Current'!Z365</f>
        <v>34.892900524134333</v>
      </c>
      <c r="AA11" s="199">
        <f t="shared" ref="AA11:AA16" si="8">U11+Z11</f>
        <v>775.30661387676412</v>
      </c>
      <c r="AB11" s="200">
        <v>4.5746000000000002</v>
      </c>
      <c r="AC11" s="201">
        <f t="shared" ref="AC11:AC16" si="9">(H11*AB11/10)+O11+Q11+P11+R11+Z11</f>
        <v>1123.5391128055901</v>
      </c>
    </row>
    <row r="12" spans="1:33" s="92" customFormat="1">
      <c r="A12" s="188"/>
      <c r="B12" s="189" t="s">
        <v>906</v>
      </c>
      <c r="C12" s="190">
        <f>'7|Total Rev Current'!C366</f>
        <v>1495268</v>
      </c>
      <c r="D12" s="191">
        <v>4.5</v>
      </c>
      <c r="E12" s="192">
        <v>120</v>
      </c>
      <c r="F12" s="193"/>
      <c r="G12" s="190">
        <v>45</v>
      </c>
      <c r="H12" s="194">
        <f>'7|Total Rev Current'!H366</f>
        <v>1519.7813799798287</v>
      </c>
      <c r="I12" s="194"/>
      <c r="J12" s="194">
        <f>'7|Total Rev Current'!J366</f>
        <v>1736.547370251451</v>
      </c>
      <c r="K12" s="194"/>
      <c r="L12" s="194">
        <f t="shared" si="4"/>
        <v>5.25</v>
      </c>
      <c r="M12" s="194"/>
      <c r="N12" s="195">
        <f t="shared" si="5"/>
        <v>683.90162099092288</v>
      </c>
      <c r="O12" s="196">
        <f t="shared" si="6"/>
        <v>20.838568443017412</v>
      </c>
      <c r="P12" s="197"/>
      <c r="Q12" s="196">
        <f t="shared" si="7"/>
        <v>80.744472000000002</v>
      </c>
      <c r="R12" s="197"/>
      <c r="S12" s="196">
        <f t="shared" si="2"/>
        <v>785.48466143394023</v>
      </c>
      <c r="T12" s="197"/>
      <c r="U12" s="196">
        <f t="shared" si="3"/>
        <v>785.48466143394023</v>
      </c>
      <c r="V12" s="197"/>
      <c r="W12" s="197"/>
      <c r="X12" s="197"/>
      <c r="Y12" s="197"/>
      <c r="Z12" s="198">
        <f>'7|Total Rev Current'!Z366</f>
        <v>23.978341403517035</v>
      </c>
      <c r="AA12" s="199">
        <f t="shared" si="8"/>
        <v>809.46300283745722</v>
      </c>
      <c r="AB12" s="200">
        <v>4.91294520517783</v>
      </c>
      <c r="AC12" s="201">
        <f t="shared" si="9"/>
        <v>872.22164621557886</v>
      </c>
    </row>
    <row r="13" spans="1:33" s="92" customFormat="1">
      <c r="A13" s="188"/>
      <c r="B13" s="189" t="s">
        <v>907</v>
      </c>
      <c r="C13" s="190">
        <f>'7|Total Rev Current'!C367</f>
        <v>1182739</v>
      </c>
      <c r="D13" s="191">
        <v>6</v>
      </c>
      <c r="E13" s="192">
        <v>120</v>
      </c>
      <c r="F13" s="193"/>
      <c r="G13" s="190">
        <v>50</v>
      </c>
      <c r="H13" s="194">
        <f>'7|Total Rev Current'!H367</f>
        <v>1256.3127458468207</v>
      </c>
      <c r="I13" s="194"/>
      <c r="J13" s="194">
        <f>'7|Total Rev Current'!J367</f>
        <v>1654.5936430762351</v>
      </c>
      <c r="K13" s="194"/>
      <c r="L13" s="194">
        <f t="shared" si="4"/>
        <v>6.75</v>
      </c>
      <c r="M13" s="194"/>
      <c r="N13" s="195">
        <f t="shared" si="5"/>
        <v>753.78764750809239</v>
      </c>
      <c r="O13" s="196">
        <f t="shared" si="6"/>
        <v>19.855123716914825</v>
      </c>
      <c r="P13" s="197"/>
      <c r="Q13" s="196">
        <f t="shared" si="7"/>
        <v>70.964340000000007</v>
      </c>
      <c r="R13" s="197"/>
      <c r="S13" s="196">
        <f t="shared" si="2"/>
        <v>844.6071112250072</v>
      </c>
      <c r="T13" s="197"/>
      <c r="U13" s="196">
        <f t="shared" si="3"/>
        <v>844.6071112250072</v>
      </c>
      <c r="V13" s="197"/>
      <c r="W13" s="197"/>
      <c r="X13" s="197"/>
      <c r="Y13" s="197"/>
      <c r="Z13" s="198">
        <f>'7|Total Rev Current'!Z367</f>
        <v>19.821466644041145</v>
      </c>
      <c r="AA13" s="199">
        <f t="shared" si="8"/>
        <v>864.42857786904835</v>
      </c>
      <c r="AB13" s="200">
        <v>6</v>
      </c>
      <c r="AC13" s="201">
        <f t="shared" si="9"/>
        <v>864.42857786904835</v>
      </c>
      <c r="AE13" s="177">
        <f>AC178</f>
        <v>21161.869349060398</v>
      </c>
      <c r="AF13" s="177">
        <f>AE10-AE13</f>
        <v>-5.8130301476921886E-3</v>
      </c>
    </row>
    <row r="14" spans="1:33" s="92" customFormat="1">
      <c r="A14" s="188"/>
      <c r="B14" s="189" t="s">
        <v>908</v>
      </c>
      <c r="C14" s="190">
        <f>'7|Total Rev Current'!C368</f>
        <v>367464</v>
      </c>
      <c r="D14" s="191">
        <v>8.75</v>
      </c>
      <c r="E14" s="192">
        <v>120</v>
      </c>
      <c r="F14" s="193"/>
      <c r="G14" s="190">
        <v>55</v>
      </c>
      <c r="H14" s="194">
        <f>'7|Total Rev Current'!H368</f>
        <v>525.8099915125199</v>
      </c>
      <c r="I14" s="194"/>
      <c r="J14" s="194">
        <f>'7|Total Rev Current'!J368</f>
        <v>547.14259058450421</v>
      </c>
      <c r="K14" s="194"/>
      <c r="L14" s="194">
        <f t="shared" si="4"/>
        <v>9.5</v>
      </c>
      <c r="M14" s="194"/>
      <c r="N14" s="195">
        <f t="shared" si="5"/>
        <v>460.08374257345497</v>
      </c>
      <c r="O14" s="196">
        <f t="shared" si="6"/>
        <v>6.5657110870140496</v>
      </c>
      <c r="P14" s="197"/>
      <c r="Q14" s="196">
        <f t="shared" si="7"/>
        <v>24.252624000000001</v>
      </c>
      <c r="R14" s="197"/>
      <c r="S14" s="196">
        <f t="shared" si="2"/>
        <v>490.90207766046905</v>
      </c>
      <c r="T14" s="197"/>
      <c r="U14" s="196">
        <f t="shared" si="3"/>
        <v>490.90207766046905</v>
      </c>
      <c r="V14" s="197"/>
      <c r="W14" s="197"/>
      <c r="X14" s="197"/>
      <c r="Y14" s="197"/>
      <c r="Z14" s="198">
        <f>'7|Total Rev Current'!Z368</f>
        <v>8.2959639168858192</v>
      </c>
      <c r="AA14" s="199">
        <f t="shared" si="8"/>
        <v>499.19804157735484</v>
      </c>
      <c r="AB14" s="200">
        <v>8.75</v>
      </c>
      <c r="AC14" s="201">
        <f t="shared" si="9"/>
        <v>499.19804157735484</v>
      </c>
    </row>
    <row r="15" spans="1:33" s="92" customFormat="1">
      <c r="A15" s="188"/>
      <c r="B15" s="189" t="s">
        <v>909</v>
      </c>
      <c r="C15" s="190">
        <f>'7|Total Rev Current'!C369</f>
        <v>97301</v>
      </c>
      <c r="D15" s="191">
        <v>9.75</v>
      </c>
      <c r="E15" s="192">
        <v>120</v>
      </c>
      <c r="F15" s="193"/>
      <c r="G15" s="190">
        <v>55</v>
      </c>
      <c r="H15" s="194">
        <f>'7|Total Rev Current'!H369</f>
        <v>376.23819151698206</v>
      </c>
      <c r="I15" s="194"/>
      <c r="J15" s="194">
        <f>'7|Total Rev Current'!J369</f>
        <v>158.55606401535971</v>
      </c>
      <c r="K15" s="194"/>
      <c r="L15" s="194">
        <f t="shared" si="4"/>
        <v>10.5</v>
      </c>
      <c r="M15" s="194"/>
      <c r="N15" s="195">
        <f t="shared" si="5"/>
        <v>366.83223672905751</v>
      </c>
      <c r="O15" s="196">
        <f t="shared" si="6"/>
        <v>1.9026727681843165</v>
      </c>
      <c r="P15" s="197"/>
      <c r="Q15" s="196">
        <f t="shared" si="7"/>
        <v>6.4218659999999996</v>
      </c>
      <c r="R15" s="197"/>
      <c r="S15" s="196">
        <f t="shared" si="2"/>
        <v>375.15677549724182</v>
      </c>
      <c r="T15" s="197"/>
      <c r="U15" s="196">
        <f t="shared" si="3"/>
        <v>375.15677549724182</v>
      </c>
      <c r="V15" s="197"/>
      <c r="W15" s="197"/>
      <c r="X15" s="197"/>
      <c r="Y15" s="197"/>
      <c r="Z15" s="198">
        <f>'7|Total Rev Current'!Z369</f>
        <v>5.9360957596123205</v>
      </c>
      <c r="AA15" s="199">
        <f t="shared" si="8"/>
        <v>381.09287125685415</v>
      </c>
      <c r="AB15" s="200">
        <v>9.75</v>
      </c>
      <c r="AC15" s="201">
        <f t="shared" si="9"/>
        <v>381.09287125685415</v>
      </c>
    </row>
    <row r="16" spans="1:33" s="92" customFormat="1" ht="26.25" customHeight="1">
      <c r="A16" s="188"/>
      <c r="B16" s="189" t="s">
        <v>910</v>
      </c>
      <c r="C16" s="190">
        <f>'7|Total Rev Current'!C370</f>
        <v>0</v>
      </c>
      <c r="D16" s="191"/>
      <c r="E16" s="192"/>
      <c r="F16" s="193"/>
      <c r="G16" s="190"/>
      <c r="H16" s="194">
        <f>'7|Total Rev Current'!H370</f>
        <v>0</v>
      </c>
      <c r="I16" s="194"/>
      <c r="J16" s="194">
        <f>'7|Total Rev Current'!J370</f>
        <v>0</v>
      </c>
      <c r="K16" s="194"/>
      <c r="L16" s="194">
        <f t="shared" si="4"/>
        <v>0.75</v>
      </c>
      <c r="M16" s="194"/>
      <c r="N16" s="195">
        <f t="shared" si="5"/>
        <v>0</v>
      </c>
      <c r="O16" s="196">
        <f t="shared" si="6"/>
        <v>0</v>
      </c>
      <c r="P16" s="197"/>
      <c r="Q16" s="196">
        <f t="shared" si="7"/>
        <v>0</v>
      </c>
      <c r="R16" s="197"/>
      <c r="S16" s="196">
        <f t="shared" si="2"/>
        <v>0</v>
      </c>
      <c r="T16" s="197"/>
      <c r="U16" s="196">
        <f t="shared" si="3"/>
        <v>0</v>
      </c>
      <c r="V16" s="197"/>
      <c r="W16" s="197"/>
      <c r="X16" s="197"/>
      <c r="Y16" s="197"/>
      <c r="Z16" s="198">
        <f>'7|Total Rev Current'!Z370</f>
        <v>0</v>
      </c>
      <c r="AA16" s="199">
        <f t="shared" si="8"/>
        <v>0</v>
      </c>
      <c r="AB16" s="200">
        <v>0</v>
      </c>
      <c r="AC16" s="201">
        <f t="shared" si="9"/>
        <v>0</v>
      </c>
    </row>
    <row r="17" spans="1:29" s="92" customFormat="1">
      <c r="A17" s="104"/>
      <c r="B17" s="204" t="s">
        <v>922</v>
      </c>
      <c r="C17" s="179">
        <f>C18+C26+C27+C28</f>
        <v>691476</v>
      </c>
      <c r="D17" s="181"/>
      <c r="E17" s="205"/>
      <c r="F17" s="181"/>
      <c r="G17" s="206"/>
      <c r="H17" s="181">
        <f>H18+H24+H25+H26+H27+H28</f>
        <v>1501.2622985285711</v>
      </c>
      <c r="I17" s="181">
        <f t="shared" ref="I17:AC17" si="10">I18+I24+I25+I26+I27+I28</f>
        <v>0</v>
      </c>
      <c r="J17" s="181">
        <f t="shared" si="10"/>
        <v>1608.8480620999994</v>
      </c>
      <c r="K17" s="181">
        <f t="shared" si="10"/>
        <v>0</v>
      </c>
      <c r="L17" s="181"/>
      <c r="M17" s="181"/>
      <c r="N17" s="181">
        <f t="shared" si="10"/>
        <v>1321.6940267716525</v>
      </c>
      <c r="O17" s="181">
        <f t="shared" si="10"/>
        <v>141.89421718769606</v>
      </c>
      <c r="P17" s="181">
        <f t="shared" si="10"/>
        <v>17.650973348977502</v>
      </c>
      <c r="Q17" s="181">
        <f t="shared" si="10"/>
        <v>29.527355999999997</v>
      </c>
      <c r="R17" s="181">
        <f t="shared" si="10"/>
        <v>0</v>
      </c>
      <c r="S17" s="181">
        <f t="shared" si="10"/>
        <v>1510.7665733083261</v>
      </c>
      <c r="T17" s="181">
        <f t="shared" si="10"/>
        <v>0</v>
      </c>
      <c r="U17" s="181">
        <f t="shared" si="10"/>
        <v>1510.7665733083261</v>
      </c>
      <c r="V17" s="181">
        <f t="shared" si="10"/>
        <v>0</v>
      </c>
      <c r="W17" s="181">
        <f t="shared" si="10"/>
        <v>0</v>
      </c>
      <c r="X17" s="181">
        <f t="shared" si="10"/>
        <v>0</v>
      </c>
      <c r="Y17" s="181">
        <f t="shared" si="10"/>
        <v>0</v>
      </c>
      <c r="Z17" s="181">
        <f t="shared" si="10"/>
        <v>23.686156709476574</v>
      </c>
      <c r="AA17" s="181">
        <f t="shared" si="10"/>
        <v>1534.4527300178022</v>
      </c>
      <c r="AB17" s="181"/>
      <c r="AC17" s="182">
        <f t="shared" si="10"/>
        <v>1534.4527300178022</v>
      </c>
    </row>
    <row r="18" spans="1:29" s="92" customFormat="1">
      <c r="A18" s="104"/>
      <c r="B18" s="183" t="s">
        <v>924</v>
      </c>
      <c r="C18" s="184">
        <f>SUM(C19:C25)</f>
        <v>691411</v>
      </c>
      <c r="D18" s="186"/>
      <c r="E18" s="207"/>
      <c r="F18" s="186"/>
      <c r="G18" s="185"/>
      <c r="H18" s="186">
        <f>SUM(H19:H23)</f>
        <v>1484.3734388181467</v>
      </c>
      <c r="I18" s="186">
        <f t="shared" ref="I18:AC18" si="11">SUM(I19:I23)</f>
        <v>0</v>
      </c>
      <c r="J18" s="186">
        <f t="shared" si="11"/>
        <v>1573.097241630333</v>
      </c>
      <c r="K18" s="186">
        <f t="shared" si="11"/>
        <v>0</v>
      </c>
      <c r="L18" s="186"/>
      <c r="M18" s="186"/>
      <c r="N18" s="186">
        <f t="shared" si="11"/>
        <v>1301.2498857229198</v>
      </c>
      <c r="O18" s="186">
        <f t="shared" si="11"/>
        <v>141.57875174673001</v>
      </c>
      <c r="P18" s="186">
        <f t="shared" si="11"/>
        <v>17.5384811175525</v>
      </c>
      <c r="Q18" s="186">
        <f t="shared" si="11"/>
        <v>29.333075999999998</v>
      </c>
      <c r="R18" s="186">
        <f t="shared" si="11"/>
        <v>0</v>
      </c>
      <c r="S18" s="186">
        <f t="shared" si="11"/>
        <v>1489.7001945872023</v>
      </c>
      <c r="T18" s="186">
        <f t="shared" si="11"/>
        <v>0</v>
      </c>
      <c r="U18" s="186">
        <f t="shared" si="11"/>
        <v>1489.7001945872023</v>
      </c>
      <c r="V18" s="186">
        <f t="shared" si="11"/>
        <v>0</v>
      </c>
      <c r="W18" s="186">
        <f t="shared" si="11"/>
        <v>0</v>
      </c>
      <c r="X18" s="186">
        <f t="shared" si="11"/>
        <v>0</v>
      </c>
      <c r="Y18" s="186">
        <f t="shared" si="11"/>
        <v>0</v>
      </c>
      <c r="Z18" s="186">
        <f t="shared" si="11"/>
        <v>23.419692828955789</v>
      </c>
      <c r="AA18" s="186">
        <f t="shared" si="11"/>
        <v>1513.119887416158</v>
      </c>
      <c r="AB18" s="186"/>
      <c r="AC18" s="187">
        <f t="shared" si="11"/>
        <v>1513.119887416158</v>
      </c>
    </row>
    <row r="19" spans="1:29" s="92" customFormat="1">
      <c r="A19" s="188"/>
      <c r="B19" s="189" t="s">
        <v>583</v>
      </c>
      <c r="C19" s="190">
        <f>'7|Total Rev Current'!C373</f>
        <v>397419</v>
      </c>
      <c r="D19" s="191">
        <v>5.4</v>
      </c>
      <c r="E19" s="192">
        <v>900</v>
      </c>
      <c r="F19" s="193"/>
      <c r="G19" s="190">
        <v>30</v>
      </c>
      <c r="H19" s="194">
        <f>'7|Total Rev Current'!H373</f>
        <v>267.58087694811366</v>
      </c>
      <c r="I19" s="194"/>
      <c r="J19" s="194">
        <f>'7|Total Rev Current'!J373</f>
        <v>520.12182715246581</v>
      </c>
      <c r="K19" s="191"/>
      <c r="L19" s="194">
        <f>D19+0.75</f>
        <v>6.15</v>
      </c>
      <c r="M19" s="191"/>
      <c r="N19" s="195">
        <f t="shared" ref="N19:N35" si="12">D19*H19/10</f>
        <v>144.49367355198137</v>
      </c>
      <c r="O19" s="196">
        <f t="shared" ref="O19:O28" si="13">IF(E19&gt;0,(J19*10^3*E19/10^7)+(K19*0.7457*E19/10^7),(K19*F19/10^7)+(J19*(10^3)*(1/0.7457)*F19/10^7))</f>
        <v>46.810964443721929</v>
      </c>
      <c r="P19" s="197">
        <f>'7|Total Rev Current'!P373</f>
        <v>17.5384811175525</v>
      </c>
      <c r="Q19" s="196">
        <f t="shared" ref="Q19:Q28" si="14">G19*C19*12/10^7</f>
        <v>14.307084</v>
      </c>
      <c r="R19" s="197"/>
      <c r="S19" s="196">
        <f t="shared" ref="S19:S38" si="15">N19+O19+P19+Q19+R19</f>
        <v>223.1502031132558</v>
      </c>
      <c r="T19" s="191"/>
      <c r="U19" s="196">
        <f t="shared" ref="U19:U28" si="16">S19-T19</f>
        <v>223.1502031132558</v>
      </c>
      <c r="V19" s="191"/>
      <c r="W19" s="191"/>
      <c r="X19" s="191"/>
      <c r="Y19" s="191"/>
      <c r="Z19" s="198">
        <f>'7|Total Rev Current'!Z373</f>
        <v>4.2217556452754463</v>
      </c>
      <c r="AA19" s="199">
        <f t="shared" ref="AA19:AA28" si="17">U19+Z19</f>
        <v>227.37195875853124</v>
      </c>
      <c r="AB19" s="200">
        <v>5.4</v>
      </c>
      <c r="AC19" s="201">
        <f t="shared" ref="AC19:AC28" si="18">(H19*AB19/10)+O19+Q19+P19+R19+Z19</f>
        <v>227.37195875853124</v>
      </c>
    </row>
    <row r="20" spans="1:29" s="92" customFormat="1">
      <c r="A20" s="188"/>
      <c r="B20" s="189" t="s">
        <v>584</v>
      </c>
      <c r="C20" s="190">
        <f>'7|Total Rev Current'!C374</f>
        <v>115604</v>
      </c>
      <c r="D20" s="191">
        <v>7.65</v>
      </c>
      <c r="E20" s="192">
        <v>900</v>
      </c>
      <c r="F20" s="193"/>
      <c r="G20" s="190">
        <v>40</v>
      </c>
      <c r="H20" s="194">
        <f>'7|Total Rev Current'!H374</f>
        <v>155.47984880094026</v>
      </c>
      <c r="I20" s="194"/>
      <c r="J20" s="194">
        <f>'7|Total Rev Current'!J374</f>
        <v>164.97543480327818</v>
      </c>
      <c r="K20" s="191"/>
      <c r="L20" s="194">
        <f t="shared" ref="L20:L38" si="19">D20+0.75</f>
        <v>8.4</v>
      </c>
      <c r="M20" s="191"/>
      <c r="N20" s="195">
        <f t="shared" si="12"/>
        <v>118.9420843327193</v>
      </c>
      <c r="O20" s="196">
        <f t="shared" si="13"/>
        <v>14.847789132295036</v>
      </c>
      <c r="P20" s="197">
        <f>'7|Total Rev Current'!P374</f>
        <v>0</v>
      </c>
      <c r="Q20" s="196">
        <f t="shared" si="14"/>
        <v>5.5489920000000001</v>
      </c>
      <c r="R20" s="197"/>
      <c r="S20" s="196">
        <f t="shared" si="15"/>
        <v>139.33886546501435</v>
      </c>
      <c r="T20" s="191"/>
      <c r="U20" s="196">
        <f t="shared" si="16"/>
        <v>139.33886546501435</v>
      </c>
      <c r="V20" s="191"/>
      <c r="W20" s="191"/>
      <c r="X20" s="191"/>
      <c r="Y20" s="191"/>
      <c r="Z20" s="198">
        <f>'7|Total Rev Current'!Z374</f>
        <v>2.4530823610732986</v>
      </c>
      <c r="AA20" s="199">
        <f t="shared" si="17"/>
        <v>141.79194782608764</v>
      </c>
      <c r="AB20" s="200">
        <v>7.65</v>
      </c>
      <c r="AC20" s="201">
        <f t="shared" si="18"/>
        <v>141.79194782608764</v>
      </c>
    </row>
    <row r="21" spans="1:29" s="92" customFormat="1">
      <c r="A21" s="188"/>
      <c r="B21" s="189" t="s">
        <v>585</v>
      </c>
      <c r="C21" s="190">
        <f>'7|Total Rev Current'!C375</f>
        <v>112530</v>
      </c>
      <c r="D21" s="191">
        <v>9.0500000000000007</v>
      </c>
      <c r="E21" s="192">
        <v>900</v>
      </c>
      <c r="F21" s="193"/>
      <c r="G21" s="190">
        <v>45</v>
      </c>
      <c r="H21" s="194">
        <f>'7|Total Rev Current'!H375</f>
        <v>288.95361908508096</v>
      </c>
      <c r="I21" s="194"/>
      <c r="J21" s="194">
        <f>'7|Total Rev Current'!J375</f>
        <v>250.11553701195282</v>
      </c>
      <c r="K21" s="191"/>
      <c r="L21" s="194">
        <f t="shared" si="19"/>
        <v>9.8000000000000007</v>
      </c>
      <c r="M21" s="191"/>
      <c r="N21" s="195">
        <f t="shared" si="12"/>
        <v>261.5030252719983</v>
      </c>
      <c r="O21" s="196">
        <f t="shared" si="13"/>
        <v>22.510398331075756</v>
      </c>
      <c r="P21" s="197">
        <f>'7|Total Rev Current'!P375</f>
        <v>0</v>
      </c>
      <c r="Q21" s="196">
        <f t="shared" si="14"/>
        <v>6.0766200000000001</v>
      </c>
      <c r="R21" s="197"/>
      <c r="S21" s="196">
        <f t="shared" si="15"/>
        <v>290.09004360307404</v>
      </c>
      <c r="T21" s="191"/>
      <c r="U21" s="196">
        <f t="shared" si="16"/>
        <v>290.09004360307404</v>
      </c>
      <c r="V21" s="191"/>
      <c r="W21" s="191"/>
      <c r="X21" s="191"/>
      <c r="Y21" s="191"/>
      <c r="Z21" s="198">
        <f>'7|Total Rev Current'!Z375</f>
        <v>4.5589639532863915</v>
      </c>
      <c r="AA21" s="199">
        <f t="shared" si="17"/>
        <v>294.6490075563604</v>
      </c>
      <c r="AB21" s="200">
        <v>9.0500000000000007</v>
      </c>
      <c r="AC21" s="201">
        <f t="shared" si="18"/>
        <v>294.6490075563604</v>
      </c>
    </row>
    <row r="22" spans="1:29" s="92" customFormat="1">
      <c r="A22" s="188"/>
      <c r="B22" s="189" t="s">
        <v>586</v>
      </c>
      <c r="C22" s="190">
        <f>'7|Total Rev Current'!C376</f>
        <v>24303</v>
      </c>
      <c r="D22" s="191">
        <v>9.6</v>
      </c>
      <c r="E22" s="192">
        <v>900</v>
      </c>
      <c r="F22" s="193"/>
      <c r="G22" s="190">
        <v>45</v>
      </c>
      <c r="H22" s="194">
        <f>'7|Total Rev Current'!H376</f>
        <v>138.78868777366034</v>
      </c>
      <c r="I22" s="194"/>
      <c r="J22" s="194">
        <f>'7|Total Rev Current'!J376</f>
        <v>105.52978841098616</v>
      </c>
      <c r="K22" s="191"/>
      <c r="L22" s="194">
        <f t="shared" si="19"/>
        <v>10.35</v>
      </c>
      <c r="M22" s="191"/>
      <c r="N22" s="195">
        <f t="shared" si="12"/>
        <v>133.23714026271392</v>
      </c>
      <c r="O22" s="196">
        <f t="shared" si="13"/>
        <v>9.4976809569887557</v>
      </c>
      <c r="P22" s="197">
        <f>'7|Total Rev Current'!P376</f>
        <v>0</v>
      </c>
      <c r="Q22" s="196">
        <f t="shared" si="14"/>
        <v>1.312362</v>
      </c>
      <c r="R22" s="197"/>
      <c r="S22" s="196">
        <f t="shared" si="15"/>
        <v>144.04718321970267</v>
      </c>
      <c r="T22" s="191"/>
      <c r="U22" s="196">
        <f t="shared" si="16"/>
        <v>144.04718321970267</v>
      </c>
      <c r="V22" s="191"/>
      <c r="W22" s="191"/>
      <c r="X22" s="191"/>
      <c r="Y22" s="191"/>
      <c r="Z22" s="198">
        <f>'7|Total Rev Current'!Z376</f>
        <v>2.1897376703135607</v>
      </c>
      <c r="AA22" s="199">
        <f t="shared" si="17"/>
        <v>146.23692089001622</v>
      </c>
      <c r="AB22" s="200">
        <v>9.6</v>
      </c>
      <c r="AC22" s="201">
        <f t="shared" si="18"/>
        <v>146.23692089001622</v>
      </c>
    </row>
    <row r="23" spans="1:29" s="92" customFormat="1">
      <c r="A23" s="188"/>
      <c r="B23" s="189" t="s">
        <v>587</v>
      </c>
      <c r="C23" s="190">
        <f>'7|Total Rev Current'!C377</f>
        <v>38667</v>
      </c>
      <c r="D23" s="191">
        <v>10.15</v>
      </c>
      <c r="E23" s="192">
        <v>900</v>
      </c>
      <c r="F23" s="193"/>
      <c r="G23" s="190">
        <v>45</v>
      </c>
      <c r="H23" s="194">
        <f>'7|Total Rev Current'!H377</f>
        <v>633.57040621035162</v>
      </c>
      <c r="I23" s="194"/>
      <c r="J23" s="194">
        <f>'7|Total Rev Current'!J377</f>
        <v>532.35465425165012</v>
      </c>
      <c r="K23" s="191"/>
      <c r="L23" s="194">
        <f t="shared" si="19"/>
        <v>10.9</v>
      </c>
      <c r="M23" s="191"/>
      <c r="N23" s="195">
        <f t="shared" si="12"/>
        <v>643.07396230350696</v>
      </c>
      <c r="O23" s="196">
        <f t="shared" si="13"/>
        <v>47.911918882648507</v>
      </c>
      <c r="P23" s="197">
        <f>'7|Total Rev Current'!P377</f>
        <v>0</v>
      </c>
      <c r="Q23" s="196">
        <f t="shared" si="14"/>
        <v>2.0880179999999999</v>
      </c>
      <c r="R23" s="197"/>
      <c r="S23" s="196">
        <f t="shared" si="15"/>
        <v>693.07389918615547</v>
      </c>
      <c r="T23" s="191"/>
      <c r="U23" s="196">
        <f t="shared" si="16"/>
        <v>693.07389918615547</v>
      </c>
      <c r="V23" s="191"/>
      <c r="W23" s="191"/>
      <c r="X23" s="191"/>
      <c r="Y23" s="191"/>
      <c r="Z23" s="198">
        <f>'7|Total Rev Current'!Z377</f>
        <v>9.9961531990070931</v>
      </c>
      <c r="AA23" s="199">
        <f t="shared" si="17"/>
        <v>703.07005238516251</v>
      </c>
      <c r="AB23" s="200">
        <v>10.15</v>
      </c>
      <c r="AC23" s="201">
        <f t="shared" si="18"/>
        <v>703.07005238516251</v>
      </c>
    </row>
    <row r="24" spans="1:29" s="92" customFormat="1">
      <c r="A24" s="188"/>
      <c r="B24" s="208" t="s">
        <v>911</v>
      </c>
      <c r="C24" s="190">
        <f>'7|Total Rev Current'!C378</f>
        <v>1159</v>
      </c>
      <c r="D24" s="210">
        <v>12.25</v>
      </c>
      <c r="E24" s="209">
        <v>1200</v>
      </c>
      <c r="F24" s="210"/>
      <c r="G24" s="190">
        <v>50</v>
      </c>
      <c r="H24" s="194">
        <f>'7|Total Rev Current'!H378</f>
        <v>2.1883240440413858</v>
      </c>
      <c r="I24" s="194"/>
      <c r="J24" s="194">
        <f>'7|Total Rev Current'!J378</f>
        <v>2.6288786747170083</v>
      </c>
      <c r="K24" s="186"/>
      <c r="L24" s="194">
        <f t="shared" si="19"/>
        <v>13</v>
      </c>
      <c r="M24" s="186"/>
      <c r="N24" s="195">
        <f t="shared" si="12"/>
        <v>2.6806969539506977</v>
      </c>
      <c r="O24" s="186">
        <f t="shared" si="13"/>
        <v>0.31546544096604101</v>
      </c>
      <c r="P24" s="197">
        <f>'7|Total Rev Current'!P378</f>
        <v>0.11249223142500002</v>
      </c>
      <c r="Q24" s="196">
        <f t="shared" si="14"/>
        <v>6.9540000000000005E-2</v>
      </c>
      <c r="R24" s="186"/>
      <c r="S24" s="196">
        <f t="shared" si="15"/>
        <v>3.1781946263417389</v>
      </c>
      <c r="T24" s="186"/>
      <c r="U24" s="196">
        <f t="shared" si="16"/>
        <v>3.1781946263417389</v>
      </c>
      <c r="V24" s="186"/>
      <c r="W24" s="186"/>
      <c r="X24" s="186"/>
      <c r="Y24" s="186"/>
      <c r="Z24" s="198">
        <f>'7|Total Rev Current'!Z378</f>
        <v>3.4526269186325891E-2</v>
      </c>
      <c r="AA24" s="199">
        <f t="shared" si="17"/>
        <v>3.2127208955280646</v>
      </c>
      <c r="AB24" s="200">
        <v>12.25</v>
      </c>
      <c r="AC24" s="201">
        <f t="shared" si="18"/>
        <v>3.2127208955280646</v>
      </c>
    </row>
    <row r="25" spans="1:29" s="92" customFormat="1" ht="21">
      <c r="A25" s="188"/>
      <c r="B25" s="208" t="s">
        <v>925</v>
      </c>
      <c r="C25" s="190">
        <f>'7|Total Rev Current'!C379</f>
        <v>1729</v>
      </c>
      <c r="D25" s="210">
        <v>12.25</v>
      </c>
      <c r="E25" s="210">
        <v>0</v>
      </c>
      <c r="F25" s="210"/>
      <c r="G25" s="190">
        <v>50</v>
      </c>
      <c r="H25" s="194">
        <f>'7|Total Rev Current'!H379</f>
        <v>14.259612969919321</v>
      </c>
      <c r="I25" s="194"/>
      <c r="J25" s="194">
        <f>'7|Total Rev Current'!J379</f>
        <v>32.002954116896646</v>
      </c>
      <c r="K25" s="186"/>
      <c r="L25" s="194">
        <f t="shared" si="19"/>
        <v>13</v>
      </c>
      <c r="M25" s="186"/>
      <c r="N25" s="195">
        <f t="shared" si="12"/>
        <v>17.468025888151168</v>
      </c>
      <c r="O25" s="186">
        <f t="shared" si="13"/>
        <v>0</v>
      </c>
      <c r="P25" s="197">
        <f>'7|Total Rev Current'!P379</f>
        <v>0</v>
      </c>
      <c r="Q25" s="196">
        <f t="shared" si="14"/>
        <v>0.10374</v>
      </c>
      <c r="R25" s="186"/>
      <c r="S25" s="196">
        <f t="shared" si="15"/>
        <v>17.571765888151166</v>
      </c>
      <c r="T25" s="186"/>
      <c r="U25" s="196">
        <f t="shared" si="16"/>
        <v>17.571765888151166</v>
      </c>
      <c r="V25" s="186"/>
      <c r="W25" s="186"/>
      <c r="X25" s="186"/>
      <c r="Y25" s="186"/>
      <c r="Z25" s="198">
        <f>'7|Total Rev Current'!Z379</f>
        <v>0.22498095619468841</v>
      </c>
      <c r="AA25" s="199">
        <f t="shared" si="17"/>
        <v>17.796746844345854</v>
      </c>
      <c r="AB25" s="200">
        <v>12.25</v>
      </c>
      <c r="AC25" s="201">
        <f t="shared" si="18"/>
        <v>17.796746844345854</v>
      </c>
    </row>
    <row r="26" spans="1:29" s="92" customFormat="1">
      <c r="A26" s="188"/>
      <c r="B26" s="208" t="s">
        <v>723</v>
      </c>
      <c r="C26" s="190">
        <f>'7|Total Rev Current'!C380</f>
        <v>5</v>
      </c>
      <c r="D26" s="210">
        <v>12.25</v>
      </c>
      <c r="E26" s="210">
        <v>0</v>
      </c>
      <c r="F26" s="210"/>
      <c r="G26" s="190">
        <v>500</v>
      </c>
      <c r="H26" s="194">
        <f>'7|Total Rev Current'!H380</f>
        <v>0</v>
      </c>
      <c r="I26" s="194"/>
      <c r="J26" s="194">
        <f>'7|Total Rev Current'!J380</f>
        <v>7.608464056697543E-3</v>
      </c>
      <c r="K26" s="186"/>
      <c r="L26" s="194">
        <f t="shared" si="19"/>
        <v>13</v>
      </c>
      <c r="M26" s="186"/>
      <c r="N26" s="195">
        <f t="shared" si="12"/>
        <v>0</v>
      </c>
      <c r="O26" s="186">
        <f t="shared" si="13"/>
        <v>0</v>
      </c>
      <c r="P26" s="197">
        <f>'7|Total Rev Current'!P380</f>
        <v>0</v>
      </c>
      <c r="Q26" s="196">
        <f t="shared" si="14"/>
        <v>3.0000000000000001E-3</v>
      </c>
      <c r="R26" s="186"/>
      <c r="S26" s="196">
        <f t="shared" si="15"/>
        <v>3.0000000000000001E-3</v>
      </c>
      <c r="T26" s="186"/>
      <c r="U26" s="196">
        <f t="shared" si="16"/>
        <v>3.0000000000000001E-3</v>
      </c>
      <c r="V26" s="186"/>
      <c r="W26" s="186"/>
      <c r="X26" s="186"/>
      <c r="Y26" s="186"/>
      <c r="Z26" s="198">
        <f>'7|Total Rev Current'!Z380</f>
        <v>0</v>
      </c>
      <c r="AA26" s="199">
        <f t="shared" si="17"/>
        <v>3.0000000000000001E-3</v>
      </c>
      <c r="AB26" s="200">
        <v>12.25</v>
      </c>
      <c r="AC26" s="201">
        <f t="shared" si="18"/>
        <v>3.0000000000000001E-3</v>
      </c>
    </row>
    <row r="27" spans="1:29" s="92" customFormat="1" ht="21">
      <c r="A27" s="188"/>
      <c r="B27" s="208" t="s">
        <v>724</v>
      </c>
      <c r="C27" s="190">
        <f>'7|Total Rev Current'!C381</f>
        <v>60</v>
      </c>
      <c r="D27" s="210">
        <v>6.7</v>
      </c>
      <c r="E27" s="210">
        <v>0</v>
      </c>
      <c r="F27" s="210"/>
      <c r="G27" s="190">
        <v>250</v>
      </c>
      <c r="H27" s="194">
        <f>'7|Total Rev Current'!H381</f>
        <v>0.44092269646373305</v>
      </c>
      <c r="I27" s="194"/>
      <c r="J27" s="194">
        <f>'7|Total Rev Current'!J381</f>
        <v>1.1113792139961767</v>
      </c>
      <c r="K27" s="186"/>
      <c r="L27" s="194">
        <f t="shared" si="19"/>
        <v>7.45</v>
      </c>
      <c r="M27" s="186"/>
      <c r="N27" s="195">
        <f t="shared" si="12"/>
        <v>0.29541820663070117</v>
      </c>
      <c r="O27" s="186">
        <f t="shared" si="13"/>
        <v>0</v>
      </c>
      <c r="P27" s="197">
        <f>'7|Total Rev Current'!P381</f>
        <v>0</v>
      </c>
      <c r="Q27" s="196">
        <f t="shared" si="14"/>
        <v>1.7999999999999999E-2</v>
      </c>
      <c r="R27" s="186"/>
      <c r="S27" s="196">
        <f t="shared" si="15"/>
        <v>0.31341820663070119</v>
      </c>
      <c r="T27" s="186"/>
      <c r="U27" s="196">
        <f t="shared" si="16"/>
        <v>0.31341820663070119</v>
      </c>
      <c r="V27" s="186"/>
      <c r="W27" s="186"/>
      <c r="X27" s="186"/>
      <c r="Y27" s="186"/>
      <c r="Z27" s="198">
        <f>'7|Total Rev Current'!Z381</f>
        <v>6.9566551397721617E-3</v>
      </c>
      <c r="AA27" s="199">
        <f t="shared" si="17"/>
        <v>0.32037486177047336</v>
      </c>
      <c r="AB27" s="200">
        <v>6.7</v>
      </c>
      <c r="AC27" s="201">
        <f t="shared" si="18"/>
        <v>0.32037486177047336</v>
      </c>
    </row>
    <row r="28" spans="1:29" s="92" customFormat="1">
      <c r="A28" s="188"/>
      <c r="B28" s="208" t="s">
        <v>725</v>
      </c>
      <c r="C28" s="190">
        <f>'7|Total Rev Current'!C382</f>
        <v>0</v>
      </c>
      <c r="D28" s="210">
        <v>12.25</v>
      </c>
      <c r="E28" s="210">
        <v>0</v>
      </c>
      <c r="F28" s="210"/>
      <c r="G28" s="191"/>
      <c r="H28" s="194">
        <f>'7|Total Rev Current'!H382</f>
        <v>0</v>
      </c>
      <c r="I28" s="194"/>
      <c r="J28" s="194">
        <f>'7|Total Rev Current'!J382</f>
        <v>0</v>
      </c>
      <c r="K28" s="186"/>
      <c r="L28" s="194">
        <f t="shared" si="19"/>
        <v>13</v>
      </c>
      <c r="M28" s="186"/>
      <c r="N28" s="195">
        <f t="shared" si="12"/>
        <v>0</v>
      </c>
      <c r="O28" s="186">
        <f t="shared" si="13"/>
        <v>0</v>
      </c>
      <c r="P28" s="197">
        <f>'7|Total Rev Current'!P382</f>
        <v>0</v>
      </c>
      <c r="Q28" s="196">
        <f t="shared" si="14"/>
        <v>0</v>
      </c>
      <c r="R28" s="186"/>
      <c r="S28" s="196">
        <f t="shared" si="15"/>
        <v>0</v>
      </c>
      <c r="T28" s="186"/>
      <c r="U28" s="196">
        <f t="shared" si="16"/>
        <v>0</v>
      </c>
      <c r="V28" s="186"/>
      <c r="W28" s="186"/>
      <c r="X28" s="186"/>
      <c r="Y28" s="186"/>
      <c r="Z28" s="198">
        <f>'7|Total Rev Current'!Z382</f>
        <v>0</v>
      </c>
      <c r="AA28" s="199">
        <f t="shared" si="17"/>
        <v>0</v>
      </c>
      <c r="AB28" s="200">
        <v>12.25</v>
      </c>
      <c r="AC28" s="201">
        <f t="shared" si="18"/>
        <v>0</v>
      </c>
    </row>
    <row r="29" spans="1:29" s="92" customFormat="1">
      <c r="A29" s="188"/>
      <c r="B29" s="204" t="s">
        <v>926</v>
      </c>
      <c r="C29" s="179">
        <f>C30+C31+C32</f>
        <v>21478</v>
      </c>
      <c r="D29" s="181"/>
      <c r="E29" s="211"/>
      <c r="F29" s="179"/>
      <c r="G29" s="212"/>
      <c r="H29" s="181">
        <f>H30+H31+H32</f>
        <v>494.59026689035625</v>
      </c>
      <c r="I29" s="181">
        <f t="shared" ref="I29:AC29" si="20">I30+I31+I32</f>
        <v>0</v>
      </c>
      <c r="J29" s="181">
        <f t="shared" si="20"/>
        <v>515.7144211240003</v>
      </c>
      <c r="K29" s="181">
        <f t="shared" si="20"/>
        <v>0</v>
      </c>
      <c r="L29" s="181"/>
      <c r="M29" s="181"/>
      <c r="N29" s="181">
        <f t="shared" si="20"/>
        <v>330.54469243171445</v>
      </c>
      <c r="O29" s="181">
        <f t="shared" si="20"/>
        <v>46.169145687730946</v>
      </c>
      <c r="P29" s="181">
        <f t="shared" si="20"/>
        <v>0</v>
      </c>
      <c r="Q29" s="181">
        <f t="shared" si="20"/>
        <v>22.352083199999999</v>
      </c>
      <c r="R29" s="181">
        <f t="shared" si="20"/>
        <v>0</v>
      </c>
      <c r="S29" s="181">
        <f t="shared" si="20"/>
        <v>399.06592131944541</v>
      </c>
      <c r="T29" s="181">
        <f t="shared" si="20"/>
        <v>0</v>
      </c>
      <c r="U29" s="181">
        <f t="shared" si="20"/>
        <v>399.06592131944541</v>
      </c>
      <c r="V29" s="181">
        <f t="shared" si="20"/>
        <v>0</v>
      </c>
      <c r="W29" s="181">
        <f t="shared" si="20"/>
        <v>0</v>
      </c>
      <c r="X29" s="181">
        <f t="shared" si="20"/>
        <v>0</v>
      </c>
      <c r="Y29" s="181">
        <f t="shared" si="20"/>
        <v>0</v>
      </c>
      <c r="Z29" s="181">
        <f t="shared" si="20"/>
        <v>7.8033949030951906</v>
      </c>
      <c r="AA29" s="181">
        <f t="shared" si="20"/>
        <v>406.86931622254059</v>
      </c>
      <c r="AB29" s="181"/>
      <c r="AC29" s="182">
        <f t="shared" si="20"/>
        <v>406.86931622254059</v>
      </c>
    </row>
    <row r="30" spans="1:29" s="92" customFormat="1" ht="15.75" customHeight="1">
      <c r="A30" s="188"/>
      <c r="B30" s="189" t="s">
        <v>927</v>
      </c>
      <c r="C30" s="190">
        <f>'7|Total Rev Current'!C384</f>
        <v>19740</v>
      </c>
      <c r="D30" s="191">
        <v>6.7</v>
      </c>
      <c r="E30" s="192">
        <v>900</v>
      </c>
      <c r="F30" s="193"/>
      <c r="G30" s="190">
        <v>938</v>
      </c>
      <c r="H30" s="194">
        <f>'7|Total Rev Current'!H384</f>
        <v>489.61006741973534</v>
      </c>
      <c r="I30" s="194"/>
      <c r="J30" s="194">
        <f>'7|Total Rev Current'!J384</f>
        <v>511.74743278887667</v>
      </c>
      <c r="K30" s="191"/>
      <c r="L30" s="194">
        <f t="shared" si="19"/>
        <v>7.45</v>
      </c>
      <c r="M30" s="191"/>
      <c r="N30" s="195">
        <f t="shared" si="12"/>
        <v>328.03874517122267</v>
      </c>
      <c r="O30" s="196">
        <f t="shared" ref="O30:O32" si="21">IF(E30&gt;0,(J30*10^3*E30/10^7)+(K30*0.7457*E30/10^7),(K30*F30/10^7)+(J30*(10^3)*(1/0.7457)*F30/10^7))</f>
        <v>46.057268950998896</v>
      </c>
      <c r="P30" s="197"/>
      <c r="Q30" s="196">
        <f t="shared" ref="Q30:Q32" si="22">G30*C30*12/10^7</f>
        <v>22.219344</v>
      </c>
      <c r="R30" s="197"/>
      <c r="S30" s="196">
        <f t="shared" si="15"/>
        <v>396.31535812222154</v>
      </c>
      <c r="T30" s="191"/>
      <c r="U30" s="196">
        <f t="shared" ref="U30:U32" si="23">S30-T30</f>
        <v>396.31535812222154</v>
      </c>
      <c r="V30" s="191"/>
      <c r="W30" s="191"/>
      <c r="X30" s="191"/>
      <c r="Y30" s="191"/>
      <c r="Z30" s="198">
        <f>'7|Total Rev Current'!Z384</f>
        <v>7.7248198364854472</v>
      </c>
      <c r="AA30" s="199">
        <f t="shared" ref="AA30:AA32" si="24">U30+Z30</f>
        <v>404.04017795870698</v>
      </c>
      <c r="AB30" s="200">
        <v>6.7</v>
      </c>
      <c r="AC30" s="201">
        <f t="shared" ref="AC30:AC32" si="25">(H30*AB30/10)+O30+Q30+P30+R30+Z30</f>
        <v>404.04017795870698</v>
      </c>
    </row>
    <row r="31" spans="1:29" s="92" customFormat="1" ht="21">
      <c r="A31" s="188"/>
      <c r="B31" s="189" t="s">
        <v>726</v>
      </c>
      <c r="C31" s="190">
        <f>'7|Total Rev Current'!C385</f>
        <v>6</v>
      </c>
      <c r="D31" s="191">
        <v>7.45</v>
      </c>
      <c r="E31" s="192">
        <v>900</v>
      </c>
      <c r="F31" s="193"/>
      <c r="G31" s="190">
        <v>250</v>
      </c>
      <c r="H31" s="194">
        <f>'7|Total Rev Current'!H385</f>
        <v>1.7253309702945121</v>
      </c>
      <c r="I31" s="194"/>
      <c r="J31" s="194">
        <f>'7|Total Rev Current'!J385</f>
        <v>0.25256085892547075</v>
      </c>
      <c r="K31" s="191"/>
      <c r="L31" s="194">
        <f t="shared" si="19"/>
        <v>8.1999999999999993</v>
      </c>
      <c r="M31" s="191"/>
      <c r="N31" s="195">
        <f t="shared" si="12"/>
        <v>1.2853715728694115</v>
      </c>
      <c r="O31" s="196">
        <f t="shared" si="21"/>
        <v>2.2730477303292369E-2</v>
      </c>
      <c r="P31" s="197"/>
      <c r="Q31" s="196">
        <f t="shared" si="22"/>
        <v>1.8E-3</v>
      </c>
      <c r="R31" s="197"/>
      <c r="S31" s="196">
        <f t="shared" si="15"/>
        <v>1.3099020501727039</v>
      </c>
      <c r="T31" s="191"/>
      <c r="U31" s="196">
        <f t="shared" si="23"/>
        <v>1.3099020501727039</v>
      </c>
      <c r="V31" s="191"/>
      <c r="W31" s="191"/>
      <c r="X31" s="191"/>
      <c r="Y31" s="191"/>
      <c r="Z31" s="198">
        <f>'7|Total Rev Current'!Z385</f>
        <v>2.7221398804301845E-2</v>
      </c>
      <c r="AA31" s="199">
        <f t="shared" si="24"/>
        <v>1.3371234489770056</v>
      </c>
      <c r="AB31" s="200">
        <v>7.45</v>
      </c>
      <c r="AC31" s="201">
        <f t="shared" si="25"/>
        <v>1.3371234489770056</v>
      </c>
    </row>
    <row r="32" spans="1:29" s="92" customFormat="1">
      <c r="A32" s="188"/>
      <c r="B32" s="189" t="s">
        <v>928</v>
      </c>
      <c r="C32" s="190">
        <f>'7|Total Rev Current'!C386</f>
        <v>1732</v>
      </c>
      <c r="D32" s="191">
        <v>3.75</v>
      </c>
      <c r="E32" s="192">
        <v>240</v>
      </c>
      <c r="F32" s="193"/>
      <c r="G32" s="190">
        <v>63</v>
      </c>
      <c r="H32" s="194">
        <f>'7|Total Rev Current'!H386</f>
        <v>3.2548685003263809</v>
      </c>
      <c r="I32" s="194"/>
      <c r="J32" s="194">
        <f>'7|Total Rev Current'!J386</f>
        <v>3.7144274761981491</v>
      </c>
      <c r="K32" s="191"/>
      <c r="L32" s="194">
        <f t="shared" si="19"/>
        <v>4.5</v>
      </c>
      <c r="M32" s="191"/>
      <c r="N32" s="195">
        <f t="shared" si="12"/>
        <v>1.2205756876223928</v>
      </c>
      <c r="O32" s="196">
        <f t="shared" si="21"/>
        <v>8.9146259428755578E-2</v>
      </c>
      <c r="P32" s="197"/>
      <c r="Q32" s="196">
        <f t="shared" si="22"/>
        <v>0.13093920000000001</v>
      </c>
      <c r="R32" s="197"/>
      <c r="S32" s="196">
        <f t="shared" si="15"/>
        <v>1.4406611470511483</v>
      </c>
      <c r="T32" s="191"/>
      <c r="U32" s="196">
        <f t="shared" si="23"/>
        <v>1.4406611470511483</v>
      </c>
      <c r="V32" s="191"/>
      <c r="W32" s="191"/>
      <c r="X32" s="191"/>
      <c r="Y32" s="191"/>
      <c r="Z32" s="198">
        <f>'7|Total Rev Current'!Z386</f>
        <v>5.1353667805441414E-2</v>
      </c>
      <c r="AA32" s="199">
        <f t="shared" si="24"/>
        <v>1.4920148148565897</v>
      </c>
      <c r="AB32" s="200">
        <v>3.75</v>
      </c>
      <c r="AC32" s="201">
        <f t="shared" si="25"/>
        <v>1.4920148148565897</v>
      </c>
    </row>
    <row r="33" spans="1:33" s="92" customFormat="1">
      <c r="A33" s="188"/>
      <c r="B33" s="204" t="s">
        <v>727</v>
      </c>
      <c r="C33" s="179">
        <f t="shared" ref="C33" si="26">C34+C35+C36</f>
        <v>140053</v>
      </c>
      <c r="D33" s="181"/>
      <c r="E33" s="211"/>
      <c r="F33" s="179"/>
      <c r="G33" s="212"/>
      <c r="H33" s="181">
        <f t="shared" ref="H33:AC33" si="27">H34+H35+H36</f>
        <v>508.31710102460232</v>
      </c>
      <c r="I33" s="181">
        <f t="shared" si="27"/>
        <v>0</v>
      </c>
      <c r="J33" s="181">
        <f t="shared" si="27"/>
        <v>317.6984270765999</v>
      </c>
      <c r="K33" s="181">
        <f t="shared" si="27"/>
        <v>0</v>
      </c>
      <c r="L33" s="181"/>
      <c r="M33" s="181"/>
      <c r="N33" s="181">
        <f t="shared" si="27"/>
        <v>342.33565173854515</v>
      </c>
      <c r="O33" s="181">
        <f t="shared" si="27"/>
        <v>27.460314395693988</v>
      </c>
      <c r="P33" s="181">
        <f t="shared" si="27"/>
        <v>0</v>
      </c>
      <c r="Q33" s="181">
        <f t="shared" si="27"/>
        <v>6.5019479999999996</v>
      </c>
      <c r="R33" s="181">
        <f t="shared" si="27"/>
        <v>0</v>
      </c>
      <c r="S33" s="181">
        <f t="shared" si="27"/>
        <v>376.29791413423914</v>
      </c>
      <c r="T33" s="181">
        <f t="shared" si="27"/>
        <v>0</v>
      </c>
      <c r="U33" s="181">
        <f t="shared" si="27"/>
        <v>376.29791413423914</v>
      </c>
      <c r="V33" s="181">
        <f t="shared" si="27"/>
        <v>0</v>
      </c>
      <c r="W33" s="181">
        <f t="shared" si="27"/>
        <v>0</v>
      </c>
      <c r="X33" s="181">
        <f t="shared" si="27"/>
        <v>0</v>
      </c>
      <c r="Y33" s="181">
        <f t="shared" si="27"/>
        <v>0</v>
      </c>
      <c r="Z33" s="181">
        <f t="shared" si="27"/>
        <v>8.0199699444769781</v>
      </c>
      <c r="AA33" s="181">
        <f t="shared" si="27"/>
        <v>384.31788407871613</v>
      </c>
      <c r="AB33" s="181"/>
      <c r="AC33" s="182">
        <f t="shared" si="27"/>
        <v>384.31788407871613</v>
      </c>
    </row>
    <row r="34" spans="1:33" s="92" customFormat="1" ht="25.5" customHeight="1">
      <c r="A34" s="188"/>
      <c r="B34" s="208" t="s">
        <v>728</v>
      </c>
      <c r="C34" s="190">
        <f>'7|Total Rev Current'!C388</f>
        <v>59254</v>
      </c>
      <c r="D34" s="191">
        <v>7</v>
      </c>
      <c r="E34" s="192">
        <v>900</v>
      </c>
      <c r="F34" s="193"/>
      <c r="G34" s="190">
        <v>35</v>
      </c>
      <c r="H34" s="194">
        <f>'7|Total Rev Current'!H388</f>
        <v>334.92975271557589</v>
      </c>
      <c r="I34" s="194"/>
      <c r="J34" s="194">
        <f>'7|Total Rev Current'!J388</f>
        <v>152.0815677766</v>
      </c>
      <c r="K34" s="186"/>
      <c r="L34" s="194">
        <f t="shared" si="19"/>
        <v>7.75</v>
      </c>
      <c r="M34" s="186"/>
      <c r="N34" s="195">
        <f t="shared" si="12"/>
        <v>234.45082690090311</v>
      </c>
      <c r="O34" s="196">
        <f t="shared" ref="O34:O35" si="28">IF(E34&gt;0,(J34*10^3*E34/10^7)+(K34*0.7457*E34/10^7),(K34*F34/10^7)+(J34*(10^3)*(1/0.7457)*F34/10^7))</f>
        <v>13.687341099893999</v>
      </c>
      <c r="P34" s="197"/>
      <c r="Q34" s="196">
        <f t="shared" ref="Q34:Q35" si="29">G34*C34*12/10^7</f>
        <v>2.4886680000000001</v>
      </c>
      <c r="R34" s="197"/>
      <c r="S34" s="196">
        <f t="shared" si="15"/>
        <v>250.62683600079711</v>
      </c>
      <c r="T34" s="186"/>
      <c r="U34" s="196">
        <f t="shared" ref="U34:U35" si="30">S34-T34</f>
        <v>250.62683600079711</v>
      </c>
      <c r="V34" s="186"/>
      <c r="W34" s="186"/>
      <c r="X34" s="186"/>
      <c r="Y34" s="186"/>
      <c r="Z34" s="198">
        <f>'7|Total Rev Current'!Z388</f>
        <v>5.2843521197214613</v>
      </c>
      <c r="AA34" s="199">
        <f t="shared" ref="AA34:AA35" si="31">U34+Z34</f>
        <v>255.91118812051857</v>
      </c>
      <c r="AB34" s="200">
        <v>7</v>
      </c>
      <c r="AC34" s="201">
        <f t="shared" ref="AC34:AC35" si="32">(H34*AB34/10)+O34+Q34+P34+R34+Z34</f>
        <v>255.91118812051857</v>
      </c>
    </row>
    <row r="35" spans="1:33" s="92" customFormat="1" ht="16.5" customHeight="1">
      <c r="A35" s="188"/>
      <c r="B35" s="208" t="s">
        <v>729</v>
      </c>
      <c r="C35" s="190">
        <f>'7|Total Rev Current'!C389</f>
        <v>61362</v>
      </c>
      <c r="D35" s="191">
        <v>7</v>
      </c>
      <c r="E35" s="192">
        <v>900</v>
      </c>
      <c r="F35" s="193"/>
      <c r="G35" s="190">
        <v>45</v>
      </c>
      <c r="H35" s="194">
        <f>'7|Total Rev Current'!H389</f>
        <v>128.85492251852787</v>
      </c>
      <c r="I35" s="194"/>
      <c r="J35" s="194">
        <f>'7|Total Rev Current'!J389</f>
        <v>144.64382149999994</v>
      </c>
      <c r="K35" s="186"/>
      <c r="L35" s="194">
        <f t="shared" si="19"/>
        <v>7.75</v>
      </c>
      <c r="M35" s="186"/>
      <c r="N35" s="195">
        <f t="shared" si="12"/>
        <v>90.198445762969499</v>
      </c>
      <c r="O35" s="196">
        <f t="shared" si="28"/>
        <v>13.017943934999993</v>
      </c>
      <c r="P35" s="197"/>
      <c r="Q35" s="196">
        <f t="shared" si="29"/>
        <v>3.3135479999999999</v>
      </c>
      <c r="R35" s="197"/>
      <c r="S35" s="196">
        <f t="shared" si="15"/>
        <v>106.52993769796949</v>
      </c>
      <c r="T35" s="186"/>
      <c r="U35" s="196">
        <f t="shared" si="30"/>
        <v>106.52993769796949</v>
      </c>
      <c r="V35" s="186"/>
      <c r="W35" s="186"/>
      <c r="X35" s="186"/>
      <c r="Y35" s="186"/>
      <c r="Z35" s="198">
        <f>'7|Total Rev Current'!Z389</f>
        <v>2.0330077499133492</v>
      </c>
      <c r="AA35" s="199">
        <f t="shared" si="31"/>
        <v>108.56294544788284</v>
      </c>
      <c r="AB35" s="200">
        <v>7</v>
      </c>
      <c r="AC35" s="201">
        <f t="shared" si="32"/>
        <v>108.56294544788284</v>
      </c>
    </row>
    <row r="36" spans="1:33" s="92" customFormat="1" ht="16.5" customHeight="1">
      <c r="A36" s="188"/>
      <c r="B36" s="208" t="s">
        <v>730</v>
      </c>
      <c r="C36" s="186">
        <f>C37+C38</f>
        <v>19437</v>
      </c>
      <c r="D36" s="186"/>
      <c r="E36" s="207"/>
      <c r="F36" s="186"/>
      <c r="G36" s="185"/>
      <c r="H36" s="186">
        <f>H37+H38</f>
        <v>44.532425790498571</v>
      </c>
      <c r="I36" s="186">
        <f t="shared" ref="I36:AC36" si="33">I37+I38</f>
        <v>0</v>
      </c>
      <c r="J36" s="186">
        <f t="shared" si="33"/>
        <v>20.973037799999993</v>
      </c>
      <c r="K36" s="186">
        <f t="shared" si="33"/>
        <v>0</v>
      </c>
      <c r="L36" s="194">
        <f t="shared" si="19"/>
        <v>0.75</v>
      </c>
      <c r="M36" s="186"/>
      <c r="N36" s="186">
        <f t="shared" si="33"/>
        <v>17.686379074672566</v>
      </c>
      <c r="O36" s="186">
        <f t="shared" si="33"/>
        <v>0.75502936079999972</v>
      </c>
      <c r="P36" s="186">
        <f t="shared" si="33"/>
        <v>0</v>
      </c>
      <c r="Q36" s="186">
        <f t="shared" si="33"/>
        <v>0.69973200000000002</v>
      </c>
      <c r="R36" s="186">
        <f t="shared" si="33"/>
        <v>0</v>
      </c>
      <c r="S36" s="186">
        <f t="shared" si="33"/>
        <v>19.141140435472565</v>
      </c>
      <c r="T36" s="186">
        <f t="shared" si="33"/>
        <v>0</v>
      </c>
      <c r="U36" s="186">
        <f t="shared" si="33"/>
        <v>19.141140435472565</v>
      </c>
      <c r="V36" s="186">
        <f t="shared" si="33"/>
        <v>0</v>
      </c>
      <c r="W36" s="186">
        <f t="shared" si="33"/>
        <v>0</v>
      </c>
      <c r="X36" s="186">
        <f t="shared" si="33"/>
        <v>0</v>
      </c>
      <c r="Y36" s="186">
        <f t="shared" si="33"/>
        <v>0</v>
      </c>
      <c r="Z36" s="186">
        <f t="shared" si="33"/>
        <v>0.70261007484216853</v>
      </c>
      <c r="AA36" s="186">
        <f t="shared" si="33"/>
        <v>19.843750510314731</v>
      </c>
      <c r="AB36" s="200"/>
      <c r="AC36" s="187">
        <f t="shared" si="33"/>
        <v>19.843750510314731</v>
      </c>
    </row>
    <row r="37" spans="1:33" s="92" customFormat="1" ht="15" customHeight="1">
      <c r="A37" s="188"/>
      <c r="B37" s="213" t="s">
        <v>689</v>
      </c>
      <c r="C37" s="190">
        <f>'7|Total Rev Current'!C391</f>
        <v>18709</v>
      </c>
      <c r="D37" s="191">
        <v>3.85</v>
      </c>
      <c r="E37" s="192">
        <v>360</v>
      </c>
      <c r="F37" s="193"/>
      <c r="G37" s="190">
        <v>30</v>
      </c>
      <c r="H37" s="194">
        <f>'7|Total Rev Current'!H391</f>
        <v>39.824641918058447</v>
      </c>
      <c r="I37" s="194"/>
      <c r="J37" s="194">
        <f>'7|Total Rev Current'!J391</f>
        <v>14.163493799999991</v>
      </c>
      <c r="K37" s="199"/>
      <c r="L37" s="194">
        <f t="shared" si="19"/>
        <v>4.5999999999999996</v>
      </c>
      <c r="M37" s="199"/>
      <c r="N37" s="195">
        <f t="shared" ref="N37:N38" si="34">D37*H37/10</f>
        <v>15.332487138452501</v>
      </c>
      <c r="O37" s="196">
        <f t="shared" ref="O37:O38" si="35">IF(E37&gt;0,(J37*10^3*E37/10^7)+(K37*0.7457*E37/10^7),(K37*F37/10^7)+(J37*(10^3)*(1/0.7457)*F37/10^7))</f>
        <v>0.50988577679999969</v>
      </c>
      <c r="P37" s="197"/>
      <c r="Q37" s="196">
        <f t="shared" ref="Q37:Q38" si="36">G37*C37*12/10^7</f>
        <v>0.67352400000000001</v>
      </c>
      <c r="R37" s="197"/>
      <c r="S37" s="196">
        <f t="shared" si="15"/>
        <v>16.515896915252501</v>
      </c>
      <c r="T37" s="199"/>
      <c r="U37" s="196">
        <f t="shared" ref="U37:U38" si="37">S37-T37</f>
        <v>16.515896915252501</v>
      </c>
      <c r="V37" s="199"/>
      <c r="W37" s="199"/>
      <c r="X37" s="199"/>
      <c r="Y37" s="199"/>
      <c r="Z37" s="198">
        <f>'7|Total Rev Current'!Z391</f>
        <v>0.62833304366230303</v>
      </c>
      <c r="AA37" s="199">
        <f t="shared" ref="AA37:AA38" si="38">U37+Z37</f>
        <v>17.144229958914803</v>
      </c>
      <c r="AB37" s="200">
        <v>3.85</v>
      </c>
      <c r="AC37" s="201">
        <f t="shared" ref="AC37:AC38" si="39">(H37*AB37/10)+O37+Q37+P37+R37+Z37</f>
        <v>17.144229958914803</v>
      </c>
    </row>
    <row r="38" spans="1:33" s="92" customFormat="1" ht="15" customHeight="1">
      <c r="A38" s="188"/>
      <c r="B38" s="213" t="s">
        <v>690</v>
      </c>
      <c r="C38" s="190">
        <f>'7|Total Rev Current'!C392</f>
        <v>728</v>
      </c>
      <c r="D38" s="191">
        <v>5</v>
      </c>
      <c r="E38" s="192">
        <v>360</v>
      </c>
      <c r="F38" s="193"/>
      <c r="G38" s="190">
        <v>30</v>
      </c>
      <c r="H38" s="194">
        <f>'7|Total Rev Current'!H392</f>
        <v>4.7077838724401255</v>
      </c>
      <c r="I38" s="194"/>
      <c r="J38" s="194">
        <f>'7|Total Rev Current'!J392</f>
        <v>6.8095440000000007</v>
      </c>
      <c r="K38" s="199"/>
      <c r="L38" s="194">
        <f t="shared" si="19"/>
        <v>5.75</v>
      </c>
      <c r="M38" s="199"/>
      <c r="N38" s="195">
        <f t="shared" si="34"/>
        <v>2.3538919362200628</v>
      </c>
      <c r="O38" s="196">
        <f t="shared" si="35"/>
        <v>0.24514358400000003</v>
      </c>
      <c r="P38" s="197"/>
      <c r="Q38" s="196">
        <f t="shared" si="36"/>
        <v>2.6207999999999999E-2</v>
      </c>
      <c r="R38" s="197"/>
      <c r="S38" s="196">
        <f t="shared" si="15"/>
        <v>2.6252435202200628</v>
      </c>
      <c r="T38" s="199"/>
      <c r="U38" s="196">
        <f t="shared" si="37"/>
        <v>2.6252435202200628</v>
      </c>
      <c r="V38" s="199"/>
      <c r="W38" s="199"/>
      <c r="X38" s="199"/>
      <c r="Y38" s="199"/>
      <c r="Z38" s="198">
        <f>'7|Total Rev Current'!Z392</f>
        <v>7.4277031179865546E-2</v>
      </c>
      <c r="AA38" s="199">
        <f t="shared" si="38"/>
        <v>2.6995205513999285</v>
      </c>
      <c r="AB38" s="200">
        <v>5</v>
      </c>
      <c r="AC38" s="201">
        <f t="shared" si="39"/>
        <v>2.6995205513999285</v>
      </c>
    </row>
    <row r="39" spans="1:33" s="92" customFormat="1" ht="15" customHeight="1">
      <c r="A39" s="188"/>
      <c r="B39" s="204" t="s">
        <v>731</v>
      </c>
      <c r="C39" s="179">
        <f>C40+C47</f>
        <v>338076</v>
      </c>
      <c r="D39" s="214"/>
      <c r="E39" s="205"/>
      <c r="F39" s="214"/>
      <c r="G39" s="180"/>
      <c r="H39" s="181">
        <f>H40+H47</f>
        <v>4767.5518640044138</v>
      </c>
      <c r="I39" s="181">
        <f t="shared" ref="I39:AC39" si="40">I40+I47</f>
        <v>0</v>
      </c>
      <c r="J39" s="181">
        <f t="shared" si="40"/>
        <v>1451.1179342000003</v>
      </c>
      <c r="K39" s="179">
        <f t="shared" si="40"/>
        <v>2416521.9335961598</v>
      </c>
      <c r="L39" s="179"/>
      <c r="M39" s="179"/>
      <c r="N39" s="181">
        <f t="shared" si="40"/>
        <v>899.42867628709769</v>
      </c>
      <c r="O39" s="181">
        <f t="shared" si="40"/>
        <v>52.234337891999999</v>
      </c>
      <c r="P39" s="181">
        <f t="shared" si="40"/>
        <v>0</v>
      </c>
      <c r="Q39" s="181">
        <f t="shared" si="40"/>
        <v>12.170736</v>
      </c>
      <c r="R39" s="181">
        <f t="shared" si="40"/>
        <v>0</v>
      </c>
      <c r="S39" s="181">
        <f t="shared" si="40"/>
        <v>963.83375017909759</v>
      </c>
      <c r="T39" s="181">
        <f t="shared" si="40"/>
        <v>0</v>
      </c>
      <c r="U39" s="181">
        <f t="shared" si="40"/>
        <v>963.83375017909759</v>
      </c>
      <c r="V39" s="181">
        <f t="shared" si="40"/>
        <v>0</v>
      </c>
      <c r="W39" s="181">
        <f t="shared" si="40"/>
        <v>0</v>
      </c>
      <c r="X39" s="181">
        <f t="shared" si="40"/>
        <v>0</v>
      </c>
      <c r="Y39" s="181">
        <f t="shared" si="40"/>
        <v>0</v>
      </c>
      <c r="Z39" s="181">
        <f t="shared" si="40"/>
        <v>36.878809475186038</v>
      </c>
      <c r="AA39" s="181">
        <f t="shared" si="40"/>
        <v>1000.7125596542836</v>
      </c>
      <c r="AB39" s="181">
        <v>0</v>
      </c>
      <c r="AC39" s="182">
        <f t="shared" si="40"/>
        <v>3520.4075873808879</v>
      </c>
    </row>
    <row r="40" spans="1:33" s="92" customFormat="1" ht="15" customHeight="1">
      <c r="A40" s="188"/>
      <c r="B40" s="215" t="s">
        <v>732</v>
      </c>
      <c r="C40" s="216">
        <f>SUM(C41:C46)</f>
        <v>302998</v>
      </c>
      <c r="D40" s="217"/>
      <c r="E40" s="207"/>
      <c r="F40" s="217"/>
      <c r="G40" s="218"/>
      <c r="H40" s="217">
        <f>SUM(H41:H46)</f>
        <v>2439.7172029880398</v>
      </c>
      <c r="I40" s="217">
        <f t="shared" ref="I40:AC40" si="41">SUM(I41:I46)</f>
        <v>0</v>
      </c>
      <c r="J40" s="217">
        <f t="shared" si="41"/>
        <v>2.3795200000000002E-2</v>
      </c>
      <c r="K40" s="216">
        <f t="shared" si="41"/>
        <v>2416521.9335961598</v>
      </c>
      <c r="L40" s="216"/>
      <c r="M40" s="216"/>
      <c r="N40" s="217">
        <f t="shared" si="41"/>
        <v>3.2281523332170172</v>
      </c>
      <c r="O40" s="217">
        <f t="shared" si="41"/>
        <v>2.1415679999999999E-3</v>
      </c>
      <c r="P40" s="217">
        <f t="shared" si="41"/>
        <v>0</v>
      </c>
      <c r="Q40" s="217">
        <f t="shared" si="41"/>
        <v>10.907928</v>
      </c>
      <c r="R40" s="217">
        <f t="shared" si="41"/>
        <v>0</v>
      </c>
      <c r="S40" s="217">
        <f t="shared" si="41"/>
        <v>14.138221901217017</v>
      </c>
      <c r="T40" s="217">
        <f t="shared" si="41"/>
        <v>0</v>
      </c>
      <c r="U40" s="217">
        <f t="shared" si="41"/>
        <v>14.138221901217017</v>
      </c>
      <c r="V40" s="217">
        <f t="shared" si="41"/>
        <v>0</v>
      </c>
      <c r="W40" s="217">
        <f t="shared" si="41"/>
        <v>0</v>
      </c>
      <c r="X40" s="217">
        <f t="shared" si="41"/>
        <v>0</v>
      </c>
      <c r="Y40" s="217">
        <f t="shared" si="41"/>
        <v>0</v>
      </c>
      <c r="Z40" s="217">
        <f t="shared" si="41"/>
        <v>0.15141238499942611</v>
      </c>
      <c r="AA40" s="217">
        <f t="shared" si="41"/>
        <v>14.289634286216444</v>
      </c>
      <c r="AB40" s="217"/>
      <c r="AC40" s="219">
        <f t="shared" si="41"/>
        <v>1801.5113830872465</v>
      </c>
      <c r="AG40" s="177"/>
    </row>
    <row r="41" spans="1:33" s="92" customFormat="1" ht="15" customHeight="1">
      <c r="A41" s="188"/>
      <c r="B41" s="189" t="s">
        <v>912</v>
      </c>
      <c r="C41" s="190">
        <f>'7|Total Rev Current'!C395</f>
        <v>3297</v>
      </c>
      <c r="D41" s="191">
        <v>3.5</v>
      </c>
      <c r="E41" s="192"/>
      <c r="F41" s="190"/>
      <c r="G41" s="190">
        <v>30</v>
      </c>
      <c r="H41" s="194">
        <f>'7|Total Rev Current'!H395</f>
        <v>8.1823920244950497</v>
      </c>
      <c r="I41" s="194"/>
      <c r="J41" s="194">
        <f>'7|Total Rev Current'!J395</f>
        <v>0</v>
      </c>
      <c r="K41" s="190">
        <f>'7|Total Rev Current'!K395</f>
        <v>17112.977856000001</v>
      </c>
      <c r="L41" s="194">
        <f t="shared" ref="L41:L46" si="42">D41+0.75</f>
        <v>4.25</v>
      </c>
      <c r="M41" s="190"/>
      <c r="N41" s="195">
        <f t="shared" ref="N41:N46" si="43">D41*H41/10</f>
        <v>2.8638372085732673</v>
      </c>
      <c r="O41" s="196">
        <f t="shared" ref="O41:O46" si="44">IF(E41&gt;0,(J41*10^3*E41/10^7)+(K41*0.7457*E41/10^7),(K41*F41/10^7)+(J41*(10^3)*(1/0.7457)*F41/10^7))</f>
        <v>0</v>
      </c>
      <c r="P41" s="197"/>
      <c r="Q41" s="196">
        <f t="shared" ref="Q41:Q46" si="45">G41*C41*12/10^7</f>
        <v>0.11869200000000001</v>
      </c>
      <c r="R41" s="197"/>
      <c r="S41" s="196">
        <f t="shared" ref="S41:S46" si="46">N41+O41+P41+Q41+R41</f>
        <v>2.9825292085732671</v>
      </c>
      <c r="T41" s="191"/>
      <c r="U41" s="196">
        <f t="shared" ref="U41:U46" si="47">S41-T41</f>
        <v>2.9825292085732671</v>
      </c>
      <c r="V41" s="191"/>
      <c r="W41" s="191"/>
      <c r="X41" s="191"/>
      <c r="Y41" s="191"/>
      <c r="Z41" s="198">
        <f>'7|Total Rev Current'!Z395</f>
        <v>0.12909763999303719</v>
      </c>
      <c r="AA41" s="199">
        <f t="shared" ref="AA41:AA46" si="48">U41+Z41</f>
        <v>3.1116268485663041</v>
      </c>
      <c r="AB41" s="200">
        <v>7.0812664286093172</v>
      </c>
      <c r="AC41" s="201">
        <f t="shared" ref="AC41:AC46" si="49">(H41*AB41/10)+O41+Q41+P41+R41+Z41</f>
        <v>6.0419594348707797</v>
      </c>
    </row>
    <row r="42" spans="1:33" s="92" customFormat="1" ht="15" customHeight="1">
      <c r="A42" s="188"/>
      <c r="B42" s="189" t="s">
        <v>913</v>
      </c>
      <c r="C42" s="190">
        <f>'7|Total Rev Current'!C396</f>
        <v>297658</v>
      </c>
      <c r="D42" s="191"/>
      <c r="E42" s="192"/>
      <c r="F42" s="190"/>
      <c r="G42" s="190">
        <v>30</v>
      </c>
      <c r="H42" s="194">
        <f>'7|Total Rev Current'!H396</f>
        <v>2414.2302334792944</v>
      </c>
      <c r="I42" s="194"/>
      <c r="J42" s="194">
        <f>'7|Total Rev Current'!J396</f>
        <v>0</v>
      </c>
      <c r="K42" s="190">
        <f>'7|Total Rev Current'!K396</f>
        <v>2388711.8061664002</v>
      </c>
      <c r="L42" s="194">
        <f t="shared" si="42"/>
        <v>0.75</v>
      </c>
      <c r="M42" s="190"/>
      <c r="N42" s="195">
        <f t="shared" si="43"/>
        <v>0</v>
      </c>
      <c r="O42" s="196">
        <f t="shared" si="44"/>
        <v>0</v>
      </c>
      <c r="P42" s="197"/>
      <c r="Q42" s="196">
        <f t="shared" si="45"/>
        <v>10.715688</v>
      </c>
      <c r="R42" s="197"/>
      <c r="S42" s="196">
        <f t="shared" si="46"/>
        <v>10.715688</v>
      </c>
      <c r="T42" s="191"/>
      <c r="U42" s="196">
        <f t="shared" si="47"/>
        <v>10.715688</v>
      </c>
      <c r="V42" s="191"/>
      <c r="W42" s="191"/>
      <c r="X42" s="191"/>
      <c r="Y42" s="191"/>
      <c r="Z42" s="198">
        <f>'7|Total Rev Current'!Z396</f>
        <v>0</v>
      </c>
      <c r="AA42" s="199">
        <f t="shared" si="48"/>
        <v>10.715688</v>
      </c>
      <c r="AB42" s="200">
        <v>7.33971366696953</v>
      </c>
      <c r="AC42" s="201">
        <f t="shared" si="49"/>
        <v>1782.6915519879014</v>
      </c>
    </row>
    <row r="43" spans="1:33" s="92" customFormat="1" ht="15" customHeight="1">
      <c r="A43" s="188"/>
      <c r="B43" s="189" t="s">
        <v>733</v>
      </c>
      <c r="C43" s="190">
        <f>'7|Total Rev Current'!C397</f>
        <v>87</v>
      </c>
      <c r="D43" s="191">
        <v>2.5</v>
      </c>
      <c r="E43" s="192"/>
      <c r="F43" s="190"/>
      <c r="G43" s="190">
        <v>30</v>
      </c>
      <c r="H43" s="194">
        <f>'7|Total Rev Current'!H397</f>
        <v>1.3606899941250004</v>
      </c>
      <c r="I43" s="194"/>
      <c r="J43" s="194">
        <f>'7|Total Rev Current'!J397</f>
        <v>0</v>
      </c>
      <c r="K43" s="190">
        <f>'7|Total Rev Current'!K397</f>
        <v>555.44064576000017</v>
      </c>
      <c r="L43" s="194">
        <f t="shared" si="42"/>
        <v>3.25</v>
      </c>
      <c r="M43" s="190"/>
      <c r="N43" s="195">
        <f t="shared" si="43"/>
        <v>0.34017249853125009</v>
      </c>
      <c r="O43" s="196">
        <f t="shared" si="44"/>
        <v>0</v>
      </c>
      <c r="P43" s="197"/>
      <c r="Q43" s="196">
        <f t="shared" si="45"/>
        <v>3.1319999999999998E-3</v>
      </c>
      <c r="R43" s="197"/>
      <c r="S43" s="196">
        <f t="shared" si="46"/>
        <v>0.34330449853125011</v>
      </c>
      <c r="T43" s="191"/>
      <c r="U43" s="196">
        <f t="shared" si="47"/>
        <v>0.34330449853125011</v>
      </c>
      <c r="V43" s="191"/>
      <c r="W43" s="191"/>
      <c r="X43" s="191"/>
      <c r="Y43" s="191"/>
      <c r="Z43" s="198">
        <f>'7|Total Rev Current'!Z397</f>
        <v>2.1468278038721523E-2</v>
      </c>
      <c r="AA43" s="199">
        <f t="shared" si="48"/>
        <v>0.36477277656997165</v>
      </c>
      <c r="AB43" s="200">
        <v>7.2033065210369376</v>
      </c>
      <c r="AC43" s="201">
        <f t="shared" si="49"/>
        <v>1.0047469888177543</v>
      </c>
    </row>
    <row r="44" spans="1:33" s="92" customFormat="1" ht="15" customHeight="1">
      <c r="A44" s="188"/>
      <c r="B44" s="189" t="s">
        <v>734</v>
      </c>
      <c r="C44" s="190">
        <f>'7|Total Rev Current'!C398</f>
        <v>31</v>
      </c>
      <c r="D44" s="191"/>
      <c r="E44" s="192"/>
      <c r="F44" s="190"/>
      <c r="G44" s="190">
        <v>30</v>
      </c>
      <c r="H44" s="194">
        <f>'7|Total Rev Current'!H398</f>
        <v>0.21421485749999999</v>
      </c>
      <c r="I44" s="194"/>
      <c r="J44" s="194">
        <f>'7|Total Rev Current'!J398</f>
        <v>0</v>
      </c>
      <c r="K44" s="190">
        <f>'7|Total Rev Current'!K398</f>
        <v>268.89657600000004</v>
      </c>
      <c r="L44" s="194">
        <f t="shared" si="42"/>
        <v>0.75</v>
      </c>
      <c r="M44" s="190"/>
      <c r="N44" s="195">
        <f t="shared" si="43"/>
        <v>0</v>
      </c>
      <c r="O44" s="196">
        <f t="shared" si="44"/>
        <v>0</v>
      </c>
      <c r="P44" s="197"/>
      <c r="Q44" s="196">
        <f t="shared" si="45"/>
        <v>1.116E-3</v>
      </c>
      <c r="R44" s="197"/>
      <c r="S44" s="196">
        <f t="shared" si="46"/>
        <v>1.116E-3</v>
      </c>
      <c r="T44" s="191"/>
      <c r="U44" s="196">
        <f t="shared" si="47"/>
        <v>1.116E-3</v>
      </c>
      <c r="V44" s="191"/>
      <c r="W44" s="191"/>
      <c r="X44" s="191"/>
      <c r="Y44" s="191"/>
      <c r="Z44" s="198">
        <f>'7|Total Rev Current'!Z398</f>
        <v>0</v>
      </c>
      <c r="AA44" s="199">
        <f t="shared" si="48"/>
        <v>1.116E-3</v>
      </c>
      <c r="AB44" s="200">
        <v>7.3320019667379004</v>
      </c>
      <c r="AC44" s="201">
        <f t="shared" si="49"/>
        <v>0.15817837564944789</v>
      </c>
    </row>
    <row r="45" spans="1:33" s="92" customFormat="1" ht="15" customHeight="1">
      <c r="A45" s="188"/>
      <c r="B45" s="189" t="s">
        <v>735</v>
      </c>
      <c r="C45" s="190">
        <f>'7|Total Rev Current'!C399</f>
        <v>1919</v>
      </c>
      <c r="D45" s="191"/>
      <c r="E45" s="192"/>
      <c r="F45" s="190"/>
      <c r="G45" s="190">
        <v>30</v>
      </c>
      <c r="H45" s="194">
        <f>'7|Total Rev Current'!H399</f>
        <v>15.676022352375002</v>
      </c>
      <c r="I45" s="194"/>
      <c r="J45" s="194">
        <f>'7|Total Rev Current'!J399</f>
        <v>0</v>
      </c>
      <c r="K45" s="190">
        <f>'7|Total Rev Current'!K399</f>
        <v>9872.812351999999</v>
      </c>
      <c r="L45" s="194">
        <f t="shared" si="42"/>
        <v>0.75</v>
      </c>
      <c r="M45" s="190"/>
      <c r="N45" s="195">
        <f t="shared" si="43"/>
        <v>0</v>
      </c>
      <c r="O45" s="196">
        <f t="shared" si="44"/>
        <v>0</v>
      </c>
      <c r="P45" s="197"/>
      <c r="Q45" s="196">
        <f t="shared" si="45"/>
        <v>6.9084000000000007E-2</v>
      </c>
      <c r="R45" s="197"/>
      <c r="S45" s="196">
        <f t="shared" si="46"/>
        <v>6.9084000000000007E-2</v>
      </c>
      <c r="T45" s="191"/>
      <c r="U45" s="196">
        <f t="shared" si="47"/>
        <v>6.9084000000000007E-2</v>
      </c>
      <c r="V45" s="191"/>
      <c r="W45" s="191"/>
      <c r="X45" s="191"/>
      <c r="Y45" s="191"/>
      <c r="Z45" s="198">
        <f>'7|Total Rev Current'!Z399</f>
        <v>0</v>
      </c>
      <c r="AA45" s="199">
        <f t="shared" si="48"/>
        <v>6.9084000000000007E-2</v>
      </c>
      <c r="AB45" s="200">
        <v>7.3400293405116397</v>
      </c>
      <c r="AC45" s="201">
        <f t="shared" si="49"/>
        <v>11.575330400894881</v>
      </c>
      <c r="AE45" s="172"/>
    </row>
    <row r="46" spans="1:33" s="92" customFormat="1" ht="15" customHeight="1">
      <c r="A46" s="188"/>
      <c r="B46" s="220" t="s">
        <v>736</v>
      </c>
      <c r="C46" s="190">
        <f>'7|Total Rev Current'!C400</f>
        <v>6</v>
      </c>
      <c r="D46" s="191">
        <v>4.5</v>
      </c>
      <c r="E46" s="192">
        <v>900</v>
      </c>
      <c r="F46" s="190"/>
      <c r="G46" s="190">
        <v>30</v>
      </c>
      <c r="H46" s="194">
        <f>'7|Total Rev Current'!H400</f>
        <v>5.3650280249999995E-2</v>
      </c>
      <c r="I46" s="194"/>
      <c r="J46" s="194">
        <f>'7|Total Rev Current'!J400</f>
        <v>2.3795200000000002E-2</v>
      </c>
      <c r="K46" s="194">
        <f>'7|Total Rev Current'!K400</f>
        <v>0</v>
      </c>
      <c r="L46" s="194">
        <f t="shared" si="42"/>
        <v>5.25</v>
      </c>
      <c r="M46" s="194"/>
      <c r="N46" s="195">
        <f t="shared" si="43"/>
        <v>2.4142626112499999E-2</v>
      </c>
      <c r="O46" s="196">
        <f t="shared" si="44"/>
        <v>2.1415679999999999E-3</v>
      </c>
      <c r="P46" s="197"/>
      <c r="Q46" s="196">
        <f t="shared" si="45"/>
        <v>2.1599999999999999E-4</v>
      </c>
      <c r="R46" s="197"/>
      <c r="S46" s="196">
        <f t="shared" si="46"/>
        <v>2.65001941125E-2</v>
      </c>
      <c r="T46" s="221"/>
      <c r="U46" s="196">
        <f t="shared" si="47"/>
        <v>2.65001941125E-2</v>
      </c>
      <c r="V46" s="221"/>
      <c r="W46" s="221"/>
      <c r="X46" s="221"/>
      <c r="Y46" s="221"/>
      <c r="Z46" s="198">
        <f>'7|Total Rev Current'!Z400</f>
        <v>8.4646696766737693E-4</v>
      </c>
      <c r="AA46" s="199">
        <f t="shared" si="48"/>
        <v>2.7346661080167377E-2</v>
      </c>
      <c r="AB46" s="200">
        <v>6.7868916946924962</v>
      </c>
      <c r="AC46" s="201">
        <f t="shared" si="49"/>
        <v>3.9615899112332362E-2</v>
      </c>
    </row>
    <row r="47" spans="1:33" s="92" customFormat="1" ht="15" customHeight="1">
      <c r="A47" s="188"/>
      <c r="B47" s="215" t="s">
        <v>691</v>
      </c>
      <c r="C47" s="217">
        <f>C48+C49</f>
        <v>35078</v>
      </c>
      <c r="D47" s="217"/>
      <c r="E47" s="207"/>
      <c r="F47" s="217"/>
      <c r="G47" s="222"/>
      <c r="H47" s="217">
        <f>H48+H49</f>
        <v>2327.8346610163744</v>
      </c>
      <c r="I47" s="217">
        <f t="shared" ref="I47:AC47" si="50">I48+I49</f>
        <v>0</v>
      </c>
      <c r="J47" s="217">
        <f t="shared" si="50"/>
        <v>1451.0941390000003</v>
      </c>
      <c r="K47" s="217">
        <f t="shared" si="50"/>
        <v>0</v>
      </c>
      <c r="L47" s="217"/>
      <c r="M47" s="217"/>
      <c r="N47" s="217">
        <f t="shared" si="50"/>
        <v>896.20052395388063</v>
      </c>
      <c r="O47" s="217">
        <f t="shared" si="50"/>
        <v>52.232196324</v>
      </c>
      <c r="P47" s="217">
        <f t="shared" si="50"/>
        <v>0</v>
      </c>
      <c r="Q47" s="217">
        <f t="shared" si="50"/>
        <v>1.2628079999999999</v>
      </c>
      <c r="R47" s="217">
        <f t="shared" si="50"/>
        <v>0</v>
      </c>
      <c r="S47" s="217">
        <f t="shared" si="50"/>
        <v>949.69552827788061</v>
      </c>
      <c r="T47" s="217">
        <f t="shared" si="50"/>
        <v>0</v>
      </c>
      <c r="U47" s="217">
        <f t="shared" si="50"/>
        <v>949.69552827788061</v>
      </c>
      <c r="V47" s="217">
        <f t="shared" si="50"/>
        <v>0</v>
      </c>
      <c r="W47" s="217">
        <f t="shared" si="50"/>
        <v>0</v>
      </c>
      <c r="X47" s="217">
        <f t="shared" si="50"/>
        <v>0</v>
      </c>
      <c r="Y47" s="217">
        <f t="shared" si="50"/>
        <v>0</v>
      </c>
      <c r="Z47" s="217">
        <f t="shared" si="50"/>
        <v>36.727397090186614</v>
      </c>
      <c r="AA47" s="217">
        <f t="shared" si="50"/>
        <v>986.42292536806713</v>
      </c>
      <c r="AB47" s="217"/>
      <c r="AC47" s="219">
        <f t="shared" si="50"/>
        <v>1718.8962042936412</v>
      </c>
    </row>
    <row r="48" spans="1:33" s="92" customFormat="1" ht="21">
      <c r="A48" s="188"/>
      <c r="B48" s="189" t="s">
        <v>737</v>
      </c>
      <c r="C48" s="190">
        <f>'7|Total Rev Current'!C402</f>
        <v>34905</v>
      </c>
      <c r="D48" s="191">
        <v>3.85</v>
      </c>
      <c r="E48" s="192">
        <v>360</v>
      </c>
      <c r="F48" s="193"/>
      <c r="G48" s="190">
        <v>30</v>
      </c>
      <c r="H48" s="194">
        <f>'7|Total Rev Current'!H402</f>
        <v>2326.2526072740256</v>
      </c>
      <c r="I48" s="194"/>
      <c r="J48" s="194">
        <f>'7|Total Rev Current'!J402</f>
        <v>1450.4947490000002</v>
      </c>
      <c r="K48" s="191"/>
      <c r="L48" s="194">
        <f t="shared" ref="L48:L49" si="51">D48+0.75</f>
        <v>4.5999999999999996</v>
      </c>
      <c r="M48" s="191"/>
      <c r="N48" s="195">
        <f t="shared" ref="N48:N49" si="52">D48*H48/10</f>
        <v>895.60725380049985</v>
      </c>
      <c r="O48" s="196">
        <f t="shared" ref="O48:O49" si="53">IF(E48&gt;0,(J48*10^3*E48/10^7)+(K48*0.7457*E48/10^7),(K48*F48/10^7)+(J48*(10^3)*(1/0.7457)*F48/10^7))</f>
        <v>52.217810964000002</v>
      </c>
      <c r="P48" s="197"/>
      <c r="Q48" s="196">
        <f t="shared" ref="Q48:Q49" si="54">G48*C48*12/10^7</f>
        <v>1.25658</v>
      </c>
      <c r="R48" s="197"/>
      <c r="S48" s="196">
        <f t="shared" ref="S48:S49" si="55">N48+O48+P48+Q48+R48</f>
        <v>949.08164476449986</v>
      </c>
      <c r="T48" s="191"/>
      <c r="U48" s="196">
        <f t="shared" ref="U48:U49" si="56">S48-T48</f>
        <v>949.08164476449986</v>
      </c>
      <c r="V48" s="191"/>
      <c r="W48" s="191"/>
      <c r="X48" s="191"/>
      <c r="Y48" s="191"/>
      <c r="Z48" s="198">
        <f>'7|Total Rev Current'!Z402</f>
        <v>36.702436246967672</v>
      </c>
      <c r="AA48" s="199">
        <f t="shared" ref="AA48:AA49" si="57">U48+Z48</f>
        <v>985.78408101146749</v>
      </c>
      <c r="AB48" s="200">
        <v>6.9964507199998298</v>
      </c>
      <c r="AC48" s="201">
        <f t="shared" ref="AC48:AC49" si="58">(H48*AB48/10)+O48+Q48+P48+R48+Z48</f>
        <v>1717.7280001173513</v>
      </c>
      <c r="AE48" s="104"/>
    </row>
    <row r="49" spans="1:33" ht="21">
      <c r="A49" s="188"/>
      <c r="B49" s="189" t="s">
        <v>741</v>
      </c>
      <c r="C49" s="190">
        <f>'7|Total Rev Current'!C403</f>
        <v>173</v>
      </c>
      <c r="D49" s="191">
        <v>3.75</v>
      </c>
      <c r="E49" s="192">
        <v>240</v>
      </c>
      <c r="F49" s="193"/>
      <c r="G49" s="190">
        <v>30</v>
      </c>
      <c r="H49" s="194">
        <f>'7|Total Rev Current'!H403</f>
        <v>1.5820537423486223</v>
      </c>
      <c r="I49" s="194"/>
      <c r="J49" s="194">
        <f>'7|Total Rev Current'!J403</f>
        <v>0.59939000000000031</v>
      </c>
      <c r="K49" s="191"/>
      <c r="L49" s="194">
        <f t="shared" si="51"/>
        <v>4.5</v>
      </c>
      <c r="M49" s="191"/>
      <c r="N49" s="195">
        <f t="shared" si="52"/>
        <v>0.5932701533807333</v>
      </c>
      <c r="O49" s="196">
        <f t="shared" si="53"/>
        <v>1.4385360000000008E-2</v>
      </c>
      <c r="P49" s="197"/>
      <c r="Q49" s="196">
        <f t="shared" si="54"/>
        <v>6.228E-3</v>
      </c>
      <c r="R49" s="197"/>
      <c r="S49" s="196">
        <f t="shared" si="55"/>
        <v>0.61388351338073333</v>
      </c>
      <c r="T49" s="191"/>
      <c r="U49" s="196">
        <f t="shared" si="56"/>
        <v>0.61388351338073333</v>
      </c>
      <c r="V49" s="191"/>
      <c r="W49" s="191"/>
      <c r="X49" s="191"/>
      <c r="Y49" s="191"/>
      <c r="Z49" s="198">
        <f>'7|Total Rev Current'!Z403</f>
        <v>2.4960843218944116E-2</v>
      </c>
      <c r="AA49" s="199">
        <f t="shared" si="57"/>
        <v>0.63884435659967742</v>
      </c>
      <c r="AB49" s="200">
        <v>7.0960293131655394</v>
      </c>
      <c r="AC49" s="201">
        <f t="shared" si="58"/>
        <v>1.1682041762898505</v>
      </c>
      <c r="AE49" s="104"/>
    </row>
    <row r="50" spans="1:33">
      <c r="A50" s="188"/>
      <c r="B50" s="223" t="s">
        <v>600</v>
      </c>
      <c r="C50" s="224">
        <f>C8+C17+C29+C33+C39</f>
        <v>7270210</v>
      </c>
      <c r="D50" s="174">
        <v>0</v>
      </c>
      <c r="E50" s="174">
        <v>0</v>
      </c>
      <c r="F50" s="174">
        <v>0</v>
      </c>
      <c r="G50" s="174">
        <v>0</v>
      </c>
      <c r="H50" s="174">
        <f>H8+H17+H29+H33+H39</f>
        <v>15013.56000222522</v>
      </c>
      <c r="I50" s="174">
        <f t="shared" ref="I50:AC50" si="59">I8+I17+I29+I33+I39</f>
        <v>0</v>
      </c>
      <c r="J50" s="174">
        <f t="shared" si="59"/>
        <v>10760.641049600599</v>
      </c>
      <c r="K50" s="174">
        <f t="shared" si="59"/>
        <v>2416521.9335961598</v>
      </c>
      <c r="L50" s="174"/>
      <c r="M50" s="174"/>
      <c r="N50" s="174">
        <f t="shared" si="59"/>
        <v>6173.982348547288</v>
      </c>
      <c r="O50" s="174">
        <f t="shared" si="59"/>
        <v>350.165161624321</v>
      </c>
      <c r="P50" s="174">
        <f t="shared" si="59"/>
        <v>17.650973348977502</v>
      </c>
      <c r="Q50" s="174">
        <f t="shared" si="59"/>
        <v>350.77659720000003</v>
      </c>
      <c r="R50" s="174">
        <f t="shared" si="59"/>
        <v>0</v>
      </c>
      <c r="S50" s="174">
        <f t="shared" si="59"/>
        <v>6892.575080720585</v>
      </c>
      <c r="T50" s="174">
        <f t="shared" si="59"/>
        <v>0</v>
      </c>
      <c r="U50" s="174">
        <f t="shared" si="59"/>
        <v>6892.575080720585</v>
      </c>
      <c r="V50" s="174">
        <f t="shared" si="59"/>
        <v>0</v>
      </c>
      <c r="W50" s="174">
        <f t="shared" si="59"/>
        <v>0</v>
      </c>
      <c r="X50" s="174">
        <f t="shared" si="59"/>
        <v>0</v>
      </c>
      <c r="Y50" s="174">
        <f t="shared" si="59"/>
        <v>0</v>
      </c>
      <c r="Z50" s="174">
        <f t="shared" si="59"/>
        <v>198.53514004868816</v>
      </c>
      <c r="AA50" s="174">
        <f t="shared" si="59"/>
        <v>7091.1102207692729</v>
      </c>
      <c r="AB50" s="174">
        <v>0</v>
      </c>
      <c r="AC50" s="225">
        <f t="shared" si="59"/>
        <v>10394.445852860545</v>
      </c>
      <c r="AE50" s="104"/>
      <c r="AG50" s="166">
        <f>AC50-AA50</f>
        <v>3303.3356320912717</v>
      </c>
    </row>
    <row r="51" spans="1:33">
      <c r="A51" s="188"/>
      <c r="B51" s="226"/>
      <c r="C51" s="227"/>
      <c r="D51" s="227"/>
      <c r="E51" s="227"/>
      <c r="F51" s="227"/>
      <c r="G51" s="228"/>
      <c r="H51" s="227"/>
      <c r="I51" s="227"/>
      <c r="J51" s="227"/>
      <c r="K51" s="227"/>
      <c r="L51" s="227"/>
      <c r="M51" s="227"/>
      <c r="N51" s="227"/>
      <c r="O51" s="227"/>
      <c r="P51" s="227"/>
      <c r="Q51" s="227"/>
      <c r="R51" s="227"/>
      <c r="S51" s="227"/>
      <c r="T51" s="227"/>
      <c r="U51" s="227"/>
      <c r="V51" s="227"/>
      <c r="W51" s="227"/>
      <c r="X51" s="227"/>
      <c r="Y51" s="227"/>
      <c r="Z51" s="227"/>
      <c r="AA51" s="227"/>
      <c r="AB51" s="227"/>
      <c r="AC51" s="229"/>
      <c r="AD51" s="166"/>
      <c r="AE51" s="104"/>
    </row>
    <row r="52" spans="1:33">
      <c r="A52" s="188"/>
      <c r="B52" s="230" t="s">
        <v>601</v>
      </c>
      <c r="C52" s="175"/>
      <c r="D52" s="175"/>
      <c r="E52" s="175"/>
      <c r="F52" s="175"/>
      <c r="G52" s="174"/>
      <c r="H52" s="175"/>
      <c r="I52" s="175"/>
      <c r="J52" s="175"/>
      <c r="K52" s="175"/>
      <c r="L52" s="175"/>
      <c r="M52" s="175"/>
      <c r="N52" s="175"/>
      <c r="O52" s="175"/>
      <c r="P52" s="175"/>
      <c r="Q52" s="175">
        <f>G52*C52*12/10^7</f>
        <v>0</v>
      </c>
      <c r="R52" s="175"/>
      <c r="S52" s="175"/>
      <c r="T52" s="175"/>
      <c r="U52" s="175"/>
      <c r="V52" s="175"/>
      <c r="W52" s="175"/>
      <c r="X52" s="175"/>
      <c r="Y52" s="175"/>
      <c r="Z52" s="175"/>
      <c r="AA52" s="175"/>
      <c r="AB52" s="175"/>
      <c r="AC52" s="231"/>
      <c r="AE52" s="104"/>
    </row>
    <row r="53" spans="1:33">
      <c r="A53" s="188"/>
      <c r="B53" s="232" t="s">
        <v>742</v>
      </c>
      <c r="C53" s="233">
        <f>C54+C55+C62+C75+C80</f>
        <v>4653</v>
      </c>
      <c r="D53" s="233"/>
      <c r="E53" s="233"/>
      <c r="F53" s="233"/>
      <c r="G53" s="234"/>
      <c r="H53" s="233">
        <f t="shared" ref="H53:AC53" si="60">H54+H55+H62+H75+H80</f>
        <v>2586.1665978626547</v>
      </c>
      <c r="I53" s="233">
        <f t="shared" si="60"/>
        <v>0</v>
      </c>
      <c r="J53" s="233">
        <f t="shared" si="60"/>
        <v>1189.54728</v>
      </c>
      <c r="K53" s="233">
        <f t="shared" si="60"/>
        <v>0</v>
      </c>
      <c r="L53" s="233"/>
      <c r="M53" s="233"/>
      <c r="N53" s="233">
        <f t="shared" si="60"/>
        <v>1765.7304018129232</v>
      </c>
      <c r="O53" s="233">
        <f t="shared" si="60"/>
        <v>616.06070718000001</v>
      </c>
      <c r="P53" s="233">
        <f t="shared" si="60"/>
        <v>0</v>
      </c>
      <c r="Q53" s="233">
        <f t="shared" si="60"/>
        <v>7.8505416000000006</v>
      </c>
      <c r="R53" s="233">
        <f t="shared" si="60"/>
        <v>0</v>
      </c>
      <c r="S53" s="233">
        <f t="shared" si="60"/>
        <v>2389.6416505929228</v>
      </c>
      <c r="T53" s="233">
        <f t="shared" si="60"/>
        <v>0</v>
      </c>
      <c r="U53" s="233">
        <f t="shared" si="60"/>
        <v>2389.6416505929228</v>
      </c>
      <c r="V53" s="233">
        <f t="shared" si="60"/>
        <v>0</v>
      </c>
      <c r="W53" s="233">
        <f t="shared" si="60"/>
        <v>0</v>
      </c>
      <c r="X53" s="233">
        <f t="shared" si="60"/>
        <v>0</v>
      </c>
      <c r="Y53" s="233">
        <f t="shared" si="60"/>
        <v>0</v>
      </c>
      <c r="Z53" s="233">
        <f t="shared" si="60"/>
        <v>40.80322763971877</v>
      </c>
      <c r="AA53" s="233">
        <f t="shared" si="60"/>
        <v>2430.4448782326417</v>
      </c>
      <c r="AB53" s="233"/>
      <c r="AC53" s="235">
        <f t="shared" si="60"/>
        <v>2430.4448782326417</v>
      </c>
      <c r="AE53" s="158"/>
      <c r="AF53" s="166">
        <f>AA178</f>
        <v>17864.886517685998</v>
      </c>
      <c r="AG53" s="166">
        <f>AE53-AF53</f>
        <v>-17864.886517685998</v>
      </c>
    </row>
    <row r="54" spans="1:33" ht="21">
      <c r="A54" s="188"/>
      <c r="B54" s="236" t="s">
        <v>743</v>
      </c>
      <c r="C54" s="190">
        <f>'7|Total Rev Current'!C408</f>
        <v>49</v>
      </c>
      <c r="D54" s="203">
        <v>7</v>
      </c>
      <c r="E54" s="237">
        <v>900</v>
      </c>
      <c r="F54" s="237"/>
      <c r="G54" s="237">
        <v>1406</v>
      </c>
      <c r="H54" s="194">
        <f>'7|Total Rev Current'!H408</f>
        <v>22.393903570223113</v>
      </c>
      <c r="I54" s="194"/>
      <c r="J54" s="194">
        <f>'7|Total Rev Current'!J408</f>
        <v>12.604999999999997</v>
      </c>
      <c r="K54" s="238">
        <f>K55+K56+K63+K70+K75+K78</f>
        <v>0</v>
      </c>
      <c r="L54" s="194">
        <f t="shared" ref="L54" si="61">D54+0.75</f>
        <v>7.75</v>
      </c>
      <c r="M54" s="238"/>
      <c r="N54" s="195">
        <f t="shared" ref="N54" si="62">D54*H54/10</f>
        <v>15.67573249915618</v>
      </c>
      <c r="O54" s="196">
        <f t="shared" ref="O54" si="63">IF(E54&gt;0,(J54*10^3*E54/10^7)+(K54*0.7457*E54/10^7),(K54*F54/10^7)+(J54*(10^3)*(1/0.7457)*F54/10^7))</f>
        <v>1.1344499999999997</v>
      </c>
      <c r="P54" s="197"/>
      <c r="Q54" s="196">
        <f t="shared" ref="Q54" si="64">G54*C54*12/10^7</f>
        <v>8.2672800000000005E-2</v>
      </c>
      <c r="R54" s="197"/>
      <c r="S54" s="196">
        <f t="shared" ref="S54" si="65">N54+O54+P54+Q54+R54</f>
        <v>16.892855299156182</v>
      </c>
      <c r="T54" s="238"/>
      <c r="U54" s="196">
        <f t="shared" ref="U54" si="66">S54-T54</f>
        <v>16.892855299156182</v>
      </c>
      <c r="V54" s="238">
        <f>V55+V56+V63+V70+V75+V78</f>
        <v>0</v>
      </c>
      <c r="W54" s="238">
        <f>W55+W56+W63+W70+W75+W78</f>
        <v>0</v>
      </c>
      <c r="X54" s="238">
        <f>X55+X56+X63+X70+X75+X78</f>
        <v>0</v>
      </c>
      <c r="Y54" s="238">
        <f>Y55+Y56+Y63+Y70+Y75+Y78</f>
        <v>0</v>
      </c>
      <c r="Z54" s="198">
        <f>'7|Total Rev Current'!Z408</f>
        <v>0.35331967626250016</v>
      </c>
      <c r="AA54" s="199">
        <f t="shared" ref="AA54:AA61" si="67">U54+Z54</f>
        <v>17.246174975418683</v>
      </c>
      <c r="AB54" s="200">
        <v>7</v>
      </c>
      <c r="AC54" s="201">
        <f t="shared" ref="AC54" si="68">(H54*AB54/10)+O54+Q54+P54+R54+Z54</f>
        <v>17.246174975418683</v>
      </c>
      <c r="AE54" s="166"/>
    </row>
    <row r="55" spans="1:33" s="92" customFormat="1">
      <c r="A55" s="188"/>
      <c r="B55" s="239" t="s">
        <v>744</v>
      </c>
      <c r="C55" s="240">
        <f>SUM(C56:C61)</f>
        <v>2078</v>
      </c>
      <c r="D55" s="240"/>
      <c r="E55" s="240"/>
      <c r="F55" s="240"/>
      <c r="G55" s="240"/>
      <c r="H55" s="240">
        <f>SUM(H56:H61)</f>
        <v>622.053658258513</v>
      </c>
      <c r="I55" s="240">
        <f t="shared" ref="I55:AC56" si="69">SUM(I56:I61)</f>
        <v>0</v>
      </c>
      <c r="J55" s="240">
        <f t="shared" si="69"/>
        <v>407.07950000000005</v>
      </c>
      <c r="K55" s="240">
        <f t="shared" si="69"/>
        <v>0</v>
      </c>
      <c r="L55" s="240"/>
      <c r="M55" s="240"/>
      <c r="N55" s="240">
        <f t="shared" si="69"/>
        <v>495.42605699277169</v>
      </c>
      <c r="O55" s="240">
        <f t="shared" si="69"/>
        <v>206.21773500000003</v>
      </c>
      <c r="P55" s="240">
        <f t="shared" si="69"/>
        <v>0</v>
      </c>
      <c r="Q55" s="240">
        <f t="shared" si="69"/>
        <v>3.5060016000000003</v>
      </c>
      <c r="R55" s="240">
        <f t="shared" si="69"/>
        <v>0</v>
      </c>
      <c r="S55" s="240">
        <f t="shared" si="69"/>
        <v>705.14979359277186</v>
      </c>
      <c r="T55" s="240">
        <f t="shared" si="69"/>
        <v>0</v>
      </c>
      <c r="U55" s="240">
        <f t="shared" si="69"/>
        <v>705.14979359277186</v>
      </c>
      <c r="V55" s="240">
        <f t="shared" si="69"/>
        <v>0</v>
      </c>
      <c r="W55" s="240">
        <f t="shared" si="69"/>
        <v>0</v>
      </c>
      <c r="X55" s="240">
        <f t="shared" si="69"/>
        <v>0</v>
      </c>
      <c r="Y55" s="240">
        <f t="shared" si="69"/>
        <v>0</v>
      </c>
      <c r="Z55" s="240">
        <f t="shared" si="69"/>
        <v>9.814447778816259</v>
      </c>
      <c r="AA55" s="240">
        <f t="shared" si="69"/>
        <v>714.96424137158795</v>
      </c>
      <c r="AB55" s="240"/>
      <c r="AC55" s="241">
        <f t="shared" si="69"/>
        <v>714.96424137158795</v>
      </c>
      <c r="AE55" s="166"/>
    </row>
    <row r="56" spans="1:33" s="92" customFormat="1" ht="15" customHeight="1">
      <c r="A56" s="188"/>
      <c r="B56" s="236" t="s">
        <v>745</v>
      </c>
      <c r="C56" s="190">
        <f>'7|Total Rev Current'!C410</f>
        <v>1835</v>
      </c>
      <c r="D56" s="203">
        <v>7.65</v>
      </c>
      <c r="E56" s="237">
        <v>5700</v>
      </c>
      <c r="F56" s="237"/>
      <c r="G56" s="237">
        <v>1406</v>
      </c>
      <c r="H56" s="194">
        <f>'7|Total Rev Current'!H410</f>
        <v>466.45073886206404</v>
      </c>
      <c r="I56" s="194"/>
      <c r="J56" s="194">
        <f>'7|Total Rev Current'!J410</f>
        <v>361.78550000000007</v>
      </c>
      <c r="K56" s="238">
        <f>SUM(K57:K62)</f>
        <v>0</v>
      </c>
      <c r="L56" s="194">
        <f t="shared" ref="L56:L61" si="70">D56+0.75</f>
        <v>8.4</v>
      </c>
      <c r="M56" s="238"/>
      <c r="N56" s="195">
        <f t="shared" ref="N56:N61" si="71">D56*H56/10</f>
        <v>356.83481522947898</v>
      </c>
      <c r="O56" s="196">
        <f t="shared" ref="O56:O61" si="72">IF(E56&gt;0,(J56*10^3*E56/10^7)+(K56*0.7457*E56/10^7),(K56*F56/10^7)+(J56*(10^3)*(1/0.7457)*F56/10^7))</f>
        <v>206.21773500000003</v>
      </c>
      <c r="P56" s="197"/>
      <c r="Q56" s="196">
        <f t="shared" ref="Q56:Q61" si="73">G56*C56*12/10^7</f>
        <v>3.096012</v>
      </c>
      <c r="R56" s="197"/>
      <c r="S56" s="196">
        <f t="shared" ref="S56:S61" si="74">N56+O56+P56+Q56+R56</f>
        <v>566.14856222947901</v>
      </c>
      <c r="T56" s="238"/>
      <c r="U56" s="196">
        <f t="shared" ref="U56:U61" si="75">S56-T56</f>
        <v>566.14856222947901</v>
      </c>
      <c r="V56" s="238">
        <f t="shared" si="69"/>
        <v>0</v>
      </c>
      <c r="W56" s="238">
        <f t="shared" si="69"/>
        <v>0</v>
      </c>
      <c r="X56" s="238">
        <f t="shared" si="69"/>
        <v>0</v>
      </c>
      <c r="Y56" s="238">
        <f t="shared" si="69"/>
        <v>0</v>
      </c>
      <c r="Z56" s="198">
        <f>'7|Total Rev Current'!Z410</f>
        <v>7.359423672176975</v>
      </c>
      <c r="AA56" s="199">
        <f t="shared" si="67"/>
        <v>573.50798590165596</v>
      </c>
      <c r="AB56" s="200">
        <v>7.65</v>
      </c>
      <c r="AC56" s="201">
        <f t="shared" ref="AC56:AC61" si="76">(H56*AB56/10)+O56+Q56+P56+R56+Z56</f>
        <v>573.50798590165596</v>
      </c>
      <c r="AE56" s="166"/>
    </row>
    <row r="57" spans="1:33">
      <c r="A57" s="188"/>
      <c r="B57" s="236" t="s">
        <v>697</v>
      </c>
      <c r="C57" s="190">
        <f>'7|Total Rev Current'!C411</f>
        <v>0</v>
      </c>
      <c r="D57" s="203">
        <v>8.65</v>
      </c>
      <c r="E57" s="237">
        <v>5700</v>
      </c>
      <c r="F57" s="237"/>
      <c r="G57" s="237"/>
      <c r="H57" s="194">
        <f>'7|Total Rev Current'!H411</f>
        <v>135.81601721488136</v>
      </c>
      <c r="I57" s="194"/>
      <c r="J57" s="194">
        <f>'7|Total Rev Current'!J411</f>
        <v>0</v>
      </c>
      <c r="K57" s="238"/>
      <c r="L57" s="194">
        <f t="shared" si="70"/>
        <v>9.4</v>
      </c>
      <c r="M57" s="238"/>
      <c r="N57" s="195">
        <f t="shared" si="71"/>
        <v>117.48085489087239</v>
      </c>
      <c r="O57" s="196">
        <f t="shared" si="72"/>
        <v>0</v>
      </c>
      <c r="P57" s="197"/>
      <c r="Q57" s="196">
        <f t="shared" si="73"/>
        <v>0</v>
      </c>
      <c r="R57" s="197"/>
      <c r="S57" s="196">
        <f t="shared" si="74"/>
        <v>117.48085489087239</v>
      </c>
      <c r="T57" s="238"/>
      <c r="U57" s="196">
        <f t="shared" si="75"/>
        <v>117.48085489087239</v>
      </c>
      <c r="V57" s="238"/>
      <c r="W57" s="238"/>
      <c r="X57" s="238"/>
      <c r="Y57" s="238"/>
      <c r="Z57" s="198">
        <f>'7|Total Rev Current'!Z411</f>
        <v>2.1428363788004794</v>
      </c>
      <c r="AA57" s="199">
        <f t="shared" si="67"/>
        <v>119.62369126967288</v>
      </c>
      <c r="AB57" s="200">
        <v>8.65</v>
      </c>
      <c r="AC57" s="201">
        <f t="shared" si="76"/>
        <v>119.62369126967288</v>
      </c>
      <c r="AE57" s="166"/>
    </row>
    <row r="58" spans="1:33" s="242" customFormat="1" ht="17.25" customHeight="1">
      <c r="A58" s="188"/>
      <c r="B58" s="236" t="s">
        <v>746</v>
      </c>
      <c r="C58" s="190">
        <f>'7|Total Rev Current'!C412</f>
        <v>225</v>
      </c>
      <c r="D58" s="203">
        <v>12.25</v>
      </c>
      <c r="E58" s="237">
        <v>0</v>
      </c>
      <c r="F58" s="237"/>
      <c r="G58" s="237">
        <v>1406</v>
      </c>
      <c r="H58" s="194">
        <f>'7|Total Rev Current'!H412</f>
        <v>14.138851071692043</v>
      </c>
      <c r="I58" s="194"/>
      <c r="J58" s="194">
        <f>'7|Total Rev Current'!J412</f>
        <v>44.424000000000007</v>
      </c>
      <c r="K58" s="238"/>
      <c r="L58" s="194">
        <f t="shared" si="70"/>
        <v>13</v>
      </c>
      <c r="M58" s="238"/>
      <c r="N58" s="195">
        <f t="shared" si="71"/>
        <v>17.320092562822754</v>
      </c>
      <c r="O58" s="196">
        <f t="shared" si="72"/>
        <v>0</v>
      </c>
      <c r="P58" s="197"/>
      <c r="Q58" s="196">
        <f t="shared" si="73"/>
        <v>0.37962000000000001</v>
      </c>
      <c r="R58" s="197"/>
      <c r="S58" s="196">
        <f t="shared" si="74"/>
        <v>17.699712562822754</v>
      </c>
      <c r="T58" s="238"/>
      <c r="U58" s="196">
        <f t="shared" si="75"/>
        <v>17.699712562822754</v>
      </c>
      <c r="V58" s="238"/>
      <c r="W58" s="238"/>
      <c r="X58" s="238"/>
      <c r="Y58" s="238"/>
      <c r="Z58" s="198">
        <f>'7|Total Rev Current'!Z412</f>
        <v>0.22307563608590483</v>
      </c>
      <c r="AA58" s="199">
        <f t="shared" si="67"/>
        <v>17.922788198908659</v>
      </c>
      <c r="AB58" s="200">
        <v>12.25</v>
      </c>
      <c r="AC58" s="201">
        <f t="shared" si="76"/>
        <v>17.922788198908659</v>
      </c>
      <c r="AE58" s="166"/>
    </row>
    <row r="59" spans="1:33">
      <c r="A59" s="188"/>
      <c r="B59" s="236" t="s">
        <v>747</v>
      </c>
      <c r="C59" s="190">
        <f>'7|Total Rev Current'!C413</f>
        <v>2</v>
      </c>
      <c r="D59" s="203">
        <v>12.25</v>
      </c>
      <c r="E59" s="237">
        <v>0</v>
      </c>
      <c r="F59" s="237"/>
      <c r="G59" s="237">
        <v>1406</v>
      </c>
      <c r="H59" s="194">
        <f>'7|Total Rev Current'!H413</f>
        <v>1.0991109875566762E-2</v>
      </c>
      <c r="I59" s="194"/>
      <c r="J59" s="194">
        <f>'7|Total Rev Current'!J413</f>
        <v>0.87000000000000011</v>
      </c>
      <c r="K59" s="238"/>
      <c r="L59" s="194">
        <f t="shared" si="70"/>
        <v>13</v>
      </c>
      <c r="M59" s="238"/>
      <c r="N59" s="195">
        <f t="shared" si="71"/>
        <v>1.3464109597569284E-2</v>
      </c>
      <c r="O59" s="196">
        <f t="shared" si="72"/>
        <v>0</v>
      </c>
      <c r="P59" s="197"/>
      <c r="Q59" s="196">
        <f t="shared" si="73"/>
        <v>3.3744000000000001E-3</v>
      </c>
      <c r="R59" s="197"/>
      <c r="S59" s="196">
        <f t="shared" si="74"/>
        <v>1.6838509597569284E-2</v>
      </c>
      <c r="T59" s="238"/>
      <c r="U59" s="196">
        <f t="shared" si="75"/>
        <v>1.6838509597569284E-2</v>
      </c>
      <c r="V59" s="238"/>
      <c r="W59" s="238"/>
      <c r="X59" s="238"/>
      <c r="Y59" s="238"/>
      <c r="Z59" s="198">
        <f>'7|Total Rev Current'!Z413</f>
        <v>1.7341216866560466E-4</v>
      </c>
      <c r="AA59" s="199">
        <f t="shared" si="67"/>
        <v>1.7011921766234887E-2</v>
      </c>
      <c r="AB59" s="200">
        <v>12.25</v>
      </c>
      <c r="AC59" s="201">
        <f t="shared" si="76"/>
        <v>1.7011921766234887E-2</v>
      </c>
      <c r="AE59" s="166"/>
    </row>
    <row r="60" spans="1:33" s="92" customFormat="1" ht="21">
      <c r="A60" s="188"/>
      <c r="B60" s="236" t="s">
        <v>748</v>
      </c>
      <c r="C60" s="190">
        <f>'7|Total Rev Current'!C414</f>
        <v>16</v>
      </c>
      <c r="D60" s="203">
        <v>6.7</v>
      </c>
      <c r="E60" s="237">
        <v>0</v>
      </c>
      <c r="F60" s="237"/>
      <c r="G60" s="237">
        <v>1406</v>
      </c>
      <c r="H60" s="194">
        <f>'7|Total Rev Current'!H414</f>
        <v>5.6370600000000008</v>
      </c>
      <c r="I60" s="194"/>
      <c r="J60" s="194">
        <f>'7|Total Rev Current'!J414</f>
        <v>0</v>
      </c>
      <c r="K60" s="238"/>
      <c r="L60" s="194">
        <f t="shared" si="70"/>
        <v>7.45</v>
      </c>
      <c r="M60" s="238"/>
      <c r="N60" s="195">
        <f t="shared" si="71"/>
        <v>3.7768302000000005</v>
      </c>
      <c r="O60" s="196">
        <f t="shared" si="72"/>
        <v>0</v>
      </c>
      <c r="P60" s="197"/>
      <c r="Q60" s="196">
        <f t="shared" si="73"/>
        <v>2.69952E-2</v>
      </c>
      <c r="R60" s="197"/>
      <c r="S60" s="196">
        <f t="shared" si="74"/>
        <v>3.8038254000000005</v>
      </c>
      <c r="T60" s="238"/>
      <c r="U60" s="196">
        <f t="shared" si="75"/>
        <v>3.8038254000000005</v>
      </c>
      <c r="V60" s="238"/>
      <c r="W60" s="238"/>
      <c r="X60" s="238"/>
      <c r="Y60" s="238"/>
      <c r="Z60" s="198">
        <f>'7|Total Rev Current'!Z414</f>
        <v>8.893867958423321E-2</v>
      </c>
      <c r="AA60" s="199">
        <f t="shared" si="67"/>
        <v>3.8927640795842335</v>
      </c>
      <c r="AB60" s="200">
        <v>6.7</v>
      </c>
      <c r="AC60" s="201">
        <f t="shared" si="76"/>
        <v>3.8927640795842335</v>
      </c>
      <c r="AE60" s="166"/>
    </row>
    <row r="61" spans="1:33">
      <c r="A61" s="188"/>
      <c r="B61" s="236" t="s">
        <v>749</v>
      </c>
      <c r="C61" s="190">
        <f>'7|Total Rev Current'!C415</f>
        <v>0</v>
      </c>
      <c r="D61" s="203">
        <v>12.25</v>
      </c>
      <c r="E61" s="237">
        <v>0</v>
      </c>
      <c r="F61" s="237"/>
      <c r="G61" s="237">
        <v>1406</v>
      </c>
      <c r="H61" s="194">
        <f>'7|Total Rev Current'!H415</f>
        <v>0</v>
      </c>
      <c r="I61" s="194"/>
      <c r="J61" s="194">
        <f>'7|Total Rev Current'!J415</f>
        <v>0</v>
      </c>
      <c r="K61" s="238"/>
      <c r="L61" s="194">
        <f t="shared" si="70"/>
        <v>13</v>
      </c>
      <c r="M61" s="238"/>
      <c r="N61" s="195">
        <f t="shared" si="71"/>
        <v>0</v>
      </c>
      <c r="O61" s="196">
        <f t="shared" si="72"/>
        <v>0</v>
      </c>
      <c r="P61" s="197"/>
      <c r="Q61" s="196">
        <f t="shared" si="73"/>
        <v>0</v>
      </c>
      <c r="R61" s="197"/>
      <c r="S61" s="196">
        <f t="shared" si="74"/>
        <v>0</v>
      </c>
      <c r="T61" s="238"/>
      <c r="U61" s="196">
        <f t="shared" si="75"/>
        <v>0</v>
      </c>
      <c r="V61" s="238"/>
      <c r="W61" s="238"/>
      <c r="X61" s="238"/>
      <c r="Y61" s="238"/>
      <c r="Z61" s="198">
        <f>'7|Total Rev Current'!Z415</f>
        <v>0</v>
      </c>
      <c r="AA61" s="199">
        <f t="shared" si="67"/>
        <v>0</v>
      </c>
      <c r="AB61" s="200">
        <v>12.25</v>
      </c>
      <c r="AC61" s="201">
        <f t="shared" si="76"/>
        <v>0</v>
      </c>
      <c r="AE61" s="166"/>
    </row>
    <row r="62" spans="1:33">
      <c r="A62" s="188"/>
      <c r="B62" s="239" t="s">
        <v>750</v>
      </c>
      <c r="C62" s="240">
        <f>SUM(C64:C74)</f>
        <v>2073</v>
      </c>
      <c r="D62" s="240"/>
      <c r="E62" s="240"/>
      <c r="F62" s="240"/>
      <c r="G62" s="240"/>
      <c r="H62" s="240">
        <f>SUM(H64:H74)</f>
        <v>1730.9073881992313</v>
      </c>
      <c r="I62" s="240">
        <f t="shared" ref="I62:AC62" si="77">SUM(I64:I74)</f>
        <v>0</v>
      </c>
      <c r="J62" s="240">
        <f t="shared" si="77"/>
        <v>649.57974999999999</v>
      </c>
      <c r="K62" s="240">
        <f t="shared" si="77"/>
        <v>0</v>
      </c>
      <c r="L62" s="240"/>
      <c r="M62" s="240"/>
      <c r="N62" s="240">
        <f t="shared" si="77"/>
        <v>1104.9469980276847</v>
      </c>
      <c r="O62" s="240">
        <f t="shared" si="77"/>
        <v>370.26045749999992</v>
      </c>
      <c r="P62" s="240">
        <f t="shared" si="77"/>
        <v>0</v>
      </c>
      <c r="Q62" s="240">
        <f t="shared" si="77"/>
        <v>3.4975655999999997</v>
      </c>
      <c r="R62" s="240">
        <f t="shared" si="77"/>
        <v>0</v>
      </c>
      <c r="S62" s="240">
        <f t="shared" si="77"/>
        <v>1478.7050211276846</v>
      </c>
      <c r="T62" s="240">
        <f t="shared" si="77"/>
        <v>0</v>
      </c>
      <c r="U62" s="240">
        <f t="shared" si="77"/>
        <v>1478.7050211276846</v>
      </c>
      <c r="V62" s="240">
        <f t="shared" si="77"/>
        <v>0</v>
      </c>
      <c r="W62" s="240">
        <f t="shared" si="77"/>
        <v>0</v>
      </c>
      <c r="X62" s="240">
        <f t="shared" si="77"/>
        <v>0</v>
      </c>
      <c r="Y62" s="240">
        <f t="shared" si="77"/>
        <v>0</v>
      </c>
      <c r="Z62" s="240">
        <f t="shared" si="77"/>
        <v>27.309380703599636</v>
      </c>
      <c r="AA62" s="240">
        <f t="shared" si="77"/>
        <v>1506.0144018312842</v>
      </c>
      <c r="AB62" s="240"/>
      <c r="AC62" s="241">
        <f t="shared" si="77"/>
        <v>1506.0144018312842</v>
      </c>
      <c r="AE62" s="166"/>
    </row>
    <row r="63" spans="1:33" s="92" customFormat="1" ht="15" customHeight="1">
      <c r="A63" s="188"/>
      <c r="B63" s="215" t="s">
        <v>753</v>
      </c>
      <c r="C63" s="217"/>
      <c r="D63" s="217"/>
      <c r="E63" s="217"/>
      <c r="F63" s="217"/>
      <c r="G63" s="218"/>
      <c r="H63" s="217"/>
      <c r="I63" s="217"/>
      <c r="J63" s="217"/>
      <c r="K63" s="217"/>
      <c r="L63" s="217"/>
      <c r="M63" s="217"/>
      <c r="N63" s="217"/>
      <c r="O63" s="217"/>
      <c r="P63" s="217"/>
      <c r="Q63" s="217"/>
      <c r="R63" s="217"/>
      <c r="S63" s="217"/>
      <c r="T63" s="217"/>
      <c r="U63" s="217"/>
      <c r="V63" s="217"/>
      <c r="W63" s="217"/>
      <c r="X63" s="217"/>
      <c r="Y63" s="217"/>
      <c r="Z63" s="217"/>
      <c r="AA63" s="217"/>
      <c r="AB63" s="217"/>
      <c r="AC63" s="219"/>
      <c r="AE63" s="166"/>
    </row>
    <row r="64" spans="1:33" ht="21">
      <c r="A64" s="188"/>
      <c r="B64" s="236" t="s">
        <v>918</v>
      </c>
      <c r="C64" s="190">
        <f>'7|Total Rev Current'!C418</f>
        <v>0</v>
      </c>
      <c r="D64" s="203"/>
      <c r="E64" s="237"/>
      <c r="F64" s="237"/>
      <c r="G64" s="237"/>
      <c r="H64" s="194">
        <f>'7|Total Rev Current'!H418</f>
        <v>0</v>
      </c>
      <c r="I64" s="194"/>
      <c r="J64" s="194">
        <f>'7|Total Rev Current'!J418</f>
        <v>0</v>
      </c>
      <c r="K64" s="238"/>
      <c r="L64" s="194">
        <f t="shared" ref="L64:L74" si="78">D64+0.75</f>
        <v>0.75</v>
      </c>
      <c r="M64" s="238"/>
      <c r="N64" s="195">
        <f t="shared" ref="N64:N74" si="79">D64*H64/10</f>
        <v>0</v>
      </c>
      <c r="O64" s="196">
        <f t="shared" ref="O64:O74" si="80">IF(E64&gt;0,(J64*10^3*E64/10^7)+(K64*0.7457*E64/10^7),(K64*F64/10^7)+(J64*(10^3)*(1/0.7457)*F64/10^7))</f>
        <v>0</v>
      </c>
      <c r="P64" s="197"/>
      <c r="Q64" s="196">
        <f t="shared" ref="Q64:Q74" si="81">G64*C64*12/10^7</f>
        <v>0</v>
      </c>
      <c r="R64" s="197"/>
      <c r="S64" s="196">
        <f t="shared" ref="S64:S82" si="82">N64+O64+P64+Q64+R64</f>
        <v>0</v>
      </c>
      <c r="T64" s="238"/>
      <c r="U64" s="196">
        <f t="shared" ref="U64:U74" si="83">S64-T64</f>
        <v>0</v>
      </c>
      <c r="V64" s="238"/>
      <c r="W64" s="238"/>
      <c r="X64" s="238"/>
      <c r="Y64" s="238"/>
      <c r="Z64" s="198">
        <f>'7|Total Rev Current'!Z418</f>
        <v>0</v>
      </c>
      <c r="AA64" s="199">
        <f t="shared" ref="AA64:AA74" si="84">U64+Z64</f>
        <v>0</v>
      </c>
      <c r="AB64" s="200">
        <v>0</v>
      </c>
      <c r="AC64" s="201">
        <f t="shared" ref="AC64:AC74" si="85">(H64*AB64/10)+O64+Q64+P64+R64+Z64</f>
        <v>0</v>
      </c>
      <c r="AE64" s="166"/>
    </row>
    <row r="65" spans="1:31" ht="21">
      <c r="A65" s="188"/>
      <c r="B65" s="236" t="s">
        <v>914</v>
      </c>
      <c r="C65" s="190">
        <f>'7|Total Rev Current'!C419</f>
        <v>0</v>
      </c>
      <c r="D65" s="203">
        <v>7.8</v>
      </c>
      <c r="E65" s="237">
        <v>5700</v>
      </c>
      <c r="F65" s="237"/>
      <c r="G65" s="237">
        <v>1406</v>
      </c>
      <c r="H65" s="194">
        <f>'7|Total Rev Current'!H419</f>
        <v>271.36074962119295</v>
      </c>
      <c r="I65" s="194"/>
      <c r="J65" s="194">
        <f>'7|Total Rev Current'!J419</f>
        <v>0</v>
      </c>
      <c r="K65" s="238"/>
      <c r="L65" s="194">
        <f t="shared" si="78"/>
        <v>8.5500000000000007</v>
      </c>
      <c r="M65" s="238"/>
      <c r="N65" s="195">
        <f t="shared" si="79"/>
        <v>211.66138470453052</v>
      </c>
      <c r="O65" s="196">
        <f t="shared" si="80"/>
        <v>0</v>
      </c>
      <c r="P65" s="197"/>
      <c r="Q65" s="196">
        <f t="shared" si="81"/>
        <v>0</v>
      </c>
      <c r="R65" s="197"/>
      <c r="S65" s="196">
        <f t="shared" si="82"/>
        <v>211.66138470453052</v>
      </c>
      <c r="T65" s="238"/>
      <c r="U65" s="196">
        <f t="shared" si="83"/>
        <v>211.66138470453052</v>
      </c>
      <c r="V65" s="238"/>
      <c r="W65" s="238"/>
      <c r="X65" s="238"/>
      <c r="Y65" s="238"/>
      <c r="Z65" s="198">
        <f>'7|Total Rev Current'!Z419</f>
        <v>0</v>
      </c>
      <c r="AA65" s="199">
        <f t="shared" si="84"/>
        <v>211.66138470453052</v>
      </c>
      <c r="AB65" s="200">
        <v>7.8</v>
      </c>
      <c r="AC65" s="201">
        <f t="shared" si="85"/>
        <v>211.66138470453052</v>
      </c>
      <c r="AE65" s="166"/>
    </row>
    <row r="66" spans="1:31" ht="21">
      <c r="A66" s="188"/>
      <c r="B66" s="236" t="s">
        <v>915</v>
      </c>
      <c r="C66" s="190">
        <f>'7|Total Rev Current'!C420</f>
        <v>0</v>
      </c>
      <c r="D66" s="203">
        <v>5.55</v>
      </c>
      <c r="E66" s="237">
        <v>5700</v>
      </c>
      <c r="F66" s="237"/>
      <c r="G66" s="237">
        <v>1406</v>
      </c>
      <c r="H66" s="194">
        <f>'7|Total Rev Current'!H420</f>
        <v>373.30899129261951</v>
      </c>
      <c r="I66" s="194"/>
      <c r="J66" s="194">
        <f>'7|Total Rev Current'!J420</f>
        <v>0</v>
      </c>
      <c r="K66" s="238"/>
      <c r="L66" s="194">
        <f t="shared" si="78"/>
        <v>6.3</v>
      </c>
      <c r="M66" s="238"/>
      <c r="N66" s="195">
        <f t="shared" si="79"/>
        <v>207.18649016740383</v>
      </c>
      <c r="O66" s="196">
        <f t="shared" si="80"/>
        <v>0</v>
      </c>
      <c r="P66" s="197"/>
      <c r="Q66" s="196">
        <f t="shared" si="81"/>
        <v>0</v>
      </c>
      <c r="R66" s="197"/>
      <c r="S66" s="196">
        <f t="shared" si="82"/>
        <v>207.18649016740383</v>
      </c>
      <c r="T66" s="238"/>
      <c r="U66" s="196">
        <f t="shared" si="83"/>
        <v>207.18649016740383</v>
      </c>
      <c r="V66" s="238"/>
      <c r="W66" s="238"/>
      <c r="X66" s="238"/>
      <c r="Y66" s="238"/>
      <c r="Z66" s="198">
        <f>'7|Total Rev Current'!Z420</f>
        <v>0</v>
      </c>
      <c r="AA66" s="199">
        <f t="shared" si="84"/>
        <v>207.18649016740383</v>
      </c>
      <c r="AB66" s="200">
        <v>5.55</v>
      </c>
      <c r="AC66" s="201">
        <f t="shared" si="85"/>
        <v>207.18649016740383</v>
      </c>
      <c r="AE66" s="166"/>
    </row>
    <row r="67" spans="1:31">
      <c r="A67" s="188"/>
      <c r="B67" s="236" t="s">
        <v>916</v>
      </c>
      <c r="C67" s="190">
        <f>'7|Total Rev Current'!C421</f>
        <v>1946</v>
      </c>
      <c r="D67" s="203">
        <v>6.3</v>
      </c>
      <c r="E67" s="237">
        <v>5700</v>
      </c>
      <c r="F67" s="237"/>
      <c r="G67" s="237">
        <v>1406</v>
      </c>
      <c r="H67" s="194">
        <f>'7|Total Rev Current'!H421</f>
        <v>197.49487229973948</v>
      </c>
      <c r="I67" s="194"/>
      <c r="J67" s="194">
        <f>'7|Total Rev Current'!J421</f>
        <v>619.01356999999996</v>
      </c>
      <c r="K67" s="238"/>
      <c r="L67" s="194">
        <f t="shared" si="78"/>
        <v>7.05</v>
      </c>
      <c r="M67" s="238"/>
      <c r="N67" s="195">
        <f t="shared" si="79"/>
        <v>124.42176954883587</v>
      </c>
      <c r="O67" s="196">
        <f t="shared" si="80"/>
        <v>352.83773489999993</v>
      </c>
      <c r="P67" s="197"/>
      <c r="Q67" s="196">
        <f t="shared" si="81"/>
        <v>3.2832911999999999</v>
      </c>
      <c r="R67" s="197"/>
      <c r="S67" s="196">
        <f t="shared" si="82"/>
        <v>480.54279564883581</v>
      </c>
      <c r="T67" s="238"/>
      <c r="U67" s="196">
        <f t="shared" si="83"/>
        <v>480.54279564883581</v>
      </c>
      <c r="V67" s="238"/>
      <c r="W67" s="238"/>
      <c r="X67" s="238"/>
      <c r="Y67" s="238"/>
      <c r="Z67" s="198">
        <f>'7|Total Rev Current'!Z421</f>
        <v>27.037835017206323</v>
      </c>
      <c r="AA67" s="199">
        <f t="shared" si="84"/>
        <v>507.58063066604211</v>
      </c>
      <c r="AB67" s="200">
        <v>6.3</v>
      </c>
      <c r="AC67" s="201">
        <f t="shared" si="85"/>
        <v>507.58063066604211</v>
      </c>
      <c r="AE67" s="166"/>
    </row>
    <row r="68" spans="1:31" ht="21">
      <c r="A68" s="188"/>
      <c r="B68" s="236" t="s">
        <v>917</v>
      </c>
      <c r="C68" s="190">
        <f>'7|Total Rev Current'!C422</f>
        <v>0</v>
      </c>
      <c r="D68" s="203"/>
      <c r="E68" s="237"/>
      <c r="F68" s="237"/>
      <c r="G68" s="237"/>
      <c r="H68" s="194">
        <f>'7|Total Rev Current'!H422</f>
        <v>0</v>
      </c>
      <c r="I68" s="194"/>
      <c r="J68" s="194">
        <f>'7|Total Rev Current'!J422</f>
        <v>0</v>
      </c>
      <c r="K68" s="238"/>
      <c r="L68" s="194">
        <f t="shared" si="78"/>
        <v>0.75</v>
      </c>
      <c r="M68" s="238"/>
      <c r="N68" s="195">
        <f t="shared" si="79"/>
        <v>0</v>
      </c>
      <c r="O68" s="196">
        <f t="shared" si="80"/>
        <v>0</v>
      </c>
      <c r="P68" s="197"/>
      <c r="Q68" s="196">
        <f t="shared" si="81"/>
        <v>0</v>
      </c>
      <c r="R68" s="197"/>
      <c r="S68" s="196">
        <f t="shared" si="82"/>
        <v>0</v>
      </c>
      <c r="T68" s="238"/>
      <c r="U68" s="196">
        <f t="shared" si="83"/>
        <v>0</v>
      </c>
      <c r="V68" s="238"/>
      <c r="W68" s="238"/>
      <c r="X68" s="238"/>
      <c r="Y68" s="238"/>
      <c r="Z68" s="198">
        <f>'7|Total Rev Current'!Z422</f>
        <v>0</v>
      </c>
      <c r="AA68" s="199">
        <f t="shared" si="84"/>
        <v>0</v>
      </c>
      <c r="AB68" s="200">
        <v>0</v>
      </c>
      <c r="AC68" s="201">
        <f t="shared" si="85"/>
        <v>0</v>
      </c>
      <c r="AE68" s="166"/>
    </row>
    <row r="69" spans="1:31" ht="21">
      <c r="A69" s="188"/>
      <c r="B69" s="236" t="s">
        <v>914</v>
      </c>
      <c r="C69" s="190">
        <f>'7|Total Rev Current'!C423</f>
        <v>0</v>
      </c>
      <c r="D69" s="203">
        <v>7.3</v>
      </c>
      <c r="E69" s="237">
        <v>5700</v>
      </c>
      <c r="F69" s="237"/>
      <c r="G69" s="237">
        <v>1406</v>
      </c>
      <c r="H69" s="194">
        <f>'7|Total Rev Current'!H423</f>
        <v>279.75753697808494</v>
      </c>
      <c r="I69" s="194"/>
      <c r="J69" s="194">
        <f>'7|Total Rev Current'!J423</f>
        <v>0</v>
      </c>
      <c r="K69" s="238"/>
      <c r="L69" s="194">
        <f t="shared" si="78"/>
        <v>8.0500000000000007</v>
      </c>
      <c r="M69" s="238"/>
      <c r="N69" s="195">
        <f t="shared" si="79"/>
        <v>204.223001994002</v>
      </c>
      <c r="O69" s="196">
        <f t="shared" si="80"/>
        <v>0</v>
      </c>
      <c r="P69" s="197"/>
      <c r="Q69" s="196">
        <f t="shared" si="81"/>
        <v>0</v>
      </c>
      <c r="R69" s="197"/>
      <c r="S69" s="196">
        <f t="shared" si="82"/>
        <v>204.223001994002</v>
      </c>
      <c r="T69" s="238"/>
      <c r="U69" s="196">
        <f t="shared" si="83"/>
        <v>204.223001994002</v>
      </c>
      <c r="V69" s="238"/>
      <c r="W69" s="238"/>
      <c r="X69" s="238"/>
      <c r="Y69" s="238"/>
      <c r="Z69" s="198">
        <f>'7|Total Rev Current'!Z423</f>
        <v>0</v>
      </c>
      <c r="AA69" s="199">
        <f t="shared" si="84"/>
        <v>204.223001994002</v>
      </c>
      <c r="AB69" s="200">
        <v>7.3</v>
      </c>
      <c r="AC69" s="201">
        <f t="shared" si="85"/>
        <v>204.223001994002</v>
      </c>
      <c r="AE69" s="166"/>
    </row>
    <row r="70" spans="1:31" s="92" customFormat="1" ht="15" customHeight="1">
      <c r="A70" s="188"/>
      <c r="B70" s="236" t="s">
        <v>915</v>
      </c>
      <c r="C70" s="190">
        <f>'7|Total Rev Current'!C424</f>
        <v>0</v>
      </c>
      <c r="D70" s="203">
        <v>5.55</v>
      </c>
      <c r="E70" s="237">
        <v>5700</v>
      </c>
      <c r="F70" s="237"/>
      <c r="G70" s="237">
        <v>1406</v>
      </c>
      <c r="H70" s="194">
        <f>'7|Total Rev Current'!H424</f>
        <v>383.6480091840819</v>
      </c>
      <c r="I70" s="194"/>
      <c r="J70" s="194">
        <f>'7|Total Rev Current'!J424</f>
        <v>0</v>
      </c>
      <c r="K70" s="238">
        <f>SUM(K71:K74)</f>
        <v>0</v>
      </c>
      <c r="L70" s="194">
        <f t="shared" si="78"/>
        <v>6.3</v>
      </c>
      <c r="M70" s="238"/>
      <c r="N70" s="195">
        <f t="shared" si="79"/>
        <v>212.92464509716547</v>
      </c>
      <c r="O70" s="196">
        <f t="shared" si="80"/>
        <v>0</v>
      </c>
      <c r="P70" s="197"/>
      <c r="Q70" s="196">
        <f t="shared" si="81"/>
        <v>0</v>
      </c>
      <c r="R70" s="197"/>
      <c r="S70" s="196">
        <f t="shared" si="82"/>
        <v>212.92464509716547</v>
      </c>
      <c r="T70" s="238"/>
      <c r="U70" s="196">
        <f t="shared" si="83"/>
        <v>212.92464509716547</v>
      </c>
      <c r="V70" s="238"/>
      <c r="W70" s="238"/>
      <c r="X70" s="238"/>
      <c r="Y70" s="238"/>
      <c r="Z70" s="198">
        <f>'7|Total Rev Current'!Z424</f>
        <v>0</v>
      </c>
      <c r="AA70" s="199">
        <f t="shared" si="84"/>
        <v>212.92464509716547</v>
      </c>
      <c r="AB70" s="200">
        <v>5.55</v>
      </c>
      <c r="AC70" s="201">
        <f t="shared" si="85"/>
        <v>212.92464509716547</v>
      </c>
      <c r="AE70" s="166"/>
    </row>
    <row r="71" spans="1:31">
      <c r="A71" s="188"/>
      <c r="B71" s="236" t="s">
        <v>916</v>
      </c>
      <c r="C71" s="190">
        <f>'7|Total Rev Current'!C425</f>
        <v>0</v>
      </c>
      <c r="D71" s="203">
        <v>6.3</v>
      </c>
      <c r="E71" s="237">
        <v>5700</v>
      </c>
      <c r="F71" s="237"/>
      <c r="G71" s="237">
        <v>1406</v>
      </c>
      <c r="H71" s="194">
        <f>'7|Total Rev Current'!H425</f>
        <v>204.64379324739105</v>
      </c>
      <c r="I71" s="194"/>
      <c r="J71" s="194">
        <f>'7|Total Rev Current'!J425</f>
        <v>0</v>
      </c>
      <c r="K71" s="238"/>
      <c r="L71" s="194">
        <f t="shared" si="78"/>
        <v>7.05</v>
      </c>
      <c r="M71" s="238"/>
      <c r="N71" s="195">
        <f t="shared" si="79"/>
        <v>128.92558974585637</v>
      </c>
      <c r="O71" s="196">
        <f t="shared" si="80"/>
        <v>0</v>
      </c>
      <c r="P71" s="197"/>
      <c r="Q71" s="196">
        <f t="shared" si="81"/>
        <v>0</v>
      </c>
      <c r="R71" s="197"/>
      <c r="S71" s="196">
        <f t="shared" si="82"/>
        <v>128.92558974585637</v>
      </c>
      <c r="T71" s="238"/>
      <c r="U71" s="196">
        <f t="shared" si="83"/>
        <v>128.92558974585637</v>
      </c>
      <c r="V71" s="238"/>
      <c r="W71" s="238"/>
      <c r="X71" s="238"/>
      <c r="Y71" s="238"/>
      <c r="Z71" s="198">
        <f>'7|Total Rev Current'!Z425</f>
        <v>0</v>
      </c>
      <c r="AA71" s="199">
        <f t="shared" si="84"/>
        <v>128.92558974585637</v>
      </c>
      <c r="AB71" s="200">
        <v>6.3</v>
      </c>
      <c r="AC71" s="201">
        <f t="shared" si="85"/>
        <v>128.92558974585637</v>
      </c>
      <c r="AE71" s="166"/>
    </row>
    <row r="72" spans="1:31" ht="14.25" customHeight="1">
      <c r="A72" s="188"/>
      <c r="B72" s="236" t="s">
        <v>592</v>
      </c>
      <c r="C72" s="190">
        <f>'7|Total Rev Current'!C426</f>
        <v>0</v>
      </c>
      <c r="D72" s="203">
        <v>7</v>
      </c>
      <c r="E72" s="237">
        <v>0</v>
      </c>
      <c r="F72" s="237"/>
      <c r="G72" s="237">
        <v>1406</v>
      </c>
      <c r="H72" s="194">
        <f>'7|Total Rev Current'!H426</f>
        <v>3.4824837821883379</v>
      </c>
      <c r="I72" s="194"/>
      <c r="J72" s="194">
        <f>'7|Total Rev Current'!J426</f>
        <v>0</v>
      </c>
      <c r="K72" s="238"/>
      <c r="L72" s="194">
        <f t="shared" si="78"/>
        <v>7.75</v>
      </c>
      <c r="M72" s="238"/>
      <c r="N72" s="195">
        <f t="shared" si="79"/>
        <v>2.4377386475318366</v>
      </c>
      <c r="O72" s="196">
        <f t="shared" si="80"/>
        <v>0</v>
      </c>
      <c r="P72" s="197"/>
      <c r="Q72" s="196">
        <f t="shared" si="81"/>
        <v>0</v>
      </c>
      <c r="R72" s="197"/>
      <c r="S72" s="196">
        <f t="shared" si="82"/>
        <v>2.4377386475318366</v>
      </c>
      <c r="T72" s="238"/>
      <c r="U72" s="196">
        <f t="shared" si="83"/>
        <v>2.4377386475318366</v>
      </c>
      <c r="V72" s="238"/>
      <c r="W72" s="238"/>
      <c r="X72" s="238"/>
      <c r="Y72" s="238"/>
      <c r="Z72" s="198">
        <f>'7|Total Rev Current'!Z426</f>
        <v>0</v>
      </c>
      <c r="AA72" s="199">
        <f t="shared" si="84"/>
        <v>2.4377386475318366</v>
      </c>
      <c r="AB72" s="200">
        <v>7</v>
      </c>
      <c r="AC72" s="201">
        <f t="shared" si="85"/>
        <v>2.4377386475318366</v>
      </c>
      <c r="AE72" s="166"/>
    </row>
    <row r="73" spans="1:31" ht="21">
      <c r="A73" s="188"/>
      <c r="B73" s="215" t="s">
        <v>754</v>
      </c>
      <c r="C73" s="190">
        <f>'7|Total Rev Current'!C427</f>
        <v>127</v>
      </c>
      <c r="D73" s="217">
        <v>7.65</v>
      </c>
      <c r="E73" s="207">
        <v>5700</v>
      </c>
      <c r="F73" s="217"/>
      <c r="G73" s="222">
        <v>1406</v>
      </c>
      <c r="H73" s="194">
        <f>'7|Total Rev Current'!H427</f>
        <v>17.210951793933049</v>
      </c>
      <c r="I73" s="194"/>
      <c r="J73" s="194">
        <f>'7|Total Rev Current'!J427</f>
        <v>30.566180000000003</v>
      </c>
      <c r="K73" s="217"/>
      <c r="L73" s="194">
        <f t="shared" si="78"/>
        <v>8.4</v>
      </c>
      <c r="M73" s="217"/>
      <c r="N73" s="195">
        <f t="shared" si="79"/>
        <v>13.166378122358783</v>
      </c>
      <c r="O73" s="196">
        <f t="shared" si="80"/>
        <v>17.422722600000004</v>
      </c>
      <c r="P73" s="197"/>
      <c r="Q73" s="196">
        <f t="shared" si="81"/>
        <v>0.2142744</v>
      </c>
      <c r="R73" s="197"/>
      <c r="S73" s="196">
        <f t="shared" si="82"/>
        <v>30.803375122358787</v>
      </c>
      <c r="T73" s="217"/>
      <c r="U73" s="196">
        <f t="shared" si="83"/>
        <v>30.803375122358787</v>
      </c>
      <c r="V73" s="217"/>
      <c r="W73" s="217"/>
      <c r="X73" s="217"/>
      <c r="Y73" s="217"/>
      <c r="Z73" s="198">
        <f>'7|Total Rev Current'!Z427</f>
        <v>0.271545686393314</v>
      </c>
      <c r="AA73" s="199">
        <f t="shared" si="84"/>
        <v>31.0749208087521</v>
      </c>
      <c r="AB73" s="200">
        <v>7.65</v>
      </c>
      <c r="AC73" s="201">
        <f t="shared" si="85"/>
        <v>31.0749208087521</v>
      </c>
      <c r="AE73" s="166"/>
    </row>
    <row r="74" spans="1:31">
      <c r="A74" s="188"/>
      <c r="B74" s="215" t="s">
        <v>755</v>
      </c>
      <c r="C74" s="190">
        <f>'7|Total Rev Current'!C428</f>
        <v>0</v>
      </c>
      <c r="D74" s="217">
        <v>5.8</v>
      </c>
      <c r="E74" s="207">
        <v>5700</v>
      </c>
      <c r="F74" s="217"/>
      <c r="G74" s="222">
        <v>1406</v>
      </c>
      <c r="H74" s="194">
        <f>'7|Total Rev Current'!H428</f>
        <v>0</v>
      </c>
      <c r="I74" s="194"/>
      <c r="J74" s="194">
        <f>'7|Total Rev Current'!J428</f>
        <v>0</v>
      </c>
      <c r="K74" s="217"/>
      <c r="L74" s="194">
        <f t="shared" si="78"/>
        <v>6.55</v>
      </c>
      <c r="M74" s="217"/>
      <c r="N74" s="195">
        <f t="shared" si="79"/>
        <v>0</v>
      </c>
      <c r="O74" s="196">
        <f t="shared" si="80"/>
        <v>0</v>
      </c>
      <c r="P74" s="197"/>
      <c r="Q74" s="196">
        <f t="shared" si="81"/>
        <v>0</v>
      </c>
      <c r="R74" s="197"/>
      <c r="S74" s="196">
        <f t="shared" si="82"/>
        <v>0</v>
      </c>
      <c r="T74" s="217"/>
      <c r="U74" s="196">
        <f t="shared" si="83"/>
        <v>0</v>
      </c>
      <c r="V74" s="217"/>
      <c r="W74" s="217"/>
      <c r="X74" s="217"/>
      <c r="Y74" s="217"/>
      <c r="Z74" s="198">
        <f>'7|Total Rev Current'!Z428</f>
        <v>0</v>
      </c>
      <c r="AA74" s="199">
        <f t="shared" si="84"/>
        <v>0</v>
      </c>
      <c r="AB74" s="200">
        <v>5.8</v>
      </c>
      <c r="AC74" s="201">
        <f t="shared" si="85"/>
        <v>0</v>
      </c>
      <c r="AE74" s="166"/>
    </row>
    <row r="75" spans="1:31" s="92" customFormat="1" ht="15" customHeight="1">
      <c r="A75" s="188"/>
      <c r="B75" s="239" t="s">
        <v>751</v>
      </c>
      <c r="C75" s="240">
        <f>SUM(C76:C79)</f>
        <v>285</v>
      </c>
      <c r="D75" s="240"/>
      <c r="E75" s="240"/>
      <c r="F75" s="240"/>
      <c r="G75" s="240"/>
      <c r="H75" s="240">
        <f>SUM(H76:H79)</f>
        <v>161.85106326617091</v>
      </c>
      <c r="I75" s="240">
        <f t="shared" ref="I75:AC75" si="86">SUM(I76:I79)</f>
        <v>0</v>
      </c>
      <c r="J75" s="240">
        <f t="shared" si="86"/>
        <v>71.052999999999983</v>
      </c>
      <c r="K75" s="240">
        <f t="shared" si="86"/>
        <v>0</v>
      </c>
      <c r="L75" s="240"/>
      <c r="M75" s="240"/>
      <c r="N75" s="240">
        <f t="shared" si="86"/>
        <v>123.76633501775171</v>
      </c>
      <c r="O75" s="240">
        <f t="shared" si="86"/>
        <v>38.012837999999995</v>
      </c>
      <c r="P75" s="240">
        <f t="shared" si="86"/>
        <v>0</v>
      </c>
      <c r="Q75" s="240">
        <f t="shared" si="86"/>
        <v>0.48085200000000006</v>
      </c>
      <c r="R75" s="240">
        <f t="shared" si="86"/>
        <v>0</v>
      </c>
      <c r="S75" s="240">
        <f t="shared" si="86"/>
        <v>162.2600250177517</v>
      </c>
      <c r="T75" s="240">
        <f t="shared" si="86"/>
        <v>0</v>
      </c>
      <c r="U75" s="240">
        <f t="shared" si="86"/>
        <v>162.2600250177517</v>
      </c>
      <c r="V75" s="240">
        <f t="shared" si="86"/>
        <v>0</v>
      </c>
      <c r="W75" s="240">
        <f t="shared" si="86"/>
        <v>0</v>
      </c>
      <c r="X75" s="240">
        <f t="shared" si="86"/>
        <v>0</v>
      </c>
      <c r="Y75" s="240">
        <f t="shared" si="86"/>
        <v>0</v>
      </c>
      <c r="Z75" s="240">
        <f t="shared" si="86"/>
        <v>2.5536041582309625</v>
      </c>
      <c r="AA75" s="240">
        <f t="shared" si="86"/>
        <v>164.8136291759827</v>
      </c>
      <c r="AB75" s="240"/>
      <c r="AC75" s="241">
        <f t="shared" si="86"/>
        <v>164.8136291759827</v>
      </c>
      <c r="AE75" s="166"/>
    </row>
    <row r="76" spans="1:31" ht="21">
      <c r="A76" s="188"/>
      <c r="B76" s="245" t="s">
        <v>756</v>
      </c>
      <c r="C76" s="190">
        <f>'7|Total Rev Current'!C430</f>
        <v>156</v>
      </c>
      <c r="D76" s="203">
        <v>7.65</v>
      </c>
      <c r="E76" s="237">
        <v>5700</v>
      </c>
      <c r="F76" s="237"/>
      <c r="G76" s="237">
        <v>1406</v>
      </c>
      <c r="H76" s="194">
        <f>'7|Total Rev Current'!H430</f>
        <v>123.82852389169005</v>
      </c>
      <c r="I76" s="194"/>
      <c r="J76" s="194">
        <f>'7|Total Rev Current'!J430</f>
        <v>39.331999999999994</v>
      </c>
      <c r="K76" s="191"/>
      <c r="L76" s="194">
        <f t="shared" ref="L76:L79" si="87">D76+0.75</f>
        <v>8.4</v>
      </c>
      <c r="M76" s="191"/>
      <c r="N76" s="195">
        <f t="shared" ref="N76:N79" si="88">D76*H76/10</f>
        <v>94.728820777142886</v>
      </c>
      <c r="O76" s="196">
        <f t="shared" ref="O76:O79" si="89">IF(E76&gt;0,(J76*10^3*E76/10^7)+(K76*0.7457*E76/10^7),(K76*F76/10^7)+(J76*(10^3)*(1/0.7457)*F76/10^7))</f>
        <v>22.419239999999999</v>
      </c>
      <c r="P76" s="197"/>
      <c r="Q76" s="196">
        <f t="shared" ref="Q76:Q79" si="90">G76*C76*12/10^7</f>
        <v>0.26320320000000003</v>
      </c>
      <c r="R76" s="197"/>
      <c r="S76" s="196">
        <f t="shared" si="82"/>
        <v>117.41126397714289</v>
      </c>
      <c r="T76" s="191"/>
      <c r="U76" s="196">
        <f t="shared" ref="U76:U79" si="91">S76-T76</f>
        <v>117.41126397714289</v>
      </c>
      <c r="V76" s="191"/>
      <c r="W76" s="191"/>
      <c r="X76" s="191"/>
      <c r="Y76" s="191"/>
      <c r="Z76" s="198">
        <f>'7|Total Rev Current'!Z430</f>
        <v>1.953703776399681</v>
      </c>
      <c r="AA76" s="199">
        <f t="shared" ref="AA76:AA79" si="92">U76+Z76</f>
        <v>119.36496775354257</v>
      </c>
      <c r="AB76" s="200">
        <v>7.65</v>
      </c>
      <c r="AC76" s="201">
        <f t="shared" ref="AC76:AC79" si="93">(H76*AB76/10)+O76+Q76+P76+R76+Z76</f>
        <v>119.36496775354257</v>
      </c>
      <c r="AE76" s="166"/>
    </row>
    <row r="77" spans="1:31" ht="14.25" customHeight="1">
      <c r="A77" s="188"/>
      <c r="B77" s="245" t="s">
        <v>757</v>
      </c>
      <c r="C77" s="190">
        <f>'7|Total Rev Current'!C431</f>
        <v>113</v>
      </c>
      <c r="D77" s="203">
        <v>7.95</v>
      </c>
      <c r="E77" s="237">
        <v>5700</v>
      </c>
      <c r="F77" s="237"/>
      <c r="G77" s="237">
        <v>1406</v>
      </c>
      <c r="H77" s="194">
        <f>'7|Total Rev Current'!H431</f>
        <v>33.987269672435268</v>
      </c>
      <c r="I77" s="194"/>
      <c r="J77" s="194">
        <f>'7|Total Rev Current'!J431</f>
        <v>27.062999999999995</v>
      </c>
      <c r="K77" s="191"/>
      <c r="L77" s="194">
        <f t="shared" si="87"/>
        <v>8.6999999999999993</v>
      </c>
      <c r="M77" s="191"/>
      <c r="N77" s="195">
        <f t="shared" si="88"/>
        <v>27.019879389586038</v>
      </c>
      <c r="O77" s="196">
        <f t="shared" si="89"/>
        <v>15.425909999999996</v>
      </c>
      <c r="P77" s="197"/>
      <c r="Q77" s="196">
        <f t="shared" si="90"/>
        <v>0.19065360000000001</v>
      </c>
      <c r="R77" s="197"/>
      <c r="S77" s="196">
        <f t="shared" si="82"/>
        <v>42.63644298958603</v>
      </c>
      <c r="T77" s="191"/>
      <c r="U77" s="196">
        <f t="shared" si="91"/>
        <v>42.63644298958603</v>
      </c>
      <c r="V77" s="191"/>
      <c r="W77" s="191"/>
      <c r="X77" s="191"/>
      <c r="Y77" s="191"/>
      <c r="Z77" s="198">
        <f>'7|Total Rev Current'!Z431</f>
        <v>0.53623393885104054</v>
      </c>
      <c r="AA77" s="199">
        <f t="shared" si="92"/>
        <v>43.17267692843707</v>
      </c>
      <c r="AB77" s="200">
        <v>7.95</v>
      </c>
      <c r="AC77" s="201">
        <f t="shared" si="93"/>
        <v>43.17267692843707</v>
      </c>
      <c r="AE77" s="166"/>
    </row>
    <row r="78" spans="1:31">
      <c r="A78" s="188"/>
      <c r="B78" s="245" t="s">
        <v>758</v>
      </c>
      <c r="C78" s="190">
        <f>'7|Total Rev Current'!C432</f>
        <v>16</v>
      </c>
      <c r="D78" s="203">
        <v>5</v>
      </c>
      <c r="E78" s="237">
        <v>360</v>
      </c>
      <c r="F78" s="237"/>
      <c r="G78" s="237">
        <v>1406</v>
      </c>
      <c r="H78" s="194">
        <f>'7|Total Rev Current'!H432</f>
        <v>4.0352697020455768</v>
      </c>
      <c r="I78" s="194"/>
      <c r="J78" s="194">
        <f>'7|Total Rev Current'!J432</f>
        <v>4.6579999999999995</v>
      </c>
      <c r="K78" s="191"/>
      <c r="L78" s="194">
        <f t="shared" si="87"/>
        <v>5.75</v>
      </c>
      <c r="M78" s="191"/>
      <c r="N78" s="195">
        <f t="shared" si="88"/>
        <v>2.0176348510227884</v>
      </c>
      <c r="O78" s="196">
        <f t="shared" si="89"/>
        <v>0.16768799999999998</v>
      </c>
      <c r="P78" s="197"/>
      <c r="Q78" s="196">
        <f t="shared" si="90"/>
        <v>2.69952E-2</v>
      </c>
      <c r="R78" s="197"/>
      <c r="S78" s="196">
        <f t="shared" si="82"/>
        <v>2.2123180510227884</v>
      </c>
      <c r="T78" s="191"/>
      <c r="U78" s="196">
        <f t="shared" si="91"/>
        <v>2.2123180510227884</v>
      </c>
      <c r="V78" s="191"/>
      <c r="W78" s="191"/>
      <c r="X78" s="191"/>
      <c r="Y78" s="191"/>
      <c r="Z78" s="198">
        <f>'7|Total Rev Current'!Z432</f>
        <v>6.3666442980240712E-2</v>
      </c>
      <c r="AA78" s="199">
        <f t="shared" si="92"/>
        <v>2.2759844940030289</v>
      </c>
      <c r="AB78" s="200">
        <v>5</v>
      </c>
      <c r="AC78" s="201">
        <f t="shared" si="93"/>
        <v>2.2759844940030289</v>
      </c>
      <c r="AE78" s="166"/>
    </row>
    <row r="79" spans="1:31">
      <c r="A79" s="188"/>
      <c r="B79" s="245" t="s">
        <v>759</v>
      </c>
      <c r="C79" s="190">
        <f>'7|Total Rev Current'!C433</f>
        <v>0</v>
      </c>
      <c r="D79" s="203">
        <v>6.5</v>
      </c>
      <c r="E79" s="237">
        <v>4200</v>
      </c>
      <c r="F79" s="237"/>
      <c r="G79" s="237">
        <v>1406</v>
      </c>
      <c r="H79" s="194">
        <f>'7|Total Rev Current'!H433</f>
        <v>0</v>
      </c>
      <c r="I79" s="194"/>
      <c r="J79" s="194">
        <f>'7|Total Rev Current'!J433</f>
        <v>0</v>
      </c>
      <c r="K79" s="191"/>
      <c r="L79" s="194">
        <f t="shared" si="87"/>
        <v>7.25</v>
      </c>
      <c r="M79" s="191"/>
      <c r="N79" s="195">
        <f t="shared" si="88"/>
        <v>0</v>
      </c>
      <c r="O79" s="196">
        <f t="shared" si="89"/>
        <v>0</v>
      </c>
      <c r="P79" s="197"/>
      <c r="Q79" s="196">
        <f t="shared" si="90"/>
        <v>0</v>
      </c>
      <c r="R79" s="197"/>
      <c r="S79" s="196">
        <f t="shared" si="82"/>
        <v>0</v>
      </c>
      <c r="T79" s="191"/>
      <c r="U79" s="196">
        <f t="shared" si="91"/>
        <v>0</v>
      </c>
      <c r="V79" s="191"/>
      <c r="W79" s="191"/>
      <c r="X79" s="191"/>
      <c r="Y79" s="191"/>
      <c r="Z79" s="198">
        <f>'7|Total Rev Current'!Z433</f>
        <v>0</v>
      </c>
      <c r="AA79" s="199">
        <f t="shared" si="92"/>
        <v>0</v>
      </c>
      <c r="AB79" s="200">
        <v>6.5</v>
      </c>
      <c r="AC79" s="201">
        <f t="shared" si="93"/>
        <v>0</v>
      </c>
      <c r="AE79" s="166"/>
    </row>
    <row r="80" spans="1:31">
      <c r="A80" s="188"/>
      <c r="B80" s="239" t="s">
        <v>752</v>
      </c>
      <c r="C80" s="240">
        <f>C81+C82</f>
        <v>168</v>
      </c>
      <c r="D80" s="240"/>
      <c r="E80" s="240"/>
      <c r="F80" s="240"/>
      <c r="G80" s="240"/>
      <c r="H80" s="240">
        <f>H81+H82</f>
        <v>48.960584568516524</v>
      </c>
      <c r="I80" s="240">
        <f t="shared" ref="I80:AC80" si="94">I81+I82</f>
        <v>0</v>
      </c>
      <c r="J80" s="240">
        <f t="shared" si="94"/>
        <v>49.230030000000006</v>
      </c>
      <c r="K80" s="240">
        <f t="shared" si="94"/>
        <v>0</v>
      </c>
      <c r="L80" s="240"/>
      <c r="M80" s="240"/>
      <c r="N80" s="240">
        <f t="shared" si="94"/>
        <v>25.915279275558852</v>
      </c>
      <c r="O80" s="240">
        <f t="shared" si="94"/>
        <v>0.43522667999999998</v>
      </c>
      <c r="P80" s="240">
        <f t="shared" si="94"/>
        <v>0</v>
      </c>
      <c r="Q80" s="240">
        <f t="shared" si="94"/>
        <v>0.28344960000000002</v>
      </c>
      <c r="R80" s="240">
        <f t="shared" si="94"/>
        <v>0</v>
      </c>
      <c r="S80" s="240">
        <f t="shared" si="94"/>
        <v>26.633955555558856</v>
      </c>
      <c r="T80" s="240">
        <f t="shared" si="94"/>
        <v>0</v>
      </c>
      <c r="U80" s="240">
        <f t="shared" si="94"/>
        <v>26.633955555558856</v>
      </c>
      <c r="V80" s="240">
        <f t="shared" si="94"/>
        <v>0</v>
      </c>
      <c r="W80" s="240">
        <f t="shared" si="94"/>
        <v>0</v>
      </c>
      <c r="X80" s="240">
        <f t="shared" si="94"/>
        <v>0</v>
      </c>
      <c r="Y80" s="240"/>
      <c r="Z80" s="240">
        <f t="shared" si="94"/>
        <v>0.77247532280941533</v>
      </c>
      <c r="AA80" s="240">
        <f t="shared" si="94"/>
        <v>27.406430878368269</v>
      </c>
      <c r="AB80" s="240"/>
      <c r="AC80" s="241">
        <f t="shared" si="94"/>
        <v>27.406430878368269</v>
      </c>
      <c r="AE80" s="166"/>
    </row>
    <row r="81" spans="1:31" s="92" customFormat="1" ht="21">
      <c r="A81" s="188"/>
      <c r="B81" s="236" t="s">
        <v>760</v>
      </c>
      <c r="C81" s="190">
        <f>'7|Total Rev Current'!C435</f>
        <v>47</v>
      </c>
      <c r="D81" s="203">
        <v>3.85</v>
      </c>
      <c r="E81" s="237">
        <v>360</v>
      </c>
      <c r="F81" s="237"/>
      <c r="G81" s="237">
        <v>1406</v>
      </c>
      <c r="H81" s="194">
        <f>'7|Total Rev Current'!H435</f>
        <v>27.550117245243811</v>
      </c>
      <c r="I81" s="194"/>
      <c r="J81" s="194">
        <f>'7|Total Rev Current'!J435</f>
        <v>12.08963</v>
      </c>
      <c r="K81" s="238"/>
      <c r="L81" s="194">
        <f t="shared" ref="L81:L82" si="95">D81+0.75</f>
        <v>4.5999999999999996</v>
      </c>
      <c r="M81" s="238"/>
      <c r="N81" s="195">
        <f t="shared" ref="N81:N83" si="96">D81*H81/10</f>
        <v>10.606795139418868</v>
      </c>
      <c r="O81" s="196">
        <f t="shared" ref="O81:O83" si="97">IF(E81&gt;0,(J81*10^3*E81/10^7)+(K81*0.7457*E81/10^7),(K81*F81/10^7)+(J81*(10^3)*(1/0.7457)*F81/10^7))</f>
        <v>0.43522667999999998</v>
      </c>
      <c r="P81" s="197"/>
      <c r="Q81" s="196">
        <f t="shared" ref="Q81:Q82" si="98">G81*C81*12/10^7</f>
        <v>7.9298400000000005E-2</v>
      </c>
      <c r="R81" s="197"/>
      <c r="S81" s="196">
        <f t="shared" si="82"/>
        <v>11.121320219418868</v>
      </c>
      <c r="T81" s="238"/>
      <c r="U81" s="196">
        <f t="shared" ref="U81:U82" si="99">S81-T81</f>
        <v>11.121320219418868</v>
      </c>
      <c r="V81" s="238"/>
      <c r="W81" s="238"/>
      <c r="X81" s="238"/>
      <c r="Y81" s="238"/>
      <c r="Z81" s="198">
        <f>'7|Total Rev Current'!Z435</f>
        <v>0.43467180590286364</v>
      </c>
      <c r="AA81" s="199">
        <f t="shared" ref="AA81:AA82" si="100">U81+Z81</f>
        <v>11.555992025321732</v>
      </c>
      <c r="AB81" s="200">
        <v>3.85</v>
      </c>
      <c r="AC81" s="201">
        <f t="shared" ref="AC81:AC82" si="101">(H81*AB81/10)+O81+Q81+P81+R81+Z81</f>
        <v>11.555992025321732</v>
      </c>
      <c r="AE81" s="166"/>
    </row>
    <row r="82" spans="1:31" s="92" customFormat="1" ht="15" customHeight="1">
      <c r="A82" s="188"/>
      <c r="B82" s="236" t="s">
        <v>761</v>
      </c>
      <c r="C82" s="190">
        <f>'7|Total Rev Current'!C436</f>
        <v>121</v>
      </c>
      <c r="D82" s="203">
        <v>7.15</v>
      </c>
      <c r="E82" s="237">
        <v>0</v>
      </c>
      <c r="F82" s="237"/>
      <c r="G82" s="237">
        <v>1406</v>
      </c>
      <c r="H82" s="194">
        <f>'7|Total Rev Current'!H436</f>
        <v>21.410467323272709</v>
      </c>
      <c r="I82" s="194"/>
      <c r="J82" s="194">
        <f>'7|Total Rev Current'!J436</f>
        <v>37.140400000000007</v>
      </c>
      <c r="K82" s="238">
        <f>SUM(K83:K88)</f>
        <v>0</v>
      </c>
      <c r="L82" s="194">
        <f t="shared" si="95"/>
        <v>7.9</v>
      </c>
      <c r="M82" s="238"/>
      <c r="N82" s="195">
        <f t="shared" si="96"/>
        <v>15.308484136139986</v>
      </c>
      <c r="O82" s="196">
        <f t="shared" si="97"/>
        <v>0</v>
      </c>
      <c r="P82" s="197"/>
      <c r="Q82" s="196">
        <f t="shared" si="98"/>
        <v>0.2041512</v>
      </c>
      <c r="R82" s="197"/>
      <c r="S82" s="196">
        <f t="shared" si="82"/>
        <v>15.512635336139986</v>
      </c>
      <c r="T82" s="238"/>
      <c r="U82" s="196">
        <f t="shared" si="99"/>
        <v>15.512635336139986</v>
      </c>
      <c r="V82" s="238"/>
      <c r="W82" s="238"/>
      <c r="X82" s="238"/>
      <c r="Y82" s="238"/>
      <c r="Z82" s="198">
        <f>'7|Total Rev Current'!Z436</f>
        <v>0.33780351690655169</v>
      </c>
      <c r="AA82" s="199">
        <f t="shared" si="100"/>
        <v>15.850438853046539</v>
      </c>
      <c r="AB82" s="200">
        <v>7.15</v>
      </c>
      <c r="AC82" s="201">
        <f t="shared" si="101"/>
        <v>15.850438853046539</v>
      </c>
      <c r="AE82" s="166"/>
    </row>
    <row r="83" spans="1:31" hidden="1">
      <c r="A83" s="188"/>
      <c r="B83" s="246"/>
      <c r="C83" s="237"/>
      <c r="D83" s="237"/>
      <c r="E83" s="237"/>
      <c r="F83" s="237"/>
      <c r="G83" s="237"/>
      <c r="H83" s="194"/>
      <c r="I83" s="203"/>
      <c r="J83" s="203"/>
      <c r="K83" s="203"/>
      <c r="L83" s="203"/>
      <c r="M83" s="203"/>
      <c r="N83" s="195">
        <f t="shared" si="96"/>
        <v>0</v>
      </c>
      <c r="O83" s="196">
        <f t="shared" si="97"/>
        <v>0</v>
      </c>
      <c r="P83" s="197"/>
      <c r="Q83" s="196">
        <f t="shared" ref="Q83" si="102">G83*C83*4/10^7</f>
        <v>0</v>
      </c>
      <c r="R83" s="197"/>
      <c r="S83" s="196"/>
      <c r="T83" s="203"/>
      <c r="U83" s="203"/>
      <c r="V83" s="203"/>
      <c r="W83" s="203"/>
      <c r="X83" s="203"/>
      <c r="Y83" s="203"/>
      <c r="Z83" s="203"/>
      <c r="AA83" s="203"/>
      <c r="AB83" s="203"/>
      <c r="AC83" s="247"/>
      <c r="AE83" s="166"/>
    </row>
    <row r="84" spans="1:31" s="92" customFormat="1" hidden="1">
      <c r="A84" s="188"/>
      <c r="B84" s="140"/>
      <c r="C84" s="199"/>
      <c r="D84" s="199"/>
      <c r="E84" s="199"/>
      <c r="F84" s="199"/>
      <c r="G84" s="248"/>
      <c r="H84" s="194"/>
      <c r="I84" s="199"/>
      <c r="J84" s="199"/>
      <c r="K84" s="199"/>
      <c r="L84" s="199"/>
      <c r="M84" s="199"/>
      <c r="N84" s="195"/>
      <c r="O84" s="196"/>
      <c r="P84" s="199"/>
      <c r="Q84" s="199"/>
      <c r="R84" s="199"/>
      <c r="S84" s="199"/>
      <c r="T84" s="199"/>
      <c r="U84" s="199"/>
      <c r="V84" s="199"/>
      <c r="W84" s="199"/>
      <c r="X84" s="199"/>
      <c r="Y84" s="199"/>
      <c r="Z84" s="199"/>
      <c r="AA84" s="199"/>
      <c r="AB84" s="199"/>
      <c r="AC84" s="249"/>
      <c r="AE84" s="166"/>
    </row>
    <row r="85" spans="1:31">
      <c r="A85" s="188"/>
      <c r="B85" s="232" t="s">
        <v>721</v>
      </c>
      <c r="C85" s="233">
        <f>C86+C87+C94+C107+C112</f>
        <v>374</v>
      </c>
      <c r="D85" s="233"/>
      <c r="E85" s="233"/>
      <c r="F85" s="233"/>
      <c r="G85" s="234"/>
      <c r="H85" s="233">
        <f t="shared" ref="H85:AC85" si="103">H86+H87+H94+H107+H112</f>
        <v>3049.8880526592584</v>
      </c>
      <c r="I85" s="233">
        <f t="shared" si="103"/>
        <v>0</v>
      </c>
      <c r="J85" s="233">
        <f t="shared" si="103"/>
        <v>847.45258000000001</v>
      </c>
      <c r="K85" s="233">
        <f t="shared" si="103"/>
        <v>0</v>
      </c>
      <c r="L85" s="233"/>
      <c r="M85" s="233">
        <f t="shared" si="103"/>
        <v>7.7972797500000004</v>
      </c>
      <c r="N85" s="233">
        <f t="shared" si="103"/>
        <v>1846.9052796030605</v>
      </c>
      <c r="O85" s="233">
        <f t="shared" si="103"/>
        <v>424.63647000000003</v>
      </c>
      <c r="P85" s="233">
        <f t="shared" si="103"/>
        <v>0</v>
      </c>
      <c r="Q85" s="233">
        <f t="shared" si="103"/>
        <v>1.2624743999999999</v>
      </c>
      <c r="R85" s="233">
        <f t="shared" si="103"/>
        <v>0</v>
      </c>
      <c r="S85" s="233">
        <f t="shared" si="103"/>
        <v>2272.8042240030609</v>
      </c>
      <c r="T85" s="233">
        <f t="shared" si="103"/>
        <v>0</v>
      </c>
      <c r="U85" s="233">
        <f t="shared" si="103"/>
        <v>2272.8042240030609</v>
      </c>
      <c r="V85" s="233">
        <f t="shared" si="103"/>
        <v>0</v>
      </c>
      <c r="W85" s="233">
        <f t="shared" si="103"/>
        <v>0</v>
      </c>
      <c r="X85" s="233">
        <f t="shared" si="103"/>
        <v>0</v>
      </c>
      <c r="Y85" s="233">
        <f t="shared" si="103"/>
        <v>0</v>
      </c>
      <c r="Z85" s="233">
        <f t="shared" si="103"/>
        <v>48.119590049288576</v>
      </c>
      <c r="AA85" s="233">
        <f t="shared" si="103"/>
        <v>2320.9238140523494</v>
      </c>
      <c r="AB85" s="233">
        <v>7</v>
      </c>
      <c r="AC85" s="235">
        <f t="shared" si="103"/>
        <v>2314.5710133354742</v>
      </c>
      <c r="AE85" s="166"/>
    </row>
    <row r="86" spans="1:31" ht="21">
      <c r="A86" s="188"/>
      <c r="B86" s="236" t="s">
        <v>743</v>
      </c>
      <c r="C86" s="190">
        <f>'7|Total Rev Current'!C440</f>
        <v>3</v>
      </c>
      <c r="D86" s="203">
        <v>7</v>
      </c>
      <c r="E86" s="237">
        <v>900</v>
      </c>
      <c r="F86" s="237"/>
      <c r="G86" s="237">
        <v>2813</v>
      </c>
      <c r="H86" s="194">
        <f>'7|Total Rev Current'!H440</f>
        <v>12.472778192954678</v>
      </c>
      <c r="I86" s="194"/>
      <c r="J86" s="194">
        <f>'7|Total Rev Current'!J440</f>
        <v>4.1500000000000004</v>
      </c>
      <c r="K86" s="238"/>
      <c r="L86" s="194">
        <f t="shared" ref="L86" si="104">D86+0.75</f>
        <v>7.75</v>
      </c>
      <c r="M86" s="238"/>
      <c r="N86" s="195">
        <f t="shared" ref="N86" si="105">D86*H86/10</f>
        <v>8.7309447350682738</v>
      </c>
      <c r="O86" s="196">
        <f t="shared" ref="O86" si="106">IF(E86&gt;0,(J86*10^3*E86/10^7)+(K86*0.7457*E86/10^7),(K86*F86/10^7)+(J86*(10^3)*(1/0.7457)*F86/10^7))</f>
        <v>0.3735</v>
      </c>
      <c r="P86" s="197"/>
      <c r="Q86" s="196">
        <f t="shared" ref="Q86" si="107">G86*C86*12/10^7</f>
        <v>1.01268E-2</v>
      </c>
      <c r="R86" s="197"/>
      <c r="S86" s="196">
        <f t="shared" ref="S86" si="108">N86+O86+P86+Q86+R86</f>
        <v>9.1145715350682739</v>
      </c>
      <c r="T86" s="238"/>
      <c r="U86" s="196">
        <f t="shared" ref="U86" si="109">S86-T86</f>
        <v>9.1145715350682739</v>
      </c>
      <c r="V86" s="238"/>
      <c r="W86" s="238"/>
      <c r="X86" s="238"/>
      <c r="Y86" s="238"/>
      <c r="Z86" s="198">
        <f>'7|Total Rev Current'!Z440</f>
        <v>0.19678918145778246</v>
      </c>
      <c r="AA86" s="199">
        <f t="shared" ref="AA86" si="110">U86+Z86</f>
        <v>9.3113607165260568</v>
      </c>
      <c r="AB86" s="200">
        <v>7</v>
      </c>
      <c r="AC86" s="201">
        <f t="shared" ref="AC86" si="111">(H86*AB86/10)+O86+Q86+P86+R86+Z86</f>
        <v>9.3113607165260568</v>
      </c>
      <c r="AE86" s="166"/>
    </row>
    <row r="87" spans="1:31">
      <c r="A87" s="188"/>
      <c r="B87" s="239" t="s">
        <v>744</v>
      </c>
      <c r="C87" s="240">
        <f>SUM(C88:C93)</f>
        <v>96</v>
      </c>
      <c r="D87" s="240"/>
      <c r="E87" s="240"/>
      <c r="F87" s="250"/>
      <c r="G87" s="240"/>
      <c r="H87" s="240">
        <f>SUM(H88:H93)</f>
        <v>260.05020295120704</v>
      </c>
      <c r="I87" s="240">
        <f t="shared" ref="I87:AC87" si="112">SUM(I88:I93)</f>
        <v>0</v>
      </c>
      <c r="J87" s="240">
        <f t="shared" si="112"/>
        <v>122.46858000000006</v>
      </c>
      <c r="K87" s="240">
        <f t="shared" si="112"/>
        <v>0</v>
      </c>
      <c r="L87" s="240"/>
      <c r="M87" s="240">
        <f t="shared" si="112"/>
        <v>7.7972797500000004</v>
      </c>
      <c r="N87" s="240">
        <f t="shared" si="112"/>
        <v>193.77719577542598</v>
      </c>
      <c r="O87" s="240">
        <f t="shared" si="112"/>
        <v>63.462090000000039</v>
      </c>
      <c r="P87" s="240">
        <f t="shared" si="112"/>
        <v>0</v>
      </c>
      <c r="Q87" s="240">
        <f t="shared" si="112"/>
        <v>0.3240576</v>
      </c>
      <c r="R87" s="240">
        <f t="shared" si="112"/>
        <v>0</v>
      </c>
      <c r="S87" s="240">
        <f t="shared" si="112"/>
        <v>257.56334337542603</v>
      </c>
      <c r="T87" s="240">
        <f t="shared" si="112"/>
        <v>0</v>
      </c>
      <c r="U87" s="240">
        <f t="shared" si="112"/>
        <v>257.56334337542603</v>
      </c>
      <c r="V87" s="240">
        <f t="shared" si="112"/>
        <v>0</v>
      </c>
      <c r="W87" s="240">
        <f t="shared" si="112"/>
        <v>0</v>
      </c>
      <c r="X87" s="240">
        <f t="shared" si="112"/>
        <v>0</v>
      </c>
      <c r="Y87" s="240">
        <f t="shared" si="112"/>
        <v>0</v>
      </c>
      <c r="Z87" s="240">
        <f t="shared" si="112"/>
        <v>4.1029404824664297</v>
      </c>
      <c r="AA87" s="240">
        <f t="shared" si="112"/>
        <v>261.66628385789244</v>
      </c>
      <c r="AB87" s="240"/>
      <c r="AC87" s="241">
        <f t="shared" si="112"/>
        <v>255.31348314101749</v>
      </c>
      <c r="AE87" s="166"/>
    </row>
    <row r="88" spans="1:31">
      <c r="A88" s="188"/>
      <c r="B88" s="236" t="s">
        <v>745</v>
      </c>
      <c r="C88" s="190">
        <f>'7|Total Rev Current'!C442</f>
        <v>69</v>
      </c>
      <c r="D88" s="203">
        <v>6.95</v>
      </c>
      <c r="E88" s="237">
        <v>5700</v>
      </c>
      <c r="F88" s="237"/>
      <c r="G88" s="237">
        <v>2813</v>
      </c>
      <c r="H88" s="194">
        <f>'7|Total Rev Current'!H442</f>
        <v>202.47847474385347</v>
      </c>
      <c r="I88" s="194"/>
      <c r="J88" s="194">
        <f>'7|Total Rev Current'!J442</f>
        <v>111.33700000000006</v>
      </c>
      <c r="K88" s="238"/>
      <c r="L88" s="1071">
        <f>D88+0.75+0.25</f>
        <v>7.95</v>
      </c>
      <c r="M88" s="238">
        <f>'7|Total Rev Current'!M442</f>
        <v>6.2576465937500005</v>
      </c>
      <c r="N88" s="195">
        <f>(D88*H88/10)+(L88*M88)/10</f>
        <v>145.69736898900942</v>
      </c>
      <c r="O88" s="196">
        <f t="shared" ref="O88:O93" si="113">IF(E88&gt;0,(J88*10^3*E88/10^7)+(K88*0.7457*E88/10^7),(K88*F88/10^7)+(J88*(10^3)*(1/0.7457)*F88/10^7))</f>
        <v>63.462090000000039</v>
      </c>
      <c r="P88" s="197"/>
      <c r="Q88" s="196">
        <f t="shared" ref="Q88:Q93" si="114">G88*C88*12/10^7</f>
        <v>0.2329164</v>
      </c>
      <c r="R88" s="197"/>
      <c r="S88" s="196">
        <f t="shared" ref="S88:S93" si="115">N88+O88+P88+Q88+R88</f>
        <v>209.39237538900946</v>
      </c>
      <c r="T88" s="238"/>
      <c r="U88" s="196">
        <f t="shared" ref="U88:U93" si="116">S88-T88</f>
        <v>209.39237538900946</v>
      </c>
      <c r="V88" s="238"/>
      <c r="W88" s="238"/>
      <c r="X88" s="238"/>
      <c r="Y88" s="238"/>
      <c r="Z88" s="198">
        <f>'7|Total Rev Current'!Z442</f>
        <v>3.1946028936977497</v>
      </c>
      <c r="AA88" s="199">
        <f t="shared" ref="AA88:AA93" si="117">U88+Z88</f>
        <v>212.58697828270721</v>
      </c>
      <c r="AB88" s="200">
        <v>6.95</v>
      </c>
      <c r="AC88" s="201">
        <f t="shared" ref="AC88:AC93" si="118">(H88*AB88/10)+O88+Q88+P88+R88+Z88</f>
        <v>207.61214924067596</v>
      </c>
      <c r="AE88" s="166"/>
    </row>
    <row r="89" spans="1:31" s="92" customFormat="1" ht="15" customHeight="1">
      <c r="A89" s="188"/>
      <c r="B89" s="236" t="s">
        <v>697</v>
      </c>
      <c r="C89" s="190">
        <f>'7|Total Rev Current'!C443</f>
        <v>0</v>
      </c>
      <c r="D89" s="203">
        <v>7.95</v>
      </c>
      <c r="E89" s="237">
        <v>5700</v>
      </c>
      <c r="F89" s="237"/>
      <c r="G89" s="237"/>
      <c r="H89" s="194">
        <f>'7|Total Rev Current'!H443</f>
        <v>55.40351614519831</v>
      </c>
      <c r="I89" s="194"/>
      <c r="J89" s="194">
        <f>'7|Total Rev Current'!J443</f>
        <v>0</v>
      </c>
      <c r="K89" s="238">
        <f>SUM(K90:K95)</f>
        <v>0</v>
      </c>
      <c r="L89" s="1071">
        <f>D89+0.75+0.25</f>
        <v>8.9499999999999993</v>
      </c>
      <c r="M89" s="238">
        <f>'7|Total Rev Current'!M443</f>
        <v>1.5396331562499999</v>
      </c>
      <c r="N89" s="195">
        <f>(D89*H89/10)+(L89*M89)/10</f>
        <v>45.423767010276407</v>
      </c>
      <c r="O89" s="196">
        <f t="shared" si="113"/>
        <v>0</v>
      </c>
      <c r="P89" s="197"/>
      <c r="Q89" s="196">
        <f t="shared" si="114"/>
        <v>0</v>
      </c>
      <c r="R89" s="197"/>
      <c r="S89" s="196">
        <f t="shared" si="115"/>
        <v>45.423767010276407</v>
      </c>
      <c r="T89" s="238"/>
      <c r="U89" s="196">
        <f t="shared" si="116"/>
        <v>45.423767010276407</v>
      </c>
      <c r="V89" s="238"/>
      <c r="W89" s="238"/>
      <c r="X89" s="238"/>
      <c r="Y89" s="238"/>
      <c r="Z89" s="198">
        <f>'7|Total Rev Current'!Z443</f>
        <v>0.87412863625323889</v>
      </c>
      <c r="AA89" s="199">
        <f t="shared" si="117"/>
        <v>46.297895646529646</v>
      </c>
      <c r="AB89" s="200">
        <v>7.95</v>
      </c>
      <c r="AC89" s="201">
        <f t="shared" si="118"/>
        <v>44.919923971685897</v>
      </c>
      <c r="AE89" s="166"/>
    </row>
    <row r="90" spans="1:31">
      <c r="A90" s="188"/>
      <c r="B90" s="236" t="s">
        <v>746</v>
      </c>
      <c r="C90" s="190">
        <f>'7|Total Rev Current'!C444</f>
        <v>0</v>
      </c>
      <c r="D90" s="203">
        <v>12.25</v>
      </c>
      <c r="E90" s="237">
        <v>0</v>
      </c>
      <c r="F90" s="237"/>
      <c r="G90" s="237">
        <v>2813</v>
      </c>
      <c r="H90" s="194">
        <f>'7|Total Rev Current'!H444</f>
        <v>0</v>
      </c>
      <c r="I90" s="194"/>
      <c r="J90" s="194">
        <f>'7|Total Rev Current'!J444</f>
        <v>0</v>
      </c>
      <c r="K90" s="238"/>
      <c r="L90" s="194">
        <f t="shared" ref="L90:L93" si="119">D90+0.75</f>
        <v>13</v>
      </c>
      <c r="M90" s="238"/>
      <c r="N90" s="195">
        <f t="shared" ref="N90:N93" si="120">D90*H90/10</f>
        <v>0</v>
      </c>
      <c r="O90" s="196">
        <f t="shared" si="113"/>
        <v>0</v>
      </c>
      <c r="P90" s="197"/>
      <c r="Q90" s="196">
        <f t="shared" si="114"/>
        <v>0</v>
      </c>
      <c r="R90" s="197"/>
      <c r="S90" s="196">
        <f t="shared" si="115"/>
        <v>0</v>
      </c>
      <c r="T90" s="238"/>
      <c r="U90" s="196">
        <f t="shared" si="116"/>
        <v>0</v>
      </c>
      <c r="V90" s="238"/>
      <c r="W90" s="238"/>
      <c r="X90" s="238"/>
      <c r="Y90" s="238"/>
      <c r="Z90" s="198">
        <f>'7|Total Rev Current'!Z444</f>
        <v>0</v>
      </c>
      <c r="AA90" s="199">
        <f t="shared" si="117"/>
        <v>0</v>
      </c>
      <c r="AB90" s="200">
        <v>12.25</v>
      </c>
      <c r="AC90" s="201">
        <f t="shared" si="118"/>
        <v>0</v>
      </c>
      <c r="AE90" s="166"/>
    </row>
    <row r="91" spans="1:31">
      <c r="A91" s="188"/>
      <c r="B91" s="236" t="s">
        <v>747</v>
      </c>
      <c r="C91" s="190">
        <f>'7|Total Rev Current'!C445</f>
        <v>27</v>
      </c>
      <c r="D91" s="203">
        <v>12.25</v>
      </c>
      <c r="E91" s="237">
        <v>0</v>
      </c>
      <c r="F91" s="237"/>
      <c r="G91" s="237">
        <v>2813</v>
      </c>
      <c r="H91" s="194">
        <f>'7|Total Rev Current'!H445</f>
        <v>2.1682120621552379</v>
      </c>
      <c r="I91" s="194"/>
      <c r="J91" s="194">
        <f>'7|Total Rev Current'!J445</f>
        <v>11.13158</v>
      </c>
      <c r="K91" s="238"/>
      <c r="L91" s="194">
        <f t="shared" si="119"/>
        <v>13</v>
      </c>
      <c r="M91" s="238"/>
      <c r="N91" s="195">
        <f t="shared" si="120"/>
        <v>2.6560597761401663</v>
      </c>
      <c r="O91" s="196">
        <f t="shared" si="113"/>
        <v>0</v>
      </c>
      <c r="P91" s="197"/>
      <c r="Q91" s="196">
        <f t="shared" si="114"/>
        <v>9.1141200000000006E-2</v>
      </c>
      <c r="R91" s="197"/>
      <c r="S91" s="196">
        <f t="shared" si="115"/>
        <v>2.7472009761401663</v>
      </c>
      <c r="T91" s="238"/>
      <c r="U91" s="196">
        <f t="shared" si="116"/>
        <v>2.7472009761401663</v>
      </c>
      <c r="V91" s="238"/>
      <c r="W91" s="238"/>
      <c r="X91" s="238"/>
      <c r="Y91" s="238"/>
      <c r="Z91" s="198">
        <f>'7|Total Rev Current'!Z445</f>
        <v>3.420895251544142E-2</v>
      </c>
      <c r="AA91" s="199">
        <f t="shared" si="117"/>
        <v>2.7814099286556075</v>
      </c>
      <c r="AB91" s="200">
        <v>12.25</v>
      </c>
      <c r="AC91" s="201">
        <f t="shared" si="118"/>
        <v>2.7814099286556075</v>
      </c>
      <c r="AE91" s="166"/>
    </row>
    <row r="92" spans="1:31" ht="21">
      <c r="A92" s="188"/>
      <c r="B92" s="236" t="s">
        <v>748</v>
      </c>
      <c r="C92" s="190">
        <f>'7|Total Rev Current'!C446</f>
        <v>0</v>
      </c>
      <c r="D92" s="203">
        <v>6.7</v>
      </c>
      <c r="E92" s="237">
        <v>0</v>
      </c>
      <c r="F92" s="237"/>
      <c r="G92" s="237">
        <v>2813</v>
      </c>
      <c r="H92" s="194">
        <f>'7|Total Rev Current'!H446</f>
        <v>0</v>
      </c>
      <c r="I92" s="194"/>
      <c r="J92" s="194">
        <f>'7|Total Rev Current'!J446</f>
        <v>0</v>
      </c>
      <c r="K92" s="238"/>
      <c r="L92" s="194">
        <f t="shared" si="119"/>
        <v>7.45</v>
      </c>
      <c r="M92" s="238"/>
      <c r="N92" s="195">
        <f t="shared" si="120"/>
        <v>0</v>
      </c>
      <c r="O92" s="196">
        <f t="shared" si="113"/>
        <v>0</v>
      </c>
      <c r="P92" s="197"/>
      <c r="Q92" s="196">
        <f t="shared" si="114"/>
        <v>0</v>
      </c>
      <c r="R92" s="197"/>
      <c r="S92" s="196">
        <f t="shared" si="115"/>
        <v>0</v>
      </c>
      <c r="T92" s="238"/>
      <c r="U92" s="196">
        <f t="shared" si="116"/>
        <v>0</v>
      </c>
      <c r="V92" s="238"/>
      <c r="W92" s="238"/>
      <c r="X92" s="238"/>
      <c r="Y92" s="238"/>
      <c r="Z92" s="198">
        <f>'7|Total Rev Current'!Z446</f>
        <v>0</v>
      </c>
      <c r="AA92" s="199">
        <f t="shared" si="117"/>
        <v>0</v>
      </c>
      <c r="AB92" s="200">
        <v>6.7</v>
      </c>
      <c r="AC92" s="201">
        <f t="shared" si="118"/>
        <v>0</v>
      </c>
      <c r="AE92" s="166"/>
    </row>
    <row r="93" spans="1:31">
      <c r="A93" s="188"/>
      <c r="B93" s="236" t="s">
        <v>749</v>
      </c>
      <c r="C93" s="190">
        <f>'7|Total Rev Current'!C447</f>
        <v>0</v>
      </c>
      <c r="D93" s="203">
        <v>12.25</v>
      </c>
      <c r="E93" s="237">
        <v>0</v>
      </c>
      <c r="F93" s="237"/>
      <c r="G93" s="237">
        <v>2813</v>
      </c>
      <c r="H93" s="194">
        <f>'7|Total Rev Current'!H447</f>
        <v>0</v>
      </c>
      <c r="I93" s="194"/>
      <c r="J93" s="194">
        <f>'7|Total Rev Current'!J447</f>
        <v>0</v>
      </c>
      <c r="K93" s="238"/>
      <c r="L93" s="194">
        <f t="shared" si="119"/>
        <v>13</v>
      </c>
      <c r="M93" s="238"/>
      <c r="N93" s="195">
        <f t="shared" si="120"/>
        <v>0</v>
      </c>
      <c r="O93" s="196">
        <f t="shared" si="113"/>
        <v>0</v>
      </c>
      <c r="P93" s="197"/>
      <c r="Q93" s="196">
        <f t="shared" si="114"/>
        <v>0</v>
      </c>
      <c r="R93" s="197"/>
      <c r="S93" s="196">
        <f t="shared" si="115"/>
        <v>0</v>
      </c>
      <c r="T93" s="238"/>
      <c r="U93" s="196">
        <f t="shared" si="116"/>
        <v>0</v>
      </c>
      <c r="V93" s="238"/>
      <c r="W93" s="238"/>
      <c r="X93" s="238"/>
      <c r="Y93" s="238"/>
      <c r="Z93" s="198">
        <f>'7|Total Rev Current'!Z447</f>
        <v>0</v>
      </c>
      <c r="AA93" s="199">
        <f t="shared" si="117"/>
        <v>0</v>
      </c>
      <c r="AB93" s="200">
        <v>12.25</v>
      </c>
      <c r="AC93" s="201">
        <f t="shared" si="118"/>
        <v>0</v>
      </c>
      <c r="AE93" s="166"/>
    </row>
    <row r="94" spans="1:31">
      <c r="A94" s="188"/>
      <c r="B94" s="239" t="s">
        <v>750</v>
      </c>
      <c r="C94" s="240">
        <f>SUM(C96:C106)</f>
        <v>255</v>
      </c>
      <c r="D94" s="240"/>
      <c r="E94" s="240"/>
      <c r="F94" s="240"/>
      <c r="G94" s="240"/>
      <c r="H94" s="240">
        <f>SUM(H96:H106)</f>
        <v>2722.7743854654664</v>
      </c>
      <c r="I94" s="240">
        <f t="shared" ref="I94:AC94" si="121">SUM(I96:I106)</f>
        <v>0</v>
      </c>
      <c r="J94" s="240">
        <f t="shared" si="121"/>
        <v>627.85899999999992</v>
      </c>
      <c r="K94" s="240">
        <f t="shared" si="121"/>
        <v>0</v>
      </c>
      <c r="L94" s="240"/>
      <c r="M94" s="240">
        <f t="shared" ref="M94" si="122">SUM(M95:M100)</f>
        <v>0</v>
      </c>
      <c r="N94" s="240">
        <f t="shared" si="121"/>
        <v>1605.4321403370809</v>
      </c>
      <c r="O94" s="240">
        <f t="shared" si="121"/>
        <v>357.87963000000002</v>
      </c>
      <c r="P94" s="240">
        <f t="shared" si="121"/>
        <v>0</v>
      </c>
      <c r="Q94" s="240">
        <f t="shared" si="121"/>
        <v>0.86077799999999993</v>
      </c>
      <c r="R94" s="240">
        <f t="shared" si="121"/>
        <v>0</v>
      </c>
      <c r="S94" s="240">
        <f t="shared" si="121"/>
        <v>1964.172548337081</v>
      </c>
      <c r="T94" s="240">
        <f t="shared" si="121"/>
        <v>0</v>
      </c>
      <c r="U94" s="240">
        <f t="shared" si="121"/>
        <v>1964.172548337081</v>
      </c>
      <c r="V94" s="240">
        <f t="shared" si="121"/>
        <v>0</v>
      </c>
      <c r="W94" s="240">
        <f t="shared" si="121"/>
        <v>0</v>
      </c>
      <c r="X94" s="240">
        <f t="shared" si="121"/>
        <v>0</v>
      </c>
      <c r="Y94" s="240">
        <f t="shared" si="121"/>
        <v>0</v>
      </c>
      <c r="Z94" s="240">
        <f t="shared" si="121"/>
        <v>42.958556170959781</v>
      </c>
      <c r="AA94" s="240">
        <f t="shared" si="121"/>
        <v>2007.1311045080411</v>
      </c>
      <c r="AB94" s="240"/>
      <c r="AC94" s="241">
        <f t="shared" si="121"/>
        <v>2007.1311045080411</v>
      </c>
      <c r="AE94" s="166"/>
    </row>
    <row r="95" spans="1:31" ht="15" customHeight="1">
      <c r="A95" s="188"/>
      <c r="B95" s="215" t="s">
        <v>753</v>
      </c>
      <c r="C95" s="217"/>
      <c r="D95" s="217"/>
      <c r="E95" s="207"/>
      <c r="F95" s="217"/>
      <c r="G95" s="218"/>
      <c r="H95" s="217"/>
      <c r="I95" s="217"/>
      <c r="J95" s="217"/>
      <c r="K95" s="217"/>
      <c r="L95" s="217"/>
      <c r="M95" s="217"/>
      <c r="N95" s="217"/>
      <c r="O95" s="217"/>
      <c r="P95" s="217"/>
      <c r="Q95" s="217"/>
      <c r="R95" s="217"/>
      <c r="S95" s="217"/>
      <c r="T95" s="217"/>
      <c r="U95" s="217"/>
      <c r="V95" s="217"/>
      <c r="W95" s="217"/>
      <c r="X95" s="217"/>
      <c r="Y95" s="217"/>
      <c r="Z95" s="217"/>
      <c r="AA95" s="217"/>
      <c r="AB95" s="217"/>
      <c r="AC95" s="219"/>
      <c r="AE95" s="166"/>
    </row>
    <row r="96" spans="1:31" s="92" customFormat="1" ht="28.5" customHeight="1">
      <c r="A96" s="188"/>
      <c r="B96" s="236" t="s">
        <v>918</v>
      </c>
      <c r="C96" s="190">
        <f>'7|Total Rev Current'!C450</f>
        <v>0</v>
      </c>
      <c r="D96" s="203"/>
      <c r="E96" s="237"/>
      <c r="F96" s="237"/>
      <c r="G96" s="237"/>
      <c r="H96" s="194">
        <f>'7|Total Rev Current'!H450</f>
        <v>0</v>
      </c>
      <c r="I96" s="194"/>
      <c r="J96" s="194">
        <f>'7|Total Rev Current'!J450</f>
        <v>0</v>
      </c>
      <c r="K96" s="238">
        <f>SUM(K97:K100)</f>
        <v>0</v>
      </c>
      <c r="L96" s="194">
        <f t="shared" ref="L96:L106" si="123">D96+0.75</f>
        <v>0.75</v>
      </c>
      <c r="M96" s="238"/>
      <c r="N96" s="195">
        <f t="shared" ref="N96:N106" si="124">D96*H96/10</f>
        <v>0</v>
      </c>
      <c r="O96" s="196">
        <f t="shared" ref="O96:O106" si="125">IF(E96&gt;0,(J96*10^3*E96/10^7)+(K96*0.7457*E96/10^7),(K96*F96/10^7)+(J96*(10^3)*(1/0.7457)*F96/10^7))</f>
        <v>0</v>
      </c>
      <c r="P96" s="197"/>
      <c r="Q96" s="196">
        <f t="shared" ref="Q96:Q106" si="126">G96*C96*12/10^7</f>
        <v>0</v>
      </c>
      <c r="R96" s="197"/>
      <c r="S96" s="196">
        <f t="shared" ref="S96:S106" si="127">N96+O96+P96+Q96+R96</f>
        <v>0</v>
      </c>
      <c r="T96" s="238"/>
      <c r="U96" s="196">
        <f t="shared" ref="U96:U106" si="128">S96-T96</f>
        <v>0</v>
      </c>
      <c r="V96" s="238"/>
      <c r="W96" s="238"/>
      <c r="X96" s="238"/>
      <c r="Y96" s="238"/>
      <c r="Z96" s="198">
        <f>'7|Total Rev Current'!Z450</f>
        <v>0</v>
      </c>
      <c r="AA96" s="199"/>
      <c r="AB96" s="200">
        <v>0</v>
      </c>
      <c r="AC96" s="201">
        <f t="shared" ref="AC96:AC114" si="129">(H96*AB96/10)+O96+Q96+P96+R96+Z96</f>
        <v>0</v>
      </c>
      <c r="AE96" s="166"/>
    </row>
    <row r="97" spans="1:31" ht="30.75" customHeight="1">
      <c r="A97" s="188"/>
      <c r="B97" s="236" t="s">
        <v>914</v>
      </c>
      <c r="C97" s="190">
        <f>'7|Total Rev Current'!C451</f>
        <v>0</v>
      </c>
      <c r="D97" s="203">
        <v>7.35</v>
      </c>
      <c r="E97" s="237">
        <v>5700</v>
      </c>
      <c r="F97" s="237"/>
      <c r="G97" s="237">
        <v>2813</v>
      </c>
      <c r="H97" s="194">
        <f>'7|Total Rev Current'!H451</f>
        <v>451.4639882135329</v>
      </c>
      <c r="I97" s="194"/>
      <c r="J97" s="194">
        <f>'7|Total Rev Current'!J451</f>
        <v>0</v>
      </c>
      <c r="K97" s="238"/>
      <c r="L97" s="194">
        <f t="shared" si="123"/>
        <v>8.1</v>
      </c>
      <c r="M97" s="238"/>
      <c r="N97" s="195">
        <f t="shared" si="124"/>
        <v>331.82603133694664</v>
      </c>
      <c r="O97" s="196">
        <f t="shared" si="125"/>
        <v>0</v>
      </c>
      <c r="P97" s="197"/>
      <c r="Q97" s="196">
        <f t="shared" si="126"/>
        <v>0</v>
      </c>
      <c r="R97" s="197"/>
      <c r="S97" s="196">
        <f t="shared" si="127"/>
        <v>331.82603133694664</v>
      </c>
      <c r="T97" s="238"/>
      <c r="U97" s="196">
        <f t="shared" si="128"/>
        <v>331.82603133694664</v>
      </c>
      <c r="V97" s="238"/>
      <c r="W97" s="238"/>
      <c r="X97" s="238"/>
      <c r="Y97" s="238"/>
      <c r="Z97" s="198">
        <f>'7|Total Rev Current'!Z451</f>
        <v>0</v>
      </c>
      <c r="AA97" s="199">
        <f t="shared" ref="AA97:AA106" si="130">U97+Z97</f>
        <v>331.82603133694664</v>
      </c>
      <c r="AB97" s="200">
        <v>7.35</v>
      </c>
      <c r="AC97" s="201">
        <f t="shared" si="129"/>
        <v>331.82603133694664</v>
      </c>
      <c r="AE97" s="166"/>
    </row>
    <row r="98" spans="1:31" ht="23.25" customHeight="1">
      <c r="A98" s="188"/>
      <c r="B98" s="236" t="s">
        <v>915</v>
      </c>
      <c r="C98" s="190">
        <f>'7|Total Rev Current'!C452</f>
        <v>0</v>
      </c>
      <c r="D98" s="203">
        <v>5.0999999999999996</v>
      </c>
      <c r="E98" s="237">
        <v>5700</v>
      </c>
      <c r="F98" s="237"/>
      <c r="G98" s="237">
        <v>2813</v>
      </c>
      <c r="H98" s="194">
        <f>'7|Total Rev Current'!H452</f>
        <v>606.47019330587136</v>
      </c>
      <c r="I98" s="194"/>
      <c r="J98" s="194">
        <f>'7|Total Rev Current'!J452</f>
        <v>0</v>
      </c>
      <c r="K98" s="238"/>
      <c r="L98" s="194">
        <f t="shared" si="123"/>
        <v>5.85</v>
      </c>
      <c r="M98" s="238"/>
      <c r="N98" s="195">
        <f t="shared" si="124"/>
        <v>309.29979858599438</v>
      </c>
      <c r="O98" s="196">
        <f t="shared" si="125"/>
        <v>0</v>
      </c>
      <c r="P98" s="197"/>
      <c r="Q98" s="196">
        <f t="shared" si="126"/>
        <v>0</v>
      </c>
      <c r="R98" s="197"/>
      <c r="S98" s="196">
        <f t="shared" si="127"/>
        <v>309.29979858599438</v>
      </c>
      <c r="T98" s="238"/>
      <c r="U98" s="196">
        <f t="shared" si="128"/>
        <v>309.29979858599438</v>
      </c>
      <c r="V98" s="238"/>
      <c r="W98" s="238"/>
      <c r="X98" s="238"/>
      <c r="Y98" s="238"/>
      <c r="Z98" s="198">
        <f>'7|Total Rev Current'!Z452</f>
        <v>0</v>
      </c>
      <c r="AA98" s="199">
        <f t="shared" si="130"/>
        <v>309.29979858599438</v>
      </c>
      <c r="AB98" s="200">
        <v>5.0999999999999996</v>
      </c>
      <c r="AC98" s="201">
        <f t="shared" si="129"/>
        <v>309.29979858599438</v>
      </c>
      <c r="AE98" s="166"/>
    </row>
    <row r="99" spans="1:31" ht="15" customHeight="1">
      <c r="A99" s="188"/>
      <c r="B99" s="236" t="s">
        <v>916</v>
      </c>
      <c r="C99" s="190">
        <f>'7|Total Rev Current'!C453</f>
        <v>244</v>
      </c>
      <c r="D99" s="203">
        <v>5.85</v>
      </c>
      <c r="E99" s="237">
        <v>5700</v>
      </c>
      <c r="F99" s="237"/>
      <c r="G99" s="237">
        <v>2813</v>
      </c>
      <c r="H99" s="194">
        <f>'7|Total Rev Current'!H453</f>
        <v>202.59852507356865</v>
      </c>
      <c r="I99" s="194"/>
      <c r="J99" s="194">
        <f>'7|Total Rev Current'!J453</f>
        <v>595.94399999999996</v>
      </c>
      <c r="K99" s="238"/>
      <c r="L99" s="194">
        <f t="shared" si="123"/>
        <v>6.6</v>
      </c>
      <c r="M99" s="238"/>
      <c r="N99" s="195">
        <f t="shared" si="124"/>
        <v>118.52013716803765</v>
      </c>
      <c r="O99" s="196">
        <f t="shared" si="125"/>
        <v>339.68808000000001</v>
      </c>
      <c r="P99" s="197"/>
      <c r="Q99" s="196">
        <f t="shared" si="126"/>
        <v>0.8236464</v>
      </c>
      <c r="R99" s="197"/>
      <c r="S99" s="196">
        <f t="shared" si="127"/>
        <v>459.03186356803764</v>
      </c>
      <c r="T99" s="238"/>
      <c r="U99" s="196">
        <f t="shared" si="128"/>
        <v>459.03186356803764</v>
      </c>
      <c r="V99" s="238"/>
      <c r="W99" s="238"/>
      <c r="X99" s="238"/>
      <c r="Y99" s="238"/>
      <c r="Z99" s="198">
        <f>'7|Total Rev Current'!Z453</f>
        <v>39.230175975958581</v>
      </c>
      <c r="AA99" s="199">
        <f t="shared" si="130"/>
        <v>498.2620395439962</v>
      </c>
      <c r="AB99" s="200">
        <v>5.85</v>
      </c>
      <c r="AC99" s="201">
        <f t="shared" si="129"/>
        <v>498.2620395439962</v>
      </c>
      <c r="AE99" s="166"/>
    </row>
    <row r="100" spans="1:31" ht="26.25" customHeight="1">
      <c r="A100" s="188"/>
      <c r="B100" s="236" t="s">
        <v>917</v>
      </c>
      <c r="C100" s="190">
        <f>'7|Total Rev Current'!C454</f>
        <v>0</v>
      </c>
      <c r="D100" s="203"/>
      <c r="E100" s="237"/>
      <c r="F100" s="237"/>
      <c r="G100" s="237"/>
      <c r="H100" s="194">
        <f>'7|Total Rev Current'!H454</f>
        <v>0</v>
      </c>
      <c r="I100" s="194"/>
      <c r="J100" s="194">
        <f>'7|Total Rev Current'!J454</f>
        <v>0</v>
      </c>
      <c r="K100" s="238"/>
      <c r="L100" s="194">
        <f t="shared" si="123"/>
        <v>0.75</v>
      </c>
      <c r="M100" s="238"/>
      <c r="N100" s="195">
        <f t="shared" si="124"/>
        <v>0</v>
      </c>
      <c r="O100" s="196">
        <f t="shared" si="125"/>
        <v>0</v>
      </c>
      <c r="P100" s="197"/>
      <c r="Q100" s="196">
        <f t="shared" si="126"/>
        <v>0</v>
      </c>
      <c r="R100" s="197"/>
      <c r="S100" s="196">
        <f t="shared" si="127"/>
        <v>0</v>
      </c>
      <c r="T100" s="238"/>
      <c r="U100" s="196">
        <f t="shared" si="128"/>
        <v>0</v>
      </c>
      <c r="V100" s="238"/>
      <c r="W100" s="238"/>
      <c r="X100" s="238"/>
      <c r="Y100" s="238"/>
      <c r="Z100" s="198">
        <f>'7|Total Rev Current'!Z454</f>
        <v>0</v>
      </c>
      <c r="AA100" s="199">
        <f t="shared" si="130"/>
        <v>0</v>
      </c>
      <c r="AB100" s="200">
        <v>0</v>
      </c>
      <c r="AC100" s="201">
        <f t="shared" si="129"/>
        <v>0</v>
      </c>
      <c r="AE100" s="166"/>
    </row>
    <row r="101" spans="1:31" s="92" customFormat="1" ht="15" customHeight="1">
      <c r="A101" s="188"/>
      <c r="B101" s="236" t="s">
        <v>914</v>
      </c>
      <c r="C101" s="190">
        <f>'7|Total Rev Current'!C455</f>
        <v>0</v>
      </c>
      <c r="D101" s="203">
        <v>6.85</v>
      </c>
      <c r="E101" s="237">
        <v>5700</v>
      </c>
      <c r="F101" s="237"/>
      <c r="G101" s="237">
        <v>2813</v>
      </c>
      <c r="H101" s="194">
        <f>'7|Total Rev Current'!H455</f>
        <v>428.21071332962987</v>
      </c>
      <c r="I101" s="194"/>
      <c r="J101" s="194">
        <f>'7|Total Rev Current'!J455</f>
        <v>0</v>
      </c>
      <c r="K101" s="238"/>
      <c r="L101" s="194">
        <f t="shared" si="123"/>
        <v>7.6</v>
      </c>
      <c r="M101" s="238"/>
      <c r="N101" s="195">
        <f t="shared" si="124"/>
        <v>293.32433863079643</v>
      </c>
      <c r="O101" s="196">
        <f t="shared" si="125"/>
        <v>0</v>
      </c>
      <c r="P101" s="197"/>
      <c r="Q101" s="196">
        <f t="shared" si="126"/>
        <v>0</v>
      </c>
      <c r="R101" s="197"/>
      <c r="S101" s="196">
        <f t="shared" si="127"/>
        <v>293.32433863079643</v>
      </c>
      <c r="T101" s="238"/>
      <c r="U101" s="196">
        <f t="shared" si="128"/>
        <v>293.32433863079643</v>
      </c>
      <c r="V101" s="238"/>
      <c r="W101" s="238"/>
      <c r="X101" s="238"/>
      <c r="Y101" s="238"/>
      <c r="Z101" s="198">
        <f>'7|Total Rev Current'!Z455</f>
        <v>0</v>
      </c>
      <c r="AA101" s="199">
        <f t="shared" si="130"/>
        <v>293.32433863079643</v>
      </c>
      <c r="AB101" s="200">
        <v>6.85</v>
      </c>
      <c r="AC101" s="201">
        <f t="shared" si="129"/>
        <v>293.32433863079643</v>
      </c>
      <c r="AE101" s="166"/>
    </row>
    <row r="102" spans="1:31" ht="14.25" customHeight="1">
      <c r="A102" s="188"/>
      <c r="B102" s="236" t="s">
        <v>915</v>
      </c>
      <c r="C102" s="190">
        <f>'7|Total Rev Current'!C456</f>
        <v>0</v>
      </c>
      <c r="D102" s="203">
        <v>5.0999999999999996</v>
      </c>
      <c r="E102" s="237">
        <v>5700</v>
      </c>
      <c r="F102" s="237"/>
      <c r="G102" s="237">
        <v>2813</v>
      </c>
      <c r="H102" s="194">
        <f>'7|Total Rev Current'!H456</f>
        <v>565.67329296075422</v>
      </c>
      <c r="I102" s="194"/>
      <c r="J102" s="194">
        <f>'7|Total Rev Current'!J456</f>
        <v>0</v>
      </c>
      <c r="K102" s="238"/>
      <c r="L102" s="194">
        <f t="shared" si="123"/>
        <v>5.85</v>
      </c>
      <c r="M102" s="238"/>
      <c r="N102" s="195">
        <f t="shared" si="124"/>
        <v>288.49337940998464</v>
      </c>
      <c r="O102" s="196">
        <f t="shared" si="125"/>
        <v>0</v>
      </c>
      <c r="P102" s="197"/>
      <c r="Q102" s="196">
        <f t="shared" si="126"/>
        <v>0</v>
      </c>
      <c r="R102" s="197"/>
      <c r="S102" s="196">
        <f t="shared" si="127"/>
        <v>288.49337940998464</v>
      </c>
      <c r="T102" s="238"/>
      <c r="U102" s="196">
        <f t="shared" si="128"/>
        <v>288.49337940998464</v>
      </c>
      <c r="V102" s="238"/>
      <c r="W102" s="238"/>
      <c r="X102" s="238"/>
      <c r="Y102" s="238"/>
      <c r="Z102" s="198">
        <f>'7|Total Rev Current'!Z456</f>
        <v>0</v>
      </c>
      <c r="AA102" s="199">
        <f t="shared" si="130"/>
        <v>288.49337940998464</v>
      </c>
      <c r="AB102" s="200">
        <v>5.0999999999999996</v>
      </c>
      <c r="AC102" s="201">
        <f t="shared" si="129"/>
        <v>288.49337940998464</v>
      </c>
      <c r="AE102" s="166"/>
    </row>
    <row r="103" spans="1:31" ht="14.25" customHeight="1">
      <c r="A103" s="188"/>
      <c r="B103" s="236" t="s">
        <v>916</v>
      </c>
      <c r="C103" s="190">
        <f>'7|Total Rev Current'!C457</f>
        <v>0</v>
      </c>
      <c r="D103" s="203">
        <v>5.85</v>
      </c>
      <c r="E103" s="237">
        <v>5700</v>
      </c>
      <c r="F103" s="237"/>
      <c r="G103" s="237">
        <v>2813</v>
      </c>
      <c r="H103" s="194">
        <f>'7|Total Rev Current'!H457</f>
        <v>230.91569199452081</v>
      </c>
      <c r="I103" s="194"/>
      <c r="J103" s="194">
        <f>'7|Total Rev Current'!J457</f>
        <v>0</v>
      </c>
      <c r="K103" s="238"/>
      <c r="L103" s="194">
        <f t="shared" si="123"/>
        <v>6.6</v>
      </c>
      <c r="M103" s="238"/>
      <c r="N103" s="195">
        <f t="shared" si="124"/>
        <v>135.08567981679465</v>
      </c>
      <c r="O103" s="196">
        <f t="shared" si="125"/>
        <v>0</v>
      </c>
      <c r="P103" s="197"/>
      <c r="Q103" s="196">
        <f t="shared" si="126"/>
        <v>0</v>
      </c>
      <c r="R103" s="197"/>
      <c r="S103" s="196">
        <f t="shared" si="127"/>
        <v>135.08567981679465</v>
      </c>
      <c r="T103" s="238"/>
      <c r="U103" s="196">
        <f t="shared" si="128"/>
        <v>135.08567981679465</v>
      </c>
      <c r="V103" s="238"/>
      <c r="W103" s="238"/>
      <c r="X103" s="238"/>
      <c r="Y103" s="238"/>
      <c r="Z103" s="198">
        <f>'7|Total Rev Current'!Z457</f>
        <v>0</v>
      </c>
      <c r="AA103" s="199">
        <f t="shared" si="130"/>
        <v>135.08567981679465</v>
      </c>
      <c r="AB103" s="200">
        <v>5.85</v>
      </c>
      <c r="AC103" s="201">
        <f t="shared" si="129"/>
        <v>135.08567981679465</v>
      </c>
      <c r="AE103" s="166"/>
    </row>
    <row r="104" spans="1:31">
      <c r="A104" s="188"/>
      <c r="B104" s="236" t="s">
        <v>592</v>
      </c>
      <c r="C104" s="190">
        <f>'7|Total Rev Current'!C458</f>
        <v>0</v>
      </c>
      <c r="D104" s="203">
        <v>7</v>
      </c>
      <c r="E104" s="237">
        <v>0</v>
      </c>
      <c r="F104" s="237"/>
      <c r="G104" s="237">
        <v>2813</v>
      </c>
      <c r="H104" s="194">
        <f>'7|Total Rev Current'!H458</f>
        <v>1.1319413528784841</v>
      </c>
      <c r="I104" s="194"/>
      <c r="J104" s="194">
        <f>'7|Total Rev Current'!J458</f>
        <v>0</v>
      </c>
      <c r="K104" s="238"/>
      <c r="L104" s="194">
        <f t="shared" si="123"/>
        <v>7.75</v>
      </c>
      <c r="M104" s="238"/>
      <c r="N104" s="195">
        <f t="shared" si="124"/>
        <v>0.79235894701493881</v>
      </c>
      <c r="O104" s="196">
        <f t="shared" si="125"/>
        <v>0</v>
      </c>
      <c r="P104" s="197"/>
      <c r="Q104" s="196">
        <f t="shared" si="126"/>
        <v>0</v>
      </c>
      <c r="R104" s="197"/>
      <c r="S104" s="196">
        <f t="shared" si="127"/>
        <v>0.79235894701493881</v>
      </c>
      <c r="T104" s="238"/>
      <c r="U104" s="196">
        <f t="shared" si="128"/>
        <v>0.79235894701493881</v>
      </c>
      <c r="V104" s="238"/>
      <c r="W104" s="238"/>
      <c r="X104" s="238"/>
      <c r="Y104" s="238"/>
      <c r="Z104" s="198">
        <f>'7|Total Rev Current'!Z458</f>
        <v>0</v>
      </c>
      <c r="AA104" s="199">
        <f t="shared" si="130"/>
        <v>0.79235894701493881</v>
      </c>
      <c r="AB104" s="200">
        <v>7</v>
      </c>
      <c r="AC104" s="201">
        <f t="shared" si="129"/>
        <v>0.79235894701493881</v>
      </c>
      <c r="AE104" s="166"/>
    </row>
    <row r="105" spans="1:31" s="92" customFormat="1" ht="15" customHeight="1">
      <c r="A105" s="188"/>
      <c r="B105" s="251" t="s">
        <v>754</v>
      </c>
      <c r="C105" s="190">
        <f>'7|Total Rev Current'!C459</f>
        <v>2</v>
      </c>
      <c r="D105" s="217">
        <v>6.95</v>
      </c>
      <c r="E105" s="207">
        <v>5700</v>
      </c>
      <c r="F105" s="217"/>
      <c r="G105" s="218">
        <v>2813</v>
      </c>
      <c r="H105" s="194">
        <f>'7|Total Rev Current'!H459</f>
        <v>10.403409068386383</v>
      </c>
      <c r="I105" s="194"/>
      <c r="J105" s="194">
        <f>'7|Total Rev Current'!J459</f>
        <v>4.55</v>
      </c>
      <c r="K105" s="217"/>
      <c r="L105" s="194">
        <f t="shared" si="123"/>
        <v>7.7</v>
      </c>
      <c r="M105" s="217"/>
      <c r="N105" s="195">
        <f t="shared" si="124"/>
        <v>7.2303693025285352</v>
      </c>
      <c r="O105" s="196">
        <f t="shared" si="125"/>
        <v>2.5935000000000001</v>
      </c>
      <c r="P105" s="197"/>
      <c r="Q105" s="196">
        <f t="shared" si="126"/>
        <v>6.7511999999999997E-3</v>
      </c>
      <c r="R105" s="197"/>
      <c r="S105" s="196">
        <f t="shared" si="127"/>
        <v>9.8306205025285358</v>
      </c>
      <c r="T105" s="217"/>
      <c r="U105" s="196">
        <f t="shared" si="128"/>
        <v>9.8306205025285358</v>
      </c>
      <c r="V105" s="217"/>
      <c r="W105" s="217"/>
      <c r="X105" s="217"/>
      <c r="Y105" s="217"/>
      <c r="Z105" s="198">
        <f>'7|Total Rev Current'!Z459</f>
        <v>0.16413972278402614</v>
      </c>
      <c r="AA105" s="199">
        <f t="shared" si="130"/>
        <v>9.9947602253125627</v>
      </c>
      <c r="AB105" s="200">
        <v>6.95</v>
      </c>
      <c r="AC105" s="201">
        <f t="shared" si="129"/>
        <v>9.9947602253125627</v>
      </c>
      <c r="AE105" s="166"/>
    </row>
    <row r="106" spans="1:31" s="92" customFormat="1" ht="15" customHeight="1">
      <c r="A106" s="188"/>
      <c r="B106" s="251" t="s">
        <v>755</v>
      </c>
      <c r="C106" s="190">
        <f>'7|Total Rev Current'!C460</f>
        <v>9</v>
      </c>
      <c r="D106" s="217">
        <v>5.35</v>
      </c>
      <c r="E106" s="218">
        <v>5700</v>
      </c>
      <c r="F106" s="217"/>
      <c r="G106" s="218">
        <v>2813</v>
      </c>
      <c r="H106" s="194">
        <f>'7|Total Rev Current'!H460</f>
        <v>225.90663016632362</v>
      </c>
      <c r="I106" s="194"/>
      <c r="J106" s="194">
        <f>'7|Total Rev Current'!J460</f>
        <v>27.364999999999998</v>
      </c>
      <c r="K106" s="194"/>
      <c r="L106" s="194">
        <f t="shared" si="123"/>
        <v>6.1</v>
      </c>
      <c r="M106" s="194"/>
      <c r="N106" s="195">
        <f t="shared" si="124"/>
        <v>120.86004713898312</v>
      </c>
      <c r="O106" s="196">
        <f t="shared" si="125"/>
        <v>15.598050000000001</v>
      </c>
      <c r="P106" s="194"/>
      <c r="Q106" s="196">
        <f t="shared" si="126"/>
        <v>3.0380399999999998E-2</v>
      </c>
      <c r="R106" s="194"/>
      <c r="S106" s="196">
        <f t="shared" si="127"/>
        <v>136.48847753898315</v>
      </c>
      <c r="T106" s="194"/>
      <c r="U106" s="196">
        <f t="shared" si="128"/>
        <v>136.48847753898315</v>
      </c>
      <c r="V106" s="194"/>
      <c r="W106" s="194"/>
      <c r="X106" s="194"/>
      <c r="Y106" s="194"/>
      <c r="Z106" s="198">
        <f>'7|Total Rev Current'!Z460</f>
        <v>3.564240472217171</v>
      </c>
      <c r="AA106" s="199">
        <f t="shared" si="130"/>
        <v>140.05271801120031</v>
      </c>
      <c r="AB106" s="200">
        <v>5.35</v>
      </c>
      <c r="AC106" s="201">
        <f t="shared" si="129"/>
        <v>140.05271801120031</v>
      </c>
      <c r="AE106" s="166"/>
    </row>
    <row r="107" spans="1:31">
      <c r="A107" s="188"/>
      <c r="B107" s="239" t="s">
        <v>751</v>
      </c>
      <c r="C107" s="240">
        <f>SUM(C108:C111)</f>
        <v>3</v>
      </c>
      <c r="D107" s="240"/>
      <c r="E107" s="240"/>
      <c r="F107" s="240"/>
      <c r="G107" s="240"/>
      <c r="H107" s="240">
        <f>SUM(H108:H111)</f>
        <v>3.3670885000000008</v>
      </c>
      <c r="I107" s="240">
        <f t="shared" ref="I107:AC107" si="131">SUM(I108:I111)</f>
        <v>0</v>
      </c>
      <c r="J107" s="240">
        <f t="shared" si="131"/>
        <v>5.125</v>
      </c>
      <c r="K107" s="240">
        <f t="shared" si="131"/>
        <v>0</v>
      </c>
      <c r="L107" s="240"/>
      <c r="M107" s="240">
        <f t="shared" ref="M107" si="132">SUM(M108:M113)</f>
        <v>0</v>
      </c>
      <c r="N107" s="240">
        <f t="shared" si="131"/>
        <v>2.3401265075000004</v>
      </c>
      <c r="O107" s="240">
        <f t="shared" si="131"/>
        <v>2.9212500000000001</v>
      </c>
      <c r="P107" s="240">
        <f t="shared" si="131"/>
        <v>0</v>
      </c>
      <c r="Q107" s="240">
        <f t="shared" si="131"/>
        <v>1.01268E-2</v>
      </c>
      <c r="R107" s="240">
        <f t="shared" si="131"/>
        <v>0</v>
      </c>
      <c r="S107" s="240">
        <f t="shared" si="131"/>
        <v>5.2715033075000006</v>
      </c>
      <c r="T107" s="240">
        <f t="shared" si="131"/>
        <v>0</v>
      </c>
      <c r="U107" s="240">
        <f t="shared" si="131"/>
        <v>5.2715033075000006</v>
      </c>
      <c r="V107" s="240">
        <f t="shared" si="131"/>
        <v>0</v>
      </c>
      <c r="W107" s="240">
        <f t="shared" si="131"/>
        <v>0</v>
      </c>
      <c r="X107" s="240">
        <f t="shared" si="131"/>
        <v>0</v>
      </c>
      <c r="Y107" s="240">
        <f t="shared" si="131"/>
        <v>0</v>
      </c>
      <c r="Z107" s="240">
        <f t="shared" si="131"/>
        <v>5.3124218162172554E-2</v>
      </c>
      <c r="AA107" s="240">
        <f t="shared" si="131"/>
        <v>5.3246275256621729</v>
      </c>
      <c r="AB107" s="240"/>
      <c r="AC107" s="241">
        <f t="shared" si="131"/>
        <v>5.3246275256621729</v>
      </c>
      <c r="AE107" s="166"/>
    </row>
    <row r="108" spans="1:31" ht="25.5" customHeight="1">
      <c r="A108" s="188"/>
      <c r="B108" s="236" t="s">
        <v>756</v>
      </c>
      <c r="C108" s="190">
        <f>'7|Total Rev Current'!C462</f>
        <v>3</v>
      </c>
      <c r="D108" s="203">
        <v>6.95</v>
      </c>
      <c r="E108" s="237">
        <v>5700</v>
      </c>
      <c r="F108" s="237"/>
      <c r="G108" s="237">
        <v>2813</v>
      </c>
      <c r="H108" s="194">
        <f>'7|Total Rev Current'!H462</f>
        <v>3.3670885000000008</v>
      </c>
      <c r="I108" s="194"/>
      <c r="J108" s="194">
        <f>'7|Total Rev Current'!J462</f>
        <v>5.125</v>
      </c>
      <c r="K108" s="238"/>
      <c r="L108" s="194">
        <f t="shared" ref="L108:L111" si="133">D108+0.75</f>
        <v>7.7</v>
      </c>
      <c r="M108" s="238"/>
      <c r="N108" s="195">
        <f t="shared" ref="N108:N111" si="134">D108*H108/10</f>
        <v>2.3401265075000004</v>
      </c>
      <c r="O108" s="196">
        <f t="shared" ref="O108:O111" si="135">IF(E108&gt;0,(J108*10^3*E108/10^7)+(K108*0.7457*E108/10^7),(K108*F108/10^7)+(J108*(10^3)*(1/0.7457)*F108/10^7))</f>
        <v>2.9212500000000001</v>
      </c>
      <c r="P108" s="197"/>
      <c r="Q108" s="196">
        <f t="shared" ref="Q108:Q111" si="136">G108*C108*12/10^7</f>
        <v>1.01268E-2</v>
      </c>
      <c r="R108" s="197"/>
      <c r="S108" s="196">
        <f t="shared" ref="S108:S111" si="137">N108+O108+P108+Q108+R108</f>
        <v>5.2715033075000006</v>
      </c>
      <c r="T108" s="238"/>
      <c r="U108" s="196">
        <f t="shared" ref="U108:U111" si="138">S108-T108</f>
        <v>5.2715033075000006</v>
      </c>
      <c r="V108" s="238"/>
      <c r="W108" s="238"/>
      <c r="X108" s="238"/>
      <c r="Y108" s="238"/>
      <c r="Z108" s="198">
        <f>'7|Total Rev Current'!Z462</f>
        <v>5.3124218162172554E-2</v>
      </c>
      <c r="AA108" s="199">
        <f t="shared" ref="AA108:AA111" si="139">U108+Z108</f>
        <v>5.3246275256621729</v>
      </c>
      <c r="AB108" s="200">
        <v>6.95</v>
      </c>
      <c r="AC108" s="201">
        <f t="shared" si="129"/>
        <v>5.3246275256621729</v>
      </c>
      <c r="AE108" s="166"/>
    </row>
    <row r="109" spans="1:31" ht="15" customHeight="1">
      <c r="A109" s="188"/>
      <c r="B109" s="236" t="s">
        <v>757</v>
      </c>
      <c r="C109" s="190">
        <f>'7|Total Rev Current'!C463</f>
        <v>0</v>
      </c>
      <c r="D109" s="203">
        <v>7.25</v>
      </c>
      <c r="E109" s="237">
        <v>5700</v>
      </c>
      <c r="F109" s="237"/>
      <c r="G109" s="237">
        <v>2813</v>
      </c>
      <c r="H109" s="194">
        <f>'7|Total Rev Current'!H463</f>
        <v>0</v>
      </c>
      <c r="I109" s="194"/>
      <c r="J109" s="194">
        <f>'7|Total Rev Current'!J463</f>
        <v>0</v>
      </c>
      <c r="K109" s="238"/>
      <c r="L109" s="194">
        <f t="shared" si="133"/>
        <v>8</v>
      </c>
      <c r="M109" s="238"/>
      <c r="N109" s="195">
        <f t="shared" si="134"/>
        <v>0</v>
      </c>
      <c r="O109" s="196">
        <f t="shared" si="135"/>
        <v>0</v>
      </c>
      <c r="P109" s="197"/>
      <c r="Q109" s="196">
        <f t="shared" si="136"/>
        <v>0</v>
      </c>
      <c r="R109" s="197"/>
      <c r="S109" s="196">
        <f t="shared" si="137"/>
        <v>0</v>
      </c>
      <c r="T109" s="238"/>
      <c r="U109" s="196">
        <f t="shared" si="138"/>
        <v>0</v>
      </c>
      <c r="V109" s="238"/>
      <c r="W109" s="238"/>
      <c r="X109" s="238"/>
      <c r="Y109" s="238"/>
      <c r="Z109" s="198">
        <f>'7|Total Rev Current'!Z463</f>
        <v>0</v>
      </c>
      <c r="AA109" s="199">
        <f t="shared" si="139"/>
        <v>0</v>
      </c>
      <c r="AB109" s="200">
        <v>7.25</v>
      </c>
      <c r="AC109" s="201">
        <f t="shared" si="129"/>
        <v>0</v>
      </c>
      <c r="AE109" s="166"/>
    </row>
    <row r="110" spans="1:31" ht="15" customHeight="1">
      <c r="A110" s="188"/>
      <c r="B110" s="236" t="s">
        <v>758</v>
      </c>
      <c r="C110" s="190">
        <f>'7|Total Rev Current'!C464</f>
        <v>0</v>
      </c>
      <c r="D110" s="203">
        <v>5</v>
      </c>
      <c r="E110" s="237">
        <v>360</v>
      </c>
      <c r="F110" s="237"/>
      <c r="G110" s="237">
        <v>2813</v>
      </c>
      <c r="H110" s="194">
        <f>'7|Total Rev Current'!H464</f>
        <v>0</v>
      </c>
      <c r="I110" s="194"/>
      <c r="J110" s="194">
        <f>'7|Total Rev Current'!J464</f>
        <v>0</v>
      </c>
      <c r="K110" s="238"/>
      <c r="L110" s="194">
        <f t="shared" si="133"/>
        <v>5.75</v>
      </c>
      <c r="M110" s="238"/>
      <c r="N110" s="195">
        <f t="shared" si="134"/>
        <v>0</v>
      </c>
      <c r="O110" s="196">
        <f t="shared" si="135"/>
        <v>0</v>
      </c>
      <c r="P110" s="197"/>
      <c r="Q110" s="196">
        <f t="shared" si="136"/>
        <v>0</v>
      </c>
      <c r="R110" s="197"/>
      <c r="S110" s="196">
        <f t="shared" si="137"/>
        <v>0</v>
      </c>
      <c r="T110" s="238"/>
      <c r="U110" s="196">
        <f t="shared" si="138"/>
        <v>0</v>
      </c>
      <c r="V110" s="238"/>
      <c r="W110" s="238"/>
      <c r="X110" s="238"/>
      <c r="Y110" s="238"/>
      <c r="Z110" s="198">
        <f>'7|Total Rev Current'!Z464</f>
        <v>0</v>
      </c>
      <c r="AA110" s="199">
        <f t="shared" si="139"/>
        <v>0</v>
      </c>
      <c r="AB110" s="200">
        <v>5</v>
      </c>
      <c r="AC110" s="201">
        <f t="shared" si="129"/>
        <v>0</v>
      </c>
      <c r="AE110" s="166"/>
    </row>
    <row r="111" spans="1:31" ht="15" customHeight="1">
      <c r="A111" s="188"/>
      <c r="B111" s="236" t="s">
        <v>759</v>
      </c>
      <c r="C111" s="190">
        <f>'7|Total Rev Current'!C465</f>
        <v>0</v>
      </c>
      <c r="D111" s="203">
        <v>6.5</v>
      </c>
      <c r="E111" s="237">
        <v>4200</v>
      </c>
      <c r="F111" s="237"/>
      <c r="G111" s="237">
        <v>2813</v>
      </c>
      <c r="H111" s="194">
        <f>'7|Total Rev Current'!H465</f>
        <v>0</v>
      </c>
      <c r="I111" s="194"/>
      <c r="J111" s="194">
        <f>'7|Total Rev Current'!J465</f>
        <v>0</v>
      </c>
      <c r="K111" s="238"/>
      <c r="L111" s="194">
        <f t="shared" si="133"/>
        <v>7.25</v>
      </c>
      <c r="M111" s="238"/>
      <c r="N111" s="195">
        <f t="shared" si="134"/>
        <v>0</v>
      </c>
      <c r="O111" s="196">
        <f t="shared" si="135"/>
        <v>0</v>
      </c>
      <c r="P111" s="197"/>
      <c r="Q111" s="196">
        <f t="shared" si="136"/>
        <v>0</v>
      </c>
      <c r="R111" s="197"/>
      <c r="S111" s="196">
        <f t="shared" si="137"/>
        <v>0</v>
      </c>
      <c r="T111" s="238"/>
      <c r="U111" s="196">
        <f t="shared" si="138"/>
        <v>0</v>
      </c>
      <c r="V111" s="238"/>
      <c r="W111" s="238"/>
      <c r="X111" s="238"/>
      <c r="Y111" s="238"/>
      <c r="Z111" s="198">
        <f>'7|Total Rev Current'!Z465</f>
        <v>0</v>
      </c>
      <c r="AA111" s="199">
        <f t="shared" si="139"/>
        <v>0</v>
      </c>
      <c r="AB111" s="200">
        <v>6.5</v>
      </c>
      <c r="AC111" s="201">
        <f t="shared" si="129"/>
        <v>0</v>
      </c>
      <c r="AE111" s="166"/>
    </row>
    <row r="112" spans="1:31" ht="18" customHeight="1">
      <c r="A112" s="188"/>
      <c r="B112" s="239" t="s">
        <v>752</v>
      </c>
      <c r="C112" s="240">
        <f>C113+C114</f>
        <v>17</v>
      </c>
      <c r="D112" s="240"/>
      <c r="E112" s="240"/>
      <c r="F112" s="240"/>
      <c r="G112" s="240"/>
      <c r="H112" s="240">
        <f>H113+H114</f>
        <v>51.223597549629957</v>
      </c>
      <c r="I112" s="240">
        <f t="shared" ref="I112:AC112" si="140">I113+I114</f>
        <v>0</v>
      </c>
      <c r="J112" s="240">
        <f t="shared" si="140"/>
        <v>87.85</v>
      </c>
      <c r="K112" s="240">
        <f t="shared" si="140"/>
        <v>0</v>
      </c>
      <c r="L112" s="240"/>
      <c r="M112" s="240">
        <f t="shared" ref="M112" si="141">SUM(M113:M118)</f>
        <v>0</v>
      </c>
      <c r="N112" s="240">
        <f t="shared" si="140"/>
        <v>36.624872247985422</v>
      </c>
      <c r="O112" s="240">
        <f t="shared" si="140"/>
        <v>0</v>
      </c>
      <c r="P112" s="240">
        <f t="shared" si="140"/>
        <v>0</v>
      </c>
      <c r="Q112" s="240">
        <f t="shared" si="140"/>
        <v>5.7385199999999997E-2</v>
      </c>
      <c r="R112" s="240">
        <f t="shared" si="140"/>
        <v>0</v>
      </c>
      <c r="S112" s="240">
        <f t="shared" si="140"/>
        <v>36.682257447985421</v>
      </c>
      <c r="T112" s="240">
        <f t="shared" si="140"/>
        <v>0</v>
      </c>
      <c r="U112" s="240">
        <f t="shared" si="140"/>
        <v>36.682257447985421</v>
      </c>
      <c r="V112" s="240">
        <f t="shared" si="140"/>
        <v>0</v>
      </c>
      <c r="W112" s="240">
        <f t="shared" si="140"/>
        <v>0</v>
      </c>
      <c r="X112" s="240">
        <f t="shared" si="140"/>
        <v>0</v>
      </c>
      <c r="Y112" s="240">
        <f t="shared" si="140"/>
        <v>0</v>
      </c>
      <c r="Z112" s="240">
        <f t="shared" si="140"/>
        <v>0.8081799962424121</v>
      </c>
      <c r="AA112" s="240">
        <f t="shared" si="140"/>
        <v>37.490437444227837</v>
      </c>
      <c r="AB112" s="240"/>
      <c r="AC112" s="241">
        <f t="shared" si="140"/>
        <v>37.490437444227837</v>
      </c>
      <c r="AE112" s="166"/>
    </row>
    <row r="113" spans="1:31" s="92" customFormat="1" ht="24.75" customHeight="1">
      <c r="A113" s="188"/>
      <c r="B113" s="236" t="s">
        <v>760</v>
      </c>
      <c r="C113" s="190">
        <f>'7|Total Rev Current'!C467</f>
        <v>0</v>
      </c>
      <c r="D113" s="203">
        <v>3.85</v>
      </c>
      <c r="E113" s="237">
        <v>360</v>
      </c>
      <c r="F113" s="237"/>
      <c r="G113" s="237">
        <v>2813</v>
      </c>
      <c r="H113" s="194">
        <f>'7|Total Rev Current'!H467</f>
        <v>0</v>
      </c>
      <c r="I113" s="194"/>
      <c r="J113" s="194">
        <f>'7|Total Rev Current'!J467</f>
        <v>0</v>
      </c>
      <c r="K113" s="238">
        <f>SUM(K114:K120)</f>
        <v>0</v>
      </c>
      <c r="L113" s="194">
        <f t="shared" ref="L113:L114" si="142">D113+0.75</f>
        <v>4.5999999999999996</v>
      </c>
      <c r="M113" s="238"/>
      <c r="N113" s="195">
        <f t="shared" ref="N113:N114" si="143">D113*H113/10</f>
        <v>0</v>
      </c>
      <c r="O113" s="196">
        <f t="shared" ref="O113:O114" si="144">IF(E113&gt;0,(J113*10^3*E113/10^7)+(K113*0.7457*E113/10^7),(K113*F113/10^7)+(J113*(10^3)*(1/0.7457)*F113/10^7))</f>
        <v>0</v>
      </c>
      <c r="P113" s="197"/>
      <c r="Q113" s="196">
        <f t="shared" ref="Q113:Q114" si="145">G113*C113*12/10^7</f>
        <v>0</v>
      </c>
      <c r="R113" s="197"/>
      <c r="S113" s="196">
        <f t="shared" ref="S113:S114" si="146">N113+O113+P113+Q113+R113</f>
        <v>0</v>
      </c>
      <c r="T113" s="238"/>
      <c r="U113" s="196">
        <f t="shared" ref="U113:U114" si="147">S113-T113</f>
        <v>0</v>
      </c>
      <c r="V113" s="238"/>
      <c r="W113" s="238"/>
      <c r="X113" s="238"/>
      <c r="Y113" s="238"/>
      <c r="Z113" s="198">
        <f>'7|Total Rev Current'!Z467</f>
        <v>0</v>
      </c>
      <c r="AA113" s="199">
        <f t="shared" ref="AA113:AA114" si="148">U113+Z113</f>
        <v>0</v>
      </c>
      <c r="AB113" s="200">
        <v>3.85</v>
      </c>
      <c r="AC113" s="201">
        <f t="shared" si="129"/>
        <v>0</v>
      </c>
      <c r="AE113" s="166"/>
    </row>
    <row r="114" spans="1:31" ht="24.75" customHeight="1">
      <c r="A114" s="188"/>
      <c r="B114" s="236" t="s">
        <v>761</v>
      </c>
      <c r="C114" s="190">
        <f>'7|Total Rev Current'!C468</f>
        <v>17</v>
      </c>
      <c r="D114" s="203">
        <v>7.15</v>
      </c>
      <c r="E114" s="237">
        <v>0</v>
      </c>
      <c r="F114" s="237"/>
      <c r="G114" s="237">
        <v>2813</v>
      </c>
      <c r="H114" s="194">
        <f>'7|Total Rev Current'!H468</f>
        <v>51.223597549629957</v>
      </c>
      <c r="I114" s="194"/>
      <c r="J114" s="194">
        <f>'7|Total Rev Current'!J468</f>
        <v>87.85</v>
      </c>
      <c r="K114" s="238"/>
      <c r="L114" s="194">
        <f t="shared" si="142"/>
        <v>7.9</v>
      </c>
      <c r="M114" s="238"/>
      <c r="N114" s="195">
        <f t="shared" si="143"/>
        <v>36.624872247985422</v>
      </c>
      <c r="O114" s="196">
        <f t="shared" si="144"/>
        <v>0</v>
      </c>
      <c r="P114" s="197"/>
      <c r="Q114" s="196">
        <f t="shared" si="145"/>
        <v>5.7385199999999997E-2</v>
      </c>
      <c r="R114" s="197"/>
      <c r="S114" s="196">
        <f t="shared" si="146"/>
        <v>36.682257447985421</v>
      </c>
      <c r="T114" s="238"/>
      <c r="U114" s="196">
        <f t="shared" si="147"/>
        <v>36.682257447985421</v>
      </c>
      <c r="V114" s="238"/>
      <c r="W114" s="238"/>
      <c r="X114" s="238"/>
      <c r="Y114" s="238"/>
      <c r="Z114" s="198">
        <f>'7|Total Rev Current'!Z468</f>
        <v>0.8081799962424121</v>
      </c>
      <c r="AA114" s="199">
        <f t="shared" si="148"/>
        <v>37.490437444227837</v>
      </c>
      <c r="AB114" s="200">
        <v>7.15</v>
      </c>
      <c r="AC114" s="201">
        <f t="shared" si="129"/>
        <v>37.490437444227837</v>
      </c>
      <c r="AE114" s="166"/>
    </row>
    <row r="115" spans="1:31" ht="12" customHeight="1">
      <c r="A115" s="188"/>
      <c r="B115" s="253"/>
      <c r="C115" s="193"/>
      <c r="D115" s="203"/>
      <c r="E115" s="237"/>
      <c r="F115" s="237"/>
      <c r="G115" s="237"/>
      <c r="H115" s="238"/>
      <c r="I115" s="238"/>
      <c r="J115" s="238"/>
      <c r="K115" s="238"/>
      <c r="L115" s="238"/>
      <c r="M115" s="238"/>
      <c r="N115" s="195"/>
      <c r="O115" s="196"/>
      <c r="P115" s="197"/>
      <c r="Q115" s="196"/>
      <c r="R115" s="197"/>
      <c r="S115" s="196"/>
      <c r="T115" s="238"/>
      <c r="U115" s="238"/>
      <c r="V115" s="238"/>
      <c r="W115" s="238"/>
      <c r="X115" s="238"/>
      <c r="Y115" s="238"/>
      <c r="Z115" s="238"/>
      <c r="AA115" s="199"/>
      <c r="AB115" s="203"/>
      <c r="AC115" s="254">
        <f t="shared" ref="AC115" si="149">(H115*AB115/10)+O115+Q115+P115+R115+Z115</f>
        <v>0</v>
      </c>
      <c r="AE115" s="166"/>
    </row>
    <row r="116" spans="1:31">
      <c r="A116" s="188"/>
      <c r="B116" s="232" t="s">
        <v>604</v>
      </c>
      <c r="C116" s="255">
        <f>C117+C118+C125+C138+C143</f>
        <v>79</v>
      </c>
      <c r="D116" s="233"/>
      <c r="E116" s="233"/>
      <c r="F116" s="233"/>
      <c r="G116" s="234"/>
      <c r="H116" s="233">
        <f t="shared" ref="H116:AC116" si="150">H117+H118+H125+H138+H143</f>
        <v>5444.2159011459134</v>
      </c>
      <c r="I116" s="233">
        <f t="shared" si="150"/>
        <v>0</v>
      </c>
      <c r="J116" s="233">
        <f t="shared" si="150"/>
        <v>1135.4279999999999</v>
      </c>
      <c r="K116" s="233">
        <f t="shared" si="150"/>
        <v>0</v>
      </c>
      <c r="L116" s="233"/>
      <c r="M116" s="240">
        <f t="shared" ref="M116" si="151">SUM(M117:M122)</f>
        <v>0</v>
      </c>
      <c r="N116" s="233">
        <f t="shared" si="150"/>
        <v>2959.0567939987527</v>
      </c>
      <c r="O116" s="233">
        <f t="shared" si="150"/>
        <v>594.03950999999995</v>
      </c>
      <c r="P116" s="233">
        <f t="shared" si="150"/>
        <v>0</v>
      </c>
      <c r="Q116" s="233">
        <f t="shared" si="150"/>
        <v>0.26667239999999998</v>
      </c>
      <c r="R116" s="233">
        <f t="shared" si="150"/>
        <v>0</v>
      </c>
      <c r="S116" s="233">
        <f t="shared" si="150"/>
        <v>3553.3629763987528</v>
      </c>
      <c r="T116" s="233">
        <f t="shared" si="150"/>
        <v>0</v>
      </c>
      <c r="U116" s="233">
        <f t="shared" si="150"/>
        <v>3553.3629763987528</v>
      </c>
      <c r="V116" s="233">
        <f t="shared" si="150"/>
        <v>0</v>
      </c>
      <c r="W116" s="233">
        <f t="shared" si="150"/>
        <v>0</v>
      </c>
      <c r="X116" s="233">
        <f t="shared" si="150"/>
        <v>0</v>
      </c>
      <c r="Y116" s="233">
        <f t="shared" si="150"/>
        <v>0</v>
      </c>
      <c r="Z116" s="233">
        <f t="shared" si="150"/>
        <v>85.896082997059409</v>
      </c>
      <c r="AA116" s="233">
        <f t="shared" si="150"/>
        <v>3639.2590593958121</v>
      </c>
      <c r="AB116" s="233"/>
      <c r="AC116" s="235">
        <f t="shared" si="150"/>
        <v>3639.2590593958121</v>
      </c>
      <c r="AE116" s="166"/>
    </row>
    <row r="117" spans="1:31" ht="10.5" customHeight="1">
      <c r="A117" s="188"/>
      <c r="B117" s="236" t="s">
        <v>743</v>
      </c>
      <c r="C117" s="190">
        <f>'7|Total Rev Current'!C471</f>
        <v>0</v>
      </c>
      <c r="D117" s="203">
        <v>7</v>
      </c>
      <c r="E117" s="237">
        <v>900</v>
      </c>
      <c r="F117" s="237"/>
      <c r="G117" s="237">
        <v>2813</v>
      </c>
      <c r="H117" s="194"/>
      <c r="I117" s="238"/>
      <c r="J117" s="194"/>
      <c r="K117" s="238"/>
      <c r="L117" s="194">
        <f t="shared" ref="L117" si="152">D117+0.75</f>
        <v>7.75</v>
      </c>
      <c r="M117" s="238"/>
      <c r="N117" s="195">
        <f t="shared" ref="N117" si="153">D117*H117/10</f>
        <v>0</v>
      </c>
      <c r="O117" s="196">
        <f t="shared" ref="O117" si="154">IF(E117&gt;0,(J117*10^3*E117/10^7)+(K117*0.7457*E117/10^7),(K117*F117/10^7)+(J117*(10^3)*(1/0.7457)*F117/10^7))</f>
        <v>0</v>
      </c>
      <c r="P117" s="197"/>
      <c r="Q117" s="196">
        <f t="shared" ref="Q117" si="155">G117*C117*12/10^7</f>
        <v>0</v>
      </c>
      <c r="R117" s="197"/>
      <c r="S117" s="196">
        <f t="shared" ref="S117:S124" si="156">N117+O117+P117+Q117+R117</f>
        <v>0</v>
      </c>
      <c r="T117" s="238"/>
      <c r="U117" s="196">
        <f t="shared" ref="U117" si="157">S117-T117</f>
        <v>0</v>
      </c>
      <c r="V117" s="238"/>
      <c r="W117" s="238"/>
      <c r="X117" s="238"/>
      <c r="Y117" s="238"/>
      <c r="Z117" s="198">
        <f>'7|Total Rev Current'!Z471</f>
        <v>0</v>
      </c>
      <c r="AA117" s="199">
        <f t="shared" ref="AA117" si="158">U117+Z117</f>
        <v>0</v>
      </c>
      <c r="AB117" s="200">
        <v>7</v>
      </c>
      <c r="AC117" s="201">
        <f t="shared" ref="AC117" si="159">(H117*AB117/10)+O117+Q117+P117+R117+Z117</f>
        <v>0</v>
      </c>
      <c r="AE117" s="166"/>
    </row>
    <row r="118" spans="1:31" ht="10.5" customHeight="1">
      <c r="A118" s="188"/>
      <c r="B118" s="239" t="s">
        <v>744</v>
      </c>
      <c r="C118" s="240">
        <f>SUM(C119:C124)</f>
        <v>12</v>
      </c>
      <c r="D118" s="240"/>
      <c r="E118" s="240"/>
      <c r="F118" s="240"/>
      <c r="G118" s="240"/>
      <c r="H118" s="240">
        <f>SUM(H119:H124)</f>
        <v>37.281604350766223</v>
      </c>
      <c r="I118" s="240">
        <f t="shared" ref="I118:AC118" si="160">SUM(I119:I124)</f>
        <v>0</v>
      </c>
      <c r="J118" s="240">
        <f t="shared" si="160"/>
        <v>46.2</v>
      </c>
      <c r="K118" s="240">
        <f t="shared" si="160"/>
        <v>0</v>
      </c>
      <c r="L118" s="240"/>
      <c r="M118" s="240">
        <f t="shared" ref="M118" si="161">SUM(M119:M124)</f>
        <v>0</v>
      </c>
      <c r="N118" s="240">
        <f t="shared" si="160"/>
        <v>26.276565524638574</v>
      </c>
      <c r="O118" s="240">
        <f t="shared" si="160"/>
        <v>20.805</v>
      </c>
      <c r="P118" s="240">
        <f t="shared" si="160"/>
        <v>0</v>
      </c>
      <c r="Q118" s="240">
        <f t="shared" si="160"/>
        <v>4.05072E-2</v>
      </c>
      <c r="R118" s="240">
        <f t="shared" si="160"/>
        <v>0</v>
      </c>
      <c r="S118" s="240">
        <f t="shared" si="160"/>
        <v>47.122072724638571</v>
      </c>
      <c r="T118" s="240"/>
      <c r="U118" s="240">
        <f t="shared" si="160"/>
        <v>47.122072724638571</v>
      </c>
      <c r="V118" s="240">
        <f t="shared" si="160"/>
        <v>0</v>
      </c>
      <c r="W118" s="240">
        <f t="shared" si="160"/>
        <v>0</v>
      </c>
      <c r="X118" s="240">
        <f t="shared" si="160"/>
        <v>0</v>
      </c>
      <c r="Y118" s="240">
        <f t="shared" si="160"/>
        <v>0</v>
      </c>
      <c r="Z118" s="240">
        <f t="shared" si="160"/>
        <v>0.58821028403794728</v>
      </c>
      <c r="AA118" s="240">
        <f t="shared" si="160"/>
        <v>47.710283008676512</v>
      </c>
      <c r="AB118" s="240"/>
      <c r="AC118" s="241">
        <f t="shared" si="160"/>
        <v>47.710283008676512</v>
      </c>
      <c r="AE118" s="166"/>
    </row>
    <row r="119" spans="1:31" ht="10.5" customHeight="1">
      <c r="A119" s="188"/>
      <c r="B119" s="236" t="s">
        <v>745</v>
      </c>
      <c r="C119" s="190">
        <f>'7|Total Rev Current'!C473</f>
        <v>6</v>
      </c>
      <c r="D119" s="203">
        <v>6.7</v>
      </c>
      <c r="E119" s="237">
        <v>5700</v>
      </c>
      <c r="F119" s="237"/>
      <c r="G119" s="237">
        <v>2813</v>
      </c>
      <c r="H119" s="194">
        <f>'7|Total Rev Current'!H473</f>
        <v>29.871566924507107</v>
      </c>
      <c r="I119" s="194"/>
      <c r="J119" s="194">
        <f>'7|Total Rev Current'!J473</f>
        <v>36.5</v>
      </c>
      <c r="K119" s="238"/>
      <c r="L119" s="194">
        <f t="shared" ref="L119:L124" si="162">D119+0.75</f>
        <v>7.45</v>
      </c>
      <c r="M119" s="238"/>
      <c r="N119" s="195">
        <f t="shared" ref="N119:N124" si="163">D119*H119/10</f>
        <v>20.013949839419762</v>
      </c>
      <c r="O119" s="196">
        <f t="shared" ref="O119:O124" si="164">IF(E119&gt;0,(J119*10^3*E119/10^7)+(K119*0.7457*E119/10^7),(K119*F119/10^7)+(J119*(10^3)*(1/0.7457)*F119/10^7))</f>
        <v>20.805</v>
      </c>
      <c r="P119" s="197"/>
      <c r="Q119" s="196">
        <f t="shared" ref="Q119:Q124" si="165">G119*C119*12/10^7</f>
        <v>2.02536E-2</v>
      </c>
      <c r="R119" s="197"/>
      <c r="S119" s="196">
        <f t="shared" si="156"/>
        <v>40.839203439419755</v>
      </c>
      <c r="T119" s="238"/>
      <c r="U119" s="196">
        <f t="shared" ref="U119:U124" si="166">S119-T119</f>
        <v>40.839203439419755</v>
      </c>
      <c r="V119" s="238"/>
      <c r="W119" s="238"/>
      <c r="X119" s="238"/>
      <c r="Y119" s="238"/>
      <c r="Z119" s="198">
        <f>'7|Total Rev Current'!Z473</f>
        <v>0.47129846398259301</v>
      </c>
      <c r="AA119" s="199">
        <f t="shared" ref="AA119:AA124" si="167">U119+Z119</f>
        <v>41.310501903402347</v>
      </c>
      <c r="AB119" s="200">
        <v>6.7</v>
      </c>
      <c r="AC119" s="201">
        <f t="shared" ref="AC119:AC124" si="168">(H119*AB119/10)+O119+Q119+P119+R119+Z119</f>
        <v>41.310501903402347</v>
      </c>
      <c r="AE119" s="166"/>
    </row>
    <row r="120" spans="1:31">
      <c r="A120" s="188"/>
      <c r="B120" s="236" t="s">
        <v>697</v>
      </c>
      <c r="C120" s="190">
        <f>'7|Total Rev Current'!C474</f>
        <v>0</v>
      </c>
      <c r="D120" s="203">
        <v>7.7</v>
      </c>
      <c r="E120" s="237">
        <v>5700</v>
      </c>
      <c r="F120" s="237"/>
      <c r="G120" s="237"/>
      <c r="H120" s="194">
        <f>'7|Total Rev Current'!H474</f>
        <v>6.1861102460408848</v>
      </c>
      <c r="I120" s="194"/>
      <c r="J120" s="194">
        <f>'7|Total Rev Current'!J474</f>
        <v>0</v>
      </c>
      <c r="K120" s="238"/>
      <c r="L120" s="194">
        <f t="shared" si="162"/>
        <v>8.4499999999999993</v>
      </c>
      <c r="M120" s="238"/>
      <c r="N120" s="195">
        <f t="shared" si="163"/>
        <v>4.7633048894514811</v>
      </c>
      <c r="O120" s="196">
        <f t="shared" si="164"/>
        <v>0</v>
      </c>
      <c r="P120" s="197"/>
      <c r="Q120" s="196">
        <f t="shared" si="165"/>
        <v>0</v>
      </c>
      <c r="R120" s="197"/>
      <c r="S120" s="196">
        <f t="shared" si="156"/>
        <v>4.7633048894514811</v>
      </c>
      <c r="T120" s="238"/>
      <c r="U120" s="196">
        <f t="shared" si="166"/>
        <v>4.7633048894514811</v>
      </c>
      <c r="V120" s="238"/>
      <c r="W120" s="238"/>
      <c r="X120" s="238"/>
      <c r="Y120" s="238"/>
      <c r="Z120" s="198">
        <f>'7|Total Rev Current'!Z474</f>
        <v>9.7601316474433875E-2</v>
      </c>
      <c r="AA120" s="199">
        <f t="shared" si="167"/>
        <v>4.8609062059259154</v>
      </c>
      <c r="AB120" s="200">
        <v>7.7</v>
      </c>
      <c r="AC120" s="201">
        <f t="shared" si="168"/>
        <v>4.8609062059259154</v>
      </c>
      <c r="AE120" s="166"/>
    </row>
    <row r="121" spans="1:31" s="92" customFormat="1" ht="15" customHeight="1">
      <c r="A121" s="188"/>
      <c r="B121" s="236" t="s">
        <v>746</v>
      </c>
      <c r="C121" s="190">
        <f>'7|Total Rev Current'!C475</f>
        <v>0</v>
      </c>
      <c r="D121" s="203">
        <v>12.25</v>
      </c>
      <c r="E121" s="237">
        <v>0</v>
      </c>
      <c r="F121" s="237"/>
      <c r="G121" s="237">
        <v>2813</v>
      </c>
      <c r="H121" s="194">
        <f>'7|Total Rev Current'!H475</f>
        <v>0</v>
      </c>
      <c r="I121" s="194"/>
      <c r="J121" s="194">
        <f>'7|Total Rev Current'!J475</f>
        <v>0</v>
      </c>
      <c r="K121" s="238"/>
      <c r="L121" s="194">
        <f t="shared" si="162"/>
        <v>13</v>
      </c>
      <c r="M121" s="238"/>
      <c r="N121" s="195">
        <f t="shared" si="163"/>
        <v>0</v>
      </c>
      <c r="O121" s="196">
        <f t="shared" si="164"/>
        <v>0</v>
      </c>
      <c r="P121" s="197"/>
      <c r="Q121" s="196">
        <f t="shared" si="165"/>
        <v>0</v>
      </c>
      <c r="R121" s="197"/>
      <c r="S121" s="196">
        <f t="shared" si="156"/>
        <v>0</v>
      </c>
      <c r="T121" s="238"/>
      <c r="U121" s="196">
        <f t="shared" si="166"/>
        <v>0</v>
      </c>
      <c r="V121" s="238"/>
      <c r="W121" s="238"/>
      <c r="X121" s="238"/>
      <c r="Y121" s="238"/>
      <c r="Z121" s="198">
        <f>'7|Total Rev Current'!Z475</f>
        <v>0</v>
      </c>
      <c r="AA121" s="199">
        <f t="shared" si="167"/>
        <v>0</v>
      </c>
      <c r="AB121" s="200">
        <v>12.25</v>
      </c>
      <c r="AC121" s="201">
        <f t="shared" si="168"/>
        <v>0</v>
      </c>
      <c r="AE121" s="166"/>
    </row>
    <row r="122" spans="1:31" ht="10.5" customHeight="1">
      <c r="A122" s="188"/>
      <c r="B122" s="236" t="s">
        <v>747</v>
      </c>
      <c r="C122" s="190">
        <f>'7|Total Rev Current'!C476</f>
        <v>6</v>
      </c>
      <c r="D122" s="203">
        <v>12.25</v>
      </c>
      <c r="E122" s="237">
        <v>0</v>
      </c>
      <c r="F122" s="237"/>
      <c r="G122" s="237">
        <v>2813</v>
      </c>
      <c r="H122" s="194">
        <f>'7|Total Rev Current'!H476</f>
        <v>1.2239271802182303</v>
      </c>
      <c r="I122" s="194"/>
      <c r="J122" s="194">
        <f>'7|Total Rev Current'!J476</f>
        <v>9.6999999999999993</v>
      </c>
      <c r="K122" s="238"/>
      <c r="L122" s="194">
        <f t="shared" si="162"/>
        <v>13</v>
      </c>
      <c r="M122" s="238"/>
      <c r="N122" s="195">
        <f t="shared" si="163"/>
        <v>1.4993107957673322</v>
      </c>
      <c r="O122" s="196">
        <f t="shared" si="164"/>
        <v>0</v>
      </c>
      <c r="P122" s="197"/>
      <c r="Q122" s="196">
        <f t="shared" si="165"/>
        <v>2.02536E-2</v>
      </c>
      <c r="R122" s="197"/>
      <c r="S122" s="196">
        <f t="shared" si="156"/>
        <v>1.5195643957673322</v>
      </c>
      <c r="T122" s="238"/>
      <c r="U122" s="196">
        <f t="shared" si="166"/>
        <v>1.5195643957673322</v>
      </c>
      <c r="V122" s="238"/>
      <c r="W122" s="238"/>
      <c r="X122" s="238"/>
      <c r="Y122" s="238"/>
      <c r="Z122" s="198">
        <f>'7|Total Rev Current'!Z476</f>
        <v>1.9310503580920412E-2</v>
      </c>
      <c r="AA122" s="199">
        <f t="shared" si="167"/>
        <v>1.5388748993482526</v>
      </c>
      <c r="AB122" s="200">
        <v>12.25</v>
      </c>
      <c r="AC122" s="201">
        <f t="shared" si="168"/>
        <v>1.5388748993482526</v>
      </c>
      <c r="AE122" s="166"/>
    </row>
    <row r="123" spans="1:31" ht="10.5" customHeight="1">
      <c r="A123" s="188"/>
      <c r="B123" s="236" t="s">
        <v>748</v>
      </c>
      <c r="C123" s="190">
        <f>'7|Total Rev Current'!C477</f>
        <v>0</v>
      </c>
      <c r="D123" s="203">
        <v>6.7</v>
      </c>
      <c r="E123" s="237">
        <v>0</v>
      </c>
      <c r="F123" s="237"/>
      <c r="G123" s="237">
        <v>2813</v>
      </c>
      <c r="H123" s="194">
        <f>'7|Total Rev Current'!H477</f>
        <v>0</v>
      </c>
      <c r="I123" s="194"/>
      <c r="J123" s="194">
        <f>'7|Total Rev Current'!J477</f>
        <v>0</v>
      </c>
      <c r="K123" s="238"/>
      <c r="L123" s="194">
        <f t="shared" si="162"/>
        <v>7.45</v>
      </c>
      <c r="M123" s="238"/>
      <c r="N123" s="195">
        <f t="shared" si="163"/>
        <v>0</v>
      </c>
      <c r="O123" s="196">
        <f t="shared" si="164"/>
        <v>0</v>
      </c>
      <c r="P123" s="197"/>
      <c r="Q123" s="196">
        <f t="shared" si="165"/>
        <v>0</v>
      </c>
      <c r="R123" s="197"/>
      <c r="S123" s="196">
        <f t="shared" si="156"/>
        <v>0</v>
      </c>
      <c r="T123" s="238"/>
      <c r="U123" s="196">
        <f t="shared" si="166"/>
        <v>0</v>
      </c>
      <c r="V123" s="238"/>
      <c r="W123" s="238"/>
      <c r="X123" s="238"/>
      <c r="Y123" s="238"/>
      <c r="Z123" s="198">
        <f>'7|Total Rev Current'!Z477</f>
        <v>0</v>
      </c>
      <c r="AA123" s="199">
        <f t="shared" si="167"/>
        <v>0</v>
      </c>
      <c r="AB123" s="200">
        <v>6.7</v>
      </c>
      <c r="AC123" s="201">
        <f t="shared" si="168"/>
        <v>0</v>
      </c>
      <c r="AE123" s="166"/>
    </row>
    <row r="124" spans="1:31" ht="10.5" customHeight="1">
      <c r="A124" s="188"/>
      <c r="B124" s="236" t="s">
        <v>749</v>
      </c>
      <c r="C124" s="190">
        <f>'7|Total Rev Current'!C478</f>
        <v>0</v>
      </c>
      <c r="D124" s="203">
        <v>12.25</v>
      </c>
      <c r="E124" s="237">
        <v>0</v>
      </c>
      <c r="F124" s="237"/>
      <c r="G124" s="237">
        <v>2813</v>
      </c>
      <c r="H124" s="194">
        <f>'7|Total Rev Current'!H478</f>
        <v>0</v>
      </c>
      <c r="I124" s="194"/>
      <c r="J124" s="194">
        <f>'7|Total Rev Current'!J478</f>
        <v>0</v>
      </c>
      <c r="K124" s="238"/>
      <c r="L124" s="194">
        <f t="shared" si="162"/>
        <v>13</v>
      </c>
      <c r="M124" s="238"/>
      <c r="N124" s="195">
        <f t="shared" si="163"/>
        <v>0</v>
      </c>
      <c r="O124" s="196">
        <f t="shared" si="164"/>
        <v>0</v>
      </c>
      <c r="P124" s="197"/>
      <c r="Q124" s="196">
        <f t="shared" si="165"/>
        <v>0</v>
      </c>
      <c r="R124" s="197"/>
      <c r="S124" s="196">
        <f t="shared" si="156"/>
        <v>0</v>
      </c>
      <c r="T124" s="238"/>
      <c r="U124" s="196">
        <f t="shared" si="166"/>
        <v>0</v>
      </c>
      <c r="V124" s="238"/>
      <c r="W124" s="238"/>
      <c r="X124" s="238"/>
      <c r="Y124" s="238"/>
      <c r="Z124" s="198">
        <f>'7|Total Rev Current'!Z478</f>
        <v>0</v>
      </c>
      <c r="AA124" s="199">
        <f t="shared" si="167"/>
        <v>0</v>
      </c>
      <c r="AB124" s="200">
        <v>12.25</v>
      </c>
      <c r="AC124" s="201">
        <f t="shared" si="168"/>
        <v>0</v>
      </c>
      <c r="AE124" s="166"/>
    </row>
    <row r="125" spans="1:31" ht="10.5" customHeight="1">
      <c r="A125" s="188"/>
      <c r="B125" s="239" t="s">
        <v>750</v>
      </c>
      <c r="C125" s="250">
        <f>SUM(C126:C137)</f>
        <v>44</v>
      </c>
      <c r="D125" s="240"/>
      <c r="E125" s="240"/>
      <c r="F125" s="240"/>
      <c r="G125" s="240"/>
      <c r="H125" s="240">
        <f>SUM(H126:H137)</f>
        <v>4404.5132558454243</v>
      </c>
      <c r="I125" s="240">
        <f t="shared" ref="I125:AC125" si="169">SUM(I126:I137)</f>
        <v>0</v>
      </c>
      <c r="J125" s="240">
        <f t="shared" si="169"/>
        <v>771.72499999999991</v>
      </c>
      <c r="K125" s="240">
        <f t="shared" si="169"/>
        <v>0</v>
      </c>
      <c r="L125" s="240"/>
      <c r="M125" s="240"/>
      <c r="N125" s="240">
        <f t="shared" si="169"/>
        <v>2281.2065518567942</v>
      </c>
      <c r="O125" s="240">
        <f t="shared" si="169"/>
        <v>439.88324999999998</v>
      </c>
      <c r="P125" s="240">
        <f t="shared" si="169"/>
        <v>0</v>
      </c>
      <c r="Q125" s="240">
        <f t="shared" si="169"/>
        <v>0.1485264</v>
      </c>
      <c r="R125" s="240">
        <f t="shared" si="169"/>
        <v>0</v>
      </c>
      <c r="S125" s="240">
        <f t="shared" si="169"/>
        <v>2721.2383282567939</v>
      </c>
      <c r="T125" s="240"/>
      <c r="U125" s="240">
        <f t="shared" si="169"/>
        <v>2721.2383282567939</v>
      </c>
      <c r="V125" s="240">
        <f t="shared" si="169"/>
        <v>0</v>
      </c>
      <c r="W125" s="240">
        <f t="shared" si="169"/>
        <v>0</v>
      </c>
      <c r="X125" s="240">
        <f t="shared" si="169"/>
        <v>0</v>
      </c>
      <c r="Y125" s="240">
        <f t="shared" si="169"/>
        <v>0</v>
      </c>
      <c r="Z125" s="240">
        <f t="shared" si="169"/>
        <v>69.492180886161208</v>
      </c>
      <c r="AA125" s="240">
        <f t="shared" si="169"/>
        <v>2790.7305091429553</v>
      </c>
      <c r="AB125" s="240"/>
      <c r="AC125" s="241">
        <f t="shared" si="169"/>
        <v>2790.7305091429553</v>
      </c>
      <c r="AE125" s="166"/>
    </row>
    <row r="126" spans="1:31" s="92" customFormat="1" ht="15" customHeight="1">
      <c r="A126" s="188"/>
      <c r="B126" s="215" t="s">
        <v>753</v>
      </c>
      <c r="C126" s="217"/>
      <c r="D126" s="217"/>
      <c r="E126" s="207"/>
      <c r="F126" s="217"/>
      <c r="G126" s="218"/>
      <c r="H126" s="217"/>
      <c r="I126" s="217"/>
      <c r="J126" s="217"/>
      <c r="K126" s="217"/>
      <c r="L126" s="217"/>
      <c r="M126" s="217"/>
      <c r="N126" s="217"/>
      <c r="O126" s="217"/>
      <c r="P126" s="217"/>
      <c r="Q126" s="217"/>
      <c r="R126" s="217"/>
      <c r="S126" s="217"/>
      <c r="T126" s="217"/>
      <c r="U126" s="217"/>
      <c r="V126" s="217"/>
      <c r="W126" s="217"/>
      <c r="X126" s="217"/>
      <c r="Y126" s="217"/>
      <c r="Z126" s="217"/>
      <c r="AA126" s="217"/>
      <c r="AB126" s="217"/>
      <c r="AC126" s="219"/>
      <c r="AE126" s="166"/>
    </row>
    <row r="127" spans="1:31" ht="10.5" customHeight="1">
      <c r="A127" s="188"/>
      <c r="B127" s="236" t="s">
        <v>918</v>
      </c>
      <c r="C127" s="190">
        <f>'7|Total Rev Current'!C481</f>
        <v>0</v>
      </c>
      <c r="D127" s="203"/>
      <c r="E127" s="237"/>
      <c r="F127" s="237"/>
      <c r="G127" s="237"/>
      <c r="H127" s="194">
        <f>'7|Total Rev Current'!H481</f>
        <v>0</v>
      </c>
      <c r="I127" s="194"/>
      <c r="J127" s="194">
        <f>'7|Total Rev Current'!J481</f>
        <v>0</v>
      </c>
      <c r="K127" s="238"/>
      <c r="L127" s="194">
        <f t="shared" ref="L127:L137" si="170">D127+0.75</f>
        <v>0.75</v>
      </c>
      <c r="M127" s="238"/>
      <c r="N127" s="195">
        <f t="shared" ref="N127:N137" si="171">D127*H127/10</f>
        <v>0</v>
      </c>
      <c r="O127" s="196">
        <f t="shared" ref="O127:O137" si="172">IF(E127&gt;0,(J127*10^3*E127/10^7)+(K127*0.7457*E127/10^7),(K127*F127/10^7)+(J127*(10^3)*(1/0.7457)*F127/10^7))</f>
        <v>0</v>
      </c>
      <c r="P127" s="197"/>
      <c r="Q127" s="196">
        <f t="shared" ref="Q127:Q137" si="173">G127*C127*12/10^7</f>
        <v>0</v>
      </c>
      <c r="R127" s="197"/>
      <c r="S127" s="196">
        <f t="shared" ref="S127:S137" si="174">N127+O127+P127+Q127+R127</f>
        <v>0</v>
      </c>
      <c r="T127" s="238"/>
      <c r="U127" s="196">
        <f t="shared" ref="U127:U137" si="175">S127-T127</f>
        <v>0</v>
      </c>
      <c r="V127" s="238"/>
      <c r="W127" s="238"/>
      <c r="X127" s="238"/>
      <c r="Y127" s="238"/>
      <c r="Z127" s="198">
        <f>'7|Total Rev Current'!Z481</f>
        <v>0</v>
      </c>
      <c r="AA127" s="199">
        <f t="shared" ref="AA127:AA137" si="176">U127+Z127</f>
        <v>0</v>
      </c>
      <c r="AB127" s="200">
        <v>0</v>
      </c>
      <c r="AC127" s="201">
        <f t="shared" ref="AC127:AC137" si="177">(H127*AB127/10)+O127+Q127+P127+R127+Z127</f>
        <v>0</v>
      </c>
      <c r="AE127" s="166"/>
    </row>
    <row r="128" spans="1:31" ht="10.5" customHeight="1">
      <c r="A128" s="188"/>
      <c r="B128" s="236" t="s">
        <v>914</v>
      </c>
      <c r="C128" s="190">
        <f>'7|Total Rev Current'!C482</f>
        <v>0</v>
      </c>
      <c r="D128" s="203">
        <v>6.9</v>
      </c>
      <c r="E128" s="237">
        <v>5700</v>
      </c>
      <c r="F128" s="237"/>
      <c r="G128" s="237">
        <v>2813</v>
      </c>
      <c r="H128" s="194">
        <f>'7|Total Rev Current'!H482</f>
        <v>310.73912167420315</v>
      </c>
      <c r="I128" s="194"/>
      <c r="J128" s="194">
        <f>'7|Total Rev Current'!J482</f>
        <v>0</v>
      </c>
      <c r="K128" s="238"/>
      <c r="L128" s="194">
        <f t="shared" si="170"/>
        <v>7.65</v>
      </c>
      <c r="M128" s="238"/>
      <c r="N128" s="195">
        <f t="shared" si="171"/>
        <v>214.40999395520015</v>
      </c>
      <c r="O128" s="196">
        <f t="shared" si="172"/>
        <v>0</v>
      </c>
      <c r="P128" s="197"/>
      <c r="Q128" s="196">
        <f t="shared" si="173"/>
        <v>0</v>
      </c>
      <c r="R128" s="197"/>
      <c r="S128" s="196">
        <f t="shared" si="174"/>
        <v>214.40999395520015</v>
      </c>
      <c r="T128" s="238"/>
      <c r="U128" s="196">
        <f t="shared" si="175"/>
        <v>214.40999395520015</v>
      </c>
      <c r="V128" s="238"/>
      <c r="W128" s="238"/>
      <c r="X128" s="238"/>
      <c r="Y128" s="238"/>
      <c r="Z128" s="198">
        <f>'7|Total Rev Current'!Z482</f>
        <v>0</v>
      </c>
      <c r="AA128" s="199">
        <f t="shared" si="176"/>
        <v>214.40999395520015</v>
      </c>
      <c r="AB128" s="200">
        <v>6.9</v>
      </c>
      <c r="AC128" s="201">
        <f t="shared" si="177"/>
        <v>214.40999395520015</v>
      </c>
      <c r="AE128" s="166"/>
    </row>
    <row r="129" spans="1:31" ht="21">
      <c r="A129" s="188"/>
      <c r="B129" s="236" t="s">
        <v>915</v>
      </c>
      <c r="C129" s="190">
        <f>'7|Total Rev Current'!C483</f>
        <v>0</v>
      </c>
      <c r="D129" s="203">
        <v>4.6500000000000004</v>
      </c>
      <c r="E129" s="237">
        <v>5700</v>
      </c>
      <c r="F129" s="237"/>
      <c r="G129" s="237">
        <v>2813</v>
      </c>
      <c r="H129" s="194">
        <f>'7|Total Rev Current'!H483</f>
        <v>446.35051073648174</v>
      </c>
      <c r="I129" s="194"/>
      <c r="J129" s="194">
        <f>'7|Total Rev Current'!J483</f>
        <v>0</v>
      </c>
      <c r="K129" s="238">
        <f>K130+K131+K138+K145+K151</f>
        <v>0</v>
      </c>
      <c r="L129" s="194">
        <f t="shared" si="170"/>
        <v>5.4</v>
      </c>
      <c r="M129" s="238"/>
      <c r="N129" s="195">
        <f t="shared" si="171"/>
        <v>207.55298749246404</v>
      </c>
      <c r="O129" s="196">
        <f t="shared" si="172"/>
        <v>0</v>
      </c>
      <c r="P129" s="197"/>
      <c r="Q129" s="196">
        <f t="shared" si="173"/>
        <v>0</v>
      </c>
      <c r="R129" s="197"/>
      <c r="S129" s="196">
        <f t="shared" si="174"/>
        <v>207.55298749246404</v>
      </c>
      <c r="T129" s="238"/>
      <c r="U129" s="196">
        <f t="shared" si="175"/>
        <v>207.55298749246404</v>
      </c>
      <c r="V129" s="238"/>
      <c r="W129" s="238"/>
      <c r="X129" s="238"/>
      <c r="Y129" s="238"/>
      <c r="Z129" s="198">
        <f>'7|Total Rev Current'!Z483</f>
        <v>0</v>
      </c>
      <c r="AA129" s="199">
        <f t="shared" si="176"/>
        <v>207.55298749246404</v>
      </c>
      <c r="AB129" s="200">
        <v>4.6500000000000004</v>
      </c>
      <c r="AC129" s="201">
        <f t="shared" si="177"/>
        <v>207.55298749246404</v>
      </c>
      <c r="AE129" s="166"/>
    </row>
    <row r="130" spans="1:31" s="92" customFormat="1" ht="18" customHeight="1">
      <c r="A130" s="188"/>
      <c r="B130" s="236" t="s">
        <v>916</v>
      </c>
      <c r="C130" s="190">
        <f>'7|Total Rev Current'!C484</f>
        <v>33</v>
      </c>
      <c r="D130" s="203">
        <v>5.4</v>
      </c>
      <c r="E130" s="237">
        <v>5700</v>
      </c>
      <c r="F130" s="237"/>
      <c r="G130" s="237">
        <v>2813</v>
      </c>
      <c r="H130" s="194">
        <f>'7|Total Rev Current'!H484</f>
        <v>149.89926750540664</v>
      </c>
      <c r="I130" s="194"/>
      <c r="J130" s="194">
        <f>'7|Total Rev Current'!J484</f>
        <v>440.32499999999993</v>
      </c>
      <c r="K130" s="238"/>
      <c r="L130" s="194">
        <f t="shared" si="170"/>
        <v>6.15</v>
      </c>
      <c r="M130" s="238"/>
      <c r="N130" s="195">
        <f t="shared" si="171"/>
        <v>80.945604452919582</v>
      </c>
      <c r="O130" s="196">
        <f t="shared" si="172"/>
        <v>250.98524999999995</v>
      </c>
      <c r="P130" s="197"/>
      <c r="Q130" s="196">
        <f t="shared" si="173"/>
        <v>0.1113948</v>
      </c>
      <c r="R130" s="197"/>
      <c r="S130" s="196">
        <f t="shared" si="174"/>
        <v>332.04224925291959</v>
      </c>
      <c r="T130" s="238"/>
      <c r="U130" s="196">
        <f t="shared" si="175"/>
        <v>332.04224925291959</v>
      </c>
      <c r="V130" s="238"/>
      <c r="W130" s="238"/>
      <c r="X130" s="238"/>
      <c r="Y130" s="238"/>
      <c r="Z130" s="198">
        <f>'7|Total Rev Current'!Z484</f>
        <v>29.503411175318647</v>
      </c>
      <c r="AA130" s="199">
        <f t="shared" si="176"/>
        <v>361.54566042823825</v>
      </c>
      <c r="AB130" s="200">
        <v>5.4</v>
      </c>
      <c r="AC130" s="201">
        <f t="shared" si="177"/>
        <v>361.54566042823825</v>
      </c>
      <c r="AE130" s="166"/>
    </row>
    <row r="131" spans="1:31" s="92" customFormat="1" ht="21">
      <c r="A131" s="188"/>
      <c r="B131" s="236" t="s">
        <v>917</v>
      </c>
      <c r="C131" s="190">
        <f>'7|Total Rev Current'!C485</f>
        <v>0</v>
      </c>
      <c r="D131" s="203"/>
      <c r="E131" s="237"/>
      <c r="F131" s="237"/>
      <c r="G131" s="237"/>
      <c r="H131" s="194">
        <f>'7|Total Rev Current'!H485</f>
        <v>0</v>
      </c>
      <c r="I131" s="194"/>
      <c r="J131" s="194">
        <f>'7|Total Rev Current'!J485</f>
        <v>0</v>
      </c>
      <c r="K131" s="238">
        <f>SUM(K132:K137)</f>
        <v>0</v>
      </c>
      <c r="L131" s="194">
        <f t="shared" si="170"/>
        <v>0.75</v>
      </c>
      <c r="M131" s="238"/>
      <c r="N131" s="195">
        <f t="shared" si="171"/>
        <v>0</v>
      </c>
      <c r="O131" s="196">
        <f t="shared" si="172"/>
        <v>0</v>
      </c>
      <c r="P131" s="197"/>
      <c r="Q131" s="196">
        <f t="shared" si="173"/>
        <v>0</v>
      </c>
      <c r="R131" s="197"/>
      <c r="S131" s="196">
        <f t="shared" si="174"/>
        <v>0</v>
      </c>
      <c r="T131" s="238"/>
      <c r="U131" s="196">
        <f t="shared" si="175"/>
        <v>0</v>
      </c>
      <c r="V131" s="238"/>
      <c r="W131" s="238"/>
      <c r="X131" s="238"/>
      <c r="Y131" s="238"/>
      <c r="Z131" s="198">
        <f>'7|Total Rev Current'!Z485</f>
        <v>0</v>
      </c>
      <c r="AA131" s="199">
        <f t="shared" si="176"/>
        <v>0</v>
      </c>
      <c r="AB131" s="200">
        <v>0</v>
      </c>
      <c r="AC131" s="201">
        <f t="shared" si="177"/>
        <v>0</v>
      </c>
      <c r="AE131" s="166"/>
    </row>
    <row r="132" spans="1:31" ht="12.75" customHeight="1">
      <c r="A132" s="188"/>
      <c r="B132" s="236" t="s">
        <v>914</v>
      </c>
      <c r="C132" s="190">
        <f>'7|Total Rev Current'!C486</f>
        <v>0</v>
      </c>
      <c r="D132" s="203">
        <v>6.4</v>
      </c>
      <c r="E132" s="237">
        <v>5700</v>
      </c>
      <c r="F132" s="237"/>
      <c r="G132" s="237">
        <v>2813</v>
      </c>
      <c r="H132" s="194">
        <f>'7|Total Rev Current'!H486</f>
        <v>314.9883816577568</v>
      </c>
      <c r="I132" s="194"/>
      <c r="J132" s="194">
        <f>'7|Total Rev Current'!J486</f>
        <v>0</v>
      </c>
      <c r="K132" s="238"/>
      <c r="L132" s="194">
        <f t="shared" si="170"/>
        <v>7.15</v>
      </c>
      <c r="M132" s="238"/>
      <c r="N132" s="195">
        <f t="shared" si="171"/>
        <v>201.59256426096437</v>
      </c>
      <c r="O132" s="196">
        <f t="shared" si="172"/>
        <v>0</v>
      </c>
      <c r="P132" s="197"/>
      <c r="Q132" s="196">
        <f t="shared" si="173"/>
        <v>0</v>
      </c>
      <c r="R132" s="197"/>
      <c r="S132" s="196">
        <f t="shared" si="174"/>
        <v>201.59256426096437</v>
      </c>
      <c r="T132" s="238"/>
      <c r="U132" s="196">
        <f t="shared" si="175"/>
        <v>201.59256426096437</v>
      </c>
      <c r="V132" s="238"/>
      <c r="W132" s="238"/>
      <c r="X132" s="238"/>
      <c r="Y132" s="238"/>
      <c r="Z132" s="198">
        <f>'7|Total Rev Current'!Z486</f>
        <v>0</v>
      </c>
      <c r="AA132" s="199">
        <f t="shared" si="176"/>
        <v>201.59256426096437</v>
      </c>
      <c r="AB132" s="200">
        <v>6.4</v>
      </c>
      <c r="AC132" s="201">
        <f t="shared" si="177"/>
        <v>201.59256426096437</v>
      </c>
      <c r="AE132" s="166"/>
    </row>
    <row r="133" spans="1:31" ht="12.75" customHeight="1">
      <c r="A133" s="188"/>
      <c r="B133" s="236" t="s">
        <v>915</v>
      </c>
      <c r="C133" s="190">
        <f>'7|Total Rev Current'!C487</f>
        <v>0</v>
      </c>
      <c r="D133" s="203">
        <v>4.6500000000000004</v>
      </c>
      <c r="E133" s="237">
        <v>5700</v>
      </c>
      <c r="F133" s="237"/>
      <c r="G133" s="237">
        <v>2813</v>
      </c>
      <c r="H133" s="194">
        <f>'7|Total Rev Current'!H487</f>
        <v>452.32771107116832</v>
      </c>
      <c r="I133" s="194"/>
      <c r="J133" s="194">
        <f>'7|Total Rev Current'!J487</f>
        <v>0</v>
      </c>
      <c r="K133" s="238"/>
      <c r="L133" s="194">
        <f t="shared" si="170"/>
        <v>5.4</v>
      </c>
      <c r="M133" s="238"/>
      <c r="N133" s="195">
        <f t="shared" si="171"/>
        <v>210.33238564809329</v>
      </c>
      <c r="O133" s="196">
        <f t="shared" si="172"/>
        <v>0</v>
      </c>
      <c r="P133" s="197"/>
      <c r="Q133" s="196">
        <f t="shared" si="173"/>
        <v>0</v>
      </c>
      <c r="R133" s="197"/>
      <c r="S133" s="196">
        <f t="shared" si="174"/>
        <v>210.33238564809329</v>
      </c>
      <c r="T133" s="238"/>
      <c r="U133" s="196">
        <f t="shared" si="175"/>
        <v>210.33238564809329</v>
      </c>
      <c r="V133" s="238"/>
      <c r="W133" s="238"/>
      <c r="X133" s="238"/>
      <c r="Y133" s="238"/>
      <c r="Z133" s="198">
        <f>'7|Total Rev Current'!Z487</f>
        <v>0</v>
      </c>
      <c r="AA133" s="199">
        <f t="shared" si="176"/>
        <v>210.33238564809329</v>
      </c>
      <c r="AB133" s="200">
        <v>4.6500000000000004</v>
      </c>
      <c r="AC133" s="201">
        <f t="shared" si="177"/>
        <v>210.33238564809329</v>
      </c>
      <c r="AE133" s="166"/>
    </row>
    <row r="134" spans="1:31" ht="12.75" customHeight="1">
      <c r="A134" s="188"/>
      <c r="B134" s="236" t="s">
        <v>916</v>
      </c>
      <c r="C134" s="190">
        <f>'7|Total Rev Current'!C488</f>
        <v>0</v>
      </c>
      <c r="D134" s="203">
        <v>5.4</v>
      </c>
      <c r="E134" s="237">
        <v>5700</v>
      </c>
      <c r="F134" s="237"/>
      <c r="G134" s="237">
        <v>2813</v>
      </c>
      <c r="H134" s="194">
        <f>'7|Total Rev Current'!H488</f>
        <v>157.44389693880524</v>
      </c>
      <c r="I134" s="194"/>
      <c r="J134" s="194">
        <f>'7|Total Rev Current'!J488</f>
        <v>0</v>
      </c>
      <c r="K134" s="238"/>
      <c r="L134" s="194">
        <f t="shared" si="170"/>
        <v>6.15</v>
      </c>
      <c r="M134" s="238"/>
      <c r="N134" s="195">
        <f t="shared" si="171"/>
        <v>85.019704346954839</v>
      </c>
      <c r="O134" s="196">
        <f t="shared" si="172"/>
        <v>0</v>
      </c>
      <c r="P134" s="197"/>
      <c r="Q134" s="196">
        <f t="shared" si="173"/>
        <v>0</v>
      </c>
      <c r="R134" s="197"/>
      <c r="S134" s="196">
        <f t="shared" si="174"/>
        <v>85.019704346954839</v>
      </c>
      <c r="T134" s="238"/>
      <c r="U134" s="196">
        <f t="shared" si="175"/>
        <v>85.019704346954839</v>
      </c>
      <c r="V134" s="238"/>
      <c r="W134" s="238"/>
      <c r="X134" s="238"/>
      <c r="Y134" s="238"/>
      <c r="Z134" s="198">
        <f>'7|Total Rev Current'!Z488</f>
        <v>0</v>
      </c>
      <c r="AA134" s="199">
        <f t="shared" si="176"/>
        <v>85.019704346954839</v>
      </c>
      <c r="AB134" s="200">
        <v>5.4</v>
      </c>
      <c r="AC134" s="201">
        <f t="shared" si="177"/>
        <v>85.019704346954839</v>
      </c>
      <c r="AE134" s="166"/>
    </row>
    <row r="135" spans="1:31" ht="12.75" customHeight="1">
      <c r="A135" s="188"/>
      <c r="B135" s="236" t="s">
        <v>592</v>
      </c>
      <c r="C135" s="190">
        <f>'7|Total Rev Current'!C489</f>
        <v>0</v>
      </c>
      <c r="D135" s="203">
        <v>7</v>
      </c>
      <c r="E135" s="237">
        <v>0</v>
      </c>
      <c r="F135" s="237"/>
      <c r="G135" s="237"/>
      <c r="H135" s="194">
        <f>'7|Total Rev Current'!H489</f>
        <v>38.219270247338699</v>
      </c>
      <c r="I135" s="194"/>
      <c r="J135" s="194">
        <f>'7|Total Rev Current'!J489</f>
        <v>0</v>
      </c>
      <c r="K135" s="238"/>
      <c r="L135" s="194">
        <f t="shared" si="170"/>
        <v>7.75</v>
      </c>
      <c r="M135" s="238"/>
      <c r="N135" s="195">
        <f t="shared" si="171"/>
        <v>26.753489173137087</v>
      </c>
      <c r="O135" s="196">
        <f t="shared" si="172"/>
        <v>0</v>
      </c>
      <c r="P135" s="197"/>
      <c r="Q135" s="196">
        <f t="shared" si="173"/>
        <v>0</v>
      </c>
      <c r="R135" s="197"/>
      <c r="S135" s="196">
        <f t="shared" si="174"/>
        <v>26.753489173137087</v>
      </c>
      <c r="T135" s="238"/>
      <c r="U135" s="196">
        <f t="shared" si="175"/>
        <v>26.753489173137087</v>
      </c>
      <c r="V135" s="238"/>
      <c r="W135" s="238"/>
      <c r="X135" s="238"/>
      <c r="Y135" s="238"/>
      <c r="Z135" s="198">
        <f>'7|Total Rev Current'!Z489</f>
        <v>0</v>
      </c>
      <c r="AA135" s="199">
        <f t="shared" si="176"/>
        <v>26.753489173137087</v>
      </c>
      <c r="AB135" s="200">
        <v>7</v>
      </c>
      <c r="AC135" s="201">
        <f t="shared" si="177"/>
        <v>26.753489173137087</v>
      </c>
      <c r="AE135" s="166"/>
    </row>
    <row r="136" spans="1:31" ht="12.75" customHeight="1">
      <c r="A136" s="188"/>
      <c r="B136" s="251" t="s">
        <v>754</v>
      </c>
      <c r="C136" s="190">
        <f>'7|Total Rev Current'!C490</f>
        <v>0</v>
      </c>
      <c r="D136" s="217">
        <v>6.7</v>
      </c>
      <c r="E136" s="207">
        <v>5700</v>
      </c>
      <c r="F136" s="217"/>
      <c r="G136" s="218">
        <v>2813</v>
      </c>
      <c r="H136" s="194">
        <f>'7|Total Rev Current'!H490</f>
        <v>0</v>
      </c>
      <c r="I136" s="194"/>
      <c r="J136" s="194">
        <f>'7|Total Rev Current'!J490</f>
        <v>0</v>
      </c>
      <c r="K136" s="217"/>
      <c r="L136" s="194">
        <f t="shared" si="170"/>
        <v>7.45</v>
      </c>
      <c r="M136" s="217"/>
      <c r="N136" s="195">
        <f t="shared" si="171"/>
        <v>0</v>
      </c>
      <c r="O136" s="196">
        <f t="shared" si="172"/>
        <v>0</v>
      </c>
      <c r="P136" s="197"/>
      <c r="Q136" s="196">
        <f t="shared" si="173"/>
        <v>0</v>
      </c>
      <c r="R136" s="197"/>
      <c r="S136" s="196">
        <f t="shared" si="174"/>
        <v>0</v>
      </c>
      <c r="T136" s="217"/>
      <c r="U136" s="196">
        <f t="shared" si="175"/>
        <v>0</v>
      </c>
      <c r="V136" s="217"/>
      <c r="W136" s="217"/>
      <c r="X136" s="217"/>
      <c r="Y136" s="217"/>
      <c r="Z136" s="198">
        <f>'7|Total Rev Current'!Z490</f>
        <v>0</v>
      </c>
      <c r="AA136" s="199">
        <f t="shared" si="176"/>
        <v>0</v>
      </c>
      <c r="AB136" s="200">
        <v>6.7</v>
      </c>
      <c r="AC136" s="201">
        <f t="shared" si="177"/>
        <v>0</v>
      </c>
      <c r="AE136" s="166"/>
    </row>
    <row r="137" spans="1:31" s="242" customFormat="1" ht="12.75" customHeight="1">
      <c r="A137" s="256"/>
      <c r="B137" s="215" t="s">
        <v>755</v>
      </c>
      <c r="C137" s="190">
        <f>'7|Total Rev Current'!C491</f>
        <v>11</v>
      </c>
      <c r="D137" s="217">
        <v>4.95</v>
      </c>
      <c r="E137" s="207">
        <v>5700</v>
      </c>
      <c r="F137" s="217"/>
      <c r="G137" s="218">
        <v>2813</v>
      </c>
      <c r="H137" s="194">
        <f>'7|Total Rev Current'!H491</f>
        <v>2534.5450960142639</v>
      </c>
      <c r="I137" s="194"/>
      <c r="J137" s="194">
        <f>'7|Total Rev Current'!J491</f>
        <v>331.4</v>
      </c>
      <c r="K137" s="228"/>
      <c r="L137" s="194">
        <f t="shared" si="170"/>
        <v>5.7</v>
      </c>
      <c r="M137" s="228"/>
      <c r="N137" s="195">
        <f t="shared" si="171"/>
        <v>1254.5998225270607</v>
      </c>
      <c r="O137" s="196">
        <f t="shared" si="172"/>
        <v>188.898</v>
      </c>
      <c r="P137" s="228"/>
      <c r="Q137" s="196">
        <f t="shared" si="173"/>
        <v>3.7131600000000001E-2</v>
      </c>
      <c r="R137" s="228"/>
      <c r="S137" s="196">
        <f t="shared" si="174"/>
        <v>1443.5349541270607</v>
      </c>
      <c r="T137" s="217"/>
      <c r="U137" s="258">
        <f t="shared" si="175"/>
        <v>1443.5349541270607</v>
      </c>
      <c r="V137" s="217"/>
      <c r="W137" s="217"/>
      <c r="X137" s="217"/>
      <c r="Y137" s="217"/>
      <c r="Z137" s="198">
        <f>'7|Total Rev Current'!Z491</f>
        <v>39.988769710842561</v>
      </c>
      <c r="AA137" s="199">
        <f t="shared" si="176"/>
        <v>1483.5237238379032</v>
      </c>
      <c r="AB137" s="200">
        <v>4.95</v>
      </c>
      <c r="AC137" s="201">
        <f t="shared" si="177"/>
        <v>1483.5237238379032</v>
      </c>
      <c r="AE137" s="166"/>
    </row>
    <row r="138" spans="1:31" s="92" customFormat="1" ht="15" customHeight="1">
      <c r="A138" s="188"/>
      <c r="B138" s="239" t="s">
        <v>751</v>
      </c>
      <c r="C138" s="250">
        <f>SUM(C139:C142)</f>
        <v>21</v>
      </c>
      <c r="D138" s="240"/>
      <c r="E138" s="240"/>
      <c r="F138" s="240"/>
      <c r="G138" s="240"/>
      <c r="H138" s="240">
        <f>SUM(H139:H142)</f>
        <v>1002.4210409497232</v>
      </c>
      <c r="I138" s="240">
        <f t="shared" ref="I138:AC138" si="178">SUM(I139:I142)</f>
        <v>0</v>
      </c>
      <c r="J138" s="240">
        <f t="shared" si="178"/>
        <v>317.50299999999993</v>
      </c>
      <c r="K138" s="240">
        <f t="shared" si="178"/>
        <v>0</v>
      </c>
      <c r="L138" s="240"/>
      <c r="M138" s="240"/>
      <c r="N138" s="240">
        <f t="shared" si="178"/>
        <v>651.57367661732007</v>
      </c>
      <c r="O138" s="240">
        <f t="shared" si="178"/>
        <v>133.35125999999997</v>
      </c>
      <c r="P138" s="240">
        <f t="shared" si="178"/>
        <v>0</v>
      </c>
      <c r="Q138" s="240">
        <f t="shared" si="178"/>
        <v>7.0887599999999995E-2</v>
      </c>
      <c r="R138" s="240">
        <f t="shared" si="178"/>
        <v>0</v>
      </c>
      <c r="S138" s="240">
        <f t="shared" si="178"/>
        <v>784.99582421732009</v>
      </c>
      <c r="T138" s="240"/>
      <c r="U138" s="240">
        <f t="shared" si="178"/>
        <v>784.99582421732009</v>
      </c>
      <c r="V138" s="240">
        <f t="shared" si="178"/>
        <v>0</v>
      </c>
      <c r="W138" s="240">
        <f t="shared" si="178"/>
        <v>0</v>
      </c>
      <c r="X138" s="240">
        <f t="shared" si="178"/>
        <v>0</v>
      </c>
      <c r="Y138" s="240">
        <f t="shared" si="178"/>
        <v>0</v>
      </c>
      <c r="Z138" s="240">
        <f t="shared" si="178"/>
        <v>15.815691826860265</v>
      </c>
      <c r="AA138" s="240">
        <f t="shared" si="178"/>
        <v>800.81151604418039</v>
      </c>
      <c r="AB138" s="240"/>
      <c r="AC138" s="241">
        <f t="shared" si="178"/>
        <v>800.81151604418039</v>
      </c>
      <c r="AE138" s="166"/>
    </row>
    <row r="139" spans="1:31" ht="24.75" customHeight="1">
      <c r="A139" s="188"/>
      <c r="B139" s="236" t="s">
        <v>756</v>
      </c>
      <c r="C139" s="190">
        <f>'7|Total Rev Current'!C493</f>
        <v>0</v>
      </c>
      <c r="D139" s="203">
        <v>6.7</v>
      </c>
      <c r="E139" s="237">
        <v>5700</v>
      </c>
      <c r="F139" s="237"/>
      <c r="G139" s="237">
        <v>2813</v>
      </c>
      <c r="H139" s="194">
        <f>'7|Total Rev Current'!H493</f>
        <v>0</v>
      </c>
      <c r="I139" s="194"/>
      <c r="J139" s="194">
        <f>'7|Total Rev Current'!J493</f>
        <v>0</v>
      </c>
      <c r="K139" s="238"/>
      <c r="L139" s="194">
        <f t="shared" ref="L139:L142" si="179">D139+0.75</f>
        <v>7.45</v>
      </c>
      <c r="M139" s="238"/>
      <c r="N139" s="195">
        <f t="shared" ref="N139:N142" si="180">D139*H139/10</f>
        <v>0</v>
      </c>
      <c r="O139" s="196">
        <f t="shared" ref="O139:O142" si="181">IF(E139&gt;0,(J139*10^3*E139/10^7)+(K139*0.7457*E139/10^7),(K139*F139/10^7)+(J139*(10^3)*(1/0.7457)*F139/10^7))</f>
        <v>0</v>
      </c>
      <c r="P139" s="197"/>
      <c r="Q139" s="196">
        <f t="shared" ref="Q139:Q142" si="182">G139*C139*12/10^7</f>
        <v>0</v>
      </c>
      <c r="R139" s="197"/>
      <c r="S139" s="196">
        <f t="shared" ref="S139:S142" si="183">N139+O139+P139+Q139+R139</f>
        <v>0</v>
      </c>
      <c r="T139" s="238"/>
      <c r="U139" s="196">
        <f t="shared" ref="U139:U142" si="184">S139-T139</f>
        <v>0</v>
      </c>
      <c r="V139" s="238"/>
      <c r="W139" s="238"/>
      <c r="X139" s="238"/>
      <c r="Y139" s="238"/>
      <c r="Z139" s="198">
        <f>'7|Total Rev Current'!Z493</f>
        <v>0</v>
      </c>
      <c r="AA139" s="199">
        <f t="shared" ref="AA139:AA142" si="185">U139+Z139</f>
        <v>0</v>
      </c>
      <c r="AB139" s="200">
        <v>6.7</v>
      </c>
      <c r="AC139" s="201">
        <f t="shared" ref="AC139:AC142" si="186">(H139*AB139/10)+O139+Q139+P139+R139+Z139</f>
        <v>0</v>
      </c>
      <c r="AE139" s="166"/>
    </row>
    <row r="140" spans="1:31" ht="12.75" customHeight="1">
      <c r="A140" s="188"/>
      <c r="B140" s="236" t="s">
        <v>757</v>
      </c>
      <c r="C140" s="190">
        <f>'7|Total Rev Current'!C494</f>
        <v>0</v>
      </c>
      <c r="D140" s="203">
        <v>7</v>
      </c>
      <c r="E140" s="237">
        <v>5700</v>
      </c>
      <c r="F140" s="237"/>
      <c r="G140" s="237">
        <v>2813</v>
      </c>
      <c r="H140" s="194">
        <f>'7|Total Rev Current'!H494</f>
        <v>0</v>
      </c>
      <c r="I140" s="194"/>
      <c r="J140" s="194">
        <f>'7|Total Rev Current'!J494</f>
        <v>0</v>
      </c>
      <c r="K140" s="238"/>
      <c r="L140" s="194">
        <f t="shared" si="179"/>
        <v>7.75</v>
      </c>
      <c r="M140" s="238"/>
      <c r="N140" s="195">
        <f t="shared" si="180"/>
        <v>0</v>
      </c>
      <c r="O140" s="196">
        <f t="shared" si="181"/>
        <v>0</v>
      </c>
      <c r="P140" s="197"/>
      <c r="Q140" s="196">
        <f t="shared" si="182"/>
        <v>0</v>
      </c>
      <c r="R140" s="197"/>
      <c r="S140" s="196">
        <f t="shared" si="183"/>
        <v>0</v>
      </c>
      <c r="T140" s="238"/>
      <c r="U140" s="196">
        <f t="shared" si="184"/>
        <v>0</v>
      </c>
      <c r="V140" s="238"/>
      <c r="W140" s="238"/>
      <c r="X140" s="238"/>
      <c r="Y140" s="238"/>
      <c r="Z140" s="198">
        <f>'7|Total Rev Current'!Z494</f>
        <v>0</v>
      </c>
      <c r="AA140" s="199">
        <f t="shared" si="185"/>
        <v>0</v>
      </c>
      <c r="AB140" s="200">
        <v>7</v>
      </c>
      <c r="AC140" s="201">
        <f t="shared" si="186"/>
        <v>0</v>
      </c>
      <c r="AE140" s="166"/>
    </row>
    <row r="141" spans="1:31" ht="12.75" customHeight="1">
      <c r="A141" s="188"/>
      <c r="B141" s="236" t="s">
        <v>758</v>
      </c>
      <c r="C141" s="190">
        <f>'7|Total Rev Current'!C495</f>
        <v>0</v>
      </c>
      <c r="D141" s="203">
        <v>5</v>
      </c>
      <c r="E141" s="237">
        <v>360</v>
      </c>
      <c r="F141" s="237"/>
      <c r="G141" s="237">
        <v>2813</v>
      </c>
      <c r="H141" s="194">
        <f>'7|Total Rev Current'!H495</f>
        <v>0</v>
      </c>
      <c r="I141" s="194"/>
      <c r="J141" s="194">
        <f>'7|Total Rev Current'!J495</f>
        <v>0</v>
      </c>
      <c r="K141" s="238"/>
      <c r="L141" s="194">
        <f t="shared" si="179"/>
        <v>5.75</v>
      </c>
      <c r="M141" s="238"/>
      <c r="N141" s="195">
        <f t="shared" si="180"/>
        <v>0</v>
      </c>
      <c r="O141" s="196">
        <f t="shared" si="181"/>
        <v>0</v>
      </c>
      <c r="P141" s="197"/>
      <c r="Q141" s="196">
        <f t="shared" si="182"/>
        <v>0</v>
      </c>
      <c r="R141" s="197"/>
      <c r="S141" s="196">
        <f t="shared" si="183"/>
        <v>0</v>
      </c>
      <c r="T141" s="238"/>
      <c r="U141" s="196">
        <f t="shared" si="184"/>
        <v>0</v>
      </c>
      <c r="V141" s="238"/>
      <c r="W141" s="238"/>
      <c r="X141" s="238"/>
      <c r="Y141" s="238"/>
      <c r="Z141" s="198">
        <f>'7|Total Rev Current'!Z495</f>
        <v>0</v>
      </c>
      <c r="AA141" s="199">
        <f t="shared" si="185"/>
        <v>0</v>
      </c>
      <c r="AB141" s="200">
        <v>5</v>
      </c>
      <c r="AC141" s="201">
        <f t="shared" si="186"/>
        <v>0</v>
      </c>
      <c r="AE141" s="166"/>
    </row>
    <row r="142" spans="1:31" ht="12.75" customHeight="1">
      <c r="A142" s="188"/>
      <c r="B142" s="236" t="s">
        <v>759</v>
      </c>
      <c r="C142" s="190">
        <f>'7|Total Rev Current'!C496</f>
        <v>21</v>
      </c>
      <c r="D142" s="238">
        <f>5.5+1</f>
        <v>6.5</v>
      </c>
      <c r="E142" s="237">
        <f>350*12</f>
        <v>4200</v>
      </c>
      <c r="F142" s="237"/>
      <c r="G142" s="237">
        <v>2813</v>
      </c>
      <c r="H142" s="194">
        <f>'7|Total Rev Current'!H496</f>
        <v>1002.4210409497232</v>
      </c>
      <c r="I142" s="194"/>
      <c r="J142" s="194">
        <f>'7|Total Rev Current'!J496</f>
        <v>317.50299999999993</v>
      </c>
      <c r="K142" s="238"/>
      <c r="L142" s="194">
        <f t="shared" si="179"/>
        <v>7.25</v>
      </c>
      <c r="M142" s="238"/>
      <c r="N142" s="195">
        <f t="shared" si="180"/>
        <v>651.57367661732007</v>
      </c>
      <c r="O142" s="196">
        <f t="shared" si="181"/>
        <v>133.35125999999997</v>
      </c>
      <c r="P142" s="197"/>
      <c r="Q142" s="196">
        <f t="shared" si="182"/>
        <v>7.0887599999999995E-2</v>
      </c>
      <c r="R142" s="197"/>
      <c r="S142" s="196">
        <f t="shared" si="183"/>
        <v>784.99582421732009</v>
      </c>
      <c r="T142" s="238"/>
      <c r="U142" s="196">
        <f t="shared" si="184"/>
        <v>784.99582421732009</v>
      </c>
      <c r="V142" s="238"/>
      <c r="W142" s="238"/>
      <c r="X142" s="238"/>
      <c r="Y142" s="238"/>
      <c r="Z142" s="198">
        <f>'7|Total Rev Current'!Z496</f>
        <v>15.815691826860265</v>
      </c>
      <c r="AA142" s="199">
        <f t="shared" si="185"/>
        <v>800.81151604418039</v>
      </c>
      <c r="AB142" s="200">
        <v>6.5</v>
      </c>
      <c r="AC142" s="201">
        <f t="shared" si="186"/>
        <v>800.81151604418039</v>
      </c>
      <c r="AE142" s="166"/>
    </row>
    <row r="143" spans="1:31" ht="12.75" customHeight="1">
      <c r="A143" s="188"/>
      <c r="B143" s="239" t="s">
        <v>752</v>
      </c>
      <c r="C143" s="250">
        <f>C144+C145</f>
        <v>2</v>
      </c>
      <c r="D143" s="240"/>
      <c r="E143" s="240"/>
      <c r="F143" s="240"/>
      <c r="G143" s="240"/>
      <c r="H143" s="240">
        <f>H144+H145</f>
        <v>0</v>
      </c>
      <c r="I143" s="240">
        <f t="shared" ref="I143:AC143" si="187">I144+I145</f>
        <v>0</v>
      </c>
      <c r="J143" s="240">
        <f t="shared" si="187"/>
        <v>0</v>
      </c>
      <c r="K143" s="240">
        <f t="shared" si="187"/>
        <v>0</v>
      </c>
      <c r="L143" s="240"/>
      <c r="M143" s="240"/>
      <c r="N143" s="240">
        <f t="shared" si="187"/>
        <v>0</v>
      </c>
      <c r="O143" s="240">
        <f t="shared" si="187"/>
        <v>0</v>
      </c>
      <c r="P143" s="240">
        <f t="shared" si="187"/>
        <v>0</v>
      </c>
      <c r="Q143" s="240">
        <f t="shared" si="187"/>
        <v>6.7511999999999997E-3</v>
      </c>
      <c r="R143" s="240">
        <f t="shared" si="187"/>
        <v>0</v>
      </c>
      <c r="S143" s="240">
        <f t="shared" si="187"/>
        <v>6.7511999999999997E-3</v>
      </c>
      <c r="T143" s="240">
        <f t="shared" si="187"/>
        <v>0</v>
      </c>
      <c r="U143" s="240">
        <f t="shared" si="187"/>
        <v>6.7511999999999997E-3</v>
      </c>
      <c r="V143" s="240">
        <f t="shared" si="187"/>
        <v>0</v>
      </c>
      <c r="W143" s="240">
        <f t="shared" si="187"/>
        <v>0</v>
      </c>
      <c r="X143" s="240">
        <f t="shared" si="187"/>
        <v>0</v>
      </c>
      <c r="Y143" s="240">
        <f t="shared" si="187"/>
        <v>0</v>
      </c>
      <c r="Z143" s="240">
        <f t="shared" si="187"/>
        <v>0</v>
      </c>
      <c r="AA143" s="240">
        <f t="shared" si="187"/>
        <v>6.7511999999999997E-3</v>
      </c>
      <c r="AB143" s="240"/>
      <c r="AC143" s="241">
        <f t="shared" si="187"/>
        <v>6.7511999999999997E-3</v>
      </c>
      <c r="AE143" s="166"/>
    </row>
    <row r="144" spans="1:31" ht="23.25" customHeight="1">
      <c r="A144" s="188"/>
      <c r="B144" s="236" t="s">
        <v>760</v>
      </c>
      <c r="C144" s="190">
        <f>'7|Total Rev Current'!C498</f>
        <v>0</v>
      </c>
      <c r="D144" s="203">
        <v>3.85</v>
      </c>
      <c r="E144" s="237">
        <v>360</v>
      </c>
      <c r="F144" s="237"/>
      <c r="G144" s="237">
        <v>2813</v>
      </c>
      <c r="H144" s="194">
        <f>'7|Total Rev Current'!H498</f>
        <v>0</v>
      </c>
      <c r="I144" s="194"/>
      <c r="J144" s="194">
        <f>'7|Total Rev Current'!J498</f>
        <v>0</v>
      </c>
      <c r="K144" s="238"/>
      <c r="L144" s="194">
        <f t="shared" ref="L144:L145" si="188">D144+0.75</f>
        <v>4.5999999999999996</v>
      </c>
      <c r="M144" s="238"/>
      <c r="N144" s="195">
        <f t="shared" ref="N144:N145" si="189">D144*H144/10</f>
        <v>0</v>
      </c>
      <c r="O144" s="196">
        <f t="shared" ref="O144:O145" si="190">IF(E144&gt;0,(J144*10^3*E144/10^7)+(K144*0.7457*E144/10^7),(K144*F144/10^7)+(J144*(10^3)*(1/0.7457)*F144/10^7))</f>
        <v>0</v>
      </c>
      <c r="P144" s="197"/>
      <c r="Q144" s="196">
        <f t="shared" ref="Q144:Q145" si="191">G144*C144*12/10^7</f>
        <v>0</v>
      </c>
      <c r="R144" s="197"/>
      <c r="S144" s="196">
        <f t="shared" ref="S144:S145" si="192">N144+O144+P144+Q144+R144</f>
        <v>0</v>
      </c>
      <c r="T144" s="238"/>
      <c r="U144" s="196">
        <f t="shared" ref="U144:U145" si="193">S144-T144</f>
        <v>0</v>
      </c>
      <c r="V144" s="238"/>
      <c r="W144" s="238"/>
      <c r="X144" s="238"/>
      <c r="Y144" s="238"/>
      <c r="Z144" s="198">
        <f>'7|Total Rev Current'!Z498</f>
        <v>0</v>
      </c>
      <c r="AA144" s="199">
        <f t="shared" ref="AA144:AA145" si="194">U144+Z144</f>
        <v>0</v>
      </c>
      <c r="AB144" s="200">
        <v>3.85</v>
      </c>
      <c r="AC144" s="201">
        <f t="shared" ref="AC144:AC145" si="195">(H144*AB144/10)+O144+Q144+P144+R144+Z144</f>
        <v>0</v>
      </c>
      <c r="AE144" s="166"/>
    </row>
    <row r="145" spans="1:31" s="92" customFormat="1" ht="27" customHeight="1">
      <c r="A145" s="188"/>
      <c r="B145" s="236" t="s">
        <v>761</v>
      </c>
      <c r="C145" s="190">
        <f>'7|Total Rev Current'!C499</f>
        <v>2</v>
      </c>
      <c r="D145" s="203">
        <v>7.15</v>
      </c>
      <c r="E145" s="237">
        <v>0</v>
      </c>
      <c r="F145" s="237"/>
      <c r="G145" s="237">
        <v>2813</v>
      </c>
      <c r="H145" s="194">
        <f>'7|Total Rev Current'!H499</f>
        <v>0</v>
      </c>
      <c r="I145" s="194"/>
      <c r="J145" s="194">
        <f>'7|Total Rev Current'!J499</f>
        <v>0</v>
      </c>
      <c r="K145" s="238">
        <f>SUM(K147:K150)</f>
        <v>0</v>
      </c>
      <c r="L145" s="194">
        <f t="shared" si="188"/>
        <v>7.9</v>
      </c>
      <c r="M145" s="238"/>
      <c r="N145" s="195">
        <f t="shared" si="189"/>
        <v>0</v>
      </c>
      <c r="O145" s="196">
        <f t="shared" si="190"/>
        <v>0</v>
      </c>
      <c r="P145" s="197"/>
      <c r="Q145" s="196">
        <f t="shared" si="191"/>
        <v>6.7511999999999997E-3</v>
      </c>
      <c r="R145" s="197"/>
      <c r="S145" s="196">
        <f t="shared" si="192"/>
        <v>6.7511999999999997E-3</v>
      </c>
      <c r="T145" s="238"/>
      <c r="U145" s="196">
        <f t="shared" si="193"/>
        <v>6.7511999999999997E-3</v>
      </c>
      <c r="V145" s="238"/>
      <c r="W145" s="238"/>
      <c r="X145" s="238"/>
      <c r="Y145" s="238"/>
      <c r="Z145" s="198">
        <f>'7|Total Rev Current'!Z499</f>
        <v>0</v>
      </c>
      <c r="AA145" s="199">
        <f t="shared" si="194"/>
        <v>6.7511999999999997E-3</v>
      </c>
      <c r="AB145" s="200">
        <v>7.15</v>
      </c>
      <c r="AC145" s="201">
        <f t="shared" si="195"/>
        <v>6.7511999999999997E-3</v>
      </c>
      <c r="AE145" s="166"/>
    </row>
    <row r="146" spans="1:31" s="92" customFormat="1" ht="15" customHeight="1">
      <c r="A146" s="188"/>
      <c r="B146" s="253"/>
      <c r="C146" s="193"/>
      <c r="D146" s="203"/>
      <c r="E146" s="237"/>
      <c r="F146" s="237"/>
      <c r="G146" s="237"/>
      <c r="H146" s="238"/>
      <c r="I146" s="238"/>
      <c r="J146" s="238"/>
      <c r="K146" s="238"/>
      <c r="L146" s="238"/>
      <c r="M146" s="238"/>
      <c r="N146" s="195"/>
      <c r="O146" s="196"/>
      <c r="P146" s="197"/>
      <c r="Q146" s="196"/>
      <c r="R146" s="197"/>
      <c r="S146" s="196"/>
      <c r="T146" s="238"/>
      <c r="U146" s="238"/>
      <c r="V146" s="238"/>
      <c r="W146" s="238"/>
      <c r="X146" s="238"/>
      <c r="Y146" s="238"/>
      <c r="Z146" s="238"/>
      <c r="AA146" s="199"/>
      <c r="AB146" s="203"/>
      <c r="AC146" s="259"/>
      <c r="AE146" s="166"/>
    </row>
    <row r="147" spans="1:31" ht="13.5" customHeight="1">
      <c r="A147" s="188"/>
      <c r="B147" s="232" t="s">
        <v>919</v>
      </c>
      <c r="C147" s="255">
        <f>C148+C149+C156+C169+C174</f>
        <v>12</v>
      </c>
      <c r="D147" s="233"/>
      <c r="E147" s="233"/>
      <c r="F147" s="233"/>
      <c r="G147" s="234"/>
      <c r="H147" s="233">
        <f t="shared" ref="H147:AC147" si="196">H148+H149+H156+H169+H174</f>
        <v>3752.4311376768646</v>
      </c>
      <c r="I147" s="233">
        <f t="shared" si="196"/>
        <v>0</v>
      </c>
      <c r="J147" s="233">
        <f t="shared" si="196"/>
        <v>829.41000000000008</v>
      </c>
      <c r="K147" s="233">
        <f t="shared" si="196"/>
        <v>0</v>
      </c>
      <c r="L147" s="233"/>
      <c r="M147" s="233"/>
      <c r="N147" s="233">
        <f t="shared" si="196"/>
        <v>1998.149078770678</v>
      </c>
      <c r="O147" s="233">
        <f t="shared" si="196"/>
        <v>325.755</v>
      </c>
      <c r="P147" s="233">
        <f t="shared" si="196"/>
        <v>0</v>
      </c>
      <c r="Q147" s="233">
        <f t="shared" si="196"/>
        <v>4.05072E-2</v>
      </c>
      <c r="R147" s="233">
        <f t="shared" si="196"/>
        <v>0</v>
      </c>
      <c r="S147" s="233">
        <f t="shared" si="196"/>
        <v>2323.944585970678</v>
      </c>
      <c r="T147" s="233">
        <f t="shared" si="196"/>
        <v>0</v>
      </c>
      <c r="U147" s="233">
        <f t="shared" si="196"/>
        <v>2323.944585970678</v>
      </c>
      <c r="V147" s="233">
        <f t="shared" si="196"/>
        <v>0</v>
      </c>
      <c r="W147" s="233">
        <f t="shared" si="196"/>
        <v>0</v>
      </c>
      <c r="X147" s="233">
        <f t="shared" si="196"/>
        <v>0</v>
      </c>
      <c r="Y147" s="233">
        <f t="shared" si="196"/>
        <v>0</v>
      </c>
      <c r="Z147" s="233">
        <f t="shared" si="196"/>
        <v>59.203959265245054</v>
      </c>
      <c r="AA147" s="233">
        <f t="shared" si="196"/>
        <v>2383.1485452359234</v>
      </c>
      <c r="AB147" s="233"/>
      <c r="AC147" s="235">
        <f t="shared" si="196"/>
        <v>2383.1485452359234</v>
      </c>
      <c r="AE147" s="166"/>
    </row>
    <row r="148" spans="1:31" ht="13.5" customHeight="1">
      <c r="A148" s="188"/>
      <c r="B148" s="236" t="s">
        <v>743</v>
      </c>
      <c r="C148" s="190">
        <f>'7|Total Rev Current'!C502</f>
        <v>0</v>
      </c>
      <c r="D148" s="203">
        <v>7</v>
      </c>
      <c r="E148" s="237">
        <v>900</v>
      </c>
      <c r="F148" s="237"/>
      <c r="G148" s="237">
        <v>2813</v>
      </c>
      <c r="H148" s="194">
        <f>'7|Total Rev Current'!H502</f>
        <v>0</v>
      </c>
      <c r="I148" s="194"/>
      <c r="J148" s="194">
        <f>'7|Total Rev Current'!J502</f>
        <v>0</v>
      </c>
      <c r="K148" s="238"/>
      <c r="L148" s="194">
        <f t="shared" ref="L148" si="197">D148+0.75</f>
        <v>7.75</v>
      </c>
      <c r="M148" s="238"/>
      <c r="N148" s="195">
        <f t="shared" ref="N148" si="198">D148*H148/10</f>
        <v>0</v>
      </c>
      <c r="O148" s="196">
        <f t="shared" ref="O148" si="199">IF(E148&gt;0,(J148*10^3*E148/10^7)+(K148*0.7457*E148/10^7),(K148*F148/10^7)+(J148*(10^3)*(1/0.7457)*F148/10^7))</f>
        <v>0</v>
      </c>
      <c r="P148" s="197"/>
      <c r="Q148" s="196">
        <f t="shared" ref="Q148" si="200">G148*C148*12/10^7</f>
        <v>0</v>
      </c>
      <c r="R148" s="197"/>
      <c r="S148" s="196">
        <f t="shared" ref="S148" si="201">N148+O148+P148+Q148+R148</f>
        <v>0</v>
      </c>
      <c r="T148" s="238"/>
      <c r="U148" s="196">
        <f t="shared" ref="U148" si="202">S148-T148</f>
        <v>0</v>
      </c>
      <c r="V148" s="238"/>
      <c r="W148" s="238"/>
      <c r="X148" s="238"/>
      <c r="Y148" s="238"/>
      <c r="Z148" s="198">
        <f>'7|Total Rev Current'!Z502</f>
        <v>0</v>
      </c>
      <c r="AA148" s="199">
        <f t="shared" ref="AA148" si="203">U148+Z148</f>
        <v>0</v>
      </c>
      <c r="AB148" s="200">
        <v>7</v>
      </c>
      <c r="AC148" s="201">
        <f t="shared" ref="AC148" si="204">(H148*AB148/10)+O148+Q148+P148+R148+Z148</f>
        <v>0</v>
      </c>
      <c r="AE148" s="166"/>
    </row>
    <row r="149" spans="1:31" ht="13.5" customHeight="1">
      <c r="A149" s="188"/>
      <c r="B149" s="239" t="s">
        <v>744</v>
      </c>
      <c r="C149" s="240">
        <f>SUM(C150:C155)</f>
        <v>4</v>
      </c>
      <c r="D149" s="240"/>
      <c r="E149" s="240"/>
      <c r="F149" s="240"/>
      <c r="G149" s="240"/>
      <c r="H149" s="240">
        <f>SUM(H150:H155)</f>
        <v>108.5085558144858</v>
      </c>
      <c r="I149" s="240">
        <f t="shared" ref="I149:AC149" si="205">SUM(I150:I155)</f>
        <v>0</v>
      </c>
      <c r="J149" s="240">
        <f t="shared" si="205"/>
        <v>27.5</v>
      </c>
      <c r="K149" s="240">
        <f t="shared" si="205"/>
        <v>0</v>
      </c>
      <c r="L149" s="240"/>
      <c r="M149" s="240"/>
      <c r="N149" s="240">
        <f t="shared" si="205"/>
        <v>76.603331642509559</v>
      </c>
      <c r="O149" s="240">
        <f t="shared" si="205"/>
        <v>8.2650000000000006</v>
      </c>
      <c r="P149" s="240">
        <f t="shared" si="205"/>
        <v>0</v>
      </c>
      <c r="Q149" s="240">
        <f t="shared" si="205"/>
        <v>1.3502399999999999E-2</v>
      </c>
      <c r="R149" s="240">
        <f t="shared" si="205"/>
        <v>0</v>
      </c>
      <c r="S149" s="240">
        <f t="shared" si="205"/>
        <v>84.881834042509553</v>
      </c>
      <c r="T149" s="240">
        <f t="shared" si="205"/>
        <v>0</v>
      </c>
      <c r="U149" s="240">
        <f t="shared" si="205"/>
        <v>84.881834042509553</v>
      </c>
      <c r="V149" s="240">
        <f t="shared" si="205"/>
        <v>0</v>
      </c>
      <c r="W149" s="240">
        <f t="shared" si="205"/>
        <v>0</v>
      </c>
      <c r="X149" s="240">
        <f t="shared" si="205"/>
        <v>0</v>
      </c>
      <c r="Y149" s="240">
        <f t="shared" si="205"/>
        <v>0</v>
      </c>
      <c r="Z149" s="240">
        <f t="shared" si="205"/>
        <v>1.7119930740017735</v>
      </c>
      <c r="AA149" s="240">
        <f t="shared" si="205"/>
        <v>86.593827116511335</v>
      </c>
      <c r="AB149" s="240"/>
      <c r="AC149" s="241">
        <f t="shared" si="205"/>
        <v>86.593827116511335</v>
      </c>
      <c r="AE149" s="166"/>
    </row>
    <row r="150" spans="1:31" ht="14.25" customHeight="1">
      <c r="A150" s="188"/>
      <c r="B150" s="236" t="s">
        <v>745</v>
      </c>
      <c r="C150" s="190">
        <f>'7|Total Rev Current'!C504</f>
        <v>2</v>
      </c>
      <c r="D150" s="203">
        <v>6.65</v>
      </c>
      <c r="E150" s="237">
        <v>5700</v>
      </c>
      <c r="F150" s="237"/>
      <c r="G150" s="237">
        <v>2813</v>
      </c>
      <c r="H150" s="194">
        <f>'7|Total Rev Current'!H504</f>
        <v>85.533298627913098</v>
      </c>
      <c r="I150" s="194"/>
      <c r="J150" s="194">
        <f>'7|Total Rev Current'!J504</f>
        <v>14.5</v>
      </c>
      <c r="K150" s="238"/>
      <c r="L150" s="194">
        <f t="shared" ref="L150:L155" si="206">D150+0.75</f>
        <v>7.4</v>
      </c>
      <c r="M150" s="238"/>
      <c r="N150" s="195">
        <f t="shared" ref="N150:N155" si="207">D150*H150/10</f>
        <v>56.879643587562214</v>
      </c>
      <c r="O150" s="196">
        <f t="shared" ref="O150:O155" si="208">IF(E150&gt;0,(J150*10^3*E150/10^7)+(K150*0.7457*E150/10^7),(K150*F150/10^7)+(J150*(10^3)*(1/0.7457)*F150/10^7))</f>
        <v>8.2650000000000006</v>
      </c>
      <c r="P150" s="197"/>
      <c r="Q150" s="196">
        <f t="shared" ref="Q150:Q155" si="209">G150*C150*12/10^7</f>
        <v>6.7511999999999997E-3</v>
      </c>
      <c r="R150" s="197"/>
      <c r="S150" s="196">
        <f t="shared" ref="S150:S155" si="210">N150+O150+P150+Q150+R150</f>
        <v>65.151394787562211</v>
      </c>
      <c r="T150" s="238"/>
      <c r="U150" s="196">
        <f t="shared" ref="U150:U155" si="211">S150-T150</f>
        <v>65.151394787562211</v>
      </c>
      <c r="V150" s="238"/>
      <c r="W150" s="238"/>
      <c r="X150" s="238"/>
      <c r="Y150" s="238"/>
      <c r="Z150" s="198">
        <f>'7|Total Rev Current'!Z504</f>
        <v>1.3495010946221073</v>
      </c>
      <c r="AA150" s="199">
        <f t="shared" ref="AA150:AA155" si="212">U150+Z150</f>
        <v>66.500895882184324</v>
      </c>
      <c r="AB150" s="200">
        <v>6.65</v>
      </c>
      <c r="AC150" s="201">
        <f t="shared" ref="AC150:AC155" si="213">(H150*AB150/10)+O150+Q150+P150+R150+Z150</f>
        <v>66.500895882184324</v>
      </c>
      <c r="AE150" s="166"/>
    </row>
    <row r="151" spans="1:31" s="92" customFormat="1" ht="14.25" customHeight="1">
      <c r="A151" s="188"/>
      <c r="B151" s="236" t="s">
        <v>697</v>
      </c>
      <c r="C151" s="190">
        <f>'7|Total Rev Current'!C505</f>
        <v>0</v>
      </c>
      <c r="D151" s="203">
        <v>7.65</v>
      </c>
      <c r="E151" s="237">
        <v>5700</v>
      </c>
      <c r="F151" s="237"/>
      <c r="G151" s="237"/>
      <c r="H151" s="194">
        <f>'7|Total Rev Current'!H505</f>
        <v>18.30652608392224</v>
      </c>
      <c r="I151" s="194"/>
      <c r="J151" s="194">
        <f>'7|Total Rev Current'!J505</f>
        <v>0</v>
      </c>
      <c r="K151" s="238"/>
      <c r="L151" s="194">
        <f t="shared" si="206"/>
        <v>8.4</v>
      </c>
      <c r="M151" s="238"/>
      <c r="N151" s="195">
        <f t="shared" si="207"/>
        <v>14.004492454200513</v>
      </c>
      <c r="O151" s="196">
        <f t="shared" si="208"/>
        <v>0</v>
      </c>
      <c r="P151" s="197"/>
      <c r="Q151" s="196">
        <f t="shared" si="209"/>
        <v>0</v>
      </c>
      <c r="R151" s="197"/>
      <c r="S151" s="196">
        <f t="shared" si="210"/>
        <v>14.004492454200513</v>
      </c>
      <c r="T151" s="238"/>
      <c r="U151" s="196">
        <f t="shared" si="211"/>
        <v>14.004492454200513</v>
      </c>
      <c r="V151" s="238"/>
      <c r="W151" s="238"/>
      <c r="X151" s="238"/>
      <c r="Y151" s="238"/>
      <c r="Z151" s="198">
        <f>'7|Total Rev Current'!Z505</f>
        <v>0.2888311030356901</v>
      </c>
      <c r="AA151" s="199">
        <f t="shared" si="212"/>
        <v>14.293323557236203</v>
      </c>
      <c r="AB151" s="200">
        <v>7.65</v>
      </c>
      <c r="AC151" s="201">
        <f t="shared" si="213"/>
        <v>14.293323557236203</v>
      </c>
      <c r="AE151" s="166"/>
    </row>
    <row r="152" spans="1:31" ht="14.25" customHeight="1">
      <c r="A152" s="188"/>
      <c r="B152" s="236" t="s">
        <v>746</v>
      </c>
      <c r="C152" s="190">
        <f>'7|Total Rev Current'!C506</f>
        <v>0</v>
      </c>
      <c r="D152" s="203">
        <v>12.25</v>
      </c>
      <c r="E152" s="237">
        <v>0</v>
      </c>
      <c r="F152" s="237"/>
      <c r="G152" s="237">
        <v>2813</v>
      </c>
      <c r="H152" s="194">
        <f>'7|Total Rev Current'!H506</f>
        <v>0</v>
      </c>
      <c r="I152" s="194"/>
      <c r="J152" s="194">
        <f>'7|Total Rev Current'!J506</f>
        <v>0</v>
      </c>
      <c r="K152" s="238"/>
      <c r="L152" s="194">
        <f t="shared" si="206"/>
        <v>13</v>
      </c>
      <c r="M152" s="238"/>
      <c r="N152" s="195">
        <f t="shared" si="207"/>
        <v>0</v>
      </c>
      <c r="O152" s="196">
        <f t="shared" si="208"/>
        <v>0</v>
      </c>
      <c r="P152" s="197"/>
      <c r="Q152" s="196">
        <f t="shared" si="209"/>
        <v>0</v>
      </c>
      <c r="R152" s="197"/>
      <c r="S152" s="196">
        <f t="shared" si="210"/>
        <v>0</v>
      </c>
      <c r="T152" s="238"/>
      <c r="U152" s="196">
        <f t="shared" si="211"/>
        <v>0</v>
      </c>
      <c r="V152" s="238"/>
      <c r="W152" s="238"/>
      <c r="X152" s="238"/>
      <c r="Y152" s="238"/>
      <c r="Z152" s="198">
        <f>'7|Total Rev Current'!Z506</f>
        <v>0</v>
      </c>
      <c r="AA152" s="199">
        <f t="shared" si="212"/>
        <v>0</v>
      </c>
      <c r="AB152" s="200">
        <v>12.25</v>
      </c>
      <c r="AC152" s="201">
        <f t="shared" si="213"/>
        <v>0</v>
      </c>
      <c r="AE152" s="166"/>
    </row>
    <row r="153" spans="1:31" ht="14.25" customHeight="1">
      <c r="A153" s="188"/>
      <c r="B153" s="236" t="s">
        <v>747</v>
      </c>
      <c r="C153" s="190">
        <f>'7|Total Rev Current'!C507</f>
        <v>2</v>
      </c>
      <c r="D153" s="203">
        <v>12.25</v>
      </c>
      <c r="E153" s="237">
        <v>0</v>
      </c>
      <c r="F153" s="237"/>
      <c r="G153" s="237">
        <v>2813</v>
      </c>
      <c r="H153" s="194">
        <f>'7|Total Rev Current'!H507</f>
        <v>4.6687311026504732</v>
      </c>
      <c r="I153" s="194"/>
      <c r="J153" s="194">
        <f>'7|Total Rev Current'!J507</f>
        <v>13</v>
      </c>
      <c r="K153" s="238"/>
      <c r="L153" s="194">
        <f t="shared" si="206"/>
        <v>13</v>
      </c>
      <c r="M153" s="238"/>
      <c r="N153" s="195">
        <f t="shared" si="207"/>
        <v>5.7191956007468301</v>
      </c>
      <c r="O153" s="196">
        <f t="shared" si="208"/>
        <v>0</v>
      </c>
      <c r="P153" s="197"/>
      <c r="Q153" s="196">
        <f t="shared" si="209"/>
        <v>6.7511999999999997E-3</v>
      </c>
      <c r="R153" s="197"/>
      <c r="S153" s="196">
        <f t="shared" si="210"/>
        <v>5.7259468007468302</v>
      </c>
      <c r="T153" s="238"/>
      <c r="U153" s="196">
        <f t="shared" si="211"/>
        <v>5.7259468007468302</v>
      </c>
      <c r="V153" s="238"/>
      <c r="W153" s="238"/>
      <c r="X153" s="238"/>
      <c r="Y153" s="238"/>
      <c r="Z153" s="198">
        <f>'7|Total Rev Current'!Z507</f>
        <v>7.3660876343976139E-2</v>
      </c>
      <c r="AA153" s="199">
        <f t="shared" si="212"/>
        <v>5.7996076770908065</v>
      </c>
      <c r="AB153" s="200">
        <v>12.25</v>
      </c>
      <c r="AC153" s="201">
        <f t="shared" si="213"/>
        <v>5.7996076770908065</v>
      </c>
      <c r="AE153" s="166"/>
    </row>
    <row r="154" spans="1:31" ht="14.25" customHeight="1">
      <c r="A154" s="92"/>
      <c r="B154" s="236" t="s">
        <v>748</v>
      </c>
      <c r="C154" s="190">
        <f>'7|Total Rev Current'!C508</f>
        <v>0</v>
      </c>
      <c r="D154" s="203">
        <v>6.7</v>
      </c>
      <c r="E154" s="237">
        <v>0</v>
      </c>
      <c r="F154" s="237"/>
      <c r="G154" s="237">
        <v>2813</v>
      </c>
      <c r="H154" s="194">
        <f>'7|Total Rev Current'!H508</f>
        <v>0</v>
      </c>
      <c r="I154" s="194"/>
      <c r="J154" s="194">
        <f>'7|Total Rev Current'!J508</f>
        <v>0</v>
      </c>
      <c r="K154" s="238"/>
      <c r="L154" s="194">
        <f t="shared" si="206"/>
        <v>7.45</v>
      </c>
      <c r="M154" s="238"/>
      <c r="N154" s="195">
        <f t="shared" si="207"/>
        <v>0</v>
      </c>
      <c r="O154" s="196">
        <f t="shared" si="208"/>
        <v>0</v>
      </c>
      <c r="P154" s="197"/>
      <c r="Q154" s="196">
        <f t="shared" si="209"/>
        <v>0</v>
      </c>
      <c r="R154" s="197"/>
      <c r="S154" s="196">
        <f t="shared" si="210"/>
        <v>0</v>
      </c>
      <c r="T154" s="238"/>
      <c r="U154" s="196">
        <f t="shared" si="211"/>
        <v>0</v>
      </c>
      <c r="V154" s="238"/>
      <c r="W154" s="238"/>
      <c r="X154" s="238"/>
      <c r="Y154" s="238"/>
      <c r="Z154" s="198">
        <f>'7|Total Rev Current'!Z508</f>
        <v>0</v>
      </c>
      <c r="AA154" s="199">
        <f t="shared" si="212"/>
        <v>0</v>
      </c>
      <c r="AB154" s="200">
        <v>6.7</v>
      </c>
      <c r="AC154" s="201">
        <f t="shared" si="213"/>
        <v>0</v>
      </c>
      <c r="AE154" s="166"/>
    </row>
    <row r="155" spans="1:31" ht="14.25" customHeight="1">
      <c r="A155" s="92"/>
      <c r="B155" s="236" t="s">
        <v>749</v>
      </c>
      <c r="C155" s="190">
        <f>'7|Total Rev Current'!C509</f>
        <v>0</v>
      </c>
      <c r="D155" s="203">
        <v>12.25</v>
      </c>
      <c r="E155" s="237">
        <v>0</v>
      </c>
      <c r="F155" s="237"/>
      <c r="G155" s="237">
        <v>2813</v>
      </c>
      <c r="H155" s="194">
        <f>'7|Total Rev Current'!H509</f>
        <v>0</v>
      </c>
      <c r="I155" s="194"/>
      <c r="J155" s="194">
        <f>'7|Total Rev Current'!J509</f>
        <v>0</v>
      </c>
      <c r="K155" s="238"/>
      <c r="L155" s="194">
        <f t="shared" si="206"/>
        <v>13</v>
      </c>
      <c r="M155" s="238"/>
      <c r="N155" s="195">
        <f t="shared" si="207"/>
        <v>0</v>
      </c>
      <c r="O155" s="196">
        <f t="shared" si="208"/>
        <v>0</v>
      </c>
      <c r="P155" s="197"/>
      <c r="Q155" s="196">
        <f t="shared" si="209"/>
        <v>0</v>
      </c>
      <c r="R155" s="197"/>
      <c r="S155" s="196">
        <f t="shared" si="210"/>
        <v>0</v>
      </c>
      <c r="T155" s="238"/>
      <c r="U155" s="196">
        <f t="shared" si="211"/>
        <v>0</v>
      </c>
      <c r="V155" s="238"/>
      <c r="W155" s="238"/>
      <c r="X155" s="238"/>
      <c r="Y155" s="238"/>
      <c r="Z155" s="198">
        <f>'7|Total Rev Current'!Z509</f>
        <v>0</v>
      </c>
      <c r="AA155" s="199">
        <f t="shared" si="212"/>
        <v>0</v>
      </c>
      <c r="AB155" s="200">
        <v>12.25</v>
      </c>
      <c r="AC155" s="201">
        <f t="shared" si="213"/>
        <v>0</v>
      </c>
      <c r="AD155" s="260"/>
      <c r="AE155" s="166"/>
    </row>
    <row r="156" spans="1:31" ht="10.5" customHeight="1">
      <c r="B156" s="239" t="s">
        <v>750</v>
      </c>
      <c r="C156" s="250">
        <f>SUM(C158:C168)</f>
        <v>5</v>
      </c>
      <c r="D156" s="240"/>
      <c r="E156" s="240"/>
      <c r="F156" s="240"/>
      <c r="G156" s="240"/>
      <c r="H156" s="240">
        <f>SUM(H158:H168)</f>
        <v>3397.0984483622979</v>
      </c>
      <c r="I156" s="240">
        <f t="shared" ref="I156:AC156" si="214">SUM(I158:I168)</f>
        <v>0</v>
      </c>
      <c r="J156" s="240">
        <f t="shared" si="214"/>
        <v>557</v>
      </c>
      <c r="K156" s="240">
        <f t="shared" si="214"/>
        <v>0</v>
      </c>
      <c r="L156" s="240"/>
      <c r="M156" s="240"/>
      <c r="N156" s="240">
        <f t="shared" si="214"/>
        <v>1745.0664916756105</v>
      </c>
      <c r="O156" s="240">
        <f t="shared" si="214"/>
        <v>317.49</v>
      </c>
      <c r="P156" s="240">
        <f t="shared" si="214"/>
        <v>0</v>
      </c>
      <c r="Q156" s="240">
        <f t="shared" si="214"/>
        <v>1.6878000000000001E-2</v>
      </c>
      <c r="R156" s="240">
        <f t="shared" si="214"/>
        <v>0</v>
      </c>
      <c r="S156" s="240">
        <f t="shared" si="214"/>
        <v>2062.5733696756106</v>
      </c>
      <c r="T156" s="240">
        <f t="shared" si="214"/>
        <v>0</v>
      </c>
      <c r="U156" s="240">
        <f t="shared" si="214"/>
        <v>2062.5733696756106</v>
      </c>
      <c r="V156" s="240">
        <f t="shared" si="214"/>
        <v>0</v>
      </c>
      <c r="W156" s="240">
        <f t="shared" si="214"/>
        <v>0</v>
      </c>
      <c r="X156" s="240">
        <f t="shared" si="214"/>
        <v>0</v>
      </c>
      <c r="Y156" s="240">
        <f t="shared" si="214"/>
        <v>0</v>
      </c>
      <c r="Z156" s="240">
        <f t="shared" si="214"/>
        <v>53.597699938441338</v>
      </c>
      <c r="AA156" s="240">
        <f t="shared" si="214"/>
        <v>2116.1710696140522</v>
      </c>
      <c r="AB156" s="240"/>
      <c r="AC156" s="241">
        <f t="shared" si="214"/>
        <v>2116.1710696140522</v>
      </c>
      <c r="AE156" s="166"/>
    </row>
    <row r="157" spans="1:31" ht="12.75" customHeight="1">
      <c r="B157" s="215" t="s">
        <v>753</v>
      </c>
      <c r="C157" s="217"/>
      <c r="D157" s="217"/>
      <c r="E157" s="207"/>
      <c r="F157" s="217"/>
      <c r="G157" s="218"/>
      <c r="H157" s="217"/>
      <c r="I157" s="217"/>
      <c r="J157" s="217"/>
      <c r="K157" s="217"/>
      <c r="L157" s="217"/>
      <c r="M157" s="217"/>
      <c r="N157" s="217"/>
      <c r="O157" s="217"/>
      <c r="P157" s="217"/>
      <c r="Q157" s="217"/>
      <c r="R157" s="217"/>
      <c r="S157" s="217"/>
      <c r="T157" s="217"/>
      <c r="U157" s="217"/>
      <c r="V157" s="217"/>
      <c r="W157" s="217"/>
      <c r="X157" s="217"/>
      <c r="Y157" s="217"/>
      <c r="Z157" s="217"/>
      <c r="AA157" s="217"/>
      <c r="AB157" s="217"/>
      <c r="AC157" s="219"/>
      <c r="AD157" s="166"/>
      <c r="AE157" s="166"/>
    </row>
    <row r="158" spans="1:31" ht="12.75" customHeight="1">
      <c r="B158" s="236" t="s">
        <v>918</v>
      </c>
      <c r="C158" s="190">
        <f>'7|Total Rev Current'!C512</f>
        <v>0</v>
      </c>
      <c r="D158" s="203"/>
      <c r="E158" s="237"/>
      <c r="F158" s="237"/>
      <c r="G158" s="237"/>
      <c r="H158" s="194">
        <f>'7|Total Rev Current'!H512</f>
        <v>0</v>
      </c>
      <c r="I158" s="194"/>
      <c r="J158" s="194">
        <f>'7|Total Rev Current'!J512</f>
        <v>0</v>
      </c>
      <c r="K158" s="238"/>
      <c r="L158" s="194">
        <f t="shared" ref="L158:L168" si="215">D158+0.75</f>
        <v>0.75</v>
      </c>
      <c r="M158" s="238"/>
      <c r="N158" s="195">
        <f t="shared" ref="N158:N168" si="216">D158*H158/10</f>
        <v>0</v>
      </c>
      <c r="O158" s="196">
        <f t="shared" ref="O158:O168" si="217">IF(E158&gt;0,(J158*10^3*E158/10^7)+(K158*0.7457*E158/10^7),(K158*F158/10^7)+(J158*(10^3)*(1/0.7457)*F158/10^7))</f>
        <v>0</v>
      </c>
      <c r="P158" s="197"/>
      <c r="Q158" s="196">
        <f t="shared" ref="Q158:Q168" si="218">G158*C158*12/10^7</f>
        <v>0</v>
      </c>
      <c r="R158" s="197"/>
      <c r="S158" s="196">
        <f t="shared" ref="S158:S168" si="219">N158+O158+P158+Q158+R158</f>
        <v>0</v>
      </c>
      <c r="T158" s="238"/>
      <c r="U158" s="196">
        <f t="shared" ref="U158:U168" si="220">S158-T158</f>
        <v>0</v>
      </c>
      <c r="V158" s="238"/>
      <c r="W158" s="238"/>
      <c r="X158" s="238"/>
      <c r="Y158" s="238"/>
      <c r="Z158" s="198">
        <f>'7|Total Rev Current'!Z512</f>
        <v>0</v>
      </c>
      <c r="AA158" s="199">
        <f t="shared" ref="AA158:AA168" si="221">U158+Z158</f>
        <v>0</v>
      </c>
      <c r="AB158" s="200">
        <v>0</v>
      </c>
      <c r="AC158" s="201">
        <f t="shared" ref="AC158:AC168" si="222">(H158*AB158/10)+O158+Q158+P158+R158+Z158</f>
        <v>0</v>
      </c>
      <c r="AE158" s="166"/>
    </row>
    <row r="159" spans="1:31" ht="24.75" customHeight="1">
      <c r="B159" s="236" t="s">
        <v>914</v>
      </c>
      <c r="C159" s="190">
        <f>'7|Total Rev Current'!C513</f>
        <v>0</v>
      </c>
      <c r="D159" s="203">
        <v>6.85</v>
      </c>
      <c r="E159" s="237">
        <v>5700</v>
      </c>
      <c r="F159" s="237"/>
      <c r="G159" s="237">
        <v>2813</v>
      </c>
      <c r="H159" s="194">
        <f>'7|Total Rev Current'!H513</f>
        <v>235.03101007887079</v>
      </c>
      <c r="I159" s="194"/>
      <c r="J159" s="194">
        <f>'7|Total Rev Current'!J513</f>
        <v>0</v>
      </c>
      <c r="K159" s="238"/>
      <c r="L159" s="194">
        <f t="shared" si="215"/>
        <v>7.6</v>
      </c>
      <c r="M159" s="238"/>
      <c r="N159" s="195">
        <f t="shared" si="216"/>
        <v>160.99624190402648</v>
      </c>
      <c r="O159" s="196">
        <f t="shared" si="217"/>
        <v>0</v>
      </c>
      <c r="P159" s="197"/>
      <c r="Q159" s="196">
        <f t="shared" si="218"/>
        <v>0</v>
      </c>
      <c r="R159" s="197"/>
      <c r="S159" s="196">
        <f t="shared" si="219"/>
        <v>160.99624190402648</v>
      </c>
      <c r="T159" s="238"/>
      <c r="U159" s="196">
        <f t="shared" si="220"/>
        <v>160.99624190402648</v>
      </c>
      <c r="V159" s="238"/>
      <c r="W159" s="238"/>
      <c r="X159" s="238"/>
      <c r="Y159" s="238"/>
      <c r="Z159" s="198">
        <f>'7|Total Rev Current'!Z513</f>
        <v>0</v>
      </c>
      <c r="AA159" s="199">
        <f t="shared" si="221"/>
        <v>160.99624190402648</v>
      </c>
      <c r="AB159" s="200">
        <v>6.85</v>
      </c>
      <c r="AC159" s="201">
        <f t="shared" si="222"/>
        <v>160.99624190402648</v>
      </c>
      <c r="AE159" s="166"/>
    </row>
    <row r="160" spans="1:31" ht="27.75" customHeight="1">
      <c r="B160" s="236" t="s">
        <v>915</v>
      </c>
      <c r="C160" s="190">
        <f>'7|Total Rev Current'!C514</f>
        <v>0</v>
      </c>
      <c r="D160" s="203">
        <v>4.5999999999999996</v>
      </c>
      <c r="E160" s="237">
        <v>5700</v>
      </c>
      <c r="F160" s="237"/>
      <c r="G160" s="237">
        <v>2813</v>
      </c>
      <c r="H160" s="194">
        <f>'7|Total Rev Current'!H514</f>
        <v>330.93953495662322</v>
      </c>
      <c r="I160" s="194"/>
      <c r="J160" s="194">
        <f>'7|Total Rev Current'!J514</f>
        <v>0</v>
      </c>
      <c r="K160" s="238"/>
      <c r="L160" s="194">
        <f t="shared" si="215"/>
        <v>5.35</v>
      </c>
      <c r="M160" s="238"/>
      <c r="N160" s="195">
        <f t="shared" si="216"/>
        <v>152.23218608004669</v>
      </c>
      <c r="O160" s="196">
        <f t="shared" si="217"/>
        <v>0</v>
      </c>
      <c r="P160" s="197"/>
      <c r="Q160" s="196">
        <f t="shared" si="218"/>
        <v>0</v>
      </c>
      <c r="R160" s="197"/>
      <c r="S160" s="196">
        <f t="shared" si="219"/>
        <v>152.23218608004669</v>
      </c>
      <c r="T160" s="238"/>
      <c r="U160" s="196">
        <f t="shared" si="220"/>
        <v>152.23218608004669</v>
      </c>
      <c r="V160" s="238"/>
      <c r="W160" s="238"/>
      <c r="X160" s="238"/>
      <c r="Y160" s="238"/>
      <c r="Z160" s="198">
        <f>'7|Total Rev Current'!Z514</f>
        <v>0</v>
      </c>
      <c r="AA160" s="199">
        <f t="shared" si="221"/>
        <v>152.23218608004669</v>
      </c>
      <c r="AB160" s="200">
        <v>4.5999999999999996</v>
      </c>
      <c r="AC160" s="201">
        <f t="shared" si="222"/>
        <v>152.23218608004669</v>
      </c>
      <c r="AE160" s="166"/>
    </row>
    <row r="161" spans="2:31" ht="15" customHeight="1">
      <c r="B161" s="236" t="s">
        <v>916</v>
      </c>
      <c r="C161" s="190">
        <f>'7|Total Rev Current'!C515</f>
        <v>2</v>
      </c>
      <c r="D161" s="203">
        <v>5.35</v>
      </c>
      <c r="E161" s="237">
        <v>5700</v>
      </c>
      <c r="F161" s="237"/>
      <c r="G161" s="237">
        <v>2813</v>
      </c>
      <c r="H161" s="194">
        <f>'7|Total Rev Current'!H515</f>
        <v>98.441097269445123</v>
      </c>
      <c r="I161" s="194"/>
      <c r="J161" s="194">
        <f>'7|Total Rev Current'!J515</f>
        <v>298</v>
      </c>
      <c r="K161" s="238"/>
      <c r="L161" s="194">
        <f t="shared" si="215"/>
        <v>6.1</v>
      </c>
      <c r="M161" s="238"/>
      <c r="N161" s="195">
        <f t="shared" si="216"/>
        <v>52.665987039153137</v>
      </c>
      <c r="O161" s="196">
        <f t="shared" si="217"/>
        <v>169.86</v>
      </c>
      <c r="P161" s="197"/>
      <c r="Q161" s="196">
        <f t="shared" si="218"/>
        <v>6.7511999999999997E-3</v>
      </c>
      <c r="R161" s="197"/>
      <c r="S161" s="196">
        <f t="shared" si="219"/>
        <v>222.53273823915316</v>
      </c>
      <c r="T161" s="238"/>
      <c r="U161" s="196">
        <f t="shared" si="220"/>
        <v>222.53273823915316</v>
      </c>
      <c r="V161" s="238"/>
      <c r="W161" s="238"/>
      <c r="X161" s="238"/>
      <c r="Y161" s="238"/>
      <c r="Z161" s="198">
        <f>'7|Total Rev Current'!Z515</f>
        <v>22.671507945198556</v>
      </c>
      <c r="AA161" s="199">
        <f t="shared" si="221"/>
        <v>245.20424618435172</v>
      </c>
      <c r="AB161" s="200">
        <v>5.35</v>
      </c>
      <c r="AC161" s="201">
        <f t="shared" si="222"/>
        <v>245.20424618435172</v>
      </c>
      <c r="AE161" s="166"/>
    </row>
    <row r="162" spans="2:31" ht="30.75" customHeight="1">
      <c r="B162" s="236" t="s">
        <v>917</v>
      </c>
      <c r="C162" s="190">
        <f>'7|Total Rev Current'!C516</f>
        <v>0</v>
      </c>
      <c r="D162" s="203"/>
      <c r="E162" s="237"/>
      <c r="F162" s="237"/>
      <c r="G162" s="237"/>
      <c r="H162" s="194">
        <f>'7|Total Rev Current'!H516</f>
        <v>0</v>
      </c>
      <c r="I162" s="194"/>
      <c r="J162" s="194">
        <f>'7|Total Rev Current'!J516</f>
        <v>0</v>
      </c>
      <c r="K162" s="238"/>
      <c r="L162" s="194">
        <f t="shared" si="215"/>
        <v>0.75</v>
      </c>
      <c r="M162" s="238"/>
      <c r="N162" s="195">
        <f t="shared" si="216"/>
        <v>0</v>
      </c>
      <c r="O162" s="196">
        <f t="shared" si="217"/>
        <v>0</v>
      </c>
      <c r="P162" s="197"/>
      <c r="Q162" s="196">
        <f t="shared" si="218"/>
        <v>0</v>
      </c>
      <c r="R162" s="197"/>
      <c r="S162" s="196">
        <f t="shared" si="219"/>
        <v>0</v>
      </c>
      <c r="T162" s="238"/>
      <c r="U162" s="196">
        <f t="shared" si="220"/>
        <v>0</v>
      </c>
      <c r="V162" s="238"/>
      <c r="W162" s="238"/>
      <c r="X162" s="238"/>
      <c r="Y162" s="238"/>
      <c r="Z162" s="198">
        <f>'7|Total Rev Current'!Z516</f>
        <v>0</v>
      </c>
      <c r="AA162" s="199">
        <f t="shared" si="221"/>
        <v>0</v>
      </c>
      <c r="AB162" s="200">
        <v>0</v>
      </c>
      <c r="AC162" s="201">
        <f t="shared" si="222"/>
        <v>0</v>
      </c>
      <c r="AE162" s="166"/>
    </row>
    <row r="163" spans="2:31" ht="27" customHeight="1">
      <c r="B163" s="236" t="s">
        <v>914</v>
      </c>
      <c r="C163" s="190">
        <f>'7|Total Rev Current'!C517</f>
        <v>0</v>
      </c>
      <c r="D163" s="203">
        <v>6.35</v>
      </c>
      <c r="E163" s="237">
        <v>5700</v>
      </c>
      <c r="F163" s="237"/>
      <c r="G163" s="237">
        <v>2813</v>
      </c>
      <c r="H163" s="194">
        <f>'7|Total Rev Current'!H517</f>
        <v>256.47804825573098</v>
      </c>
      <c r="I163" s="194"/>
      <c r="J163" s="194">
        <f>'7|Total Rev Current'!J517</f>
        <v>0</v>
      </c>
      <c r="K163" s="238"/>
      <c r="L163" s="194">
        <f t="shared" si="215"/>
        <v>7.1</v>
      </c>
      <c r="M163" s="238"/>
      <c r="N163" s="195">
        <f t="shared" si="216"/>
        <v>162.86356064238916</v>
      </c>
      <c r="O163" s="196">
        <f t="shared" si="217"/>
        <v>0</v>
      </c>
      <c r="P163" s="197"/>
      <c r="Q163" s="196">
        <f t="shared" si="218"/>
        <v>0</v>
      </c>
      <c r="R163" s="197"/>
      <c r="S163" s="196">
        <f t="shared" si="219"/>
        <v>162.86356064238916</v>
      </c>
      <c r="T163" s="238"/>
      <c r="U163" s="196">
        <f t="shared" si="220"/>
        <v>162.86356064238916</v>
      </c>
      <c r="V163" s="238"/>
      <c r="W163" s="238"/>
      <c r="X163" s="238"/>
      <c r="Y163" s="238"/>
      <c r="Z163" s="198">
        <f>'7|Total Rev Current'!Z517</f>
        <v>0</v>
      </c>
      <c r="AA163" s="199">
        <f t="shared" si="221"/>
        <v>162.86356064238916</v>
      </c>
      <c r="AB163" s="200">
        <v>6.35</v>
      </c>
      <c r="AC163" s="201">
        <f t="shared" si="222"/>
        <v>162.86356064238916</v>
      </c>
      <c r="AE163" s="166"/>
    </row>
    <row r="164" spans="2:31" ht="26.25" customHeight="1">
      <c r="B164" s="236" t="s">
        <v>915</v>
      </c>
      <c r="C164" s="190">
        <f>'7|Total Rev Current'!C518</f>
        <v>0</v>
      </c>
      <c r="D164" s="203">
        <v>4.5999999999999996</v>
      </c>
      <c r="E164" s="237">
        <v>5700</v>
      </c>
      <c r="F164" s="237"/>
      <c r="G164" s="237">
        <v>2813</v>
      </c>
      <c r="H164" s="194">
        <f>'7|Total Rev Current'!H518</f>
        <v>357.57877740921663</v>
      </c>
      <c r="I164" s="194"/>
      <c r="J164" s="194">
        <f>'7|Total Rev Current'!J518</f>
        <v>0</v>
      </c>
      <c r="K164" s="238"/>
      <c r="L164" s="194">
        <f t="shared" si="215"/>
        <v>5.35</v>
      </c>
      <c r="M164" s="238"/>
      <c r="N164" s="195">
        <f t="shared" si="216"/>
        <v>164.48623760823963</v>
      </c>
      <c r="O164" s="196">
        <f t="shared" si="217"/>
        <v>0</v>
      </c>
      <c r="P164" s="197"/>
      <c r="Q164" s="196">
        <f t="shared" si="218"/>
        <v>0</v>
      </c>
      <c r="R164" s="197"/>
      <c r="S164" s="196">
        <f t="shared" si="219"/>
        <v>164.48623760823963</v>
      </c>
      <c r="T164" s="238"/>
      <c r="U164" s="196">
        <f t="shared" si="220"/>
        <v>164.48623760823963</v>
      </c>
      <c r="V164" s="238"/>
      <c r="W164" s="238"/>
      <c r="X164" s="238"/>
      <c r="Y164" s="238"/>
      <c r="Z164" s="198">
        <f>'7|Total Rev Current'!Z518</f>
        <v>0</v>
      </c>
      <c r="AA164" s="199">
        <f t="shared" si="221"/>
        <v>164.48623760823963</v>
      </c>
      <c r="AB164" s="200">
        <v>4.5999999999999996</v>
      </c>
      <c r="AC164" s="201">
        <f t="shared" si="222"/>
        <v>164.48623760823963</v>
      </c>
      <c r="AE164" s="166"/>
    </row>
    <row r="165" spans="2:31" ht="18" customHeight="1">
      <c r="B165" s="236" t="s">
        <v>916</v>
      </c>
      <c r="C165" s="190">
        <f>'7|Total Rev Current'!C519</f>
        <v>0</v>
      </c>
      <c r="D165" s="203">
        <v>5.35</v>
      </c>
      <c r="E165" s="237">
        <v>5700</v>
      </c>
      <c r="F165" s="237"/>
      <c r="G165" s="237">
        <v>2813</v>
      </c>
      <c r="H165" s="194">
        <f>'7|Total Rev Current'!H519</f>
        <v>118.71540151250582</v>
      </c>
      <c r="I165" s="194"/>
      <c r="J165" s="194">
        <f>'7|Total Rev Current'!J519</f>
        <v>0</v>
      </c>
      <c r="K165" s="238"/>
      <c r="L165" s="194">
        <f t="shared" si="215"/>
        <v>6.1</v>
      </c>
      <c r="M165" s="238"/>
      <c r="N165" s="195">
        <f t="shared" si="216"/>
        <v>63.512739809190613</v>
      </c>
      <c r="O165" s="196">
        <f t="shared" si="217"/>
        <v>0</v>
      </c>
      <c r="P165" s="197"/>
      <c r="Q165" s="196">
        <f t="shared" si="218"/>
        <v>0</v>
      </c>
      <c r="R165" s="197"/>
      <c r="S165" s="196">
        <f t="shared" si="219"/>
        <v>63.512739809190613</v>
      </c>
      <c r="T165" s="238"/>
      <c r="U165" s="196">
        <f t="shared" si="220"/>
        <v>63.512739809190613</v>
      </c>
      <c r="V165" s="238"/>
      <c r="W165" s="238"/>
      <c r="X165" s="238"/>
      <c r="Y165" s="238"/>
      <c r="Z165" s="198">
        <f>'7|Total Rev Current'!Z519</f>
        <v>0</v>
      </c>
      <c r="AA165" s="199">
        <f t="shared" si="221"/>
        <v>63.512739809190613</v>
      </c>
      <c r="AB165" s="200">
        <v>5.35</v>
      </c>
      <c r="AC165" s="201">
        <f t="shared" si="222"/>
        <v>63.512739809190613</v>
      </c>
      <c r="AE165" s="166"/>
    </row>
    <row r="166" spans="2:31" ht="15.75" customHeight="1">
      <c r="B166" s="236" t="s">
        <v>592</v>
      </c>
      <c r="C166" s="190">
        <f>'7|Total Rev Current'!C520</f>
        <v>0</v>
      </c>
      <c r="D166" s="203">
        <v>7</v>
      </c>
      <c r="E166" s="237">
        <v>0</v>
      </c>
      <c r="F166" s="237"/>
      <c r="G166" s="237">
        <v>2813</v>
      </c>
      <c r="H166" s="194">
        <f>'7|Total Rev Current'!H520</f>
        <v>39.768547340052926</v>
      </c>
      <c r="I166" s="194"/>
      <c r="J166" s="194">
        <f>'7|Total Rev Current'!J520</f>
        <v>0</v>
      </c>
      <c r="K166" s="238"/>
      <c r="L166" s="194">
        <f t="shared" si="215"/>
        <v>7.75</v>
      </c>
      <c r="M166" s="238"/>
      <c r="N166" s="195">
        <f t="shared" si="216"/>
        <v>27.83798313803705</v>
      </c>
      <c r="O166" s="196">
        <f t="shared" si="217"/>
        <v>0</v>
      </c>
      <c r="P166" s="197"/>
      <c r="Q166" s="196">
        <f t="shared" si="218"/>
        <v>0</v>
      </c>
      <c r="R166" s="197"/>
      <c r="S166" s="196">
        <f t="shared" si="219"/>
        <v>27.83798313803705</v>
      </c>
      <c r="T166" s="238"/>
      <c r="U166" s="196">
        <f t="shared" si="220"/>
        <v>27.83798313803705</v>
      </c>
      <c r="V166" s="238"/>
      <c r="W166" s="238"/>
      <c r="X166" s="238"/>
      <c r="Y166" s="238"/>
      <c r="Z166" s="198">
        <f>'7|Total Rev Current'!Z520</f>
        <v>0</v>
      </c>
      <c r="AA166" s="199">
        <f t="shared" si="221"/>
        <v>27.83798313803705</v>
      </c>
      <c r="AB166" s="200">
        <v>7</v>
      </c>
      <c r="AC166" s="201">
        <f t="shared" si="222"/>
        <v>27.83798313803705</v>
      </c>
      <c r="AE166" s="166"/>
    </row>
    <row r="167" spans="2:31" ht="23.25" customHeight="1">
      <c r="B167" s="251" t="s">
        <v>754</v>
      </c>
      <c r="C167" s="190">
        <f>'7|Total Rev Current'!C521</f>
        <v>0</v>
      </c>
      <c r="D167" s="217">
        <v>6.65</v>
      </c>
      <c r="E167" s="207">
        <v>5700</v>
      </c>
      <c r="F167" s="217"/>
      <c r="G167" s="222">
        <v>2813</v>
      </c>
      <c r="H167" s="194">
        <f>'7|Total Rev Current'!H521</f>
        <v>0</v>
      </c>
      <c r="I167" s="194"/>
      <c r="J167" s="194">
        <f>'7|Total Rev Current'!J521</f>
        <v>0</v>
      </c>
      <c r="K167" s="217"/>
      <c r="L167" s="194">
        <f t="shared" si="215"/>
        <v>7.4</v>
      </c>
      <c r="M167" s="217"/>
      <c r="N167" s="195">
        <f t="shared" si="216"/>
        <v>0</v>
      </c>
      <c r="O167" s="196">
        <f t="shared" si="217"/>
        <v>0</v>
      </c>
      <c r="P167" s="197"/>
      <c r="Q167" s="196">
        <f t="shared" si="218"/>
        <v>0</v>
      </c>
      <c r="R167" s="197"/>
      <c r="S167" s="196">
        <f t="shared" si="219"/>
        <v>0</v>
      </c>
      <c r="T167" s="217"/>
      <c r="U167" s="196">
        <f t="shared" si="220"/>
        <v>0</v>
      </c>
      <c r="V167" s="217"/>
      <c r="W167" s="217"/>
      <c r="X167" s="217"/>
      <c r="Y167" s="217"/>
      <c r="Z167" s="198">
        <f>'7|Total Rev Current'!Z521</f>
        <v>0</v>
      </c>
      <c r="AA167" s="199">
        <f t="shared" si="221"/>
        <v>0</v>
      </c>
      <c r="AB167" s="200">
        <v>6.65</v>
      </c>
      <c r="AC167" s="201">
        <f t="shared" si="222"/>
        <v>0</v>
      </c>
      <c r="AE167" s="166"/>
    </row>
    <row r="168" spans="2:31" ht="15.75" customHeight="1">
      <c r="B168" s="251" t="s">
        <v>755</v>
      </c>
      <c r="C168" s="190">
        <f>'7|Total Rev Current'!C522</f>
        <v>3</v>
      </c>
      <c r="D168" s="217">
        <v>4.9000000000000004</v>
      </c>
      <c r="E168" s="207">
        <v>5700</v>
      </c>
      <c r="F168" s="217"/>
      <c r="G168" s="222">
        <v>2813</v>
      </c>
      <c r="H168" s="194">
        <f>'7|Total Rev Current'!H522</f>
        <v>1960.1460315398524</v>
      </c>
      <c r="I168" s="194"/>
      <c r="J168" s="194">
        <f>'7|Total Rev Current'!J522</f>
        <v>259</v>
      </c>
      <c r="K168" s="195"/>
      <c r="L168" s="194">
        <f t="shared" si="215"/>
        <v>5.65</v>
      </c>
      <c r="M168" s="195"/>
      <c r="N168" s="195">
        <f t="shared" si="216"/>
        <v>960.47155545452767</v>
      </c>
      <c r="O168" s="196">
        <f t="shared" si="217"/>
        <v>147.63</v>
      </c>
      <c r="P168" s="195"/>
      <c r="Q168" s="196">
        <f t="shared" si="218"/>
        <v>1.01268E-2</v>
      </c>
      <c r="R168" s="196"/>
      <c r="S168" s="196">
        <f t="shared" si="219"/>
        <v>1108.1116822545278</v>
      </c>
      <c r="T168" s="196"/>
      <c r="U168" s="196">
        <f t="shared" si="220"/>
        <v>1108.1116822545278</v>
      </c>
      <c r="V168" s="196"/>
      <c r="W168" s="196"/>
      <c r="X168" s="196"/>
      <c r="Y168" s="196"/>
      <c r="Z168" s="198">
        <f>'7|Total Rev Current'!Z522</f>
        <v>30.926191993242785</v>
      </c>
      <c r="AA168" s="199">
        <f t="shared" si="221"/>
        <v>1139.0378742477706</v>
      </c>
      <c r="AB168" s="200">
        <v>4.9000000000000004</v>
      </c>
      <c r="AC168" s="201">
        <f t="shared" si="222"/>
        <v>1139.0378742477706</v>
      </c>
      <c r="AE168" s="166"/>
    </row>
    <row r="169" spans="2:31" ht="15.75" customHeight="1">
      <c r="B169" s="239" t="s">
        <v>751</v>
      </c>
      <c r="C169" s="250">
        <f>SUM(C170:C173)</f>
        <v>0</v>
      </c>
      <c r="D169" s="240"/>
      <c r="E169" s="240"/>
      <c r="F169" s="240"/>
      <c r="G169" s="240"/>
      <c r="H169" s="240">
        <f>SUM(H170:H173)</f>
        <v>0</v>
      </c>
      <c r="I169" s="240">
        <f t="shared" ref="I169:AC169" si="223">SUM(I170:I173)</f>
        <v>0</v>
      </c>
      <c r="J169" s="240">
        <f t="shared" si="223"/>
        <v>0</v>
      </c>
      <c r="K169" s="240">
        <f t="shared" si="223"/>
        <v>0</v>
      </c>
      <c r="L169" s="240"/>
      <c r="M169" s="240"/>
      <c r="N169" s="240">
        <f t="shared" si="223"/>
        <v>0</v>
      </c>
      <c r="O169" s="240">
        <f t="shared" si="223"/>
        <v>0</v>
      </c>
      <c r="P169" s="240">
        <f t="shared" si="223"/>
        <v>0</v>
      </c>
      <c r="Q169" s="240">
        <f t="shared" si="223"/>
        <v>0</v>
      </c>
      <c r="R169" s="240">
        <f t="shared" si="223"/>
        <v>0</v>
      </c>
      <c r="S169" s="240">
        <f t="shared" si="223"/>
        <v>0</v>
      </c>
      <c r="T169" s="240">
        <f t="shared" si="223"/>
        <v>0</v>
      </c>
      <c r="U169" s="240">
        <f t="shared" si="223"/>
        <v>0</v>
      </c>
      <c r="V169" s="240">
        <f t="shared" si="223"/>
        <v>0</v>
      </c>
      <c r="W169" s="240">
        <f t="shared" si="223"/>
        <v>0</v>
      </c>
      <c r="X169" s="240">
        <f t="shared" si="223"/>
        <v>0</v>
      </c>
      <c r="Y169" s="240">
        <f t="shared" si="223"/>
        <v>0</v>
      </c>
      <c r="Z169" s="240">
        <f t="shared" si="223"/>
        <v>0</v>
      </c>
      <c r="AA169" s="240">
        <f t="shared" si="223"/>
        <v>0</v>
      </c>
      <c r="AB169" s="240"/>
      <c r="AC169" s="241">
        <f t="shared" si="223"/>
        <v>0</v>
      </c>
      <c r="AE169" s="166"/>
    </row>
    <row r="170" spans="2:31" ht="28.5" customHeight="1">
      <c r="B170" s="236" t="s">
        <v>756</v>
      </c>
      <c r="C170" s="190">
        <f>'7|Total Rev Current'!C524</f>
        <v>0</v>
      </c>
      <c r="D170" s="203">
        <v>6.65</v>
      </c>
      <c r="E170" s="237">
        <v>5700</v>
      </c>
      <c r="F170" s="237"/>
      <c r="G170" s="237">
        <v>2813</v>
      </c>
      <c r="H170" s="194">
        <f>'7|Total Rev Current'!H524</f>
        <v>0</v>
      </c>
      <c r="I170" s="194"/>
      <c r="J170" s="194">
        <f>'7|Total Rev Current'!J524</f>
        <v>0</v>
      </c>
      <c r="K170" s="238"/>
      <c r="L170" s="194">
        <f t="shared" ref="L170:L173" si="224">D170+0.75</f>
        <v>7.4</v>
      </c>
      <c r="M170" s="238"/>
      <c r="N170" s="195">
        <f t="shared" ref="N170:N173" si="225">D170*H170/10</f>
        <v>0</v>
      </c>
      <c r="O170" s="196">
        <f t="shared" ref="O170:O173" si="226">IF(E170&gt;0,(J170*10^3*E170/10^7)+(K170*0.7457*E170/10^7),(K170*F170/10^7)+(J170*(10^3)*(1/0.7457)*F170/10^7))</f>
        <v>0</v>
      </c>
      <c r="P170" s="197"/>
      <c r="Q170" s="196">
        <f t="shared" ref="Q170:Q173" si="227">G170*C170*12/10^7</f>
        <v>0</v>
      </c>
      <c r="R170" s="197"/>
      <c r="S170" s="196">
        <f t="shared" ref="S170:S173" si="228">N170+O170+P170+Q170+R170</f>
        <v>0</v>
      </c>
      <c r="T170" s="238"/>
      <c r="U170" s="196">
        <f t="shared" ref="U170:U173" si="229">S170-T170</f>
        <v>0</v>
      </c>
      <c r="V170" s="238"/>
      <c r="W170" s="238"/>
      <c r="X170" s="238"/>
      <c r="Y170" s="238"/>
      <c r="Z170" s="198">
        <f>'7|Total Rev Current'!Z524</f>
        <v>0</v>
      </c>
      <c r="AA170" s="199">
        <f t="shared" ref="AA170:AA173" si="230">U170+Z170</f>
        <v>0</v>
      </c>
      <c r="AB170" s="200">
        <v>6.65</v>
      </c>
      <c r="AC170" s="201">
        <f t="shared" ref="AC170:AC173" si="231">(H170*AB170/10)+O170+Q170+P170+R170+Z170</f>
        <v>0</v>
      </c>
      <c r="AE170" s="166"/>
    </row>
    <row r="171" spans="2:31" ht="15.75" customHeight="1">
      <c r="B171" s="236" t="s">
        <v>757</v>
      </c>
      <c r="C171" s="190">
        <f>'7|Total Rev Current'!C525</f>
        <v>0</v>
      </c>
      <c r="D171" s="203">
        <v>6.95</v>
      </c>
      <c r="E171" s="237">
        <v>5700</v>
      </c>
      <c r="F171" s="237"/>
      <c r="G171" s="237">
        <v>2813</v>
      </c>
      <c r="H171" s="194">
        <f>'7|Total Rev Current'!H525</f>
        <v>0</v>
      </c>
      <c r="I171" s="194"/>
      <c r="J171" s="194">
        <f>'7|Total Rev Current'!J525</f>
        <v>0</v>
      </c>
      <c r="K171" s="238"/>
      <c r="L171" s="194">
        <f t="shared" si="224"/>
        <v>7.7</v>
      </c>
      <c r="M171" s="238"/>
      <c r="N171" s="195">
        <f t="shared" si="225"/>
        <v>0</v>
      </c>
      <c r="O171" s="196">
        <f t="shared" si="226"/>
        <v>0</v>
      </c>
      <c r="P171" s="197"/>
      <c r="Q171" s="196">
        <f t="shared" si="227"/>
        <v>0</v>
      </c>
      <c r="R171" s="197"/>
      <c r="S171" s="196">
        <f t="shared" si="228"/>
        <v>0</v>
      </c>
      <c r="T171" s="238"/>
      <c r="U171" s="196">
        <f t="shared" si="229"/>
        <v>0</v>
      </c>
      <c r="V171" s="238"/>
      <c r="W171" s="238"/>
      <c r="X171" s="238"/>
      <c r="Y171" s="238"/>
      <c r="Z171" s="198">
        <f>'7|Total Rev Current'!Z525</f>
        <v>0</v>
      </c>
      <c r="AA171" s="199">
        <f t="shared" si="230"/>
        <v>0</v>
      </c>
      <c r="AB171" s="200">
        <v>6.95</v>
      </c>
      <c r="AC171" s="201">
        <f t="shared" si="231"/>
        <v>0</v>
      </c>
      <c r="AE171" s="166"/>
    </row>
    <row r="172" spans="2:31" ht="15.75" customHeight="1">
      <c r="B172" s="236" t="s">
        <v>758</v>
      </c>
      <c r="C172" s="190">
        <f>'7|Total Rev Current'!C526</f>
        <v>0</v>
      </c>
      <c r="D172" s="203">
        <v>5</v>
      </c>
      <c r="E172" s="237">
        <v>360</v>
      </c>
      <c r="F172" s="237"/>
      <c r="G172" s="237">
        <v>2813</v>
      </c>
      <c r="H172" s="194">
        <f>'7|Total Rev Current'!H526</f>
        <v>0</v>
      </c>
      <c r="I172" s="194"/>
      <c r="J172" s="194">
        <f>'7|Total Rev Current'!J526</f>
        <v>0</v>
      </c>
      <c r="K172" s="238"/>
      <c r="L172" s="194">
        <f t="shared" si="224"/>
        <v>5.75</v>
      </c>
      <c r="M172" s="238"/>
      <c r="N172" s="195">
        <f t="shared" si="225"/>
        <v>0</v>
      </c>
      <c r="O172" s="196">
        <f t="shared" si="226"/>
        <v>0</v>
      </c>
      <c r="P172" s="197"/>
      <c r="Q172" s="196">
        <f t="shared" si="227"/>
        <v>0</v>
      </c>
      <c r="R172" s="197"/>
      <c r="S172" s="196">
        <f t="shared" si="228"/>
        <v>0</v>
      </c>
      <c r="T172" s="238"/>
      <c r="U172" s="196">
        <f t="shared" si="229"/>
        <v>0</v>
      </c>
      <c r="V172" s="238"/>
      <c r="W172" s="238"/>
      <c r="X172" s="238"/>
      <c r="Y172" s="238"/>
      <c r="Z172" s="198">
        <f>'7|Total Rev Current'!Z526</f>
        <v>0</v>
      </c>
      <c r="AA172" s="199">
        <f t="shared" si="230"/>
        <v>0</v>
      </c>
      <c r="AB172" s="200">
        <v>5</v>
      </c>
      <c r="AC172" s="201">
        <f t="shared" si="231"/>
        <v>0</v>
      </c>
      <c r="AE172" s="166"/>
    </row>
    <row r="173" spans="2:31" ht="15.75" customHeight="1">
      <c r="B173" s="236" t="s">
        <v>759</v>
      </c>
      <c r="C173" s="190">
        <f>'7|Total Rev Current'!C527</f>
        <v>0</v>
      </c>
      <c r="D173" s="203">
        <v>6.5</v>
      </c>
      <c r="E173" s="237">
        <v>4200</v>
      </c>
      <c r="F173" s="237"/>
      <c r="G173" s="237">
        <v>2813</v>
      </c>
      <c r="H173" s="194">
        <f>'7|Total Rev Current'!H527</f>
        <v>0</v>
      </c>
      <c r="I173" s="194"/>
      <c r="J173" s="194">
        <f>'7|Total Rev Current'!J527</f>
        <v>0</v>
      </c>
      <c r="K173" s="238"/>
      <c r="L173" s="194">
        <f t="shared" si="224"/>
        <v>7.25</v>
      </c>
      <c r="M173" s="238"/>
      <c r="N173" s="195">
        <f t="shared" si="225"/>
        <v>0</v>
      </c>
      <c r="O173" s="196">
        <f t="shared" si="226"/>
        <v>0</v>
      </c>
      <c r="P173" s="197"/>
      <c r="Q173" s="196">
        <f t="shared" si="227"/>
        <v>0</v>
      </c>
      <c r="R173" s="197"/>
      <c r="S173" s="196">
        <f t="shared" si="228"/>
        <v>0</v>
      </c>
      <c r="T173" s="238"/>
      <c r="U173" s="196">
        <f t="shared" si="229"/>
        <v>0</v>
      </c>
      <c r="V173" s="238"/>
      <c r="W173" s="238"/>
      <c r="X173" s="238"/>
      <c r="Y173" s="238"/>
      <c r="Z173" s="198">
        <f>'7|Total Rev Current'!Z527</f>
        <v>0</v>
      </c>
      <c r="AA173" s="199">
        <f t="shared" si="230"/>
        <v>0</v>
      </c>
      <c r="AB173" s="200">
        <v>6.5</v>
      </c>
      <c r="AC173" s="201">
        <f t="shared" si="231"/>
        <v>0</v>
      </c>
      <c r="AE173" s="166"/>
    </row>
    <row r="174" spans="2:31" ht="15.75" customHeight="1">
      <c r="B174" s="239" t="s">
        <v>752</v>
      </c>
      <c r="C174" s="250">
        <f>C175+C176</f>
        <v>3</v>
      </c>
      <c r="D174" s="240"/>
      <c r="E174" s="240"/>
      <c r="F174" s="240"/>
      <c r="G174" s="240"/>
      <c r="H174" s="240">
        <f t="shared" ref="H174:AC174" si="232">H175+H176</f>
        <v>246.8241335000811</v>
      </c>
      <c r="I174" s="240">
        <f t="shared" si="232"/>
        <v>0</v>
      </c>
      <c r="J174" s="240">
        <f t="shared" si="232"/>
        <v>244.91000000000003</v>
      </c>
      <c r="K174" s="240">
        <f t="shared" si="232"/>
        <v>0</v>
      </c>
      <c r="L174" s="240"/>
      <c r="M174" s="240"/>
      <c r="N174" s="240">
        <f t="shared" si="232"/>
        <v>176.47925545255799</v>
      </c>
      <c r="O174" s="240">
        <f t="shared" si="232"/>
        <v>0</v>
      </c>
      <c r="P174" s="240">
        <f t="shared" si="232"/>
        <v>0</v>
      </c>
      <c r="Q174" s="240">
        <f t="shared" si="232"/>
        <v>1.01268E-2</v>
      </c>
      <c r="R174" s="240">
        <f t="shared" si="232"/>
        <v>0</v>
      </c>
      <c r="S174" s="240">
        <f t="shared" si="232"/>
        <v>176.48938225255799</v>
      </c>
      <c r="T174" s="240">
        <f t="shared" si="232"/>
        <v>0</v>
      </c>
      <c r="U174" s="240">
        <f t="shared" si="232"/>
        <v>176.48938225255799</v>
      </c>
      <c r="V174" s="240">
        <f t="shared" si="232"/>
        <v>0</v>
      </c>
      <c r="W174" s="240">
        <f t="shared" si="232"/>
        <v>0</v>
      </c>
      <c r="X174" s="240">
        <f t="shared" si="232"/>
        <v>0</v>
      </c>
      <c r="Y174" s="240">
        <f t="shared" si="232"/>
        <v>0</v>
      </c>
      <c r="Z174" s="240">
        <f t="shared" si="232"/>
        <v>3.8942662528019412</v>
      </c>
      <c r="AA174" s="240">
        <f t="shared" si="232"/>
        <v>180.38364850535993</v>
      </c>
      <c r="AB174" s="240"/>
      <c r="AC174" s="241">
        <f t="shared" si="232"/>
        <v>180.38364850535993</v>
      </c>
      <c r="AE174" s="166"/>
    </row>
    <row r="175" spans="2:31" ht="27.75" customHeight="1">
      <c r="B175" s="236" t="s">
        <v>760</v>
      </c>
      <c r="C175" s="190">
        <f>'7|Total Rev Current'!C529</f>
        <v>0</v>
      </c>
      <c r="D175" s="203">
        <v>3.85</v>
      </c>
      <c r="E175" s="237">
        <v>360</v>
      </c>
      <c r="F175" s="237"/>
      <c r="G175" s="237">
        <v>2813</v>
      </c>
      <c r="H175" s="194">
        <f>'7|Total Rev Current'!H529</f>
        <v>0</v>
      </c>
      <c r="I175" s="194"/>
      <c r="J175" s="194">
        <f>'7|Total Rev Current'!J529</f>
        <v>0</v>
      </c>
      <c r="K175" s="238"/>
      <c r="L175" s="194">
        <f t="shared" ref="L175:L176" si="233">D175+0.75</f>
        <v>4.5999999999999996</v>
      </c>
      <c r="M175" s="238"/>
      <c r="N175" s="195">
        <f t="shared" ref="N175:N176" si="234">D175*H175/10</f>
        <v>0</v>
      </c>
      <c r="O175" s="196">
        <f t="shared" ref="O175:O176" si="235">IF(E175&gt;0,(J175*10^3*E175/10^7)+(K175*0.7457*E175/10^7),(K175*F175/10^7)+(J175*(10^3)*(1/0.7457)*F175/10^7))</f>
        <v>0</v>
      </c>
      <c r="P175" s="197"/>
      <c r="Q175" s="196">
        <f t="shared" ref="Q175:Q176" si="236">G175*C175*12/10^7</f>
        <v>0</v>
      </c>
      <c r="R175" s="197"/>
      <c r="S175" s="196">
        <f t="shared" ref="S175:S176" si="237">N175+O175+P175+Q175+R175</f>
        <v>0</v>
      </c>
      <c r="T175" s="238"/>
      <c r="U175" s="196">
        <f t="shared" ref="U175:U176" si="238">S175-T175</f>
        <v>0</v>
      </c>
      <c r="V175" s="238"/>
      <c r="W175" s="238"/>
      <c r="X175" s="238"/>
      <c r="Y175" s="238"/>
      <c r="Z175" s="198">
        <f>'7|Total Rev Current'!Z529</f>
        <v>0</v>
      </c>
      <c r="AA175" s="199">
        <f t="shared" ref="AA175:AA176" si="239">U175+Z175</f>
        <v>0</v>
      </c>
      <c r="AB175" s="200">
        <v>3.85</v>
      </c>
      <c r="AC175" s="201">
        <f t="shared" ref="AC175:AC176" si="240">(H175*AB175/10)+O175+Q175+P175+R175+Z175</f>
        <v>0</v>
      </c>
      <c r="AE175" s="166"/>
    </row>
    <row r="176" spans="2:31" ht="27.75" customHeight="1">
      <c r="B176" s="236" t="s">
        <v>761</v>
      </c>
      <c r="C176" s="190">
        <f>'7|Total Rev Current'!C530</f>
        <v>3</v>
      </c>
      <c r="D176" s="203">
        <v>7.15</v>
      </c>
      <c r="E176" s="237">
        <v>0</v>
      </c>
      <c r="F176" s="237"/>
      <c r="G176" s="237">
        <v>2813</v>
      </c>
      <c r="H176" s="194">
        <f>'7|Total Rev Current'!H530</f>
        <v>246.8241335000811</v>
      </c>
      <c r="I176" s="194"/>
      <c r="J176" s="194">
        <f>'7|Total Rev Current'!J530</f>
        <v>244.91000000000003</v>
      </c>
      <c r="K176" s="238"/>
      <c r="L176" s="194">
        <f t="shared" si="233"/>
        <v>7.9</v>
      </c>
      <c r="M176" s="238"/>
      <c r="N176" s="195">
        <f t="shared" si="234"/>
        <v>176.47925545255799</v>
      </c>
      <c r="O176" s="196">
        <f t="shared" si="235"/>
        <v>0</v>
      </c>
      <c r="P176" s="197"/>
      <c r="Q176" s="196">
        <f t="shared" si="236"/>
        <v>1.01268E-2</v>
      </c>
      <c r="R176" s="197"/>
      <c r="S176" s="196">
        <f t="shared" si="237"/>
        <v>176.48938225255799</v>
      </c>
      <c r="T176" s="238"/>
      <c r="U176" s="196">
        <f t="shared" si="238"/>
        <v>176.48938225255799</v>
      </c>
      <c r="V176" s="238"/>
      <c r="W176" s="238"/>
      <c r="X176" s="238"/>
      <c r="Y176" s="238"/>
      <c r="Z176" s="198">
        <f>'7|Total Rev Current'!Z530</f>
        <v>3.8942662528019412</v>
      </c>
      <c r="AA176" s="199">
        <f t="shared" si="239"/>
        <v>180.38364850535993</v>
      </c>
      <c r="AB176" s="200">
        <v>7.15</v>
      </c>
      <c r="AC176" s="201">
        <f t="shared" si="240"/>
        <v>180.38364850535993</v>
      </c>
      <c r="AE176" s="166"/>
    </row>
    <row r="177" spans="2:31" ht="12.75" customHeight="1">
      <c r="B177" s="239" t="s">
        <v>643</v>
      </c>
      <c r="C177" s="250">
        <f>C53+C85+C116+C147</f>
        <v>5118</v>
      </c>
      <c r="D177" s="240">
        <v>0</v>
      </c>
      <c r="E177" s="250">
        <v>0</v>
      </c>
      <c r="F177" s="250">
        <v>0</v>
      </c>
      <c r="G177" s="250">
        <v>0</v>
      </c>
      <c r="H177" s="240">
        <f>H53+H85+H116+H147</f>
        <v>14832.701689344693</v>
      </c>
      <c r="I177" s="240"/>
      <c r="J177" s="240">
        <f t="shared" ref="J177:S177" si="241">J53+J85+J116+J147</f>
        <v>4001.8378599999996</v>
      </c>
      <c r="K177" s="240">
        <f t="shared" si="241"/>
        <v>0</v>
      </c>
      <c r="L177" s="240"/>
      <c r="M177" s="240">
        <f t="shared" si="241"/>
        <v>7.7972797500000004</v>
      </c>
      <c r="N177" s="240">
        <f t="shared" si="241"/>
        <v>8569.8415541854156</v>
      </c>
      <c r="O177" s="240">
        <f t="shared" si="241"/>
        <v>1960.4916871800001</v>
      </c>
      <c r="P177" s="240">
        <f t="shared" si="241"/>
        <v>0</v>
      </c>
      <c r="Q177" s="240">
        <f t="shared" si="241"/>
        <v>9.4201955999999996</v>
      </c>
      <c r="R177" s="240">
        <f t="shared" si="241"/>
        <v>0</v>
      </c>
      <c r="S177" s="240">
        <f t="shared" si="241"/>
        <v>10539.753436965415</v>
      </c>
      <c r="T177" s="240"/>
      <c r="U177" s="240">
        <f t="shared" ref="U177:AC177" si="242">U53+U85+U116+U147</f>
        <v>10539.753436965415</v>
      </c>
      <c r="V177" s="240">
        <f t="shared" si="242"/>
        <v>0</v>
      </c>
      <c r="W177" s="240">
        <f t="shared" si="242"/>
        <v>0</v>
      </c>
      <c r="X177" s="240">
        <f t="shared" si="242"/>
        <v>0</v>
      </c>
      <c r="Y177" s="240">
        <f t="shared" si="242"/>
        <v>0</v>
      </c>
      <c r="Z177" s="240">
        <f t="shared" si="242"/>
        <v>234.0228599513118</v>
      </c>
      <c r="AA177" s="240">
        <f t="shared" si="242"/>
        <v>10773.776296916727</v>
      </c>
      <c r="AB177" s="240">
        <v>0</v>
      </c>
      <c r="AC177" s="241">
        <f t="shared" si="242"/>
        <v>10767.423496199852</v>
      </c>
    </row>
    <row r="178" spans="2:31" ht="12.75" customHeight="1" thickBot="1">
      <c r="B178" s="262" t="s">
        <v>644</v>
      </c>
      <c r="C178" s="263">
        <f>C50+C177</f>
        <v>7275328</v>
      </c>
      <c r="D178" s="264">
        <v>0</v>
      </c>
      <c r="E178" s="263">
        <v>0</v>
      </c>
      <c r="F178" s="263">
        <v>0</v>
      </c>
      <c r="G178" s="263">
        <v>0</v>
      </c>
      <c r="H178" s="264">
        <f>H50+H177</f>
        <v>29846.261691569911</v>
      </c>
      <c r="I178" s="264"/>
      <c r="J178" s="264">
        <f t="shared" ref="J178:S178" si="243">J50+J177</f>
        <v>14762.478909600599</v>
      </c>
      <c r="K178" s="264">
        <f t="shared" si="243"/>
        <v>2416521.9335961598</v>
      </c>
      <c r="L178" s="264"/>
      <c r="M178" s="264">
        <f t="shared" si="243"/>
        <v>7.7972797500000004</v>
      </c>
      <c r="N178" s="264">
        <f t="shared" si="243"/>
        <v>14743.823902732704</v>
      </c>
      <c r="O178" s="264">
        <f t="shared" si="243"/>
        <v>2310.6568488043213</v>
      </c>
      <c r="P178" s="264">
        <f t="shared" si="243"/>
        <v>17.650973348977502</v>
      </c>
      <c r="Q178" s="264">
        <f t="shared" si="243"/>
        <v>360.19679280000003</v>
      </c>
      <c r="R178" s="264">
        <f t="shared" si="243"/>
        <v>0</v>
      </c>
      <c r="S178" s="264">
        <f t="shared" si="243"/>
        <v>17432.328517686001</v>
      </c>
      <c r="T178" s="264"/>
      <c r="U178" s="264">
        <f t="shared" ref="U178:AC178" si="244">U50+U177</f>
        <v>17432.328517686001</v>
      </c>
      <c r="V178" s="264">
        <f t="shared" si="244"/>
        <v>0</v>
      </c>
      <c r="W178" s="264">
        <f t="shared" si="244"/>
        <v>0</v>
      </c>
      <c r="X178" s="264">
        <f t="shared" si="244"/>
        <v>0</v>
      </c>
      <c r="Y178" s="264">
        <f t="shared" si="244"/>
        <v>0</v>
      </c>
      <c r="Z178" s="264">
        <f t="shared" si="244"/>
        <v>432.55799999999999</v>
      </c>
      <c r="AA178" s="264">
        <f t="shared" si="244"/>
        <v>17864.886517685998</v>
      </c>
      <c r="AB178" s="264">
        <v>0</v>
      </c>
      <c r="AC178" s="265">
        <f t="shared" si="244"/>
        <v>21161.869349060398</v>
      </c>
      <c r="AD178" s="166"/>
      <c r="AE178" s="166"/>
    </row>
    <row r="179" spans="2:31" ht="10.5" customHeight="1">
      <c r="AA179" s="166">
        <f>AA178-'7|Total Rev Current'!AA532</f>
        <v>100.43703608871874</v>
      </c>
    </row>
    <row r="180" spans="2:31" ht="10.5" customHeight="1">
      <c r="I180" s="162"/>
      <c r="J180" s="162"/>
      <c r="K180" s="162"/>
      <c r="L180" s="162"/>
      <c r="M180" s="162"/>
      <c r="N180" s="162"/>
      <c r="O180" s="162"/>
      <c r="P180" s="162"/>
      <c r="Q180" s="162"/>
      <c r="R180" s="162"/>
      <c r="S180" s="162"/>
      <c r="T180" s="162"/>
      <c r="U180" s="162"/>
      <c r="V180" s="162"/>
      <c r="W180" s="162"/>
      <c r="X180" s="162"/>
      <c r="Y180" s="162"/>
      <c r="Z180" s="162"/>
      <c r="AA180" s="162"/>
      <c r="AB180" s="162"/>
      <c r="AC180" s="162">
        <f>'1|ARR'!H24</f>
        <v>21161.863536030251</v>
      </c>
      <c r="AD180" s="266">
        <f>AC180-AC178</f>
        <v>-5.8130301476921886E-3</v>
      </c>
    </row>
    <row r="181" spans="2:31" ht="10.5" customHeight="1">
      <c r="I181" s="162"/>
      <c r="J181" s="162"/>
      <c r="K181" s="162"/>
      <c r="L181" s="162"/>
      <c r="M181" s="162"/>
      <c r="N181" s="162"/>
      <c r="O181" s="162"/>
      <c r="P181" s="162"/>
      <c r="Q181" s="162"/>
      <c r="R181" s="162"/>
      <c r="S181" s="162"/>
      <c r="T181" s="162"/>
      <c r="U181" s="162"/>
      <c r="V181" s="162"/>
      <c r="W181" s="162"/>
      <c r="X181" s="162"/>
      <c r="Y181" s="162"/>
      <c r="Z181" s="162"/>
      <c r="AA181" s="162"/>
      <c r="AB181" s="162"/>
    </row>
    <row r="182" spans="2:31" ht="10.5" customHeight="1">
      <c r="H182" s="161"/>
      <c r="AA182" s="166"/>
      <c r="AC182" s="166">
        <f>AC180-AC178</f>
        <v>-5.8130301476921886E-3</v>
      </c>
      <c r="AD182" s="266"/>
    </row>
    <row r="184" spans="2:31" ht="10.5" customHeight="1">
      <c r="AA184" s="166"/>
    </row>
    <row r="185" spans="2:31" ht="10.5" customHeight="1">
      <c r="AD185" s="166"/>
    </row>
    <row r="186" spans="2:31" ht="10.5" customHeight="1">
      <c r="AA186" s="166"/>
    </row>
  </sheetData>
  <mergeCells count="12">
    <mergeCell ref="AB5:AB6"/>
    <mergeCell ref="AC5:AC6"/>
    <mergeCell ref="B4:AA4"/>
    <mergeCell ref="C5:C6"/>
    <mergeCell ref="D5:G5"/>
    <mergeCell ref="H5:K5"/>
    <mergeCell ref="N5:S5"/>
    <mergeCell ref="T5:T6"/>
    <mergeCell ref="W5:X5"/>
    <mergeCell ref="Y5:Z5"/>
    <mergeCell ref="AA5:AA6"/>
    <mergeCell ref="L5:M5"/>
  </mergeCells>
  <dataValidations count="1">
    <dataValidation type="decimal" allowBlank="1" showInputMessage="1" showErrorMessage="1" sqref="AA169:AB178 N169:S169 N174:S174 U174:Z174 V158:Z173 I37:M38 Z130:AB130 AC169 J157:AA157 AC174 I113:M115 AC125:AC126 I125:AA125 AC112 I112:S112 T112:T113 T121 T131 T129 AC116 I107:AA107 U112:AA112 AC118 I118:AA118 Z105 Z117:AB117 I94:AA94 Z108:AA111 V121:Z121 V113:AB113 R137 AC156 V131:AB131 N126:AA126 C7 K177:U179 Z37 V38:Z38 Z41:AA46 Z34:AA35 I54:M54 N51:AA51 I36:AC36 I39:S39 C1:C2 Z30:AA32 C9:G65549 D1:Z3 H7:AA7 I9:AC9 Z19:AA28 U47:AA47 AC50:AC51 Z49 U53:AA53 I51:M52 Z52:AA52 U55:AC55 I49:J49 H63:AA63 AC75 I62:AA62 K48:M49 Z57:AA61 AC17:AC18 AC33 T38:T39 T47:T48 T53:T56 T70 U39:AA39 I53:S53 I55:S55 H47:S47 I40:AA40 AC47 AC53 H9:H46 AA37:AA38 V48:Z48 V70:Z70 I180:AC180 AC62:AC63 V56:AB56 V89:AB89 I50:AA50 AA95:AA106 Z90:AA93 AC138 I88:M93 V96:Z96 V101:Z101 V81:AA82 AC94 I116:AA116 U80:AA80 I80:S80 AC80 T101 T104 T96 T89 AC107 Z76:AA79 I81:M84 I76:M79 Z71:Z74 H87:AC87 Z83:AA84 AC85 I75:AA75 T80:T82 AB57:AB86 AA158:AA168 AC143 T158:T176 U169 I148:M148 R168 H156:AA156 V145:Y147 I147:S147 AC29 I143:Y143 T151 T154:T155 T145:T147 I138:Y138 Z150:AA155 H88:H155 V154:Y155 AC147 U146:U147 V181:AB181 I10:M16 I17:AA18 I19:M28 I29:AA29 I33:AA33 I30:M32 I41:M46 H48:J48 H49:H62 I56:M61 I64:M74 H64:H84 H86:M86 I95:M106 I108:M111 I117:M117 I119:M124 I126:M137 I139:M142 I144:M146 V175:Z179 H157:H65549 I168:J179 H85:AA85 I150:M155 P168 V151:Y151 P137 Z122:Z124 K168:M176 P106 R106 T106 V104:Z104 Z95 Z88:AB88 Z86:AA86 AB37:AB54 AA48:AA49 V54:AA54 AA64:AA74 Z64:Z69 V106:Z106 Z97:Z100 Z102:Z103 Z114:AA115 AA119:AA124 Z119:Z120 V129:AB129 AB118:AB128 Z127:AA128 AB150:AB168 I181:U65549 V182:Z65549 AC39:AC40 I34:M35 I158:M167 Z10:AA16 AC177:AC178 AB90:AB112 AB114:AB116 I149:AC149 Z132:AB148 AB10:AB35">
      <formula1>0</formula1>
      <formula2>9.99999999999999E+30</formula2>
    </dataValidation>
  </dataValidations>
  <hyperlinks>
    <hyperlink ref="A1" location="Index!A1" display="Index sheet"/>
  </hyperlinks>
  <printOptions horizontalCentered="1"/>
  <pageMargins left="0.31496062992125984" right="0.31496062992125984" top="0.51181102362204722" bottom="0.51181102362204722" header="0.23622047244094491" footer="0.23622047244094491"/>
  <pageSetup paperSize="9" scale="70" fitToHeight="3" pageOrder="overThenDown" orientation="landscape" blackAndWhite="1" r:id="rId1"/>
  <headerFooter alignWithMargins="0"/>
  <rowBreaks count="5" manualBreakCount="5">
    <brk id="38" min="1" max="26" man="1"/>
    <brk id="82" min="1" max="26" man="1"/>
    <brk id="114" min="1" max="26" man="1"/>
    <brk id="145" min="1" max="26" man="1"/>
    <brk id="178" min="1" max="26" man="1"/>
  </rowBreaks>
  <colBreaks count="1" manualBreakCount="1">
    <brk id="19" min="2" max="177" man="1"/>
  </colBreaks>
</worksheet>
</file>

<file path=xl/worksheets/sheet41.xml><?xml version="1.0" encoding="utf-8"?>
<worksheet xmlns="http://schemas.openxmlformats.org/spreadsheetml/2006/main" xmlns:r="http://schemas.openxmlformats.org/officeDocument/2006/relationships">
  <dimension ref="A1:AE218"/>
  <sheetViews>
    <sheetView view="pageBreakPreview" topLeftCell="B55" zoomScaleNormal="106" zoomScaleSheetLayoutView="100" workbookViewId="0">
      <selection activeCell="C64" sqref="C64:C82"/>
    </sheetView>
  </sheetViews>
  <sheetFormatPr defaultRowHeight="10.5" customHeight="1"/>
  <cols>
    <col min="1" max="1" width="6.42578125" style="160" customWidth="1"/>
    <col min="2" max="2" width="30.28515625" style="153" customWidth="1"/>
    <col min="3" max="3" width="11" style="161" customWidth="1"/>
    <col min="4" max="4" width="8.7109375" style="162" customWidth="1"/>
    <col min="5" max="5" width="10" style="162" customWidth="1"/>
    <col min="6" max="6" width="8.85546875" style="162" customWidth="1"/>
    <col min="7" max="7" width="8.5703125" style="162" customWidth="1"/>
    <col min="8" max="8" width="9" style="162" customWidth="1"/>
    <col min="9" max="9" width="7.85546875" style="157" customWidth="1"/>
    <col min="10" max="10" width="13" style="157" customWidth="1"/>
    <col min="11" max="11" width="10.7109375" style="157" customWidth="1"/>
    <col min="12" max="12" width="11.42578125" style="157" customWidth="1"/>
    <col min="13" max="13" width="10" style="157" customWidth="1"/>
    <col min="14" max="14" width="11" style="157" customWidth="1"/>
    <col min="15" max="15" width="10.85546875" style="157" customWidth="1"/>
    <col min="16" max="16" width="7.85546875" style="157" customWidth="1"/>
    <col min="17" max="17" width="12" style="157" customWidth="1"/>
    <col min="18" max="18" width="8.42578125" style="157" customWidth="1"/>
    <col min="19" max="19" width="11.7109375" style="157" customWidth="1"/>
    <col min="20" max="20" width="8.5703125" style="157" customWidth="1"/>
    <col min="21" max="21" width="9.28515625" style="157" customWidth="1"/>
    <col min="22" max="22" width="9.140625" style="158" customWidth="1"/>
    <col min="23" max="23" width="6.5703125" style="158" customWidth="1"/>
    <col min="24" max="24" width="11.28515625" style="159" customWidth="1"/>
    <col min="25" max="25" width="11.42578125" style="160" customWidth="1"/>
    <col min="26" max="26" width="12.28515625" style="160" customWidth="1"/>
    <col min="27" max="27" width="13.7109375" style="160" customWidth="1"/>
    <col min="28" max="28" width="13.42578125" style="160" bestFit="1" customWidth="1"/>
    <col min="29" max="16384" width="9.140625" style="160"/>
  </cols>
  <sheetData>
    <row r="1" spans="1:27" ht="10.5" customHeight="1">
      <c r="A1" s="136" t="s">
        <v>396</v>
      </c>
      <c r="C1" s="154"/>
      <c r="D1" s="155"/>
      <c r="E1" s="155"/>
      <c r="F1" s="155"/>
      <c r="G1" s="155"/>
      <c r="H1" s="155"/>
      <c r="I1" s="156"/>
    </row>
    <row r="2" spans="1:27" ht="10.5" customHeight="1">
      <c r="O2" s="163"/>
    </row>
    <row r="3" spans="1:27" ht="17.25" customHeight="1">
      <c r="B3" s="164" t="s">
        <v>593</v>
      </c>
      <c r="C3" s="165" t="s">
        <v>192</v>
      </c>
      <c r="D3" s="155"/>
      <c r="E3" s="155"/>
      <c r="F3" s="155"/>
      <c r="G3" s="155"/>
      <c r="H3" s="155"/>
      <c r="I3" s="156"/>
      <c r="J3" s="156"/>
      <c r="K3" s="156"/>
      <c r="L3" s="156"/>
      <c r="M3" s="156"/>
      <c r="N3" s="156"/>
      <c r="O3" s="156"/>
    </row>
    <row r="4" spans="1:27" ht="110.25" customHeight="1" thickBot="1">
      <c r="B4" s="1945" t="s">
        <v>996</v>
      </c>
      <c r="C4" s="1945"/>
      <c r="D4" s="1945"/>
      <c r="E4" s="1945"/>
      <c r="F4" s="1945"/>
      <c r="G4" s="1945"/>
      <c r="H4" s="1945"/>
      <c r="I4" s="1945"/>
      <c r="J4" s="1945"/>
      <c r="K4" s="1945"/>
      <c r="L4" s="1945"/>
      <c r="M4" s="1945"/>
      <c r="N4" s="1945"/>
      <c r="O4" s="1945"/>
      <c r="P4" s="1945"/>
      <c r="Q4" s="1945"/>
      <c r="R4" s="1945"/>
      <c r="S4" s="1945"/>
      <c r="T4" s="1945"/>
      <c r="U4" s="1945"/>
      <c r="V4" s="1945"/>
      <c r="W4" s="1945"/>
      <c r="X4" s="1945"/>
      <c r="Y4" s="1945"/>
    </row>
    <row r="5" spans="1:27" ht="24.75" customHeight="1">
      <c r="A5" s="166"/>
      <c r="B5" s="167" t="str">
        <f>Notes!$C$6</f>
        <v>FY 2024-25</v>
      </c>
      <c r="C5" s="1946" t="s">
        <v>201</v>
      </c>
      <c r="D5" s="1948" t="s">
        <v>856</v>
      </c>
      <c r="E5" s="1948"/>
      <c r="F5" s="1948"/>
      <c r="G5" s="1948"/>
      <c r="H5" s="1948" t="s">
        <v>857</v>
      </c>
      <c r="I5" s="1948"/>
      <c r="J5" s="1948"/>
      <c r="K5" s="1948"/>
      <c r="L5" s="1948" t="s">
        <v>204</v>
      </c>
      <c r="M5" s="1948"/>
      <c r="N5" s="1948"/>
      <c r="O5" s="1948"/>
      <c r="P5" s="1948"/>
      <c r="Q5" s="1948"/>
      <c r="R5" s="1762" t="s">
        <v>1</v>
      </c>
      <c r="S5" s="168"/>
      <c r="T5" s="168"/>
      <c r="U5" s="1949" t="s">
        <v>858</v>
      </c>
      <c r="V5" s="1949"/>
      <c r="W5" s="1950" t="s">
        <v>624</v>
      </c>
      <c r="X5" s="1950"/>
      <c r="Y5" s="1762" t="s">
        <v>625</v>
      </c>
      <c r="Z5" s="1762" t="s">
        <v>889</v>
      </c>
      <c r="AA5" s="1943" t="s">
        <v>891</v>
      </c>
    </row>
    <row r="6" spans="1:27" s="138" customFormat="1" ht="55.5" customHeight="1">
      <c r="B6" s="169" t="s">
        <v>205</v>
      </c>
      <c r="C6" s="1947"/>
      <c r="D6" s="170" t="s">
        <v>890</v>
      </c>
      <c r="E6" s="170" t="s">
        <v>23</v>
      </c>
      <c r="F6" s="170" t="s">
        <v>0</v>
      </c>
      <c r="G6" s="170" t="s">
        <v>605</v>
      </c>
      <c r="H6" s="170" t="s">
        <v>9</v>
      </c>
      <c r="I6" s="170" t="s">
        <v>22</v>
      </c>
      <c r="J6" s="170" t="s">
        <v>527</v>
      </c>
      <c r="K6" s="170" t="s">
        <v>528</v>
      </c>
      <c r="L6" s="170" t="s">
        <v>8</v>
      </c>
      <c r="M6" s="170" t="s">
        <v>7</v>
      </c>
      <c r="N6" s="170" t="s">
        <v>6</v>
      </c>
      <c r="O6" s="170" t="s">
        <v>529</v>
      </c>
      <c r="P6" s="170" t="s">
        <v>5</v>
      </c>
      <c r="Q6" s="170" t="s">
        <v>4</v>
      </c>
      <c r="R6" s="1726"/>
      <c r="S6" s="170" t="s">
        <v>522</v>
      </c>
      <c r="T6" s="170" t="s">
        <v>2</v>
      </c>
      <c r="U6" s="170" t="s">
        <v>3</v>
      </c>
      <c r="V6" s="170" t="s">
        <v>623</v>
      </c>
      <c r="W6" s="171" t="s">
        <v>471</v>
      </c>
      <c r="X6" s="171" t="s">
        <v>450</v>
      </c>
      <c r="Y6" s="1726" t="s">
        <v>625</v>
      </c>
      <c r="Z6" s="1726"/>
      <c r="AA6" s="1727"/>
    </row>
    <row r="7" spans="1:27" s="92" customFormat="1">
      <c r="A7" s="172"/>
      <c r="B7" s="173" t="s">
        <v>598</v>
      </c>
      <c r="C7" s="174"/>
      <c r="D7" s="174"/>
      <c r="E7" s="174"/>
      <c r="F7" s="174"/>
      <c r="G7" s="174"/>
      <c r="H7" s="174"/>
      <c r="I7" s="174"/>
      <c r="J7" s="174"/>
      <c r="K7" s="174"/>
      <c r="L7" s="174"/>
      <c r="M7" s="174"/>
      <c r="N7" s="174"/>
      <c r="O7" s="174"/>
      <c r="P7" s="174"/>
      <c r="Q7" s="174"/>
      <c r="R7" s="174"/>
      <c r="S7" s="174"/>
      <c r="T7" s="174"/>
      <c r="U7" s="174"/>
      <c r="V7" s="174"/>
      <c r="W7" s="174"/>
      <c r="X7" s="175"/>
      <c r="Y7" s="174"/>
      <c r="Z7" s="101"/>
      <c r="AA7" s="176"/>
    </row>
    <row r="8" spans="1:27" s="92" customFormat="1" ht="18" customHeight="1">
      <c r="A8" s="177"/>
      <c r="B8" s="178" t="s">
        <v>722</v>
      </c>
      <c r="C8" s="179">
        <f>C9</f>
        <v>6079127</v>
      </c>
      <c r="D8" s="180"/>
      <c r="E8" s="180"/>
      <c r="F8" s="180"/>
      <c r="G8" s="180"/>
      <c r="H8" s="181">
        <f>H9</f>
        <v>0</v>
      </c>
      <c r="I8" s="181">
        <f t="shared" ref="I8:AA8" si="0">I9</f>
        <v>0</v>
      </c>
      <c r="J8" s="181">
        <f t="shared" si="0"/>
        <v>0</v>
      </c>
      <c r="K8" s="181">
        <f t="shared" si="0"/>
        <v>0</v>
      </c>
      <c r="L8" s="181">
        <f t="shared" si="0"/>
        <v>0</v>
      </c>
      <c r="M8" s="181">
        <f t="shared" si="0"/>
        <v>0</v>
      </c>
      <c r="N8" s="181">
        <f t="shared" si="0"/>
        <v>0</v>
      </c>
      <c r="O8" s="181">
        <f t="shared" si="0"/>
        <v>280.22447400000004</v>
      </c>
      <c r="P8" s="181">
        <f t="shared" si="0"/>
        <v>0</v>
      </c>
      <c r="Q8" s="181">
        <f t="shared" si="0"/>
        <v>280.22447400000004</v>
      </c>
      <c r="R8" s="181">
        <f t="shared" si="0"/>
        <v>0</v>
      </c>
      <c r="S8" s="181">
        <f t="shared" si="0"/>
        <v>280.22447400000004</v>
      </c>
      <c r="T8" s="181">
        <f t="shared" si="0"/>
        <v>0</v>
      </c>
      <c r="U8" s="181">
        <f t="shared" si="0"/>
        <v>0</v>
      </c>
      <c r="V8" s="181">
        <f t="shared" si="0"/>
        <v>0</v>
      </c>
      <c r="W8" s="181">
        <f t="shared" si="0"/>
        <v>0</v>
      </c>
      <c r="X8" s="181">
        <f t="shared" si="0"/>
        <v>0</v>
      </c>
      <c r="Y8" s="181">
        <f t="shared" si="0"/>
        <v>280.22447400000004</v>
      </c>
      <c r="Z8" s="181"/>
      <c r="AA8" s="182">
        <f t="shared" si="0"/>
        <v>280.22447400000004</v>
      </c>
    </row>
    <row r="9" spans="1:27" s="92" customFormat="1">
      <c r="B9" s="183" t="s">
        <v>921</v>
      </c>
      <c r="C9" s="184">
        <f>SUM(C10:C16)</f>
        <v>6079127</v>
      </c>
      <c r="D9" s="185"/>
      <c r="E9" s="185"/>
      <c r="F9" s="185"/>
      <c r="G9" s="185"/>
      <c r="H9" s="186">
        <f>SUM(H10:H16)</f>
        <v>0</v>
      </c>
      <c r="I9" s="186">
        <f t="shared" ref="I9:AA9" si="1">SUM(I10:I16)</f>
        <v>0</v>
      </c>
      <c r="J9" s="186">
        <f t="shared" si="1"/>
        <v>0</v>
      </c>
      <c r="K9" s="186">
        <f t="shared" si="1"/>
        <v>0</v>
      </c>
      <c r="L9" s="186">
        <f t="shared" si="1"/>
        <v>0</v>
      </c>
      <c r="M9" s="186">
        <f t="shared" si="1"/>
        <v>0</v>
      </c>
      <c r="N9" s="186">
        <f t="shared" si="1"/>
        <v>0</v>
      </c>
      <c r="O9" s="186">
        <f t="shared" si="1"/>
        <v>280.22447400000004</v>
      </c>
      <c r="P9" s="186">
        <f t="shared" si="1"/>
        <v>0</v>
      </c>
      <c r="Q9" s="186">
        <f t="shared" si="1"/>
        <v>280.22447400000004</v>
      </c>
      <c r="R9" s="186">
        <f t="shared" si="1"/>
        <v>0</v>
      </c>
      <c r="S9" s="186">
        <f t="shared" si="1"/>
        <v>280.22447400000004</v>
      </c>
      <c r="T9" s="186">
        <f t="shared" si="1"/>
        <v>0</v>
      </c>
      <c r="U9" s="186">
        <f t="shared" si="1"/>
        <v>0</v>
      </c>
      <c r="V9" s="186">
        <f t="shared" si="1"/>
        <v>0</v>
      </c>
      <c r="W9" s="186">
        <f t="shared" si="1"/>
        <v>0</v>
      </c>
      <c r="X9" s="186">
        <f t="shared" si="1"/>
        <v>0</v>
      </c>
      <c r="Y9" s="186">
        <f t="shared" si="1"/>
        <v>280.22447400000004</v>
      </c>
      <c r="Z9" s="186"/>
      <c r="AA9" s="187">
        <f t="shared" si="1"/>
        <v>280.22447400000004</v>
      </c>
    </row>
    <row r="10" spans="1:27" s="92" customFormat="1">
      <c r="A10" s="188"/>
      <c r="B10" s="189" t="s">
        <v>854</v>
      </c>
      <c r="C10" s="190">
        <f>'7|Total Rev Current'!C364</f>
        <v>1311268</v>
      </c>
      <c r="D10" s="191">
        <v>1.9</v>
      </c>
      <c r="E10" s="192">
        <f>10*12</f>
        <v>120</v>
      </c>
      <c r="F10" s="193"/>
      <c r="G10" s="190">
        <v>25</v>
      </c>
      <c r="H10" s="194"/>
      <c r="I10" s="194"/>
      <c r="J10" s="194"/>
      <c r="K10" s="194"/>
      <c r="L10" s="195">
        <f>D10*H10/10</f>
        <v>0</v>
      </c>
      <c r="M10" s="196">
        <f>IF(E10&gt;0,(J10*10^3*E10/10^7)+(K10*0.7457*E10/10^7),(K10*F10/10^7)+(J10*(10^3)*(1/0.7457)*F10/10^7))</f>
        <v>0</v>
      </c>
      <c r="N10" s="197"/>
      <c r="O10" s="196">
        <f>G10*C10*12/10^7</f>
        <v>39.338039999999999</v>
      </c>
      <c r="P10" s="197"/>
      <c r="Q10" s="196">
        <f t="shared" ref="Q10:Q16" si="2">L10+M10+N10+O10+P10</f>
        <v>39.338039999999999</v>
      </c>
      <c r="R10" s="197"/>
      <c r="S10" s="196">
        <f t="shared" ref="S10:S16" si="3">Q10-R10</f>
        <v>39.338039999999999</v>
      </c>
      <c r="T10" s="197"/>
      <c r="U10" s="197"/>
      <c r="V10" s="197"/>
      <c r="W10" s="197"/>
      <c r="X10" s="198"/>
      <c r="Y10" s="199">
        <f>S10+X10</f>
        <v>39.338039999999999</v>
      </c>
      <c r="Z10" s="200">
        <v>3.9079999999999999</v>
      </c>
      <c r="AA10" s="201">
        <f>(H10*Z10/10)+M10+O10+N10+P10+X10</f>
        <v>39.338039999999999</v>
      </c>
    </row>
    <row r="11" spans="1:27" s="92" customFormat="1" ht="11.25" customHeight="1">
      <c r="A11" s="188"/>
      <c r="B11" s="189" t="s">
        <v>855</v>
      </c>
      <c r="C11" s="190">
        <f>'7|Total Rev Current'!C365</f>
        <v>1625087</v>
      </c>
      <c r="D11" s="191">
        <v>3</v>
      </c>
      <c r="E11" s="192">
        <f t="shared" ref="E11:E15" si="4">10*12</f>
        <v>120</v>
      </c>
      <c r="F11" s="193"/>
      <c r="G11" s="190">
        <v>30</v>
      </c>
      <c r="H11" s="194"/>
      <c r="I11" s="194"/>
      <c r="J11" s="194"/>
      <c r="K11" s="202"/>
      <c r="L11" s="195">
        <f t="shared" ref="L11:L16" si="5">D11*H11/10</f>
        <v>0</v>
      </c>
      <c r="M11" s="196">
        <f t="shared" ref="M11:M16" si="6">IF(E11&gt;0,(J11*10^3*E11/10^7)+(K11*0.7457*E11/10^7),(K11*F11/10^7)+(J11*(10^3)*(1/0.7457)*F11/10^7))</f>
        <v>0</v>
      </c>
      <c r="N11" s="197"/>
      <c r="O11" s="196">
        <f t="shared" ref="O11:O16" si="7">G11*C11*12/10^7</f>
        <v>58.503132000000001</v>
      </c>
      <c r="P11" s="197"/>
      <c r="Q11" s="196">
        <f t="shared" si="2"/>
        <v>58.503132000000001</v>
      </c>
      <c r="R11" s="197"/>
      <c r="S11" s="196">
        <f t="shared" si="3"/>
        <v>58.503132000000001</v>
      </c>
      <c r="T11" s="197"/>
      <c r="U11" s="197"/>
      <c r="V11" s="197"/>
      <c r="W11" s="197"/>
      <c r="X11" s="198"/>
      <c r="Y11" s="199">
        <f t="shared" ref="Y11:Y16" si="8">S11+X11</f>
        <v>58.503132000000001</v>
      </c>
      <c r="Z11" s="200">
        <v>4.5910000000000002</v>
      </c>
      <c r="AA11" s="201">
        <f t="shared" ref="AA11:AA16" si="9">(H11*Z11/10)+M11+O11+N11+P11+X11</f>
        <v>58.503132000000001</v>
      </c>
    </row>
    <row r="12" spans="1:27" s="92" customFormat="1">
      <c r="A12" s="188"/>
      <c r="B12" s="189" t="s">
        <v>906</v>
      </c>
      <c r="C12" s="190">
        <f>'7|Total Rev Current'!C366</f>
        <v>1495268</v>
      </c>
      <c r="D12" s="191">
        <v>4.5</v>
      </c>
      <c r="E12" s="192">
        <f t="shared" si="4"/>
        <v>120</v>
      </c>
      <c r="F12" s="193"/>
      <c r="G12" s="190">
        <v>45</v>
      </c>
      <c r="H12" s="194"/>
      <c r="I12" s="194"/>
      <c r="J12" s="194"/>
      <c r="K12" s="194"/>
      <c r="L12" s="195">
        <f t="shared" si="5"/>
        <v>0</v>
      </c>
      <c r="M12" s="196">
        <f t="shared" si="6"/>
        <v>0</v>
      </c>
      <c r="N12" s="197"/>
      <c r="O12" s="196">
        <f t="shared" si="7"/>
        <v>80.744472000000002</v>
      </c>
      <c r="P12" s="197"/>
      <c r="Q12" s="196">
        <f t="shared" si="2"/>
        <v>80.744472000000002</v>
      </c>
      <c r="R12" s="197"/>
      <c r="S12" s="196">
        <f t="shared" si="3"/>
        <v>80.744472000000002</v>
      </c>
      <c r="T12" s="197"/>
      <c r="U12" s="197"/>
      <c r="V12" s="197"/>
      <c r="W12" s="197"/>
      <c r="X12" s="198"/>
      <c r="Y12" s="199">
        <f t="shared" si="8"/>
        <v>80.744472000000002</v>
      </c>
      <c r="Z12" s="200">
        <v>4.6890000000000001</v>
      </c>
      <c r="AA12" s="201">
        <f t="shared" si="9"/>
        <v>80.744472000000002</v>
      </c>
    </row>
    <row r="13" spans="1:27" s="92" customFormat="1">
      <c r="A13" s="188"/>
      <c r="B13" s="189" t="s">
        <v>907</v>
      </c>
      <c r="C13" s="190">
        <f>'7|Total Rev Current'!C367</f>
        <v>1182739</v>
      </c>
      <c r="D13" s="191">
        <v>6</v>
      </c>
      <c r="E13" s="192">
        <f t="shared" si="4"/>
        <v>120</v>
      </c>
      <c r="F13" s="193"/>
      <c r="G13" s="190">
        <v>50</v>
      </c>
      <c r="H13" s="194"/>
      <c r="I13" s="194"/>
      <c r="J13" s="194"/>
      <c r="K13" s="194"/>
      <c r="L13" s="195">
        <f t="shared" si="5"/>
        <v>0</v>
      </c>
      <c r="M13" s="196">
        <f t="shared" si="6"/>
        <v>0</v>
      </c>
      <c r="N13" s="197"/>
      <c r="O13" s="196">
        <f t="shared" si="7"/>
        <v>70.964340000000007</v>
      </c>
      <c r="P13" s="197"/>
      <c r="Q13" s="196">
        <f t="shared" si="2"/>
        <v>70.964340000000007</v>
      </c>
      <c r="R13" s="197"/>
      <c r="S13" s="196">
        <f t="shared" si="3"/>
        <v>70.964340000000007</v>
      </c>
      <c r="T13" s="197"/>
      <c r="U13" s="197"/>
      <c r="V13" s="197"/>
      <c r="W13" s="197"/>
      <c r="X13" s="198"/>
      <c r="Y13" s="199">
        <f t="shared" si="8"/>
        <v>70.964340000000007</v>
      </c>
      <c r="Z13" s="200">
        <f>'[6]FY24 Revenue @  CT'!R12</f>
        <v>6</v>
      </c>
      <c r="AA13" s="201">
        <f t="shared" si="9"/>
        <v>70.964340000000007</v>
      </c>
    </row>
    <row r="14" spans="1:27" s="92" customFormat="1">
      <c r="A14" s="188"/>
      <c r="B14" s="189" t="s">
        <v>908</v>
      </c>
      <c r="C14" s="190">
        <f>'7|Total Rev Current'!C368</f>
        <v>367464</v>
      </c>
      <c r="D14" s="191">
        <v>8.75</v>
      </c>
      <c r="E14" s="192">
        <f t="shared" si="4"/>
        <v>120</v>
      </c>
      <c r="F14" s="193"/>
      <c r="G14" s="190">
        <v>55</v>
      </c>
      <c r="H14" s="194"/>
      <c r="I14" s="194"/>
      <c r="J14" s="194"/>
      <c r="K14" s="194"/>
      <c r="L14" s="195">
        <f t="shared" si="5"/>
        <v>0</v>
      </c>
      <c r="M14" s="196">
        <f t="shared" si="6"/>
        <v>0</v>
      </c>
      <c r="N14" s="197"/>
      <c r="O14" s="196">
        <f t="shared" si="7"/>
        <v>24.252624000000001</v>
      </c>
      <c r="P14" s="197"/>
      <c r="Q14" s="196">
        <f t="shared" si="2"/>
        <v>24.252624000000001</v>
      </c>
      <c r="R14" s="197"/>
      <c r="S14" s="196">
        <f t="shared" si="3"/>
        <v>24.252624000000001</v>
      </c>
      <c r="T14" s="197"/>
      <c r="U14" s="197"/>
      <c r="V14" s="197"/>
      <c r="W14" s="197"/>
      <c r="X14" s="198"/>
      <c r="Y14" s="199">
        <f t="shared" si="8"/>
        <v>24.252624000000001</v>
      </c>
      <c r="Z14" s="200">
        <f>'[6]FY24 Revenue @  CT'!R13</f>
        <v>8.75</v>
      </c>
      <c r="AA14" s="201">
        <f t="shared" si="9"/>
        <v>24.252624000000001</v>
      </c>
    </row>
    <row r="15" spans="1:27" s="92" customFormat="1">
      <c r="A15" s="188"/>
      <c r="B15" s="189" t="s">
        <v>909</v>
      </c>
      <c r="C15" s="190">
        <f>'7|Total Rev Current'!C369</f>
        <v>97301</v>
      </c>
      <c r="D15" s="191">
        <v>9.75</v>
      </c>
      <c r="E15" s="192">
        <f t="shared" si="4"/>
        <v>120</v>
      </c>
      <c r="F15" s="193"/>
      <c r="G15" s="190">
        <v>55</v>
      </c>
      <c r="H15" s="194"/>
      <c r="I15" s="194"/>
      <c r="J15" s="194"/>
      <c r="K15" s="194"/>
      <c r="L15" s="195">
        <f t="shared" si="5"/>
        <v>0</v>
      </c>
      <c r="M15" s="196">
        <f t="shared" si="6"/>
        <v>0</v>
      </c>
      <c r="N15" s="197"/>
      <c r="O15" s="196">
        <f t="shared" si="7"/>
        <v>6.4218659999999996</v>
      </c>
      <c r="P15" s="197"/>
      <c r="Q15" s="196">
        <f t="shared" si="2"/>
        <v>6.4218659999999996</v>
      </c>
      <c r="R15" s="197"/>
      <c r="S15" s="196">
        <f t="shared" si="3"/>
        <v>6.4218659999999996</v>
      </c>
      <c r="T15" s="197"/>
      <c r="U15" s="197"/>
      <c r="V15" s="197"/>
      <c r="W15" s="197"/>
      <c r="X15" s="198"/>
      <c r="Y15" s="199">
        <f t="shared" si="8"/>
        <v>6.4218659999999996</v>
      </c>
      <c r="Z15" s="200">
        <f>'[6]FY24 Revenue @  CT'!R14</f>
        <v>9.75</v>
      </c>
      <c r="AA15" s="201">
        <f t="shared" si="9"/>
        <v>6.4218659999999996</v>
      </c>
    </row>
    <row r="16" spans="1:27" s="92" customFormat="1" ht="26.25" customHeight="1">
      <c r="A16" s="188"/>
      <c r="B16" s="189" t="s">
        <v>910</v>
      </c>
      <c r="C16" s="190">
        <f>'7|Total Rev Current'!C370</f>
        <v>0</v>
      </c>
      <c r="D16" s="191"/>
      <c r="E16" s="192"/>
      <c r="F16" s="193"/>
      <c r="G16" s="190"/>
      <c r="H16" s="194"/>
      <c r="I16" s="194"/>
      <c r="J16" s="194"/>
      <c r="K16" s="194"/>
      <c r="L16" s="195">
        <f t="shared" si="5"/>
        <v>0</v>
      </c>
      <c r="M16" s="196">
        <f t="shared" si="6"/>
        <v>0</v>
      </c>
      <c r="N16" s="197"/>
      <c r="O16" s="196">
        <f t="shared" si="7"/>
        <v>0</v>
      </c>
      <c r="P16" s="197"/>
      <c r="Q16" s="196">
        <f t="shared" si="2"/>
        <v>0</v>
      </c>
      <c r="R16" s="197"/>
      <c r="S16" s="196">
        <f t="shared" si="3"/>
        <v>0</v>
      </c>
      <c r="T16" s="197"/>
      <c r="U16" s="197"/>
      <c r="V16" s="197"/>
      <c r="W16" s="197"/>
      <c r="X16" s="198"/>
      <c r="Y16" s="199">
        <f t="shared" si="8"/>
        <v>0</v>
      </c>
      <c r="Z16" s="203"/>
      <c r="AA16" s="201">
        <f t="shared" si="9"/>
        <v>0</v>
      </c>
    </row>
    <row r="17" spans="1:27" s="92" customFormat="1">
      <c r="A17" s="104"/>
      <c r="B17" s="204" t="s">
        <v>922</v>
      </c>
      <c r="C17" s="179">
        <f>C18+C26+C27+C28</f>
        <v>691476</v>
      </c>
      <c r="D17" s="181"/>
      <c r="E17" s="205"/>
      <c r="F17" s="181"/>
      <c r="G17" s="206"/>
      <c r="H17" s="181">
        <f>H18+H24+H25+H26+H27+H28</f>
        <v>0</v>
      </c>
      <c r="I17" s="181">
        <f t="shared" ref="I17:AA17" si="10">I18+I24+I25+I26+I27+I28</f>
        <v>0</v>
      </c>
      <c r="J17" s="181">
        <f t="shared" si="10"/>
        <v>0</v>
      </c>
      <c r="K17" s="181">
        <f t="shared" si="10"/>
        <v>0</v>
      </c>
      <c r="L17" s="181">
        <f t="shared" si="10"/>
        <v>0</v>
      </c>
      <c r="M17" s="181">
        <f t="shared" si="10"/>
        <v>0</v>
      </c>
      <c r="N17" s="181">
        <f t="shared" si="10"/>
        <v>0</v>
      </c>
      <c r="O17" s="181">
        <f t="shared" si="10"/>
        <v>29.527355999999997</v>
      </c>
      <c r="P17" s="181">
        <f t="shared" si="10"/>
        <v>0</v>
      </c>
      <c r="Q17" s="181">
        <f t="shared" si="10"/>
        <v>29.527355999999997</v>
      </c>
      <c r="R17" s="181">
        <f t="shared" si="10"/>
        <v>0</v>
      </c>
      <c r="S17" s="181">
        <f t="shared" si="10"/>
        <v>29.527355999999997</v>
      </c>
      <c r="T17" s="181">
        <f t="shared" si="10"/>
        <v>0</v>
      </c>
      <c r="U17" s="181">
        <f t="shared" si="10"/>
        <v>0</v>
      </c>
      <c r="V17" s="181">
        <f t="shared" si="10"/>
        <v>0</v>
      </c>
      <c r="W17" s="181">
        <f t="shared" si="10"/>
        <v>0</v>
      </c>
      <c r="X17" s="181">
        <f t="shared" si="10"/>
        <v>0</v>
      </c>
      <c r="Y17" s="181">
        <f t="shared" si="10"/>
        <v>29.527355999999997</v>
      </c>
      <c r="Z17" s="181"/>
      <c r="AA17" s="182">
        <f t="shared" si="10"/>
        <v>29.527355999999997</v>
      </c>
    </row>
    <row r="18" spans="1:27" s="92" customFormat="1">
      <c r="A18" s="104"/>
      <c r="B18" s="183" t="s">
        <v>924</v>
      </c>
      <c r="C18" s="184">
        <f>SUM(C19:C25)</f>
        <v>691411</v>
      </c>
      <c r="D18" s="186"/>
      <c r="E18" s="207"/>
      <c r="F18" s="186"/>
      <c r="G18" s="185"/>
      <c r="H18" s="186">
        <f>SUM(H19:H23)</f>
        <v>0</v>
      </c>
      <c r="I18" s="186">
        <f t="shared" ref="I18:AA18" si="11">SUM(I19:I23)</f>
        <v>0</v>
      </c>
      <c r="J18" s="186">
        <f t="shared" si="11"/>
        <v>0</v>
      </c>
      <c r="K18" s="186">
        <f t="shared" si="11"/>
        <v>0</v>
      </c>
      <c r="L18" s="186">
        <f t="shared" si="11"/>
        <v>0</v>
      </c>
      <c r="M18" s="186">
        <f t="shared" si="11"/>
        <v>0</v>
      </c>
      <c r="N18" s="186">
        <f t="shared" si="11"/>
        <v>0</v>
      </c>
      <c r="O18" s="186">
        <f t="shared" si="11"/>
        <v>29.333075999999998</v>
      </c>
      <c r="P18" s="186">
        <f t="shared" si="11"/>
        <v>0</v>
      </c>
      <c r="Q18" s="186">
        <f t="shared" si="11"/>
        <v>29.333075999999998</v>
      </c>
      <c r="R18" s="186">
        <f t="shared" si="11"/>
        <v>0</v>
      </c>
      <c r="S18" s="186">
        <f t="shared" si="11"/>
        <v>29.333075999999998</v>
      </c>
      <c r="T18" s="186">
        <f t="shared" si="11"/>
        <v>0</v>
      </c>
      <c r="U18" s="186">
        <f t="shared" si="11"/>
        <v>0</v>
      </c>
      <c r="V18" s="186">
        <f t="shared" si="11"/>
        <v>0</v>
      </c>
      <c r="W18" s="186">
        <f t="shared" si="11"/>
        <v>0</v>
      </c>
      <c r="X18" s="186">
        <f t="shared" si="11"/>
        <v>0</v>
      </c>
      <c r="Y18" s="186">
        <f t="shared" si="11"/>
        <v>29.333075999999998</v>
      </c>
      <c r="Z18" s="186"/>
      <c r="AA18" s="187">
        <f t="shared" si="11"/>
        <v>29.333075999999998</v>
      </c>
    </row>
    <row r="19" spans="1:27" s="92" customFormat="1">
      <c r="A19" s="188"/>
      <c r="B19" s="189" t="s">
        <v>583</v>
      </c>
      <c r="C19" s="190">
        <f>'7|Total Rev Current'!C373</f>
        <v>397419</v>
      </c>
      <c r="D19" s="191">
        <v>5.4</v>
      </c>
      <c r="E19" s="192">
        <f>75*12</f>
        <v>900</v>
      </c>
      <c r="F19" s="193"/>
      <c r="G19" s="190">
        <v>30</v>
      </c>
      <c r="H19" s="194"/>
      <c r="I19" s="191"/>
      <c r="J19" s="194"/>
      <c r="K19" s="191"/>
      <c r="L19" s="195">
        <f t="shared" ref="L19:L35" si="12">D19*H19/10</f>
        <v>0</v>
      </c>
      <c r="M19" s="196">
        <f t="shared" ref="M19:M28" si="13">IF(E19&gt;0,(J19*10^3*E19/10^7)+(K19*0.7457*E19/10^7),(K19*F19/10^7)+(J19*(10^3)*(1/0.7457)*F19/10^7))</f>
        <v>0</v>
      </c>
      <c r="N19" s="197"/>
      <c r="O19" s="196">
        <f t="shared" ref="O19:O28" si="14">G19*C19*12/10^7</f>
        <v>14.307084</v>
      </c>
      <c r="P19" s="197"/>
      <c r="Q19" s="196">
        <f t="shared" ref="Q19:Q38" si="15">L19+M19+N19+O19+P19</f>
        <v>14.307084</v>
      </c>
      <c r="R19" s="191"/>
      <c r="S19" s="196">
        <f t="shared" ref="S19:S28" si="16">Q19-R19</f>
        <v>14.307084</v>
      </c>
      <c r="T19" s="191"/>
      <c r="U19" s="191"/>
      <c r="V19" s="191"/>
      <c r="W19" s="191"/>
      <c r="X19" s="198"/>
      <c r="Y19" s="199">
        <f t="shared" ref="Y19:Y28" si="17">S19+X19</f>
        <v>14.307084</v>
      </c>
      <c r="Z19" s="200">
        <f>'[6]FY24 Revenue @  CT'!R18</f>
        <v>5.4</v>
      </c>
      <c r="AA19" s="201">
        <f t="shared" ref="AA19:AA28" si="18">(H19*Z19/10)+M19+O19+N19+P19+X19</f>
        <v>14.307084</v>
      </c>
    </row>
    <row r="20" spans="1:27" s="92" customFormat="1">
      <c r="A20" s="188"/>
      <c r="B20" s="189" t="s">
        <v>584</v>
      </c>
      <c r="C20" s="190">
        <f>'7|Total Rev Current'!C374</f>
        <v>115604</v>
      </c>
      <c r="D20" s="191">
        <v>7.65</v>
      </c>
      <c r="E20" s="192">
        <f>75*12</f>
        <v>900</v>
      </c>
      <c r="F20" s="193"/>
      <c r="G20" s="190">
        <v>40</v>
      </c>
      <c r="H20" s="194"/>
      <c r="I20" s="191"/>
      <c r="J20" s="194"/>
      <c r="K20" s="191"/>
      <c r="L20" s="195">
        <f t="shared" si="12"/>
        <v>0</v>
      </c>
      <c r="M20" s="196">
        <f t="shared" si="13"/>
        <v>0</v>
      </c>
      <c r="N20" s="197"/>
      <c r="O20" s="196">
        <f t="shared" si="14"/>
        <v>5.5489920000000001</v>
      </c>
      <c r="P20" s="197"/>
      <c r="Q20" s="196">
        <f t="shared" si="15"/>
        <v>5.5489920000000001</v>
      </c>
      <c r="R20" s="191"/>
      <c r="S20" s="196">
        <f t="shared" si="16"/>
        <v>5.5489920000000001</v>
      </c>
      <c r="T20" s="191"/>
      <c r="U20" s="191"/>
      <c r="V20" s="191"/>
      <c r="W20" s="191"/>
      <c r="X20" s="198"/>
      <c r="Y20" s="199">
        <f t="shared" si="17"/>
        <v>5.5489920000000001</v>
      </c>
      <c r="Z20" s="200">
        <f>'[6]FY24 Revenue @  CT'!R19</f>
        <v>7.65</v>
      </c>
      <c r="AA20" s="201">
        <f t="shared" si="18"/>
        <v>5.5489920000000001</v>
      </c>
    </row>
    <row r="21" spans="1:27" s="92" customFormat="1">
      <c r="A21" s="188"/>
      <c r="B21" s="189" t="s">
        <v>585</v>
      </c>
      <c r="C21" s="190">
        <f>'7|Total Rev Current'!C375</f>
        <v>112530</v>
      </c>
      <c r="D21" s="191">
        <v>9.0500000000000007</v>
      </c>
      <c r="E21" s="192">
        <f>75*12</f>
        <v>900</v>
      </c>
      <c r="F21" s="193"/>
      <c r="G21" s="190">
        <v>45</v>
      </c>
      <c r="H21" s="194"/>
      <c r="I21" s="191"/>
      <c r="J21" s="194"/>
      <c r="K21" s="191"/>
      <c r="L21" s="195">
        <f t="shared" si="12"/>
        <v>0</v>
      </c>
      <c r="M21" s="196">
        <f t="shared" si="13"/>
        <v>0</v>
      </c>
      <c r="N21" s="197"/>
      <c r="O21" s="196">
        <f t="shared" si="14"/>
        <v>6.0766200000000001</v>
      </c>
      <c r="P21" s="197"/>
      <c r="Q21" s="196">
        <f t="shared" si="15"/>
        <v>6.0766200000000001</v>
      </c>
      <c r="R21" s="191"/>
      <c r="S21" s="196">
        <f t="shared" si="16"/>
        <v>6.0766200000000001</v>
      </c>
      <c r="T21" s="191"/>
      <c r="U21" s="191"/>
      <c r="V21" s="191"/>
      <c r="W21" s="191"/>
      <c r="X21" s="198"/>
      <c r="Y21" s="199">
        <f t="shared" si="17"/>
        <v>6.0766200000000001</v>
      </c>
      <c r="Z21" s="200">
        <f>'[6]FY24 Revenue @  CT'!R20</f>
        <v>9.0500000000000007</v>
      </c>
      <c r="AA21" s="201">
        <f t="shared" si="18"/>
        <v>6.0766200000000001</v>
      </c>
    </row>
    <row r="22" spans="1:27" s="92" customFormat="1">
      <c r="A22" s="188"/>
      <c r="B22" s="189" t="s">
        <v>586</v>
      </c>
      <c r="C22" s="190">
        <f>'7|Total Rev Current'!C376</f>
        <v>24303</v>
      </c>
      <c r="D22" s="191">
        <v>9.6</v>
      </c>
      <c r="E22" s="192">
        <f>75*12</f>
        <v>900</v>
      </c>
      <c r="F22" s="193"/>
      <c r="G22" s="190">
        <v>45</v>
      </c>
      <c r="H22" s="194"/>
      <c r="I22" s="191"/>
      <c r="J22" s="194"/>
      <c r="K22" s="191"/>
      <c r="L22" s="195">
        <f t="shared" si="12"/>
        <v>0</v>
      </c>
      <c r="M22" s="196">
        <f t="shared" si="13"/>
        <v>0</v>
      </c>
      <c r="N22" s="197"/>
      <c r="O22" s="196">
        <f t="shared" si="14"/>
        <v>1.312362</v>
      </c>
      <c r="P22" s="197"/>
      <c r="Q22" s="196">
        <f t="shared" si="15"/>
        <v>1.312362</v>
      </c>
      <c r="R22" s="191"/>
      <c r="S22" s="196">
        <f t="shared" si="16"/>
        <v>1.312362</v>
      </c>
      <c r="T22" s="191"/>
      <c r="U22" s="191"/>
      <c r="V22" s="191"/>
      <c r="W22" s="191"/>
      <c r="X22" s="198"/>
      <c r="Y22" s="199">
        <f t="shared" si="17"/>
        <v>1.312362</v>
      </c>
      <c r="Z22" s="200">
        <f>'[6]FY24 Revenue @  CT'!R21</f>
        <v>9.6</v>
      </c>
      <c r="AA22" s="201">
        <f t="shared" si="18"/>
        <v>1.312362</v>
      </c>
    </row>
    <row r="23" spans="1:27" s="92" customFormat="1">
      <c r="A23" s="188"/>
      <c r="B23" s="189" t="s">
        <v>587</v>
      </c>
      <c r="C23" s="190">
        <f>'7|Total Rev Current'!C377</f>
        <v>38667</v>
      </c>
      <c r="D23" s="191">
        <v>10.15</v>
      </c>
      <c r="E23" s="192">
        <f>75*12</f>
        <v>900</v>
      </c>
      <c r="F23" s="193"/>
      <c r="G23" s="190">
        <v>45</v>
      </c>
      <c r="H23" s="194"/>
      <c r="I23" s="191"/>
      <c r="J23" s="194"/>
      <c r="K23" s="191"/>
      <c r="L23" s="195">
        <f t="shared" si="12"/>
        <v>0</v>
      </c>
      <c r="M23" s="196">
        <f t="shared" si="13"/>
        <v>0</v>
      </c>
      <c r="N23" s="197"/>
      <c r="O23" s="196">
        <f t="shared" si="14"/>
        <v>2.0880179999999999</v>
      </c>
      <c r="P23" s="197"/>
      <c r="Q23" s="196">
        <f t="shared" si="15"/>
        <v>2.0880179999999999</v>
      </c>
      <c r="R23" s="191"/>
      <c r="S23" s="196">
        <f t="shared" si="16"/>
        <v>2.0880179999999999</v>
      </c>
      <c r="T23" s="191"/>
      <c r="U23" s="191"/>
      <c r="V23" s="191"/>
      <c r="W23" s="191"/>
      <c r="X23" s="198"/>
      <c r="Y23" s="199">
        <f t="shared" si="17"/>
        <v>2.0880179999999999</v>
      </c>
      <c r="Z23" s="200">
        <f>'[6]FY24 Revenue @  CT'!R22</f>
        <v>10.15</v>
      </c>
      <c r="AA23" s="201">
        <f t="shared" si="18"/>
        <v>2.0880179999999999</v>
      </c>
    </row>
    <row r="24" spans="1:27" s="92" customFormat="1">
      <c r="A24" s="188"/>
      <c r="B24" s="208" t="s">
        <v>911</v>
      </c>
      <c r="C24" s="190">
        <f>'7|Total Rev Current'!C378</f>
        <v>1159</v>
      </c>
      <c r="D24" s="210">
        <v>12.25</v>
      </c>
      <c r="E24" s="209">
        <f>100*12</f>
        <v>1200</v>
      </c>
      <c r="F24" s="210"/>
      <c r="G24" s="190">
        <v>50</v>
      </c>
      <c r="H24" s="210"/>
      <c r="I24" s="186"/>
      <c r="J24" s="210"/>
      <c r="K24" s="186"/>
      <c r="L24" s="195">
        <f t="shared" si="12"/>
        <v>0</v>
      </c>
      <c r="M24" s="186">
        <f t="shared" si="13"/>
        <v>0</v>
      </c>
      <c r="N24" s="197"/>
      <c r="O24" s="196">
        <f t="shared" si="14"/>
        <v>6.9540000000000005E-2</v>
      </c>
      <c r="P24" s="186"/>
      <c r="Q24" s="196">
        <f t="shared" si="15"/>
        <v>6.9540000000000005E-2</v>
      </c>
      <c r="R24" s="186"/>
      <c r="S24" s="196">
        <f t="shared" si="16"/>
        <v>6.9540000000000005E-2</v>
      </c>
      <c r="T24" s="186"/>
      <c r="U24" s="186"/>
      <c r="V24" s="186"/>
      <c r="W24" s="186"/>
      <c r="X24" s="198"/>
      <c r="Y24" s="199">
        <f t="shared" si="17"/>
        <v>6.9540000000000005E-2</v>
      </c>
      <c r="Z24" s="200">
        <f>'[6]FY24 Revenue @  CT'!R23</f>
        <v>12.25</v>
      </c>
      <c r="AA24" s="201">
        <f t="shared" si="18"/>
        <v>6.9540000000000005E-2</v>
      </c>
    </row>
    <row r="25" spans="1:27" s="92" customFormat="1" ht="21">
      <c r="A25" s="188"/>
      <c r="B25" s="208" t="s">
        <v>925</v>
      </c>
      <c r="C25" s="190">
        <f>'7|Total Rev Current'!C379</f>
        <v>1729</v>
      </c>
      <c r="D25" s="210">
        <v>12.25</v>
      </c>
      <c r="E25" s="210">
        <v>0</v>
      </c>
      <c r="F25" s="210"/>
      <c r="G25" s="190">
        <v>50</v>
      </c>
      <c r="H25" s="210"/>
      <c r="I25" s="186"/>
      <c r="J25" s="210"/>
      <c r="K25" s="186"/>
      <c r="L25" s="195">
        <f t="shared" si="12"/>
        <v>0</v>
      </c>
      <c r="M25" s="186">
        <f t="shared" si="13"/>
        <v>0</v>
      </c>
      <c r="N25" s="197"/>
      <c r="O25" s="196">
        <f t="shared" si="14"/>
        <v>0.10374</v>
      </c>
      <c r="P25" s="186"/>
      <c r="Q25" s="196">
        <f t="shared" si="15"/>
        <v>0.10374</v>
      </c>
      <c r="R25" s="186"/>
      <c r="S25" s="196">
        <f t="shared" si="16"/>
        <v>0.10374</v>
      </c>
      <c r="T25" s="186"/>
      <c r="U25" s="186"/>
      <c r="V25" s="186"/>
      <c r="W25" s="186"/>
      <c r="X25" s="198"/>
      <c r="Y25" s="199">
        <f t="shared" si="17"/>
        <v>0.10374</v>
      </c>
      <c r="Z25" s="200">
        <f>'[6]FY24 Revenue @  CT'!R24</f>
        <v>12.25</v>
      </c>
      <c r="AA25" s="201">
        <f t="shared" si="18"/>
        <v>0.10374</v>
      </c>
    </row>
    <row r="26" spans="1:27" s="92" customFormat="1">
      <c r="A26" s="188"/>
      <c r="B26" s="208" t="s">
        <v>723</v>
      </c>
      <c r="C26" s="190">
        <f>'7|Total Rev Current'!C380</f>
        <v>5</v>
      </c>
      <c r="D26" s="210">
        <v>12.25</v>
      </c>
      <c r="E26" s="210">
        <v>0</v>
      </c>
      <c r="F26" s="210"/>
      <c r="G26" s="190">
        <v>500</v>
      </c>
      <c r="H26" s="210"/>
      <c r="I26" s="186"/>
      <c r="J26" s="210"/>
      <c r="K26" s="186"/>
      <c r="L26" s="195">
        <f t="shared" si="12"/>
        <v>0</v>
      </c>
      <c r="M26" s="186">
        <f t="shared" si="13"/>
        <v>0</v>
      </c>
      <c r="N26" s="197"/>
      <c r="O26" s="196">
        <f t="shared" si="14"/>
        <v>3.0000000000000001E-3</v>
      </c>
      <c r="P26" s="186"/>
      <c r="Q26" s="196">
        <f t="shared" si="15"/>
        <v>3.0000000000000001E-3</v>
      </c>
      <c r="R26" s="186"/>
      <c r="S26" s="196">
        <f t="shared" si="16"/>
        <v>3.0000000000000001E-3</v>
      </c>
      <c r="T26" s="186"/>
      <c r="U26" s="186"/>
      <c r="V26" s="186"/>
      <c r="W26" s="186"/>
      <c r="X26" s="198"/>
      <c r="Y26" s="199">
        <f t="shared" si="17"/>
        <v>3.0000000000000001E-3</v>
      </c>
      <c r="Z26" s="200">
        <f>'[6]FY24 Revenue @  CT'!R25</f>
        <v>12.25</v>
      </c>
      <c r="AA26" s="201">
        <f t="shared" si="18"/>
        <v>3.0000000000000001E-3</v>
      </c>
    </row>
    <row r="27" spans="1:27" s="92" customFormat="1" ht="21">
      <c r="A27" s="188"/>
      <c r="B27" s="208" t="s">
        <v>724</v>
      </c>
      <c r="C27" s="190">
        <f>'7|Total Rev Current'!C381</f>
        <v>60</v>
      </c>
      <c r="D27" s="210">
        <v>6.7</v>
      </c>
      <c r="E27" s="210">
        <v>0</v>
      </c>
      <c r="F27" s="210"/>
      <c r="G27" s="190">
        <v>250</v>
      </c>
      <c r="H27" s="210"/>
      <c r="I27" s="186"/>
      <c r="J27" s="210"/>
      <c r="K27" s="186"/>
      <c r="L27" s="195">
        <f t="shared" si="12"/>
        <v>0</v>
      </c>
      <c r="M27" s="186">
        <f t="shared" si="13"/>
        <v>0</v>
      </c>
      <c r="N27" s="197"/>
      <c r="O27" s="196">
        <f t="shared" si="14"/>
        <v>1.7999999999999999E-2</v>
      </c>
      <c r="P27" s="186"/>
      <c r="Q27" s="196">
        <f t="shared" si="15"/>
        <v>1.7999999999999999E-2</v>
      </c>
      <c r="R27" s="186"/>
      <c r="S27" s="196">
        <f t="shared" si="16"/>
        <v>1.7999999999999999E-2</v>
      </c>
      <c r="T27" s="186"/>
      <c r="U27" s="186"/>
      <c r="V27" s="186"/>
      <c r="W27" s="186"/>
      <c r="X27" s="198"/>
      <c r="Y27" s="199">
        <f t="shared" si="17"/>
        <v>1.7999999999999999E-2</v>
      </c>
      <c r="Z27" s="200">
        <f>'[6]FY24 Revenue @  CT'!R26</f>
        <v>6.7</v>
      </c>
      <c r="AA27" s="201">
        <f t="shared" si="18"/>
        <v>1.7999999999999999E-2</v>
      </c>
    </row>
    <row r="28" spans="1:27" s="92" customFormat="1">
      <c r="A28" s="188"/>
      <c r="B28" s="208" t="s">
        <v>725</v>
      </c>
      <c r="C28" s="190">
        <f>'7|Total Rev Current'!C382</f>
        <v>0</v>
      </c>
      <c r="D28" s="210">
        <v>12.25</v>
      </c>
      <c r="E28" s="210">
        <v>0</v>
      </c>
      <c r="F28" s="210"/>
      <c r="G28" s="191"/>
      <c r="H28" s="210"/>
      <c r="I28" s="186"/>
      <c r="J28" s="210"/>
      <c r="K28" s="186"/>
      <c r="L28" s="195">
        <f t="shared" si="12"/>
        <v>0</v>
      </c>
      <c r="M28" s="186">
        <f t="shared" si="13"/>
        <v>0</v>
      </c>
      <c r="N28" s="197"/>
      <c r="O28" s="196">
        <f t="shared" si="14"/>
        <v>0</v>
      </c>
      <c r="P28" s="186"/>
      <c r="Q28" s="196">
        <f t="shared" si="15"/>
        <v>0</v>
      </c>
      <c r="R28" s="186"/>
      <c r="S28" s="196">
        <f t="shared" si="16"/>
        <v>0</v>
      </c>
      <c r="T28" s="186"/>
      <c r="U28" s="186"/>
      <c r="V28" s="186"/>
      <c r="W28" s="186"/>
      <c r="X28" s="198"/>
      <c r="Y28" s="199">
        <f t="shared" si="17"/>
        <v>0</v>
      </c>
      <c r="Z28" s="200">
        <f>'[6]FY24 Revenue @  CT'!R27</f>
        <v>12.25</v>
      </c>
      <c r="AA28" s="201">
        <f t="shared" si="18"/>
        <v>0</v>
      </c>
    </row>
    <row r="29" spans="1:27" s="92" customFormat="1">
      <c r="A29" s="188"/>
      <c r="B29" s="204" t="s">
        <v>926</v>
      </c>
      <c r="C29" s="179">
        <f>C30+C31+C32</f>
        <v>21478</v>
      </c>
      <c r="D29" s="181"/>
      <c r="E29" s="211"/>
      <c r="F29" s="179"/>
      <c r="G29" s="212"/>
      <c r="H29" s="181">
        <f>H30+H31+H32</f>
        <v>0</v>
      </c>
      <c r="I29" s="181">
        <f t="shared" ref="I29:AA29" si="19">I30+I31+I32</f>
        <v>0</v>
      </c>
      <c r="J29" s="181">
        <f t="shared" si="19"/>
        <v>0</v>
      </c>
      <c r="K29" s="181">
        <f t="shared" si="19"/>
        <v>0</v>
      </c>
      <c r="L29" s="181">
        <f t="shared" si="19"/>
        <v>0</v>
      </c>
      <c r="M29" s="181">
        <f t="shared" si="19"/>
        <v>0</v>
      </c>
      <c r="N29" s="181">
        <f t="shared" si="19"/>
        <v>0</v>
      </c>
      <c r="O29" s="181">
        <f t="shared" si="19"/>
        <v>22.352083199999999</v>
      </c>
      <c r="P29" s="181">
        <f t="shared" si="19"/>
        <v>0</v>
      </c>
      <c r="Q29" s="181">
        <f t="shared" si="19"/>
        <v>22.352083199999999</v>
      </c>
      <c r="R29" s="181">
        <f t="shared" si="19"/>
        <v>0</v>
      </c>
      <c r="S29" s="181">
        <f t="shared" si="19"/>
        <v>22.352083199999999</v>
      </c>
      <c r="T29" s="181">
        <f t="shared" si="19"/>
        <v>0</v>
      </c>
      <c r="U29" s="181">
        <f t="shared" si="19"/>
        <v>0</v>
      </c>
      <c r="V29" s="181">
        <f t="shared" si="19"/>
        <v>0</v>
      </c>
      <c r="W29" s="181">
        <f t="shared" si="19"/>
        <v>0</v>
      </c>
      <c r="X29" s="181">
        <f t="shared" si="19"/>
        <v>0</v>
      </c>
      <c r="Y29" s="181">
        <f t="shared" si="19"/>
        <v>22.352083199999999</v>
      </c>
      <c r="Z29" s="181"/>
      <c r="AA29" s="182">
        <f t="shared" si="19"/>
        <v>22.352083199999999</v>
      </c>
    </row>
    <row r="30" spans="1:27" s="92" customFormat="1" ht="15.75" customHeight="1">
      <c r="A30" s="188"/>
      <c r="B30" s="189" t="s">
        <v>927</v>
      </c>
      <c r="C30" s="190">
        <f>'7|Total Rev Current'!C384</f>
        <v>19740</v>
      </c>
      <c r="D30" s="191">
        <v>6.7</v>
      </c>
      <c r="E30" s="192">
        <f>75*12</f>
        <v>900</v>
      </c>
      <c r="F30" s="193"/>
      <c r="G30" s="190">
        <v>938</v>
      </c>
      <c r="H30" s="194"/>
      <c r="I30" s="191"/>
      <c r="J30" s="194"/>
      <c r="K30" s="191"/>
      <c r="L30" s="195">
        <f t="shared" si="12"/>
        <v>0</v>
      </c>
      <c r="M30" s="196">
        <f t="shared" ref="M30:M32" si="20">IF(E30&gt;0,(J30*10^3*E30/10^7)+(K30*0.7457*E30/10^7),(K30*F30/10^7)+(J30*(10^3)*(1/0.7457)*F30/10^7))</f>
        <v>0</v>
      </c>
      <c r="N30" s="197"/>
      <c r="O30" s="196">
        <f t="shared" ref="O30:O32" si="21">G30*C30*12/10^7</f>
        <v>22.219344</v>
      </c>
      <c r="P30" s="197"/>
      <c r="Q30" s="196">
        <f t="shared" si="15"/>
        <v>22.219344</v>
      </c>
      <c r="R30" s="191"/>
      <c r="S30" s="196">
        <f t="shared" ref="S30:S32" si="22">Q30-R30</f>
        <v>22.219344</v>
      </c>
      <c r="T30" s="191"/>
      <c r="U30" s="191"/>
      <c r="V30" s="191"/>
      <c r="W30" s="191"/>
      <c r="X30" s="198"/>
      <c r="Y30" s="199">
        <f t="shared" ref="Y30:Y32" si="23">S30+X30</f>
        <v>22.219344</v>
      </c>
      <c r="Z30" s="200">
        <f>'[6]FY24 Revenue @  CT'!R29</f>
        <v>6.7</v>
      </c>
      <c r="AA30" s="201">
        <f t="shared" ref="AA30:AA32" si="24">(H30*Z30/10)+M30+O30+N30+P30+X30</f>
        <v>22.219344</v>
      </c>
    </row>
    <row r="31" spans="1:27" s="92" customFormat="1" ht="21">
      <c r="A31" s="188"/>
      <c r="B31" s="189" t="s">
        <v>726</v>
      </c>
      <c r="C31" s="190">
        <f>'7|Total Rev Current'!C385</f>
        <v>6</v>
      </c>
      <c r="D31" s="191">
        <v>7.45</v>
      </c>
      <c r="E31" s="192">
        <f>75*12</f>
        <v>900</v>
      </c>
      <c r="F31" s="193"/>
      <c r="G31" s="190">
        <v>250</v>
      </c>
      <c r="H31" s="194"/>
      <c r="I31" s="191"/>
      <c r="J31" s="194"/>
      <c r="K31" s="191"/>
      <c r="L31" s="195">
        <f t="shared" si="12"/>
        <v>0</v>
      </c>
      <c r="M31" s="196">
        <f t="shared" si="20"/>
        <v>0</v>
      </c>
      <c r="N31" s="197"/>
      <c r="O31" s="196">
        <f t="shared" si="21"/>
        <v>1.8E-3</v>
      </c>
      <c r="P31" s="197"/>
      <c r="Q31" s="196">
        <f t="shared" si="15"/>
        <v>1.8E-3</v>
      </c>
      <c r="R31" s="191"/>
      <c r="S31" s="196">
        <f t="shared" si="22"/>
        <v>1.8E-3</v>
      </c>
      <c r="T31" s="191"/>
      <c r="U31" s="191"/>
      <c r="V31" s="191"/>
      <c r="W31" s="191"/>
      <c r="X31" s="198"/>
      <c r="Y31" s="199">
        <f t="shared" si="23"/>
        <v>1.8E-3</v>
      </c>
      <c r="Z31" s="200">
        <f>'[6]FY24 Revenue @  CT'!R30</f>
        <v>7.45</v>
      </c>
      <c r="AA31" s="201">
        <f t="shared" si="24"/>
        <v>1.8E-3</v>
      </c>
    </row>
    <row r="32" spans="1:27" s="92" customFormat="1">
      <c r="A32" s="188"/>
      <c r="B32" s="189" t="s">
        <v>928</v>
      </c>
      <c r="C32" s="190">
        <f>'7|Total Rev Current'!C386</f>
        <v>1732</v>
      </c>
      <c r="D32" s="191">
        <v>3.75</v>
      </c>
      <c r="E32" s="192">
        <f>20*12</f>
        <v>240</v>
      </c>
      <c r="F32" s="193"/>
      <c r="G32" s="190">
        <v>63</v>
      </c>
      <c r="H32" s="194"/>
      <c r="I32" s="191"/>
      <c r="J32" s="194"/>
      <c r="K32" s="191"/>
      <c r="L32" s="195">
        <f t="shared" si="12"/>
        <v>0</v>
      </c>
      <c r="M32" s="196">
        <f t="shared" si="20"/>
        <v>0</v>
      </c>
      <c r="N32" s="197"/>
      <c r="O32" s="196">
        <f t="shared" si="21"/>
        <v>0.13093920000000001</v>
      </c>
      <c r="P32" s="197"/>
      <c r="Q32" s="196">
        <f t="shared" si="15"/>
        <v>0.13093920000000001</v>
      </c>
      <c r="R32" s="191"/>
      <c r="S32" s="196">
        <f t="shared" si="22"/>
        <v>0.13093920000000001</v>
      </c>
      <c r="T32" s="191"/>
      <c r="U32" s="191"/>
      <c r="V32" s="191"/>
      <c r="W32" s="191"/>
      <c r="X32" s="198"/>
      <c r="Y32" s="199">
        <f t="shared" si="23"/>
        <v>0.13093920000000001</v>
      </c>
      <c r="Z32" s="200">
        <f>'[6]FY24 Revenue @  CT'!R31</f>
        <v>3.75</v>
      </c>
      <c r="AA32" s="201">
        <f t="shared" si="24"/>
        <v>0.13093920000000001</v>
      </c>
    </row>
    <row r="33" spans="1:31" s="92" customFormat="1">
      <c r="A33" s="188"/>
      <c r="B33" s="204" t="s">
        <v>727</v>
      </c>
      <c r="C33" s="179">
        <f t="shared" ref="C33" si="25">C34+C35+C36</f>
        <v>140053</v>
      </c>
      <c r="D33" s="181"/>
      <c r="E33" s="211"/>
      <c r="F33" s="179"/>
      <c r="G33" s="212"/>
      <c r="H33" s="181">
        <f t="shared" ref="H33:AA33" si="26">H34+H35+H36</f>
        <v>0</v>
      </c>
      <c r="I33" s="181">
        <f t="shared" si="26"/>
        <v>0</v>
      </c>
      <c r="J33" s="181">
        <f t="shared" si="26"/>
        <v>0</v>
      </c>
      <c r="K33" s="181">
        <f t="shared" si="26"/>
        <v>0</v>
      </c>
      <c r="L33" s="181">
        <f t="shared" si="26"/>
        <v>0</v>
      </c>
      <c r="M33" s="181">
        <f t="shared" si="26"/>
        <v>0</v>
      </c>
      <c r="N33" s="181">
        <f t="shared" si="26"/>
        <v>0</v>
      </c>
      <c r="O33" s="181">
        <f t="shared" si="26"/>
        <v>6.5019479999999996</v>
      </c>
      <c r="P33" s="181">
        <f t="shared" si="26"/>
        <v>0</v>
      </c>
      <c r="Q33" s="181">
        <f t="shared" si="26"/>
        <v>6.5019479999999996</v>
      </c>
      <c r="R33" s="181">
        <f t="shared" si="26"/>
        <v>0</v>
      </c>
      <c r="S33" s="181">
        <f t="shared" si="26"/>
        <v>6.5019479999999996</v>
      </c>
      <c r="T33" s="181">
        <f t="shared" si="26"/>
        <v>0</v>
      </c>
      <c r="U33" s="181">
        <f t="shared" si="26"/>
        <v>0</v>
      </c>
      <c r="V33" s="181">
        <f t="shared" si="26"/>
        <v>0</v>
      </c>
      <c r="W33" s="181">
        <f t="shared" si="26"/>
        <v>0</v>
      </c>
      <c r="X33" s="181">
        <f t="shared" si="26"/>
        <v>0</v>
      </c>
      <c r="Y33" s="181">
        <f t="shared" si="26"/>
        <v>6.5019479999999996</v>
      </c>
      <c r="Z33" s="181"/>
      <c r="AA33" s="182">
        <f t="shared" si="26"/>
        <v>6.5019479999999996</v>
      </c>
    </row>
    <row r="34" spans="1:31" s="92" customFormat="1" ht="25.5" customHeight="1">
      <c r="A34" s="188"/>
      <c r="B34" s="208" t="s">
        <v>728</v>
      </c>
      <c r="C34" s="190">
        <f>'7|Total Rev Current'!C388</f>
        <v>59254</v>
      </c>
      <c r="D34" s="191">
        <v>7</v>
      </c>
      <c r="E34" s="192">
        <f>75*12</f>
        <v>900</v>
      </c>
      <c r="F34" s="193"/>
      <c r="G34" s="190">
        <v>35</v>
      </c>
      <c r="H34" s="194"/>
      <c r="I34" s="186"/>
      <c r="J34" s="194"/>
      <c r="K34" s="186"/>
      <c r="L34" s="195">
        <f t="shared" si="12"/>
        <v>0</v>
      </c>
      <c r="M34" s="196">
        <f t="shared" ref="M34:M35" si="27">IF(E34&gt;0,(J34*10^3*E34/10^7)+(K34*0.7457*E34/10^7),(K34*F34/10^7)+(J34*(10^3)*(1/0.7457)*F34/10^7))</f>
        <v>0</v>
      </c>
      <c r="N34" s="197"/>
      <c r="O34" s="196">
        <f t="shared" ref="O34:O35" si="28">G34*C34*12/10^7</f>
        <v>2.4886680000000001</v>
      </c>
      <c r="P34" s="197"/>
      <c r="Q34" s="196">
        <f t="shared" si="15"/>
        <v>2.4886680000000001</v>
      </c>
      <c r="R34" s="186"/>
      <c r="S34" s="196">
        <f t="shared" ref="S34:S35" si="29">Q34-R34</f>
        <v>2.4886680000000001</v>
      </c>
      <c r="T34" s="186"/>
      <c r="U34" s="186"/>
      <c r="V34" s="186"/>
      <c r="W34" s="186"/>
      <c r="X34" s="198"/>
      <c r="Y34" s="199">
        <f t="shared" ref="Y34:Y35" si="30">S34+X34</f>
        <v>2.4886680000000001</v>
      </c>
      <c r="Z34" s="200">
        <f>'[6]FY24 Revenue @  CT'!R33</f>
        <v>7</v>
      </c>
      <c r="AA34" s="201">
        <f t="shared" ref="AA34:AA35" si="31">(H34*Z34/10)+M34+O34+N34+P34+X34</f>
        <v>2.4886680000000001</v>
      </c>
    </row>
    <row r="35" spans="1:31" s="92" customFormat="1" ht="16.5" customHeight="1">
      <c r="A35" s="188"/>
      <c r="B35" s="208" t="s">
        <v>729</v>
      </c>
      <c r="C35" s="190">
        <f>'7|Total Rev Current'!C389</f>
        <v>61362</v>
      </c>
      <c r="D35" s="191">
        <v>7</v>
      </c>
      <c r="E35" s="192">
        <f>75*12</f>
        <v>900</v>
      </c>
      <c r="F35" s="193"/>
      <c r="G35" s="190">
        <v>45</v>
      </c>
      <c r="H35" s="194"/>
      <c r="I35" s="186"/>
      <c r="J35" s="194"/>
      <c r="K35" s="186"/>
      <c r="L35" s="195">
        <f t="shared" si="12"/>
        <v>0</v>
      </c>
      <c r="M35" s="196">
        <f t="shared" si="27"/>
        <v>0</v>
      </c>
      <c r="N35" s="197"/>
      <c r="O35" s="196">
        <f t="shared" si="28"/>
        <v>3.3135479999999999</v>
      </c>
      <c r="P35" s="197"/>
      <c r="Q35" s="196">
        <f t="shared" si="15"/>
        <v>3.3135479999999999</v>
      </c>
      <c r="R35" s="186"/>
      <c r="S35" s="196">
        <f t="shared" si="29"/>
        <v>3.3135479999999999</v>
      </c>
      <c r="T35" s="186"/>
      <c r="U35" s="186"/>
      <c r="V35" s="186"/>
      <c r="W35" s="186"/>
      <c r="X35" s="198"/>
      <c r="Y35" s="199">
        <f t="shared" si="30"/>
        <v>3.3135479999999999</v>
      </c>
      <c r="Z35" s="200">
        <f>'[6]FY24 Revenue @  CT'!R34</f>
        <v>7</v>
      </c>
      <c r="AA35" s="201">
        <f t="shared" si="31"/>
        <v>3.3135479999999999</v>
      </c>
    </row>
    <row r="36" spans="1:31" s="92" customFormat="1" ht="16.5" customHeight="1">
      <c r="A36" s="188"/>
      <c r="B36" s="208" t="s">
        <v>730</v>
      </c>
      <c r="C36" s="186">
        <f>C37+C38</f>
        <v>19437</v>
      </c>
      <c r="D36" s="186"/>
      <c r="E36" s="207"/>
      <c r="F36" s="186"/>
      <c r="G36" s="185"/>
      <c r="H36" s="186">
        <f>H37+H38</f>
        <v>0</v>
      </c>
      <c r="I36" s="186">
        <f t="shared" ref="I36:AA36" si="32">I37+I38</f>
        <v>0</v>
      </c>
      <c r="J36" s="186">
        <f t="shared" si="32"/>
        <v>0</v>
      </c>
      <c r="K36" s="186">
        <f t="shared" si="32"/>
        <v>0</v>
      </c>
      <c r="L36" s="186">
        <f t="shared" si="32"/>
        <v>0</v>
      </c>
      <c r="M36" s="186">
        <f t="shared" si="32"/>
        <v>0</v>
      </c>
      <c r="N36" s="186">
        <f t="shared" si="32"/>
        <v>0</v>
      </c>
      <c r="O36" s="186">
        <f t="shared" si="32"/>
        <v>0.69973200000000002</v>
      </c>
      <c r="P36" s="186">
        <f t="shared" si="32"/>
        <v>0</v>
      </c>
      <c r="Q36" s="186">
        <f t="shared" si="32"/>
        <v>0.69973200000000002</v>
      </c>
      <c r="R36" s="186">
        <f t="shared" si="32"/>
        <v>0</v>
      </c>
      <c r="S36" s="186">
        <f t="shared" si="32"/>
        <v>0.69973200000000002</v>
      </c>
      <c r="T36" s="186">
        <f t="shared" si="32"/>
        <v>0</v>
      </c>
      <c r="U36" s="186">
        <f t="shared" si="32"/>
        <v>0</v>
      </c>
      <c r="V36" s="186">
        <f t="shared" si="32"/>
        <v>0</v>
      </c>
      <c r="W36" s="186">
        <f t="shared" si="32"/>
        <v>0</v>
      </c>
      <c r="X36" s="186">
        <f t="shared" si="32"/>
        <v>0</v>
      </c>
      <c r="Y36" s="186">
        <f t="shared" si="32"/>
        <v>0.69973200000000002</v>
      </c>
      <c r="Z36" s="200"/>
      <c r="AA36" s="187">
        <f t="shared" si="32"/>
        <v>0.69973200000000002</v>
      </c>
    </row>
    <row r="37" spans="1:31" s="92" customFormat="1" ht="13.5" customHeight="1">
      <c r="A37" s="188"/>
      <c r="B37" s="213" t="s">
        <v>689</v>
      </c>
      <c r="C37" s="190">
        <f>'7|Total Rev Current'!C391</f>
        <v>18709</v>
      </c>
      <c r="D37" s="191">
        <v>3.85</v>
      </c>
      <c r="E37" s="192">
        <f>30*12</f>
        <v>360</v>
      </c>
      <c r="F37" s="193"/>
      <c r="G37" s="190">
        <v>30</v>
      </c>
      <c r="H37" s="194"/>
      <c r="I37" s="199"/>
      <c r="J37" s="194"/>
      <c r="K37" s="199"/>
      <c r="L37" s="195">
        <f t="shared" ref="L37:L38" si="33">D37*H37/10</f>
        <v>0</v>
      </c>
      <c r="M37" s="196">
        <f t="shared" ref="M37:M38" si="34">IF(E37&gt;0,(J37*10^3*E37/10^7)+(K37*0.7457*E37/10^7),(K37*F37/10^7)+(J37*(10^3)*(1/0.7457)*F37/10^7))</f>
        <v>0</v>
      </c>
      <c r="N37" s="197"/>
      <c r="O37" s="196">
        <f t="shared" ref="O37:O38" si="35">G37*C37*12/10^7</f>
        <v>0.67352400000000001</v>
      </c>
      <c r="P37" s="197"/>
      <c r="Q37" s="196">
        <f t="shared" si="15"/>
        <v>0.67352400000000001</v>
      </c>
      <c r="R37" s="199"/>
      <c r="S37" s="196">
        <f t="shared" ref="S37:S38" si="36">Q37-R37</f>
        <v>0.67352400000000001</v>
      </c>
      <c r="T37" s="199"/>
      <c r="U37" s="199"/>
      <c r="V37" s="199"/>
      <c r="W37" s="199"/>
      <c r="X37" s="198"/>
      <c r="Y37" s="199">
        <f t="shared" ref="Y37:Y38" si="37">S37+X37</f>
        <v>0.67352400000000001</v>
      </c>
      <c r="Z37" s="200">
        <f>'[6]FY24 Revenue @  CT'!R36</f>
        <v>3.85</v>
      </c>
      <c r="AA37" s="201">
        <f t="shared" ref="AA37:AA38" si="38">(H37*Z37/10)+M37+O37+N37+P37+X37</f>
        <v>0.67352400000000001</v>
      </c>
    </row>
    <row r="38" spans="1:31" s="92" customFormat="1">
      <c r="A38" s="188"/>
      <c r="B38" s="213" t="s">
        <v>690</v>
      </c>
      <c r="C38" s="190">
        <f>'7|Total Rev Current'!C392</f>
        <v>728</v>
      </c>
      <c r="D38" s="191">
        <v>5</v>
      </c>
      <c r="E38" s="192">
        <f>30*12</f>
        <v>360</v>
      </c>
      <c r="F38" s="193"/>
      <c r="G38" s="190">
        <v>30</v>
      </c>
      <c r="H38" s="194"/>
      <c r="I38" s="199"/>
      <c r="J38" s="194"/>
      <c r="K38" s="199"/>
      <c r="L38" s="195">
        <f t="shared" si="33"/>
        <v>0</v>
      </c>
      <c r="M38" s="196">
        <f t="shared" si="34"/>
        <v>0</v>
      </c>
      <c r="N38" s="197"/>
      <c r="O38" s="196">
        <f t="shared" si="35"/>
        <v>2.6207999999999999E-2</v>
      </c>
      <c r="P38" s="197"/>
      <c r="Q38" s="196">
        <f t="shared" si="15"/>
        <v>2.6207999999999999E-2</v>
      </c>
      <c r="R38" s="199"/>
      <c r="S38" s="196">
        <f t="shared" si="36"/>
        <v>2.6207999999999999E-2</v>
      </c>
      <c r="T38" s="199"/>
      <c r="U38" s="199"/>
      <c r="V38" s="199"/>
      <c r="W38" s="199"/>
      <c r="X38" s="198"/>
      <c r="Y38" s="199">
        <f t="shared" si="37"/>
        <v>2.6207999999999999E-2</v>
      </c>
      <c r="Z38" s="200">
        <f>'[6]FY24 Revenue @  CT'!R37</f>
        <v>5</v>
      </c>
      <c r="AA38" s="201">
        <f t="shared" si="38"/>
        <v>2.6207999999999999E-2</v>
      </c>
    </row>
    <row r="39" spans="1:31" s="92" customFormat="1" ht="12.75" customHeight="1">
      <c r="A39" s="188"/>
      <c r="B39" s="204" t="s">
        <v>731</v>
      </c>
      <c r="C39" s="179">
        <f>C40+C47</f>
        <v>338076</v>
      </c>
      <c r="D39" s="214"/>
      <c r="E39" s="205"/>
      <c r="F39" s="214"/>
      <c r="G39" s="180"/>
      <c r="H39" s="181">
        <f>H40+H47</f>
        <v>0</v>
      </c>
      <c r="I39" s="181">
        <f t="shared" ref="I39:AA39" si="39">I40+I47</f>
        <v>0</v>
      </c>
      <c r="J39" s="181">
        <f t="shared" si="39"/>
        <v>0</v>
      </c>
      <c r="K39" s="181">
        <f t="shared" si="39"/>
        <v>0</v>
      </c>
      <c r="L39" s="181">
        <f t="shared" si="39"/>
        <v>0</v>
      </c>
      <c r="M39" s="181">
        <f t="shared" si="39"/>
        <v>0</v>
      </c>
      <c r="N39" s="181">
        <f t="shared" si="39"/>
        <v>0</v>
      </c>
      <c r="O39" s="181">
        <f t="shared" si="39"/>
        <v>12.170736</v>
      </c>
      <c r="P39" s="181">
        <f t="shared" si="39"/>
        <v>0</v>
      </c>
      <c r="Q39" s="181">
        <f t="shared" si="39"/>
        <v>12.170736</v>
      </c>
      <c r="R39" s="181">
        <f t="shared" si="39"/>
        <v>0</v>
      </c>
      <c r="S39" s="181">
        <f t="shared" si="39"/>
        <v>12.170736</v>
      </c>
      <c r="T39" s="181">
        <f t="shared" si="39"/>
        <v>0</v>
      </c>
      <c r="U39" s="181">
        <f t="shared" si="39"/>
        <v>0</v>
      </c>
      <c r="V39" s="181">
        <f t="shared" si="39"/>
        <v>0</v>
      </c>
      <c r="W39" s="181">
        <f t="shared" si="39"/>
        <v>0</v>
      </c>
      <c r="X39" s="181">
        <f t="shared" si="39"/>
        <v>0</v>
      </c>
      <c r="Y39" s="181">
        <f t="shared" si="39"/>
        <v>12.170736</v>
      </c>
      <c r="Z39" s="181">
        <f t="shared" si="39"/>
        <v>0</v>
      </c>
      <c r="AA39" s="182">
        <f t="shared" si="39"/>
        <v>12.170736</v>
      </c>
    </row>
    <row r="40" spans="1:31" s="92" customFormat="1" ht="12" customHeight="1">
      <c r="A40" s="188"/>
      <c r="B40" s="215" t="s">
        <v>732</v>
      </c>
      <c r="C40" s="216">
        <f>SUM(C41:C46)</f>
        <v>302998</v>
      </c>
      <c r="D40" s="217"/>
      <c r="E40" s="207"/>
      <c r="F40" s="217"/>
      <c r="G40" s="218"/>
      <c r="H40" s="217">
        <f>SUM(H41:H46)</f>
        <v>0</v>
      </c>
      <c r="I40" s="217">
        <f t="shared" ref="I40:AA40" si="40">SUM(I41:I46)</f>
        <v>0</v>
      </c>
      <c r="J40" s="217">
        <f t="shared" si="40"/>
        <v>0</v>
      </c>
      <c r="K40" s="217">
        <f t="shared" si="40"/>
        <v>0</v>
      </c>
      <c r="L40" s="217">
        <f t="shared" si="40"/>
        <v>0</v>
      </c>
      <c r="M40" s="217">
        <f t="shared" si="40"/>
        <v>0</v>
      </c>
      <c r="N40" s="217">
        <f t="shared" si="40"/>
        <v>0</v>
      </c>
      <c r="O40" s="217">
        <f t="shared" si="40"/>
        <v>10.907928</v>
      </c>
      <c r="P40" s="217">
        <f t="shared" si="40"/>
        <v>0</v>
      </c>
      <c r="Q40" s="217">
        <f t="shared" si="40"/>
        <v>10.907928</v>
      </c>
      <c r="R40" s="217">
        <f t="shared" si="40"/>
        <v>0</v>
      </c>
      <c r="S40" s="217">
        <f t="shared" si="40"/>
        <v>10.907928</v>
      </c>
      <c r="T40" s="217">
        <f t="shared" si="40"/>
        <v>0</v>
      </c>
      <c r="U40" s="217">
        <f t="shared" si="40"/>
        <v>0</v>
      </c>
      <c r="V40" s="217">
        <f t="shared" si="40"/>
        <v>0</v>
      </c>
      <c r="W40" s="217">
        <f t="shared" si="40"/>
        <v>0</v>
      </c>
      <c r="X40" s="217">
        <f t="shared" si="40"/>
        <v>0</v>
      </c>
      <c r="Y40" s="217">
        <f t="shared" si="40"/>
        <v>10.907928</v>
      </c>
      <c r="Z40" s="217"/>
      <c r="AA40" s="219">
        <f t="shared" si="40"/>
        <v>10.907928</v>
      </c>
      <c r="AE40" s="177"/>
    </row>
    <row r="41" spans="1:31" s="92" customFormat="1" ht="12" customHeight="1">
      <c r="A41" s="188"/>
      <c r="B41" s="189" t="s">
        <v>912</v>
      </c>
      <c r="C41" s="190">
        <f>'7|Total Rev Current'!C395</f>
        <v>3297</v>
      </c>
      <c r="D41" s="191">
        <v>3.5</v>
      </c>
      <c r="E41" s="192"/>
      <c r="F41" s="190"/>
      <c r="G41" s="190">
        <v>30</v>
      </c>
      <c r="H41" s="194"/>
      <c r="I41" s="191"/>
      <c r="J41" s="194"/>
      <c r="K41" s="194"/>
      <c r="L41" s="195">
        <f t="shared" ref="L41:L46" si="41">D41*H41/10</f>
        <v>0</v>
      </c>
      <c r="M41" s="196">
        <f t="shared" ref="M41:M46" si="42">IF(E41&gt;0,(J41*10^3*E41/10^7)+(K41*0.7457*E41/10^7),(K41*F41/10^7)+(J41*(10^3)*(1/0.7457)*F41/10^7))</f>
        <v>0</v>
      </c>
      <c r="N41" s="197"/>
      <c r="O41" s="196">
        <f t="shared" ref="O41:O46" si="43">G41*C41*12/10^7</f>
        <v>0.11869200000000001</v>
      </c>
      <c r="P41" s="197"/>
      <c r="Q41" s="196">
        <f t="shared" ref="Q41:Q46" si="44">L41+M41+N41+O41+P41</f>
        <v>0.11869200000000001</v>
      </c>
      <c r="R41" s="191"/>
      <c r="S41" s="196">
        <f t="shared" ref="S41:S46" si="45">Q41-R41</f>
        <v>0.11869200000000001</v>
      </c>
      <c r="T41" s="191"/>
      <c r="U41" s="191"/>
      <c r="V41" s="191"/>
      <c r="W41" s="191"/>
      <c r="X41" s="198"/>
      <c r="Y41" s="199">
        <f t="shared" ref="Y41:Y46" si="46">S41+X41</f>
        <v>0.11869200000000001</v>
      </c>
      <c r="Z41" s="200">
        <v>7.41</v>
      </c>
      <c r="AA41" s="201">
        <f t="shared" ref="AA41:AA46" si="47">(H41*Z41/10)+M41+O41+N41+P41+X41</f>
        <v>0.11869200000000001</v>
      </c>
    </row>
    <row r="42" spans="1:31" s="92" customFormat="1" ht="12" customHeight="1">
      <c r="A42" s="188"/>
      <c r="B42" s="189" t="s">
        <v>913</v>
      </c>
      <c r="C42" s="190">
        <f>'7|Total Rev Current'!C396</f>
        <v>297658</v>
      </c>
      <c r="D42" s="191"/>
      <c r="E42" s="192"/>
      <c r="F42" s="190"/>
      <c r="G42" s="190">
        <v>30</v>
      </c>
      <c r="H42" s="194"/>
      <c r="I42" s="191"/>
      <c r="J42" s="194"/>
      <c r="K42" s="194"/>
      <c r="L42" s="195">
        <f t="shared" si="41"/>
        <v>0</v>
      </c>
      <c r="M42" s="196">
        <f t="shared" si="42"/>
        <v>0</v>
      </c>
      <c r="N42" s="197"/>
      <c r="O42" s="196">
        <f t="shared" si="43"/>
        <v>10.715688</v>
      </c>
      <c r="P42" s="197"/>
      <c r="Q42" s="196">
        <f t="shared" si="44"/>
        <v>10.715688</v>
      </c>
      <c r="R42" s="191"/>
      <c r="S42" s="196">
        <f t="shared" si="45"/>
        <v>10.715688</v>
      </c>
      <c r="T42" s="191"/>
      <c r="U42" s="191"/>
      <c r="V42" s="191"/>
      <c r="W42" s="191"/>
      <c r="X42" s="198"/>
      <c r="Y42" s="199">
        <f t="shared" si="46"/>
        <v>10.715688</v>
      </c>
      <c r="Z42" s="200">
        <v>7.5224000000000002</v>
      </c>
      <c r="AA42" s="201">
        <f t="shared" si="47"/>
        <v>10.715688</v>
      </c>
    </row>
    <row r="43" spans="1:31" s="92" customFormat="1" ht="12" customHeight="1">
      <c r="A43" s="188"/>
      <c r="B43" s="189" t="s">
        <v>733</v>
      </c>
      <c r="C43" s="190">
        <f>'7|Total Rev Current'!C397</f>
        <v>87</v>
      </c>
      <c r="D43" s="191">
        <v>2.5</v>
      </c>
      <c r="E43" s="192"/>
      <c r="F43" s="190"/>
      <c r="G43" s="190">
        <v>30</v>
      </c>
      <c r="H43" s="194"/>
      <c r="I43" s="191"/>
      <c r="J43" s="194"/>
      <c r="K43" s="194"/>
      <c r="L43" s="195">
        <f t="shared" si="41"/>
        <v>0</v>
      </c>
      <c r="M43" s="196">
        <f t="shared" si="42"/>
        <v>0</v>
      </c>
      <c r="N43" s="197"/>
      <c r="O43" s="196">
        <f t="shared" si="43"/>
        <v>3.1319999999999998E-3</v>
      </c>
      <c r="P43" s="197"/>
      <c r="Q43" s="196">
        <f t="shared" si="44"/>
        <v>3.1319999999999998E-3</v>
      </c>
      <c r="R43" s="191"/>
      <c r="S43" s="196">
        <f t="shared" si="45"/>
        <v>3.1319999999999998E-3</v>
      </c>
      <c r="T43" s="191"/>
      <c r="U43" s="191"/>
      <c r="V43" s="191"/>
      <c r="W43" s="191"/>
      <c r="X43" s="198"/>
      <c r="Y43" s="199">
        <f t="shared" si="46"/>
        <v>3.1319999999999998E-3</v>
      </c>
      <c r="Z43" s="200">
        <v>7.48</v>
      </c>
      <c r="AA43" s="201">
        <f t="shared" si="47"/>
        <v>3.1319999999999998E-3</v>
      </c>
    </row>
    <row r="44" spans="1:31" s="92" customFormat="1" ht="12" customHeight="1">
      <c r="A44" s="188"/>
      <c r="B44" s="189" t="s">
        <v>734</v>
      </c>
      <c r="C44" s="190">
        <f>'7|Total Rev Current'!C398</f>
        <v>31</v>
      </c>
      <c r="D44" s="191"/>
      <c r="E44" s="192"/>
      <c r="F44" s="190"/>
      <c r="G44" s="190">
        <v>30</v>
      </c>
      <c r="H44" s="194"/>
      <c r="I44" s="191"/>
      <c r="J44" s="194"/>
      <c r="K44" s="194"/>
      <c r="L44" s="195">
        <f t="shared" si="41"/>
        <v>0</v>
      </c>
      <c r="M44" s="196">
        <f t="shared" si="42"/>
        <v>0</v>
      </c>
      <c r="N44" s="197"/>
      <c r="O44" s="196">
        <f t="shared" si="43"/>
        <v>1.116E-3</v>
      </c>
      <c r="P44" s="197"/>
      <c r="Q44" s="196">
        <f t="shared" si="44"/>
        <v>1.116E-3</v>
      </c>
      <c r="R44" s="191"/>
      <c r="S44" s="196">
        <f t="shared" si="45"/>
        <v>1.116E-3</v>
      </c>
      <c r="T44" s="191"/>
      <c r="U44" s="191"/>
      <c r="V44" s="191"/>
      <c r="W44" s="191"/>
      <c r="X44" s="198"/>
      <c r="Y44" s="199">
        <f t="shared" si="46"/>
        <v>1.116E-3</v>
      </c>
      <c r="Z44" s="200">
        <v>7.3920000000000003</v>
      </c>
      <c r="AA44" s="201">
        <f t="shared" si="47"/>
        <v>1.116E-3</v>
      </c>
    </row>
    <row r="45" spans="1:31" s="92" customFormat="1" ht="12" customHeight="1">
      <c r="A45" s="188"/>
      <c r="B45" s="189" t="s">
        <v>735</v>
      </c>
      <c r="C45" s="190">
        <f>'7|Total Rev Current'!C399</f>
        <v>1919</v>
      </c>
      <c r="D45" s="191"/>
      <c r="E45" s="192"/>
      <c r="F45" s="190"/>
      <c r="G45" s="190">
        <v>30</v>
      </c>
      <c r="H45" s="194"/>
      <c r="I45" s="191"/>
      <c r="J45" s="194"/>
      <c r="K45" s="194"/>
      <c r="L45" s="195">
        <f t="shared" si="41"/>
        <v>0</v>
      </c>
      <c r="M45" s="196">
        <f t="shared" si="42"/>
        <v>0</v>
      </c>
      <c r="N45" s="197"/>
      <c r="O45" s="196">
        <f t="shared" si="43"/>
        <v>6.9084000000000007E-2</v>
      </c>
      <c r="P45" s="197"/>
      <c r="Q45" s="196">
        <f t="shared" si="44"/>
        <v>6.9084000000000007E-2</v>
      </c>
      <c r="R45" s="191"/>
      <c r="S45" s="196">
        <f t="shared" si="45"/>
        <v>6.9084000000000007E-2</v>
      </c>
      <c r="T45" s="191"/>
      <c r="U45" s="191"/>
      <c r="V45" s="191"/>
      <c r="W45" s="191"/>
      <c r="X45" s="198"/>
      <c r="Y45" s="199">
        <f t="shared" si="46"/>
        <v>6.9084000000000007E-2</v>
      </c>
      <c r="Z45" s="200">
        <v>7.52</v>
      </c>
      <c r="AA45" s="201">
        <f t="shared" si="47"/>
        <v>6.9084000000000007E-2</v>
      </c>
      <c r="AC45" s="172"/>
    </row>
    <row r="46" spans="1:31" s="92" customFormat="1" ht="12" customHeight="1">
      <c r="A46" s="188"/>
      <c r="B46" s="220" t="s">
        <v>736</v>
      </c>
      <c r="C46" s="190">
        <f>'7|Total Rev Current'!C400</f>
        <v>6</v>
      </c>
      <c r="D46" s="191">
        <v>4.5</v>
      </c>
      <c r="E46" s="192">
        <f>75*12</f>
        <v>900</v>
      </c>
      <c r="F46" s="190"/>
      <c r="G46" s="190">
        <v>30</v>
      </c>
      <c r="H46" s="194"/>
      <c r="I46" s="221"/>
      <c r="J46" s="194"/>
      <c r="K46" s="194"/>
      <c r="L46" s="195">
        <f t="shared" si="41"/>
        <v>0</v>
      </c>
      <c r="M46" s="196">
        <f t="shared" si="42"/>
        <v>0</v>
      </c>
      <c r="N46" s="197"/>
      <c r="O46" s="196">
        <f t="shared" si="43"/>
        <v>2.1599999999999999E-4</v>
      </c>
      <c r="P46" s="197"/>
      <c r="Q46" s="196">
        <f t="shared" si="44"/>
        <v>2.1599999999999999E-4</v>
      </c>
      <c r="R46" s="221"/>
      <c r="S46" s="196">
        <f t="shared" si="45"/>
        <v>2.1599999999999999E-4</v>
      </c>
      <c r="T46" s="221"/>
      <c r="U46" s="221"/>
      <c r="V46" s="221"/>
      <c r="W46" s="221"/>
      <c r="X46" s="198"/>
      <c r="Y46" s="199">
        <f t="shared" si="46"/>
        <v>2.1599999999999999E-4</v>
      </c>
      <c r="Z46" s="200">
        <v>4.5</v>
      </c>
      <c r="AA46" s="201">
        <f t="shared" si="47"/>
        <v>2.1599999999999999E-4</v>
      </c>
    </row>
    <row r="47" spans="1:31" s="92" customFormat="1" ht="12" customHeight="1">
      <c r="A47" s="188"/>
      <c r="B47" s="215" t="s">
        <v>691</v>
      </c>
      <c r="C47" s="217">
        <f>C48+C49</f>
        <v>35078</v>
      </c>
      <c r="D47" s="217"/>
      <c r="E47" s="207"/>
      <c r="F47" s="217"/>
      <c r="G47" s="222"/>
      <c r="H47" s="217">
        <f>H48+H49</f>
        <v>0</v>
      </c>
      <c r="I47" s="217">
        <f t="shared" ref="I47:Y47" si="48">I48+I49</f>
        <v>0</v>
      </c>
      <c r="J47" s="217">
        <f t="shared" si="48"/>
        <v>0</v>
      </c>
      <c r="K47" s="217">
        <f t="shared" si="48"/>
        <v>0</v>
      </c>
      <c r="L47" s="217">
        <f t="shared" si="48"/>
        <v>0</v>
      </c>
      <c r="M47" s="217">
        <f t="shared" si="48"/>
        <v>0</v>
      </c>
      <c r="N47" s="217">
        <f t="shared" si="48"/>
        <v>0</v>
      </c>
      <c r="O47" s="217">
        <f t="shared" si="48"/>
        <v>1.2628079999999999</v>
      </c>
      <c r="P47" s="217">
        <f t="shared" si="48"/>
        <v>0</v>
      </c>
      <c r="Q47" s="217">
        <f t="shared" si="48"/>
        <v>1.2628079999999999</v>
      </c>
      <c r="R47" s="217">
        <f t="shared" si="48"/>
        <v>0</v>
      </c>
      <c r="S47" s="217">
        <f t="shared" si="48"/>
        <v>1.2628079999999999</v>
      </c>
      <c r="T47" s="217">
        <f t="shared" si="48"/>
        <v>0</v>
      </c>
      <c r="U47" s="217">
        <f t="shared" si="48"/>
        <v>0</v>
      </c>
      <c r="V47" s="217">
        <f t="shared" si="48"/>
        <v>0</v>
      </c>
      <c r="W47" s="217">
        <f t="shared" si="48"/>
        <v>0</v>
      </c>
      <c r="X47" s="217">
        <f t="shared" si="48"/>
        <v>0</v>
      </c>
      <c r="Y47" s="217">
        <f t="shared" si="48"/>
        <v>1.2628079999999999</v>
      </c>
      <c r="Z47" s="217"/>
      <c r="AA47" s="219">
        <f t="shared" ref="AA47" si="49">AA48+AA49</f>
        <v>1.2628079999999999</v>
      </c>
    </row>
    <row r="48" spans="1:31" s="92" customFormat="1" ht="21">
      <c r="A48" s="188"/>
      <c r="B48" s="189" t="s">
        <v>737</v>
      </c>
      <c r="C48" s="190">
        <f>'7|Total Rev Current'!C402</f>
        <v>34905</v>
      </c>
      <c r="D48" s="191">
        <v>3.85</v>
      </c>
      <c r="E48" s="192">
        <f>30*12</f>
        <v>360</v>
      </c>
      <c r="F48" s="193"/>
      <c r="G48" s="190">
        <v>30</v>
      </c>
      <c r="H48" s="194"/>
      <c r="I48" s="191"/>
      <c r="J48" s="194"/>
      <c r="K48" s="191"/>
      <c r="L48" s="195">
        <f t="shared" ref="L48:L49" si="50">D48*H48/10</f>
        <v>0</v>
      </c>
      <c r="M48" s="196">
        <f t="shared" ref="M48:M49" si="51">IF(E48&gt;0,(J48*10^3*E48/10^7)+(K48*0.7457*E48/10^7),(K48*F48/10^7)+(J48*(10^3)*(1/0.7457)*F48/10^7))</f>
        <v>0</v>
      </c>
      <c r="N48" s="197"/>
      <c r="O48" s="196">
        <f t="shared" ref="O48:O49" si="52">G48*C48*12/10^7</f>
        <v>1.25658</v>
      </c>
      <c r="P48" s="197"/>
      <c r="Q48" s="196">
        <f t="shared" ref="Q48:Q49" si="53">L48+M48+N48+O48+P48</f>
        <v>1.25658</v>
      </c>
      <c r="R48" s="191"/>
      <c r="S48" s="196">
        <f t="shared" ref="S48:S49" si="54">Q48-R48</f>
        <v>1.25658</v>
      </c>
      <c r="T48" s="191"/>
      <c r="U48" s="191"/>
      <c r="V48" s="191"/>
      <c r="W48" s="191"/>
      <c r="X48" s="198"/>
      <c r="Y48" s="199">
        <f t="shared" ref="Y48:Y49" si="55">S48+X48</f>
        <v>1.25658</v>
      </c>
      <c r="Z48" s="200">
        <v>7.2217000000000002</v>
      </c>
      <c r="AA48" s="201">
        <f t="shared" ref="AA48:AA49" si="56">(H48*Z48/10)+M48+O48+N48+P48+X48</f>
        <v>1.25658</v>
      </c>
      <c r="AC48" s="104"/>
    </row>
    <row r="49" spans="1:31" ht="21">
      <c r="A49" s="188"/>
      <c r="B49" s="189" t="s">
        <v>741</v>
      </c>
      <c r="C49" s="190">
        <f>'7|Total Rev Current'!C403</f>
        <v>173</v>
      </c>
      <c r="D49" s="191">
        <v>3.75</v>
      </c>
      <c r="E49" s="192">
        <f>20*12</f>
        <v>240</v>
      </c>
      <c r="F49" s="193"/>
      <c r="G49" s="190">
        <v>30</v>
      </c>
      <c r="H49" s="194"/>
      <c r="I49" s="191"/>
      <c r="J49" s="194"/>
      <c r="K49" s="191"/>
      <c r="L49" s="195">
        <f t="shared" si="50"/>
        <v>0</v>
      </c>
      <c r="M49" s="196">
        <f t="shared" si="51"/>
        <v>0</v>
      </c>
      <c r="N49" s="197"/>
      <c r="O49" s="196">
        <f t="shared" si="52"/>
        <v>6.228E-3</v>
      </c>
      <c r="P49" s="197"/>
      <c r="Q49" s="196">
        <f t="shared" si="53"/>
        <v>6.228E-3</v>
      </c>
      <c r="R49" s="191"/>
      <c r="S49" s="196">
        <f t="shared" si="54"/>
        <v>6.228E-3</v>
      </c>
      <c r="T49" s="191"/>
      <c r="U49" s="191"/>
      <c r="V49" s="191"/>
      <c r="W49" s="191"/>
      <c r="X49" s="198"/>
      <c r="Y49" s="199">
        <f t="shared" si="55"/>
        <v>6.228E-3</v>
      </c>
      <c r="Z49" s="200">
        <v>6.91</v>
      </c>
      <c r="AA49" s="201">
        <f t="shared" si="56"/>
        <v>6.228E-3</v>
      </c>
      <c r="AC49" s="104"/>
    </row>
    <row r="50" spans="1:31">
      <c r="A50" s="188"/>
      <c r="B50" s="223" t="s">
        <v>600</v>
      </c>
      <c r="C50" s="224">
        <f>C8+C17+C29+C33+C39</f>
        <v>7270210</v>
      </c>
      <c r="D50" s="174">
        <v>0</v>
      </c>
      <c r="E50" s="174">
        <v>0</v>
      </c>
      <c r="F50" s="174">
        <v>0</v>
      </c>
      <c r="G50" s="174">
        <v>0</v>
      </c>
      <c r="H50" s="174">
        <f>H8+H17+H29+H33+H39</f>
        <v>0</v>
      </c>
      <c r="I50" s="174">
        <f t="shared" ref="I50:AA50" si="57">I8+I17+I29+I33+I39</f>
        <v>0</v>
      </c>
      <c r="J50" s="174">
        <f t="shared" si="57"/>
        <v>0</v>
      </c>
      <c r="K50" s="174">
        <f t="shared" si="57"/>
        <v>0</v>
      </c>
      <c r="L50" s="174">
        <f t="shared" si="57"/>
        <v>0</v>
      </c>
      <c r="M50" s="174">
        <f t="shared" si="57"/>
        <v>0</v>
      </c>
      <c r="N50" s="174">
        <f t="shared" si="57"/>
        <v>0</v>
      </c>
      <c r="O50" s="174">
        <f t="shared" si="57"/>
        <v>350.77659720000003</v>
      </c>
      <c r="P50" s="174">
        <f t="shared" si="57"/>
        <v>0</v>
      </c>
      <c r="Q50" s="174">
        <f t="shared" si="57"/>
        <v>350.77659720000003</v>
      </c>
      <c r="R50" s="174">
        <f t="shared" si="57"/>
        <v>0</v>
      </c>
      <c r="S50" s="174">
        <f t="shared" si="57"/>
        <v>350.77659720000003</v>
      </c>
      <c r="T50" s="174">
        <f t="shared" si="57"/>
        <v>0</v>
      </c>
      <c r="U50" s="174">
        <f t="shared" si="57"/>
        <v>0</v>
      </c>
      <c r="V50" s="174">
        <f t="shared" si="57"/>
        <v>0</v>
      </c>
      <c r="W50" s="174">
        <f t="shared" si="57"/>
        <v>0</v>
      </c>
      <c r="X50" s="174">
        <f t="shared" si="57"/>
        <v>0</v>
      </c>
      <c r="Y50" s="174">
        <f t="shared" si="57"/>
        <v>350.77659720000003</v>
      </c>
      <c r="Z50" s="174">
        <f t="shared" si="57"/>
        <v>0</v>
      </c>
      <c r="AA50" s="225">
        <f t="shared" si="57"/>
        <v>350.77659720000003</v>
      </c>
      <c r="AC50" s="104"/>
      <c r="AE50" s="166">
        <f>AA50-Y50</f>
        <v>0</v>
      </c>
    </row>
    <row r="51" spans="1:31">
      <c r="A51" s="188"/>
      <c r="B51" s="226"/>
      <c r="C51" s="227"/>
      <c r="D51" s="227"/>
      <c r="E51" s="227"/>
      <c r="F51" s="227"/>
      <c r="G51" s="228"/>
      <c r="H51" s="227"/>
      <c r="I51" s="227"/>
      <c r="J51" s="227"/>
      <c r="K51" s="227"/>
      <c r="L51" s="227"/>
      <c r="M51" s="227"/>
      <c r="N51" s="227"/>
      <c r="O51" s="227"/>
      <c r="P51" s="227"/>
      <c r="Q51" s="227"/>
      <c r="R51" s="227"/>
      <c r="S51" s="227"/>
      <c r="T51" s="227"/>
      <c r="U51" s="227"/>
      <c r="V51" s="227"/>
      <c r="W51" s="227"/>
      <c r="X51" s="227"/>
      <c r="Y51" s="227"/>
      <c r="Z51" s="227"/>
      <c r="AA51" s="229"/>
      <c r="AB51" s="166"/>
      <c r="AC51" s="104"/>
    </row>
    <row r="52" spans="1:31">
      <c r="A52" s="188"/>
      <c r="B52" s="230" t="s">
        <v>601</v>
      </c>
      <c r="C52" s="175"/>
      <c r="D52" s="175"/>
      <c r="E52" s="175"/>
      <c r="F52" s="175"/>
      <c r="G52" s="174"/>
      <c r="H52" s="175"/>
      <c r="I52" s="175"/>
      <c r="J52" s="175"/>
      <c r="K52" s="175"/>
      <c r="L52" s="175"/>
      <c r="M52" s="175"/>
      <c r="N52" s="175"/>
      <c r="O52" s="175">
        <f>G52*C52*12/10^7</f>
        <v>0</v>
      </c>
      <c r="P52" s="175"/>
      <c r="Q52" s="175"/>
      <c r="R52" s="175"/>
      <c r="S52" s="175"/>
      <c r="T52" s="175"/>
      <c r="U52" s="175"/>
      <c r="V52" s="175"/>
      <c r="W52" s="175"/>
      <c r="X52" s="175"/>
      <c r="Y52" s="175"/>
      <c r="Z52" s="175"/>
      <c r="AA52" s="231"/>
      <c r="AC52" s="104"/>
    </row>
    <row r="53" spans="1:31">
      <c r="A53" s="188"/>
      <c r="B53" s="232" t="s">
        <v>742</v>
      </c>
      <c r="C53" s="233">
        <f>C54+C55+C62+C83+C88</f>
        <v>4200</v>
      </c>
      <c r="D53" s="233"/>
      <c r="E53" s="233"/>
      <c r="F53" s="233"/>
      <c r="G53" s="234"/>
      <c r="H53" s="233">
        <f>H54+H55+H62+H83+H88</f>
        <v>0</v>
      </c>
      <c r="I53" s="233">
        <f t="shared" ref="I53:AA53" si="58">I54+I55+I62+I83+I88</f>
        <v>0</v>
      </c>
      <c r="J53" s="233">
        <f t="shared" si="58"/>
        <v>0</v>
      </c>
      <c r="K53" s="233">
        <f t="shared" si="58"/>
        <v>0</v>
      </c>
      <c r="L53" s="233">
        <f t="shared" si="58"/>
        <v>0</v>
      </c>
      <c r="M53" s="233">
        <f t="shared" si="58"/>
        <v>0</v>
      </c>
      <c r="N53" s="233">
        <f t="shared" si="58"/>
        <v>0</v>
      </c>
      <c r="O53" s="233">
        <f t="shared" si="58"/>
        <v>7.0862400000000001</v>
      </c>
      <c r="P53" s="233">
        <f t="shared" si="58"/>
        <v>0</v>
      </c>
      <c r="Q53" s="233">
        <f t="shared" si="58"/>
        <v>7.0862400000000001</v>
      </c>
      <c r="R53" s="233">
        <f t="shared" si="58"/>
        <v>0</v>
      </c>
      <c r="S53" s="233">
        <f t="shared" si="58"/>
        <v>7.0862400000000001</v>
      </c>
      <c r="T53" s="233">
        <f t="shared" si="58"/>
        <v>0</v>
      </c>
      <c r="U53" s="233">
        <f t="shared" si="58"/>
        <v>0</v>
      </c>
      <c r="V53" s="233">
        <f t="shared" si="58"/>
        <v>0</v>
      </c>
      <c r="W53" s="233">
        <f t="shared" si="58"/>
        <v>0</v>
      </c>
      <c r="X53" s="233">
        <f t="shared" si="58"/>
        <v>0</v>
      </c>
      <c r="Y53" s="233">
        <f t="shared" si="58"/>
        <v>8.2672800000000005E-2</v>
      </c>
      <c r="Z53" s="233"/>
      <c r="AA53" s="235">
        <f t="shared" si="58"/>
        <v>7.0862400000000001</v>
      </c>
      <c r="AC53" s="158"/>
      <c r="AD53" s="166">
        <f>Y210</f>
        <v>350.85927000000004</v>
      </c>
      <c r="AE53" s="166">
        <f>AC53-AD53</f>
        <v>-350.85927000000004</v>
      </c>
    </row>
    <row r="54" spans="1:31" ht="21">
      <c r="A54" s="188"/>
      <c r="B54" s="236" t="s">
        <v>743</v>
      </c>
      <c r="C54" s="190">
        <f>'7|Total Rev Current'!C408</f>
        <v>49</v>
      </c>
      <c r="D54" s="203">
        <v>7</v>
      </c>
      <c r="E54" s="237">
        <f>75*12</f>
        <v>900</v>
      </c>
      <c r="F54" s="237"/>
      <c r="G54" s="237">
        <v>1406</v>
      </c>
      <c r="H54" s="194"/>
      <c r="I54" s="238">
        <f t="shared" ref="I54:W54" si="59">I55+I56+I63+I70+I83+I86</f>
        <v>0</v>
      </c>
      <c r="J54" s="194"/>
      <c r="K54" s="238">
        <f>K55+K56+K63+K70+K83+K86</f>
        <v>0</v>
      </c>
      <c r="L54" s="195">
        <f t="shared" ref="L54" si="60">D54*H54/10</f>
        <v>0</v>
      </c>
      <c r="M54" s="196">
        <f t="shared" ref="M54" si="61">IF(E54&gt;0,(J54*10^3*E54/10^7)+(K54*0.7457*E54/10^7),(K54*F54/10^7)+(J54*(10^3)*(1/0.7457)*F54/10^7))</f>
        <v>0</v>
      </c>
      <c r="N54" s="197"/>
      <c r="O54" s="196">
        <f t="shared" ref="O54" si="62">G54*C54*12/10^7</f>
        <v>8.2672800000000005E-2</v>
      </c>
      <c r="P54" s="197"/>
      <c r="Q54" s="196">
        <f t="shared" ref="Q54" si="63">L54+M54+N54+O54+P54</f>
        <v>8.2672800000000005E-2</v>
      </c>
      <c r="R54" s="238"/>
      <c r="S54" s="196">
        <f t="shared" ref="S54" si="64">Q54-R54</f>
        <v>8.2672800000000005E-2</v>
      </c>
      <c r="T54" s="238">
        <f t="shared" si="59"/>
        <v>0</v>
      </c>
      <c r="U54" s="238">
        <f t="shared" si="59"/>
        <v>0</v>
      </c>
      <c r="V54" s="238">
        <f t="shared" si="59"/>
        <v>0</v>
      </c>
      <c r="W54" s="238">
        <f t="shared" si="59"/>
        <v>0</v>
      </c>
      <c r="X54" s="198"/>
      <c r="Y54" s="199">
        <f t="shared" ref="Y54" si="65">S54+X54</f>
        <v>8.2672800000000005E-2</v>
      </c>
      <c r="Z54" s="200">
        <f>'[6]FY24 Revenue @  CT'!R53</f>
        <v>7</v>
      </c>
      <c r="AA54" s="201">
        <f t="shared" ref="AA54" si="66">(H54*Z54/10)+M54+O54+N54+P54+X54</f>
        <v>8.2672800000000005E-2</v>
      </c>
      <c r="AC54" s="166"/>
    </row>
    <row r="55" spans="1:31" s="92" customFormat="1">
      <c r="A55" s="188"/>
      <c r="B55" s="239" t="s">
        <v>744</v>
      </c>
      <c r="C55" s="240">
        <f>SUM(C56:C61)</f>
        <v>2078</v>
      </c>
      <c r="D55" s="240"/>
      <c r="E55" s="240"/>
      <c r="F55" s="240"/>
      <c r="G55" s="240"/>
      <c r="H55" s="240">
        <f>SUM(H56:H61)</f>
        <v>0</v>
      </c>
      <c r="I55" s="240">
        <f t="shared" ref="I55:AA56" si="67">SUM(I56:I61)</f>
        <v>0</v>
      </c>
      <c r="J55" s="240">
        <f t="shared" si="67"/>
        <v>0</v>
      </c>
      <c r="K55" s="240">
        <f t="shared" si="67"/>
        <v>0</v>
      </c>
      <c r="L55" s="240">
        <f t="shared" si="67"/>
        <v>0</v>
      </c>
      <c r="M55" s="240">
        <f t="shared" si="67"/>
        <v>0</v>
      </c>
      <c r="N55" s="240">
        <f t="shared" si="67"/>
        <v>0</v>
      </c>
      <c r="O55" s="240">
        <f t="shared" si="67"/>
        <v>3.5060016000000003</v>
      </c>
      <c r="P55" s="240">
        <f t="shared" si="67"/>
        <v>0</v>
      </c>
      <c r="Q55" s="240">
        <f t="shared" si="67"/>
        <v>3.5060016000000003</v>
      </c>
      <c r="R55" s="240">
        <f t="shared" si="67"/>
        <v>0</v>
      </c>
      <c r="S55" s="240">
        <f t="shared" si="67"/>
        <v>3.5060016000000003</v>
      </c>
      <c r="T55" s="240">
        <f t="shared" si="67"/>
        <v>0</v>
      </c>
      <c r="U55" s="240">
        <f t="shared" si="67"/>
        <v>0</v>
      </c>
      <c r="V55" s="240">
        <f t="shared" si="67"/>
        <v>0</v>
      </c>
      <c r="W55" s="240">
        <f t="shared" si="67"/>
        <v>0</v>
      </c>
      <c r="X55" s="240">
        <f t="shared" si="67"/>
        <v>0</v>
      </c>
      <c r="Y55" s="240">
        <f t="shared" si="67"/>
        <v>0</v>
      </c>
      <c r="Z55" s="240"/>
      <c r="AA55" s="241">
        <f t="shared" si="67"/>
        <v>3.5060016000000003</v>
      </c>
      <c r="AC55" s="166"/>
    </row>
    <row r="56" spans="1:31" s="92" customFormat="1" ht="15" customHeight="1">
      <c r="A56" s="188"/>
      <c r="B56" s="236" t="s">
        <v>745</v>
      </c>
      <c r="C56" s="190">
        <f>'7|Total Rev Current'!C410</f>
        <v>1835</v>
      </c>
      <c r="D56" s="203">
        <v>7.65</v>
      </c>
      <c r="E56" s="237">
        <f>475*12</f>
        <v>5700</v>
      </c>
      <c r="F56" s="237"/>
      <c r="G56" s="237">
        <v>1406</v>
      </c>
      <c r="H56" s="194"/>
      <c r="I56" s="238"/>
      <c r="J56" s="194"/>
      <c r="K56" s="238">
        <f>SUM(K57:K62)</f>
        <v>0</v>
      </c>
      <c r="L56" s="195">
        <f t="shared" ref="L56:L61" si="68">D56*H56/10</f>
        <v>0</v>
      </c>
      <c r="M56" s="196">
        <f t="shared" ref="M56:M61" si="69">IF(E56&gt;0,(J56*10^3*E56/10^7)+(K56*0.7457*E56/10^7),(K56*F56/10^7)+(J56*(10^3)*(1/0.7457)*F56/10^7))</f>
        <v>0</v>
      </c>
      <c r="N56" s="197"/>
      <c r="O56" s="196">
        <f t="shared" ref="O56:O61" si="70">G56*C56*12/10^7</f>
        <v>3.096012</v>
      </c>
      <c r="P56" s="197"/>
      <c r="Q56" s="196">
        <f t="shared" ref="Q56:Q61" si="71">L56+M56+N56+O56+P56</f>
        <v>3.096012</v>
      </c>
      <c r="R56" s="238"/>
      <c r="S56" s="196">
        <f t="shared" ref="S56:S61" si="72">Q56-R56</f>
        <v>3.096012</v>
      </c>
      <c r="T56" s="238">
        <f t="shared" si="67"/>
        <v>0</v>
      </c>
      <c r="U56" s="238">
        <f t="shared" si="67"/>
        <v>0</v>
      </c>
      <c r="V56" s="238">
        <f t="shared" si="67"/>
        <v>0</v>
      </c>
      <c r="W56" s="238">
        <f t="shared" si="67"/>
        <v>0</v>
      </c>
      <c r="X56" s="198"/>
      <c r="Y56" s="199"/>
      <c r="Z56" s="200">
        <f>'[6]FY24 Revenue @  CT'!R55</f>
        <v>7.65</v>
      </c>
      <c r="AA56" s="201">
        <f t="shared" ref="AA56:AA61" si="73">(H56*Z56/10)+M56+O56+N56+P56+X56</f>
        <v>3.096012</v>
      </c>
      <c r="AC56" s="166"/>
    </row>
    <row r="57" spans="1:31">
      <c r="A57" s="188"/>
      <c r="B57" s="236" t="s">
        <v>697</v>
      </c>
      <c r="C57" s="190">
        <f>'7|Total Rev Current'!C411</f>
        <v>0</v>
      </c>
      <c r="D57" s="203">
        <v>8.65</v>
      </c>
      <c r="E57" s="237">
        <f>475*12</f>
        <v>5700</v>
      </c>
      <c r="F57" s="237"/>
      <c r="G57" s="237"/>
      <c r="H57" s="194"/>
      <c r="I57" s="238"/>
      <c r="J57" s="194"/>
      <c r="K57" s="238"/>
      <c r="L57" s="195">
        <f t="shared" si="68"/>
        <v>0</v>
      </c>
      <c r="M57" s="196">
        <f t="shared" si="69"/>
        <v>0</v>
      </c>
      <c r="N57" s="197"/>
      <c r="O57" s="196">
        <f t="shared" si="70"/>
        <v>0</v>
      </c>
      <c r="P57" s="197"/>
      <c r="Q57" s="196">
        <f t="shared" si="71"/>
        <v>0</v>
      </c>
      <c r="R57" s="238"/>
      <c r="S57" s="196">
        <f t="shared" si="72"/>
        <v>0</v>
      </c>
      <c r="T57" s="238"/>
      <c r="U57" s="238"/>
      <c r="V57" s="238"/>
      <c r="W57" s="238"/>
      <c r="X57" s="198"/>
      <c r="Y57" s="199"/>
      <c r="Z57" s="200">
        <f>'[6]FY24 Revenue @  CT'!R56</f>
        <v>8.65</v>
      </c>
      <c r="AA57" s="201">
        <f t="shared" si="73"/>
        <v>0</v>
      </c>
      <c r="AC57" s="166"/>
    </row>
    <row r="58" spans="1:31" s="242" customFormat="1" ht="17.25" customHeight="1">
      <c r="A58" s="188"/>
      <c r="B58" s="236" t="s">
        <v>746</v>
      </c>
      <c r="C58" s="190">
        <f>'7|Total Rev Current'!C412</f>
        <v>225</v>
      </c>
      <c r="D58" s="203">
        <v>12.25</v>
      </c>
      <c r="E58" s="237">
        <v>0</v>
      </c>
      <c r="F58" s="237"/>
      <c r="G58" s="237">
        <v>1406</v>
      </c>
      <c r="H58" s="194"/>
      <c r="I58" s="238"/>
      <c r="J58" s="194"/>
      <c r="K58" s="238"/>
      <c r="L58" s="195">
        <f t="shared" si="68"/>
        <v>0</v>
      </c>
      <c r="M58" s="196">
        <f t="shared" si="69"/>
        <v>0</v>
      </c>
      <c r="N58" s="197"/>
      <c r="O58" s="196">
        <f t="shared" si="70"/>
        <v>0.37962000000000001</v>
      </c>
      <c r="P58" s="197"/>
      <c r="Q58" s="196">
        <f t="shared" si="71"/>
        <v>0.37962000000000001</v>
      </c>
      <c r="R58" s="238"/>
      <c r="S58" s="196">
        <f t="shared" si="72"/>
        <v>0.37962000000000001</v>
      </c>
      <c r="T58" s="238"/>
      <c r="U58" s="238"/>
      <c r="V58" s="238"/>
      <c r="W58" s="238"/>
      <c r="X58" s="198"/>
      <c r="Y58" s="199"/>
      <c r="Z58" s="200">
        <f>'[6]FY24 Revenue @  CT'!R57</f>
        <v>12.25</v>
      </c>
      <c r="AA58" s="201">
        <f t="shared" si="73"/>
        <v>0.37962000000000001</v>
      </c>
      <c r="AC58" s="166"/>
    </row>
    <row r="59" spans="1:31">
      <c r="A59" s="188"/>
      <c r="B59" s="236" t="s">
        <v>747</v>
      </c>
      <c r="C59" s="190">
        <f>'7|Total Rev Current'!C413</f>
        <v>2</v>
      </c>
      <c r="D59" s="203">
        <v>12.25</v>
      </c>
      <c r="E59" s="237">
        <v>0</v>
      </c>
      <c r="F59" s="237"/>
      <c r="G59" s="237">
        <v>1406</v>
      </c>
      <c r="H59" s="194"/>
      <c r="I59" s="238"/>
      <c r="J59" s="194"/>
      <c r="K59" s="238"/>
      <c r="L59" s="195">
        <f t="shared" si="68"/>
        <v>0</v>
      </c>
      <c r="M59" s="196">
        <f t="shared" si="69"/>
        <v>0</v>
      </c>
      <c r="N59" s="197"/>
      <c r="O59" s="196">
        <f t="shared" si="70"/>
        <v>3.3744000000000001E-3</v>
      </c>
      <c r="P59" s="197"/>
      <c r="Q59" s="196">
        <f t="shared" si="71"/>
        <v>3.3744000000000001E-3</v>
      </c>
      <c r="R59" s="238"/>
      <c r="S59" s="196">
        <f t="shared" si="72"/>
        <v>3.3744000000000001E-3</v>
      </c>
      <c r="T59" s="238"/>
      <c r="U59" s="238"/>
      <c r="V59" s="238"/>
      <c r="W59" s="238"/>
      <c r="X59" s="198"/>
      <c r="Y59" s="199"/>
      <c r="Z59" s="200">
        <f>'[6]FY24 Revenue @  CT'!R58</f>
        <v>12.25</v>
      </c>
      <c r="AA59" s="201">
        <f t="shared" si="73"/>
        <v>3.3744000000000001E-3</v>
      </c>
      <c r="AC59" s="166"/>
    </row>
    <row r="60" spans="1:31" s="92" customFormat="1" ht="21">
      <c r="A60" s="188"/>
      <c r="B60" s="236" t="s">
        <v>748</v>
      </c>
      <c r="C60" s="190">
        <f>'7|Total Rev Current'!C414</f>
        <v>16</v>
      </c>
      <c r="D60" s="203">
        <v>6.7</v>
      </c>
      <c r="E60" s="237">
        <v>0</v>
      </c>
      <c r="F60" s="237"/>
      <c r="G60" s="237">
        <v>1406</v>
      </c>
      <c r="H60" s="194"/>
      <c r="I60" s="238"/>
      <c r="J60" s="194"/>
      <c r="K60" s="238"/>
      <c r="L60" s="195">
        <f t="shared" si="68"/>
        <v>0</v>
      </c>
      <c r="M60" s="196">
        <f t="shared" si="69"/>
        <v>0</v>
      </c>
      <c r="N60" s="197"/>
      <c r="O60" s="196">
        <f t="shared" si="70"/>
        <v>2.69952E-2</v>
      </c>
      <c r="P60" s="197"/>
      <c r="Q60" s="196">
        <f t="shared" si="71"/>
        <v>2.69952E-2</v>
      </c>
      <c r="R60" s="238"/>
      <c r="S60" s="196">
        <f t="shared" si="72"/>
        <v>2.69952E-2</v>
      </c>
      <c r="T60" s="238"/>
      <c r="U60" s="238"/>
      <c r="V60" s="238"/>
      <c r="W60" s="238"/>
      <c r="X60" s="198"/>
      <c r="Y60" s="199"/>
      <c r="Z60" s="200">
        <f>'[6]FY24 Revenue @  CT'!R59</f>
        <v>6.7</v>
      </c>
      <c r="AA60" s="201">
        <f t="shared" si="73"/>
        <v>2.69952E-2</v>
      </c>
      <c r="AC60" s="166"/>
    </row>
    <row r="61" spans="1:31">
      <c r="A61" s="188"/>
      <c r="B61" s="236" t="s">
        <v>749</v>
      </c>
      <c r="C61" s="190">
        <f>'7|Total Rev Current'!C415</f>
        <v>0</v>
      </c>
      <c r="D61" s="203">
        <v>12.25</v>
      </c>
      <c r="E61" s="237">
        <v>0</v>
      </c>
      <c r="F61" s="237"/>
      <c r="G61" s="237">
        <v>1406</v>
      </c>
      <c r="H61" s="194"/>
      <c r="I61" s="238"/>
      <c r="J61" s="194"/>
      <c r="K61" s="238"/>
      <c r="L61" s="195">
        <f t="shared" si="68"/>
        <v>0</v>
      </c>
      <c r="M61" s="196">
        <f t="shared" si="69"/>
        <v>0</v>
      </c>
      <c r="N61" s="197"/>
      <c r="O61" s="196">
        <f t="shared" si="70"/>
        <v>0</v>
      </c>
      <c r="P61" s="197"/>
      <c r="Q61" s="196">
        <f t="shared" si="71"/>
        <v>0</v>
      </c>
      <c r="R61" s="238"/>
      <c r="S61" s="196">
        <f t="shared" si="72"/>
        <v>0</v>
      </c>
      <c r="T61" s="238"/>
      <c r="U61" s="238"/>
      <c r="V61" s="238"/>
      <c r="W61" s="238"/>
      <c r="X61" s="198"/>
      <c r="Y61" s="199"/>
      <c r="Z61" s="200">
        <f>'[6]FY24 Revenue @  CT'!R60</f>
        <v>12.25</v>
      </c>
      <c r="AA61" s="201">
        <f t="shared" si="73"/>
        <v>0</v>
      </c>
      <c r="AC61" s="166"/>
    </row>
    <row r="62" spans="1:31">
      <c r="A62" s="188"/>
      <c r="B62" s="239" t="s">
        <v>750</v>
      </c>
      <c r="C62" s="240">
        <f>SUM(C64:C74)</f>
        <v>2073</v>
      </c>
      <c r="D62" s="240"/>
      <c r="E62" s="240"/>
      <c r="F62" s="240"/>
      <c r="G62" s="240"/>
      <c r="H62" s="240">
        <f>SUM(H64:H74)</f>
        <v>0</v>
      </c>
      <c r="I62" s="240">
        <f t="shared" ref="I62:AA62" si="74">SUM(I64:I74)</f>
        <v>0</v>
      </c>
      <c r="J62" s="240">
        <f t="shared" si="74"/>
        <v>0</v>
      </c>
      <c r="K62" s="240">
        <f t="shared" si="74"/>
        <v>0</v>
      </c>
      <c r="L62" s="240">
        <f t="shared" si="74"/>
        <v>0</v>
      </c>
      <c r="M62" s="240">
        <f t="shared" si="74"/>
        <v>0</v>
      </c>
      <c r="N62" s="240">
        <f t="shared" si="74"/>
        <v>0</v>
      </c>
      <c r="O62" s="240">
        <f t="shared" si="74"/>
        <v>3.4975655999999997</v>
      </c>
      <c r="P62" s="240">
        <f t="shared" si="74"/>
        <v>0</v>
      </c>
      <c r="Q62" s="240">
        <f t="shared" si="74"/>
        <v>3.4975655999999997</v>
      </c>
      <c r="R62" s="240">
        <f t="shared" si="74"/>
        <v>0</v>
      </c>
      <c r="S62" s="240">
        <f t="shared" si="74"/>
        <v>3.4975655999999997</v>
      </c>
      <c r="T62" s="240">
        <f t="shared" si="74"/>
        <v>0</v>
      </c>
      <c r="U62" s="240">
        <f t="shared" si="74"/>
        <v>0</v>
      </c>
      <c r="V62" s="240">
        <f t="shared" si="74"/>
        <v>0</v>
      </c>
      <c r="W62" s="240">
        <f t="shared" si="74"/>
        <v>0</v>
      </c>
      <c r="X62" s="240">
        <f t="shared" si="74"/>
        <v>0</v>
      </c>
      <c r="Y62" s="240">
        <f t="shared" si="74"/>
        <v>0</v>
      </c>
      <c r="Z62" s="240"/>
      <c r="AA62" s="241">
        <f t="shared" si="74"/>
        <v>3.4975655999999997</v>
      </c>
      <c r="AC62" s="166"/>
    </row>
    <row r="63" spans="1:31" s="92" customFormat="1" ht="15" customHeight="1">
      <c r="A63" s="188"/>
      <c r="B63" s="215" t="s">
        <v>753</v>
      </c>
      <c r="C63" s="217"/>
      <c r="D63" s="217"/>
      <c r="E63" s="217"/>
      <c r="F63" s="217"/>
      <c r="G63" s="218"/>
      <c r="H63" s="217"/>
      <c r="I63" s="217"/>
      <c r="J63" s="217"/>
      <c r="K63" s="217"/>
      <c r="L63" s="217"/>
      <c r="M63" s="217"/>
      <c r="N63" s="217"/>
      <c r="O63" s="217"/>
      <c r="P63" s="217"/>
      <c r="Q63" s="217"/>
      <c r="R63" s="217"/>
      <c r="S63" s="217"/>
      <c r="T63" s="217"/>
      <c r="U63" s="217"/>
      <c r="V63" s="217"/>
      <c r="W63" s="217"/>
      <c r="X63" s="217"/>
      <c r="Y63" s="217"/>
      <c r="Z63" s="217"/>
      <c r="AA63" s="219"/>
      <c r="AC63" s="166"/>
    </row>
    <row r="64" spans="1:31" ht="21">
      <c r="A64" s="188"/>
      <c r="B64" s="236" t="s">
        <v>918</v>
      </c>
      <c r="C64" s="190">
        <f>'7|Total Rev Current'!C418</f>
        <v>0</v>
      </c>
      <c r="D64" s="203"/>
      <c r="E64" s="237"/>
      <c r="F64" s="237"/>
      <c r="G64" s="237"/>
      <c r="H64" s="194"/>
      <c r="I64" s="238"/>
      <c r="J64" s="194"/>
      <c r="K64" s="238"/>
      <c r="L64" s="195">
        <f t="shared" ref="L64:L74" si="75">D64*H64/10</f>
        <v>0</v>
      </c>
      <c r="M64" s="196">
        <f t="shared" ref="M64:M74" si="76">IF(E64&gt;0,(J64*10^3*E64/10^7)+(K64*0.7457*E64/10^7),(K64*F64/10^7)+(J64*(10^3)*(1/0.7457)*F64/10^7))</f>
        <v>0</v>
      </c>
      <c r="N64" s="197"/>
      <c r="O64" s="196">
        <f t="shared" ref="O64:O74" si="77">G64*C64*12/10^7</f>
        <v>0</v>
      </c>
      <c r="P64" s="197"/>
      <c r="Q64" s="196">
        <f t="shared" ref="Q64:Q90" si="78">L64+M64+N64+O64+P64</f>
        <v>0</v>
      </c>
      <c r="R64" s="238"/>
      <c r="S64" s="196">
        <f t="shared" ref="S64:S74" si="79">Q64-R64</f>
        <v>0</v>
      </c>
      <c r="T64" s="238"/>
      <c r="U64" s="238"/>
      <c r="V64" s="238"/>
      <c r="W64" s="238"/>
      <c r="X64" s="198"/>
      <c r="Y64" s="199"/>
      <c r="Z64" s="203"/>
      <c r="AA64" s="201">
        <f t="shared" ref="AA64:AA82" si="80">(H64*Z64/10)+M64+O64+N64+P64+X64</f>
        <v>0</v>
      </c>
      <c r="AC64" s="166"/>
    </row>
    <row r="65" spans="1:29" ht="21">
      <c r="A65" s="188"/>
      <c r="B65" s="236" t="s">
        <v>914</v>
      </c>
      <c r="C65" s="190">
        <f>'7|Total Rev Current'!C419</f>
        <v>0</v>
      </c>
      <c r="D65" s="203">
        <v>7.8</v>
      </c>
      <c r="E65" s="237">
        <f>475*12</f>
        <v>5700</v>
      </c>
      <c r="F65" s="237"/>
      <c r="G65" s="237">
        <v>1406</v>
      </c>
      <c r="H65" s="194"/>
      <c r="I65" s="238"/>
      <c r="J65" s="194"/>
      <c r="K65" s="238"/>
      <c r="L65" s="195">
        <f t="shared" si="75"/>
        <v>0</v>
      </c>
      <c r="M65" s="196">
        <f t="shared" si="76"/>
        <v>0</v>
      </c>
      <c r="N65" s="197"/>
      <c r="O65" s="196">
        <f t="shared" si="77"/>
        <v>0</v>
      </c>
      <c r="P65" s="197"/>
      <c r="Q65" s="196">
        <f t="shared" si="78"/>
        <v>0</v>
      </c>
      <c r="R65" s="238"/>
      <c r="S65" s="196">
        <f t="shared" si="79"/>
        <v>0</v>
      </c>
      <c r="T65" s="238"/>
      <c r="U65" s="238"/>
      <c r="V65" s="238"/>
      <c r="W65" s="238"/>
      <c r="X65" s="198"/>
      <c r="Y65" s="199"/>
      <c r="Z65" s="200">
        <f>'[6]FY24 Revenue @  CT'!R64</f>
        <v>7.8</v>
      </c>
      <c r="AA65" s="201">
        <f t="shared" si="80"/>
        <v>0</v>
      </c>
      <c r="AC65" s="166"/>
    </row>
    <row r="66" spans="1:29" ht="21">
      <c r="A66" s="188"/>
      <c r="B66" s="236" t="s">
        <v>915</v>
      </c>
      <c r="C66" s="190">
        <f>'7|Total Rev Current'!C420</f>
        <v>0</v>
      </c>
      <c r="D66" s="203">
        <v>5.55</v>
      </c>
      <c r="E66" s="237">
        <f>475*12</f>
        <v>5700</v>
      </c>
      <c r="F66" s="237"/>
      <c r="G66" s="237">
        <v>1406</v>
      </c>
      <c r="H66" s="194"/>
      <c r="I66" s="238"/>
      <c r="J66" s="194"/>
      <c r="K66" s="238"/>
      <c r="L66" s="195">
        <f t="shared" si="75"/>
        <v>0</v>
      </c>
      <c r="M66" s="196">
        <f t="shared" si="76"/>
        <v>0</v>
      </c>
      <c r="N66" s="197"/>
      <c r="O66" s="196">
        <f t="shared" si="77"/>
        <v>0</v>
      </c>
      <c r="P66" s="197"/>
      <c r="Q66" s="196">
        <f t="shared" si="78"/>
        <v>0</v>
      </c>
      <c r="R66" s="238"/>
      <c r="S66" s="196">
        <f t="shared" si="79"/>
        <v>0</v>
      </c>
      <c r="T66" s="238"/>
      <c r="U66" s="238"/>
      <c r="V66" s="238"/>
      <c r="W66" s="238"/>
      <c r="X66" s="198"/>
      <c r="Y66" s="199"/>
      <c r="Z66" s="200">
        <f>'[6]FY24 Revenue @  CT'!R65</f>
        <v>5.55</v>
      </c>
      <c r="AA66" s="201">
        <f t="shared" si="80"/>
        <v>0</v>
      </c>
      <c r="AC66" s="166"/>
    </row>
    <row r="67" spans="1:29">
      <c r="A67" s="188"/>
      <c r="B67" s="236" t="s">
        <v>916</v>
      </c>
      <c r="C67" s="190">
        <f>'7|Total Rev Current'!C421</f>
        <v>1946</v>
      </c>
      <c r="D67" s="203">
        <v>6.3</v>
      </c>
      <c r="E67" s="237">
        <f>475*12</f>
        <v>5700</v>
      </c>
      <c r="F67" s="237"/>
      <c r="G67" s="237">
        <v>1406</v>
      </c>
      <c r="H67" s="194"/>
      <c r="I67" s="238"/>
      <c r="J67" s="194"/>
      <c r="K67" s="238"/>
      <c r="L67" s="195">
        <f t="shared" si="75"/>
        <v>0</v>
      </c>
      <c r="M67" s="196">
        <f t="shared" si="76"/>
        <v>0</v>
      </c>
      <c r="N67" s="197"/>
      <c r="O67" s="196">
        <f t="shared" si="77"/>
        <v>3.2832911999999999</v>
      </c>
      <c r="P67" s="197"/>
      <c r="Q67" s="196">
        <f t="shared" si="78"/>
        <v>3.2832911999999999</v>
      </c>
      <c r="R67" s="238"/>
      <c r="S67" s="196">
        <f t="shared" si="79"/>
        <v>3.2832911999999999</v>
      </c>
      <c r="T67" s="238"/>
      <c r="U67" s="238"/>
      <c r="V67" s="238"/>
      <c r="W67" s="238"/>
      <c r="X67" s="198"/>
      <c r="Y67" s="199"/>
      <c r="Z67" s="200">
        <f>'[6]FY24 Revenue @  CT'!R66</f>
        <v>6.3</v>
      </c>
      <c r="AA67" s="201">
        <f t="shared" si="80"/>
        <v>3.2832911999999999</v>
      </c>
      <c r="AC67" s="166"/>
    </row>
    <row r="68" spans="1:29" ht="21">
      <c r="A68" s="188"/>
      <c r="B68" s="236" t="s">
        <v>917</v>
      </c>
      <c r="C68" s="190">
        <f>'7|Total Rev Current'!C422</f>
        <v>0</v>
      </c>
      <c r="D68" s="203"/>
      <c r="E68" s="237"/>
      <c r="F68" s="237"/>
      <c r="G68" s="237"/>
      <c r="H68" s="194"/>
      <c r="I68" s="238"/>
      <c r="J68" s="194"/>
      <c r="K68" s="238"/>
      <c r="L68" s="195">
        <f t="shared" si="75"/>
        <v>0</v>
      </c>
      <c r="M68" s="196">
        <f t="shared" si="76"/>
        <v>0</v>
      </c>
      <c r="N68" s="197"/>
      <c r="O68" s="196">
        <f t="shared" si="77"/>
        <v>0</v>
      </c>
      <c r="P68" s="197"/>
      <c r="Q68" s="196">
        <f t="shared" si="78"/>
        <v>0</v>
      </c>
      <c r="R68" s="238"/>
      <c r="S68" s="196">
        <f t="shared" si="79"/>
        <v>0</v>
      </c>
      <c r="T68" s="238"/>
      <c r="U68" s="238"/>
      <c r="V68" s="238"/>
      <c r="W68" s="238"/>
      <c r="X68" s="198"/>
      <c r="Y68" s="199"/>
      <c r="Z68" s="200">
        <f>'[6]FY24 Revenue @  CT'!R67</f>
        <v>0</v>
      </c>
      <c r="AA68" s="201">
        <f t="shared" si="80"/>
        <v>0</v>
      </c>
      <c r="AC68" s="166"/>
    </row>
    <row r="69" spans="1:29" ht="21">
      <c r="A69" s="188"/>
      <c r="B69" s="236" t="s">
        <v>914</v>
      </c>
      <c r="C69" s="190">
        <f>'7|Total Rev Current'!C423</f>
        <v>0</v>
      </c>
      <c r="D69" s="203">
        <v>7.3</v>
      </c>
      <c r="E69" s="237">
        <f>475*12</f>
        <v>5700</v>
      </c>
      <c r="F69" s="237"/>
      <c r="G69" s="237">
        <v>1406</v>
      </c>
      <c r="H69" s="194"/>
      <c r="I69" s="238"/>
      <c r="J69" s="194"/>
      <c r="K69" s="238"/>
      <c r="L69" s="195">
        <f t="shared" si="75"/>
        <v>0</v>
      </c>
      <c r="M69" s="196">
        <f t="shared" si="76"/>
        <v>0</v>
      </c>
      <c r="N69" s="197"/>
      <c r="O69" s="196">
        <f t="shared" si="77"/>
        <v>0</v>
      </c>
      <c r="P69" s="197"/>
      <c r="Q69" s="196">
        <f t="shared" si="78"/>
        <v>0</v>
      </c>
      <c r="R69" s="238"/>
      <c r="S69" s="196">
        <f t="shared" si="79"/>
        <v>0</v>
      </c>
      <c r="T69" s="238"/>
      <c r="U69" s="238"/>
      <c r="V69" s="238"/>
      <c r="W69" s="238"/>
      <c r="X69" s="198"/>
      <c r="Y69" s="199"/>
      <c r="Z69" s="200">
        <f>'[6]FY24 Revenue @  CT'!R68</f>
        <v>7.3</v>
      </c>
      <c r="AA69" s="201">
        <f t="shared" si="80"/>
        <v>0</v>
      </c>
      <c r="AC69" s="166"/>
    </row>
    <row r="70" spans="1:29" s="92" customFormat="1" ht="15" customHeight="1">
      <c r="A70" s="188"/>
      <c r="B70" s="236" t="s">
        <v>915</v>
      </c>
      <c r="C70" s="190">
        <f>'7|Total Rev Current'!C424</f>
        <v>0</v>
      </c>
      <c r="D70" s="203">
        <v>5.55</v>
      </c>
      <c r="E70" s="237">
        <f>475*12</f>
        <v>5700</v>
      </c>
      <c r="F70" s="237"/>
      <c r="G70" s="237">
        <v>1406</v>
      </c>
      <c r="H70" s="194"/>
      <c r="I70" s="238">
        <f t="shared" ref="I70" si="81">SUM(I71:I74)</f>
        <v>0</v>
      </c>
      <c r="J70" s="194"/>
      <c r="K70" s="238">
        <f>SUM(K71:K74)</f>
        <v>0</v>
      </c>
      <c r="L70" s="195">
        <f t="shared" si="75"/>
        <v>0</v>
      </c>
      <c r="M70" s="196">
        <f t="shared" si="76"/>
        <v>0</v>
      </c>
      <c r="N70" s="197"/>
      <c r="O70" s="196">
        <f t="shared" si="77"/>
        <v>0</v>
      </c>
      <c r="P70" s="197"/>
      <c r="Q70" s="196">
        <f t="shared" si="78"/>
        <v>0</v>
      </c>
      <c r="R70" s="238"/>
      <c r="S70" s="196">
        <f t="shared" si="79"/>
        <v>0</v>
      </c>
      <c r="T70" s="238"/>
      <c r="U70" s="238"/>
      <c r="V70" s="238"/>
      <c r="W70" s="238"/>
      <c r="X70" s="198"/>
      <c r="Y70" s="199"/>
      <c r="Z70" s="200">
        <f>'[6]FY24 Revenue @  CT'!R69</f>
        <v>5.55</v>
      </c>
      <c r="AA70" s="201">
        <f t="shared" si="80"/>
        <v>0</v>
      </c>
      <c r="AC70" s="166"/>
    </row>
    <row r="71" spans="1:29">
      <c r="A71" s="188"/>
      <c r="B71" s="236" t="s">
        <v>916</v>
      </c>
      <c r="C71" s="190">
        <f>'7|Total Rev Current'!C425</f>
        <v>0</v>
      </c>
      <c r="D71" s="203">
        <v>6.3</v>
      </c>
      <c r="E71" s="237">
        <f>475*12</f>
        <v>5700</v>
      </c>
      <c r="F71" s="237"/>
      <c r="G71" s="237">
        <v>1406</v>
      </c>
      <c r="H71" s="194"/>
      <c r="I71" s="238"/>
      <c r="J71" s="194"/>
      <c r="K71" s="238"/>
      <c r="L71" s="195">
        <f t="shared" si="75"/>
        <v>0</v>
      </c>
      <c r="M71" s="196">
        <f t="shared" si="76"/>
        <v>0</v>
      </c>
      <c r="N71" s="197"/>
      <c r="O71" s="196">
        <f t="shared" si="77"/>
        <v>0</v>
      </c>
      <c r="P71" s="197"/>
      <c r="Q71" s="196">
        <f t="shared" si="78"/>
        <v>0</v>
      </c>
      <c r="R71" s="238"/>
      <c r="S71" s="196">
        <f t="shared" si="79"/>
        <v>0</v>
      </c>
      <c r="T71" s="238"/>
      <c r="U71" s="238"/>
      <c r="V71" s="238"/>
      <c r="W71" s="238"/>
      <c r="X71" s="198"/>
      <c r="Y71" s="199"/>
      <c r="Z71" s="200">
        <f>'[6]FY24 Revenue @  CT'!R70</f>
        <v>6.3</v>
      </c>
      <c r="AA71" s="201">
        <f t="shared" si="80"/>
        <v>0</v>
      </c>
      <c r="AC71" s="166"/>
    </row>
    <row r="72" spans="1:29" ht="14.25" customHeight="1">
      <c r="A72" s="188"/>
      <c r="B72" s="236" t="s">
        <v>592</v>
      </c>
      <c r="C72" s="190">
        <f>'7|Total Rev Current'!C426</f>
        <v>0</v>
      </c>
      <c r="D72" s="203">
        <v>7</v>
      </c>
      <c r="E72" s="237">
        <v>0</v>
      </c>
      <c r="F72" s="237"/>
      <c r="G72" s="237">
        <v>1406</v>
      </c>
      <c r="H72" s="194"/>
      <c r="I72" s="238"/>
      <c r="J72" s="194"/>
      <c r="K72" s="238"/>
      <c r="L72" s="195">
        <f t="shared" si="75"/>
        <v>0</v>
      </c>
      <c r="M72" s="196">
        <f t="shared" si="76"/>
        <v>0</v>
      </c>
      <c r="N72" s="197"/>
      <c r="O72" s="196">
        <f t="shared" si="77"/>
        <v>0</v>
      </c>
      <c r="P72" s="197"/>
      <c r="Q72" s="196">
        <f t="shared" si="78"/>
        <v>0</v>
      </c>
      <c r="R72" s="238"/>
      <c r="S72" s="196">
        <f t="shared" si="79"/>
        <v>0</v>
      </c>
      <c r="T72" s="238"/>
      <c r="U72" s="238"/>
      <c r="V72" s="238"/>
      <c r="W72" s="238"/>
      <c r="X72" s="198"/>
      <c r="Y72" s="199"/>
      <c r="Z72" s="200">
        <f>'[6]FY24 Revenue @  CT'!R71</f>
        <v>7</v>
      </c>
      <c r="AA72" s="201">
        <f t="shared" si="80"/>
        <v>0</v>
      </c>
      <c r="AC72" s="166"/>
    </row>
    <row r="73" spans="1:29" ht="21">
      <c r="A73" s="188"/>
      <c r="B73" s="215" t="s">
        <v>754</v>
      </c>
      <c r="C73" s="190">
        <f>'7|Total Rev Current'!C427</f>
        <v>127</v>
      </c>
      <c r="D73" s="217">
        <v>7.65</v>
      </c>
      <c r="E73" s="207">
        <f>475*12</f>
        <v>5700</v>
      </c>
      <c r="F73" s="217"/>
      <c r="G73" s="222">
        <v>1406</v>
      </c>
      <c r="H73" s="194"/>
      <c r="I73" s="217"/>
      <c r="J73" s="194"/>
      <c r="K73" s="217"/>
      <c r="L73" s="195">
        <f t="shared" si="75"/>
        <v>0</v>
      </c>
      <c r="M73" s="196">
        <f t="shared" si="76"/>
        <v>0</v>
      </c>
      <c r="N73" s="197"/>
      <c r="O73" s="196">
        <f t="shared" si="77"/>
        <v>0.2142744</v>
      </c>
      <c r="P73" s="197"/>
      <c r="Q73" s="196">
        <f t="shared" si="78"/>
        <v>0.2142744</v>
      </c>
      <c r="R73" s="217"/>
      <c r="S73" s="196">
        <f t="shared" si="79"/>
        <v>0.2142744</v>
      </c>
      <c r="T73" s="217"/>
      <c r="U73" s="217"/>
      <c r="V73" s="217"/>
      <c r="W73" s="217"/>
      <c r="X73" s="198"/>
      <c r="Y73" s="199"/>
      <c r="Z73" s="200">
        <f>'[6]FY24 Revenue @  CT'!R72</f>
        <v>7.65</v>
      </c>
      <c r="AA73" s="201">
        <f t="shared" si="80"/>
        <v>0.2142744</v>
      </c>
      <c r="AC73" s="166"/>
    </row>
    <row r="74" spans="1:29">
      <c r="A74" s="188"/>
      <c r="B74" s="215" t="s">
        <v>755</v>
      </c>
      <c r="C74" s="190">
        <f>'7|Total Rev Current'!C428</f>
        <v>0</v>
      </c>
      <c r="D74" s="217"/>
      <c r="E74" s="243"/>
      <c r="F74" s="217"/>
      <c r="G74" s="222"/>
      <c r="H74" s="194"/>
      <c r="I74" s="217"/>
      <c r="J74" s="194"/>
      <c r="K74" s="217"/>
      <c r="L74" s="195">
        <f t="shared" si="75"/>
        <v>0</v>
      </c>
      <c r="M74" s="196">
        <f t="shared" si="76"/>
        <v>0</v>
      </c>
      <c r="N74" s="197"/>
      <c r="O74" s="196">
        <f t="shared" si="77"/>
        <v>0</v>
      </c>
      <c r="P74" s="197"/>
      <c r="Q74" s="196">
        <f t="shared" si="78"/>
        <v>0</v>
      </c>
      <c r="R74" s="217"/>
      <c r="S74" s="196">
        <f t="shared" si="79"/>
        <v>0</v>
      </c>
      <c r="T74" s="217"/>
      <c r="U74" s="217"/>
      <c r="V74" s="217"/>
      <c r="W74" s="217"/>
      <c r="X74" s="198"/>
      <c r="Y74" s="199"/>
      <c r="Z74" s="200"/>
      <c r="AA74" s="201">
        <f t="shared" si="80"/>
        <v>0</v>
      </c>
      <c r="AC74" s="166"/>
    </row>
    <row r="75" spans="1:29" s="92" customFormat="1" ht="15" customHeight="1">
      <c r="A75" s="188"/>
      <c r="B75" s="244" t="s">
        <v>918</v>
      </c>
      <c r="C75" s="190">
        <f>'7|Total Rev Current'!C429</f>
        <v>285</v>
      </c>
      <c r="D75" s="217"/>
      <c r="E75" s="243"/>
      <c r="F75" s="217"/>
      <c r="G75" s="218"/>
      <c r="H75" s="194"/>
      <c r="I75" s="217"/>
      <c r="J75" s="194"/>
      <c r="K75" s="217"/>
      <c r="L75" s="195"/>
      <c r="M75" s="196"/>
      <c r="N75" s="197"/>
      <c r="O75" s="196"/>
      <c r="P75" s="197"/>
      <c r="Q75" s="196"/>
      <c r="R75" s="217"/>
      <c r="S75" s="196"/>
      <c r="T75" s="217"/>
      <c r="U75" s="217"/>
      <c r="V75" s="217"/>
      <c r="W75" s="217"/>
      <c r="X75" s="198"/>
      <c r="Y75" s="199"/>
      <c r="Z75" s="200">
        <f>'[6]FY24 Revenue @  CT'!R74</f>
        <v>0</v>
      </c>
      <c r="AA75" s="201">
        <f t="shared" si="80"/>
        <v>0</v>
      </c>
      <c r="AC75" s="166"/>
    </row>
    <row r="76" spans="1:29" s="92" customFormat="1" ht="15" customHeight="1">
      <c r="A76" s="188"/>
      <c r="B76" s="244" t="s">
        <v>914</v>
      </c>
      <c r="C76" s="190">
        <f>'7|Total Rev Current'!C430</f>
        <v>156</v>
      </c>
      <c r="D76" s="217">
        <f>5.8+1.5</f>
        <v>7.3</v>
      </c>
      <c r="E76" s="243"/>
      <c r="F76" s="217"/>
      <c r="G76" s="218"/>
      <c r="H76" s="194"/>
      <c r="I76" s="217"/>
      <c r="J76" s="194"/>
      <c r="K76" s="217"/>
      <c r="L76" s="195"/>
      <c r="M76" s="196"/>
      <c r="N76" s="197"/>
      <c r="O76" s="196"/>
      <c r="P76" s="197"/>
      <c r="Q76" s="196"/>
      <c r="R76" s="217"/>
      <c r="S76" s="196"/>
      <c r="T76" s="217"/>
      <c r="U76" s="217"/>
      <c r="V76" s="217"/>
      <c r="W76" s="217"/>
      <c r="X76" s="198"/>
      <c r="Y76" s="199"/>
      <c r="Z76" s="200">
        <f>'[6]FY24 Revenue @  CT'!R75</f>
        <v>0</v>
      </c>
      <c r="AA76" s="201">
        <f t="shared" si="80"/>
        <v>0</v>
      </c>
      <c r="AC76" s="166"/>
    </row>
    <row r="77" spans="1:29" s="92" customFormat="1" ht="15" customHeight="1">
      <c r="A77" s="188"/>
      <c r="B77" s="244" t="s">
        <v>915</v>
      </c>
      <c r="C77" s="190">
        <f>'7|Total Rev Current'!C431</f>
        <v>113</v>
      </c>
      <c r="D77" s="217">
        <f>5.8-0.75</f>
        <v>5.05</v>
      </c>
      <c r="E77" s="243"/>
      <c r="F77" s="217"/>
      <c r="G77" s="218"/>
      <c r="H77" s="194"/>
      <c r="I77" s="217"/>
      <c r="J77" s="194"/>
      <c r="K77" s="217"/>
      <c r="L77" s="195"/>
      <c r="M77" s="196"/>
      <c r="N77" s="197"/>
      <c r="O77" s="196"/>
      <c r="P77" s="197"/>
      <c r="Q77" s="196"/>
      <c r="R77" s="217"/>
      <c r="S77" s="196"/>
      <c r="T77" s="217"/>
      <c r="U77" s="217"/>
      <c r="V77" s="217"/>
      <c r="W77" s="217"/>
      <c r="X77" s="198"/>
      <c r="Y77" s="199"/>
      <c r="Z77" s="200">
        <f>'[6]FY24 Revenue @  CT'!R76</f>
        <v>0</v>
      </c>
      <c r="AA77" s="201">
        <f t="shared" si="80"/>
        <v>0</v>
      </c>
      <c r="AC77" s="166"/>
    </row>
    <row r="78" spans="1:29" s="92" customFormat="1" ht="15" customHeight="1">
      <c r="A78" s="188"/>
      <c r="B78" s="244" t="s">
        <v>916</v>
      </c>
      <c r="C78" s="190">
        <f>'7|Total Rev Current'!C432</f>
        <v>16</v>
      </c>
      <c r="D78" s="217">
        <v>5.8</v>
      </c>
      <c r="E78" s="243">
        <f>475*12</f>
        <v>5700</v>
      </c>
      <c r="F78" s="217"/>
      <c r="G78" s="222">
        <v>1406</v>
      </c>
      <c r="H78" s="194"/>
      <c r="I78" s="217"/>
      <c r="J78" s="194"/>
      <c r="K78" s="217"/>
      <c r="L78" s="195"/>
      <c r="M78" s="196"/>
      <c r="N78" s="197"/>
      <c r="O78" s="196"/>
      <c r="P78" s="197"/>
      <c r="Q78" s="196"/>
      <c r="R78" s="217"/>
      <c r="S78" s="196"/>
      <c r="T78" s="217"/>
      <c r="U78" s="217"/>
      <c r="V78" s="217"/>
      <c r="W78" s="217"/>
      <c r="X78" s="198"/>
      <c r="Y78" s="199"/>
      <c r="Z78" s="200">
        <f>'[6]FY24 Revenue @  CT'!R77</f>
        <v>0</v>
      </c>
      <c r="AA78" s="201">
        <f t="shared" si="80"/>
        <v>0</v>
      </c>
      <c r="AC78" s="166"/>
    </row>
    <row r="79" spans="1:29" s="92" customFormat="1" ht="15" customHeight="1">
      <c r="A79" s="188"/>
      <c r="B79" s="244" t="s">
        <v>917</v>
      </c>
      <c r="C79" s="190">
        <f>'7|Total Rev Current'!C433</f>
        <v>0</v>
      </c>
      <c r="D79" s="217"/>
      <c r="E79" s="243"/>
      <c r="F79" s="217"/>
      <c r="G79" s="218"/>
      <c r="H79" s="194"/>
      <c r="I79" s="217"/>
      <c r="J79" s="194"/>
      <c r="K79" s="217"/>
      <c r="L79" s="195"/>
      <c r="M79" s="196"/>
      <c r="N79" s="197"/>
      <c r="O79" s="196"/>
      <c r="P79" s="197"/>
      <c r="Q79" s="196"/>
      <c r="R79" s="217"/>
      <c r="S79" s="196"/>
      <c r="T79" s="217"/>
      <c r="U79" s="217"/>
      <c r="V79" s="217"/>
      <c r="W79" s="217"/>
      <c r="X79" s="198"/>
      <c r="Y79" s="199"/>
      <c r="Z79" s="200">
        <f>'[6]FY24 Revenue @  CT'!R78</f>
        <v>0</v>
      </c>
      <c r="AA79" s="201">
        <f t="shared" si="80"/>
        <v>0</v>
      </c>
      <c r="AC79" s="166"/>
    </row>
    <row r="80" spans="1:29" s="92" customFormat="1" ht="15" customHeight="1">
      <c r="A80" s="188"/>
      <c r="B80" s="244" t="s">
        <v>914</v>
      </c>
      <c r="C80" s="190">
        <f>'7|Total Rev Current'!C434</f>
        <v>168</v>
      </c>
      <c r="D80" s="217">
        <f>5.8+1</f>
        <v>6.8</v>
      </c>
      <c r="E80" s="243"/>
      <c r="F80" s="217"/>
      <c r="G80" s="218"/>
      <c r="H80" s="194"/>
      <c r="I80" s="217"/>
      <c r="J80" s="194"/>
      <c r="K80" s="217"/>
      <c r="L80" s="195"/>
      <c r="M80" s="196"/>
      <c r="N80" s="197"/>
      <c r="O80" s="196"/>
      <c r="P80" s="197"/>
      <c r="Q80" s="196"/>
      <c r="R80" s="217"/>
      <c r="S80" s="196"/>
      <c r="T80" s="217"/>
      <c r="U80" s="217"/>
      <c r="V80" s="217"/>
      <c r="W80" s="217"/>
      <c r="X80" s="198"/>
      <c r="Y80" s="199"/>
      <c r="Z80" s="200">
        <f>'[6]FY24 Revenue @  CT'!R79</f>
        <v>0</v>
      </c>
      <c r="AA80" s="201">
        <f t="shared" si="80"/>
        <v>0</v>
      </c>
      <c r="AC80" s="166"/>
    </row>
    <row r="81" spans="1:29" s="92" customFormat="1" ht="15" customHeight="1">
      <c r="A81" s="188"/>
      <c r="B81" s="244" t="s">
        <v>915</v>
      </c>
      <c r="C81" s="190">
        <f>'7|Total Rev Current'!C435</f>
        <v>47</v>
      </c>
      <c r="D81" s="217">
        <f>5.8-0.75</f>
        <v>5.05</v>
      </c>
      <c r="E81" s="243"/>
      <c r="F81" s="217"/>
      <c r="G81" s="218"/>
      <c r="H81" s="194"/>
      <c r="I81" s="217"/>
      <c r="J81" s="194"/>
      <c r="K81" s="217"/>
      <c r="L81" s="195"/>
      <c r="M81" s="196"/>
      <c r="N81" s="197"/>
      <c r="O81" s="196"/>
      <c r="P81" s="197"/>
      <c r="Q81" s="196"/>
      <c r="R81" s="217"/>
      <c r="S81" s="196"/>
      <c r="T81" s="217"/>
      <c r="U81" s="217"/>
      <c r="V81" s="217"/>
      <c r="W81" s="217"/>
      <c r="X81" s="198"/>
      <c r="Y81" s="199"/>
      <c r="Z81" s="200">
        <f>'[6]FY24 Revenue @  CT'!R80</f>
        <v>0</v>
      </c>
      <c r="AA81" s="201">
        <f t="shared" si="80"/>
        <v>0</v>
      </c>
      <c r="AC81" s="166"/>
    </row>
    <row r="82" spans="1:29" s="92" customFormat="1" ht="15" customHeight="1">
      <c r="A82" s="188"/>
      <c r="B82" s="244" t="s">
        <v>916</v>
      </c>
      <c r="C82" s="190">
        <f>'7|Total Rev Current'!C436</f>
        <v>121</v>
      </c>
      <c r="D82" s="217">
        <v>5.8</v>
      </c>
      <c r="E82" s="243"/>
      <c r="F82" s="217"/>
      <c r="G82" s="218"/>
      <c r="H82" s="194"/>
      <c r="I82" s="217"/>
      <c r="J82" s="194"/>
      <c r="K82" s="217"/>
      <c r="L82" s="195"/>
      <c r="M82" s="196"/>
      <c r="N82" s="197"/>
      <c r="O82" s="196"/>
      <c r="P82" s="197"/>
      <c r="Q82" s="196"/>
      <c r="R82" s="217"/>
      <c r="S82" s="196"/>
      <c r="T82" s="217"/>
      <c r="U82" s="217"/>
      <c r="V82" s="217"/>
      <c r="W82" s="217"/>
      <c r="X82" s="198"/>
      <c r="Y82" s="199"/>
      <c r="Z82" s="200">
        <f>'[6]FY24 Revenue @  CT'!R81</f>
        <v>0</v>
      </c>
      <c r="AA82" s="201">
        <f t="shared" si="80"/>
        <v>0</v>
      </c>
      <c r="AC82" s="166"/>
    </row>
    <row r="83" spans="1:29" s="92" customFormat="1" ht="15" customHeight="1">
      <c r="A83" s="188"/>
      <c r="B83" s="239" t="s">
        <v>751</v>
      </c>
      <c r="C83" s="240">
        <f>SUM(C84:C87)</f>
        <v>0</v>
      </c>
      <c r="D83" s="240"/>
      <c r="E83" s="240"/>
      <c r="F83" s="240"/>
      <c r="G83" s="240"/>
      <c r="H83" s="240">
        <f>SUM(H84:H87)</f>
        <v>0</v>
      </c>
      <c r="I83" s="240">
        <f t="shared" ref="I83:AA83" si="82">SUM(I84:I87)</f>
        <v>0</v>
      </c>
      <c r="J83" s="240">
        <f t="shared" si="82"/>
        <v>0</v>
      </c>
      <c r="K83" s="240">
        <f t="shared" si="82"/>
        <v>0</v>
      </c>
      <c r="L83" s="240">
        <f t="shared" si="82"/>
        <v>0</v>
      </c>
      <c r="M83" s="240">
        <f t="shared" si="82"/>
        <v>0</v>
      </c>
      <c r="N83" s="240">
        <f t="shared" si="82"/>
        <v>0</v>
      </c>
      <c r="O83" s="240">
        <f t="shared" si="82"/>
        <v>0</v>
      </c>
      <c r="P83" s="240">
        <f t="shared" si="82"/>
        <v>0</v>
      </c>
      <c r="Q83" s="240">
        <f t="shared" si="82"/>
        <v>0</v>
      </c>
      <c r="R83" s="240">
        <f t="shared" si="82"/>
        <v>0</v>
      </c>
      <c r="S83" s="240">
        <f t="shared" si="82"/>
        <v>0</v>
      </c>
      <c r="T83" s="240">
        <f t="shared" si="82"/>
        <v>0</v>
      </c>
      <c r="U83" s="240">
        <f t="shared" si="82"/>
        <v>0</v>
      </c>
      <c r="V83" s="240">
        <f t="shared" si="82"/>
        <v>0</v>
      </c>
      <c r="W83" s="240">
        <f t="shared" si="82"/>
        <v>0</v>
      </c>
      <c r="X83" s="240">
        <f t="shared" si="82"/>
        <v>0</v>
      </c>
      <c r="Y83" s="240">
        <f t="shared" si="82"/>
        <v>0</v>
      </c>
      <c r="Z83" s="240"/>
      <c r="AA83" s="241">
        <f t="shared" si="82"/>
        <v>0</v>
      </c>
      <c r="AC83" s="166"/>
    </row>
    <row r="84" spans="1:29" ht="21">
      <c r="A84" s="188"/>
      <c r="B84" s="245" t="s">
        <v>756</v>
      </c>
      <c r="C84" s="190"/>
      <c r="D84" s="203">
        <v>7.65</v>
      </c>
      <c r="E84" s="237">
        <f>475*12</f>
        <v>5700</v>
      </c>
      <c r="F84" s="237"/>
      <c r="G84" s="237">
        <v>1406</v>
      </c>
      <c r="H84" s="194"/>
      <c r="I84" s="191"/>
      <c r="J84" s="194"/>
      <c r="K84" s="191"/>
      <c r="L84" s="195">
        <f t="shared" ref="L84:L87" si="83">D84*H84/10</f>
        <v>0</v>
      </c>
      <c r="M84" s="196">
        <f t="shared" ref="M84:M87" si="84">IF(E84&gt;0,(J84*10^3*E84/10^7)+(K84*0.7457*E84/10^7),(K84*F84/10^7)+(J84*(10^3)*(1/0.7457)*F84/10^7))</f>
        <v>0</v>
      </c>
      <c r="N84" s="197"/>
      <c r="O84" s="196">
        <f t="shared" ref="O84:O87" si="85">G84*C84*12/10^7</f>
        <v>0</v>
      </c>
      <c r="P84" s="197"/>
      <c r="Q84" s="196">
        <f t="shared" si="78"/>
        <v>0</v>
      </c>
      <c r="R84" s="191"/>
      <c r="S84" s="196">
        <f t="shared" ref="S84:S87" si="86">Q84-R84</f>
        <v>0</v>
      </c>
      <c r="T84" s="191"/>
      <c r="U84" s="191"/>
      <c r="V84" s="191"/>
      <c r="W84" s="191"/>
      <c r="X84" s="198"/>
      <c r="Y84" s="199">
        <f t="shared" ref="Y84:Y87" si="87">S84+X84</f>
        <v>0</v>
      </c>
      <c r="Z84" s="200">
        <f>'[6]FY24 Revenue @  CT'!R83</f>
        <v>7.65</v>
      </c>
      <c r="AA84" s="201">
        <f t="shared" ref="AA84:AA87" si="88">(H84*Z84/10)+M84+O84+N84+P84+X84</f>
        <v>0</v>
      </c>
      <c r="AC84" s="166"/>
    </row>
    <row r="85" spans="1:29" ht="14.25" customHeight="1">
      <c r="A85" s="188"/>
      <c r="B85" s="245" t="s">
        <v>757</v>
      </c>
      <c r="C85" s="190"/>
      <c r="D85" s="203">
        <v>7.95</v>
      </c>
      <c r="E85" s="237">
        <f>475*12</f>
        <v>5700</v>
      </c>
      <c r="F85" s="237"/>
      <c r="G85" s="237">
        <v>1406</v>
      </c>
      <c r="H85" s="194"/>
      <c r="I85" s="191"/>
      <c r="J85" s="194"/>
      <c r="K85" s="191"/>
      <c r="L85" s="195">
        <f t="shared" si="83"/>
        <v>0</v>
      </c>
      <c r="M85" s="196">
        <f t="shared" si="84"/>
        <v>0</v>
      </c>
      <c r="N85" s="197"/>
      <c r="O85" s="196">
        <f t="shared" si="85"/>
        <v>0</v>
      </c>
      <c r="P85" s="197"/>
      <c r="Q85" s="196">
        <f t="shared" si="78"/>
        <v>0</v>
      </c>
      <c r="R85" s="191"/>
      <c r="S85" s="196">
        <f t="shared" si="86"/>
        <v>0</v>
      </c>
      <c r="T85" s="191"/>
      <c r="U85" s="191"/>
      <c r="V85" s="191"/>
      <c r="W85" s="191"/>
      <c r="X85" s="198"/>
      <c r="Y85" s="199">
        <f t="shared" si="87"/>
        <v>0</v>
      </c>
      <c r="Z85" s="200">
        <f>'[6]FY24 Revenue @  CT'!R84</f>
        <v>7.95</v>
      </c>
      <c r="AA85" s="201">
        <f t="shared" si="88"/>
        <v>0</v>
      </c>
      <c r="AC85" s="166"/>
    </row>
    <row r="86" spans="1:29">
      <c r="A86" s="188"/>
      <c r="B86" s="245" t="s">
        <v>758</v>
      </c>
      <c r="C86" s="190"/>
      <c r="D86" s="203">
        <v>5</v>
      </c>
      <c r="E86" s="237">
        <f>30*12</f>
        <v>360</v>
      </c>
      <c r="F86" s="237"/>
      <c r="G86" s="237">
        <v>1406</v>
      </c>
      <c r="H86" s="194"/>
      <c r="I86" s="191"/>
      <c r="J86" s="194"/>
      <c r="K86" s="191"/>
      <c r="L86" s="195">
        <f t="shared" si="83"/>
        <v>0</v>
      </c>
      <c r="M86" s="196">
        <f t="shared" si="84"/>
        <v>0</v>
      </c>
      <c r="N86" s="197"/>
      <c r="O86" s="196">
        <f t="shared" si="85"/>
        <v>0</v>
      </c>
      <c r="P86" s="197"/>
      <c r="Q86" s="196">
        <f t="shared" si="78"/>
        <v>0</v>
      </c>
      <c r="R86" s="191"/>
      <c r="S86" s="196">
        <f t="shared" si="86"/>
        <v>0</v>
      </c>
      <c r="T86" s="191"/>
      <c r="U86" s="191"/>
      <c r="V86" s="191"/>
      <c r="W86" s="191"/>
      <c r="X86" s="198"/>
      <c r="Y86" s="199">
        <f t="shared" si="87"/>
        <v>0</v>
      </c>
      <c r="Z86" s="200">
        <f>'[6]FY24 Revenue @  CT'!R85</f>
        <v>5</v>
      </c>
      <c r="AA86" s="201">
        <f t="shared" si="88"/>
        <v>0</v>
      </c>
      <c r="AC86" s="166"/>
    </row>
    <row r="87" spans="1:29">
      <c r="A87" s="188"/>
      <c r="B87" s="245" t="s">
        <v>759</v>
      </c>
      <c r="C87" s="190"/>
      <c r="D87" s="203">
        <v>5.5</v>
      </c>
      <c r="E87" s="237">
        <f>350*12</f>
        <v>4200</v>
      </c>
      <c r="F87" s="237"/>
      <c r="G87" s="237">
        <v>1406</v>
      </c>
      <c r="H87" s="194"/>
      <c r="I87" s="191"/>
      <c r="J87" s="194"/>
      <c r="K87" s="191"/>
      <c r="L87" s="195">
        <f t="shared" si="83"/>
        <v>0</v>
      </c>
      <c r="M87" s="196">
        <f t="shared" si="84"/>
        <v>0</v>
      </c>
      <c r="N87" s="197"/>
      <c r="O87" s="196">
        <f t="shared" si="85"/>
        <v>0</v>
      </c>
      <c r="P87" s="197"/>
      <c r="Q87" s="196">
        <f t="shared" si="78"/>
        <v>0</v>
      </c>
      <c r="R87" s="191"/>
      <c r="S87" s="196">
        <f t="shared" si="86"/>
        <v>0</v>
      </c>
      <c r="T87" s="191"/>
      <c r="U87" s="191"/>
      <c r="V87" s="191"/>
      <c r="W87" s="191"/>
      <c r="X87" s="198"/>
      <c r="Y87" s="199">
        <f t="shared" si="87"/>
        <v>0</v>
      </c>
      <c r="Z87" s="200">
        <f>'[6]FY24 Revenue @  CT'!R86</f>
        <v>5.5</v>
      </c>
      <c r="AA87" s="201">
        <f t="shared" si="88"/>
        <v>0</v>
      </c>
      <c r="AC87" s="166"/>
    </row>
    <row r="88" spans="1:29">
      <c r="A88" s="188"/>
      <c r="B88" s="239" t="s">
        <v>752</v>
      </c>
      <c r="C88" s="240">
        <f>C89+C90</f>
        <v>0</v>
      </c>
      <c r="D88" s="240"/>
      <c r="E88" s="240"/>
      <c r="F88" s="240"/>
      <c r="G88" s="240"/>
      <c r="H88" s="240">
        <f>H89+H90</f>
        <v>0</v>
      </c>
      <c r="I88" s="240">
        <f t="shared" ref="I88:AA88" si="89">I89+I90</f>
        <v>0</v>
      </c>
      <c r="J88" s="240">
        <f t="shared" si="89"/>
        <v>0</v>
      </c>
      <c r="K88" s="240">
        <f t="shared" si="89"/>
        <v>0</v>
      </c>
      <c r="L88" s="240">
        <f t="shared" si="89"/>
        <v>0</v>
      </c>
      <c r="M88" s="240">
        <f t="shared" si="89"/>
        <v>0</v>
      </c>
      <c r="N88" s="240">
        <f t="shared" si="89"/>
        <v>0</v>
      </c>
      <c r="O88" s="240">
        <f t="shared" si="89"/>
        <v>0</v>
      </c>
      <c r="P88" s="240">
        <f t="shared" si="89"/>
        <v>0</v>
      </c>
      <c r="Q88" s="240">
        <f t="shared" si="89"/>
        <v>0</v>
      </c>
      <c r="R88" s="240">
        <f t="shared" si="89"/>
        <v>0</v>
      </c>
      <c r="S88" s="240">
        <f t="shared" si="89"/>
        <v>0</v>
      </c>
      <c r="T88" s="240">
        <f t="shared" si="89"/>
        <v>0</v>
      </c>
      <c r="U88" s="240">
        <f t="shared" si="89"/>
        <v>0</v>
      </c>
      <c r="V88" s="240">
        <f t="shared" si="89"/>
        <v>0</v>
      </c>
      <c r="W88" s="240"/>
      <c r="X88" s="240">
        <f t="shared" si="89"/>
        <v>0</v>
      </c>
      <c r="Y88" s="240">
        <f t="shared" si="89"/>
        <v>0</v>
      </c>
      <c r="Z88" s="240"/>
      <c r="AA88" s="241">
        <f t="shared" si="89"/>
        <v>0</v>
      </c>
      <c r="AC88" s="166"/>
    </row>
    <row r="89" spans="1:29" s="92" customFormat="1" ht="21">
      <c r="A89" s="188"/>
      <c r="B89" s="236" t="s">
        <v>760</v>
      </c>
      <c r="C89" s="190"/>
      <c r="D89" s="203">
        <v>3.85</v>
      </c>
      <c r="E89" s="237">
        <f>30*12</f>
        <v>360</v>
      </c>
      <c r="F89" s="237"/>
      <c r="G89" s="237">
        <v>1406</v>
      </c>
      <c r="H89" s="194"/>
      <c r="I89" s="238"/>
      <c r="J89" s="194"/>
      <c r="K89" s="238"/>
      <c r="L89" s="195">
        <f t="shared" ref="L89:L91" si="90">D89*H89/10</f>
        <v>0</v>
      </c>
      <c r="M89" s="196">
        <f t="shared" ref="M89:M91" si="91">IF(E89&gt;0,(J89*10^3*E89/10^7)+(K89*0.7457*E89/10^7),(K89*F89/10^7)+(J89*(10^3)*(1/0.7457)*F89/10^7))</f>
        <v>0</v>
      </c>
      <c r="N89" s="197"/>
      <c r="O89" s="196">
        <f t="shared" ref="O89:O90" si="92">G89*C89*12/10^7</f>
        <v>0</v>
      </c>
      <c r="P89" s="197"/>
      <c r="Q89" s="196">
        <f t="shared" si="78"/>
        <v>0</v>
      </c>
      <c r="R89" s="238"/>
      <c r="S89" s="196">
        <f t="shared" ref="S89:S90" si="93">Q89-R89</f>
        <v>0</v>
      </c>
      <c r="T89" s="238"/>
      <c r="U89" s="238"/>
      <c r="V89" s="238"/>
      <c r="W89" s="238"/>
      <c r="X89" s="198"/>
      <c r="Y89" s="199">
        <f t="shared" ref="Y89:Y90" si="94">S89+X89</f>
        <v>0</v>
      </c>
      <c r="Z89" s="200">
        <f>'[6]FY24 Revenue @  CT'!R88</f>
        <v>3.85</v>
      </c>
      <c r="AA89" s="201">
        <f t="shared" ref="AA89:AA90" si="95">(H89*Z89/10)+M89+O89+N89+P89+X89</f>
        <v>0</v>
      </c>
      <c r="AC89" s="166"/>
    </row>
    <row r="90" spans="1:29" s="92" customFormat="1" ht="15" customHeight="1">
      <c r="A90" s="188"/>
      <c r="B90" s="236" t="s">
        <v>761</v>
      </c>
      <c r="C90" s="190"/>
      <c r="D90" s="203">
        <v>7.15</v>
      </c>
      <c r="E90" s="237">
        <v>0</v>
      </c>
      <c r="F90" s="237"/>
      <c r="G90" s="237">
        <v>1406</v>
      </c>
      <c r="H90" s="194"/>
      <c r="I90" s="238">
        <f t="shared" ref="I90" si="96">SUM(I91:I96)</f>
        <v>0</v>
      </c>
      <c r="J90" s="194"/>
      <c r="K90" s="238">
        <f>SUM(K91:K96)</f>
        <v>0</v>
      </c>
      <c r="L90" s="195">
        <f t="shared" si="90"/>
        <v>0</v>
      </c>
      <c r="M90" s="196">
        <f t="shared" si="91"/>
        <v>0</v>
      </c>
      <c r="N90" s="197"/>
      <c r="O90" s="196">
        <f t="shared" si="92"/>
        <v>0</v>
      </c>
      <c r="P90" s="197"/>
      <c r="Q90" s="196">
        <f t="shared" si="78"/>
        <v>0</v>
      </c>
      <c r="R90" s="238"/>
      <c r="S90" s="196">
        <f t="shared" si="93"/>
        <v>0</v>
      </c>
      <c r="T90" s="238"/>
      <c r="U90" s="238"/>
      <c r="V90" s="238"/>
      <c r="W90" s="238"/>
      <c r="X90" s="198"/>
      <c r="Y90" s="199">
        <f t="shared" si="94"/>
        <v>0</v>
      </c>
      <c r="Z90" s="200">
        <f>'[6]FY24 Revenue @  CT'!R89</f>
        <v>7.15</v>
      </c>
      <c r="AA90" s="201">
        <f t="shared" si="95"/>
        <v>0</v>
      </c>
      <c r="AC90" s="166"/>
    </row>
    <row r="91" spans="1:29" hidden="1">
      <c r="A91" s="188"/>
      <c r="B91" s="246"/>
      <c r="C91" s="237"/>
      <c r="D91" s="237"/>
      <c r="E91" s="237"/>
      <c r="F91" s="237"/>
      <c r="G91" s="237"/>
      <c r="H91" s="194"/>
      <c r="I91" s="203"/>
      <c r="J91" s="203"/>
      <c r="K91" s="203"/>
      <c r="L91" s="195">
        <f t="shared" si="90"/>
        <v>0</v>
      </c>
      <c r="M91" s="196">
        <f t="shared" si="91"/>
        <v>0</v>
      </c>
      <c r="N91" s="197"/>
      <c r="O91" s="196">
        <f t="shared" ref="O91" si="97">G91*C91*4/10^7</f>
        <v>0</v>
      </c>
      <c r="P91" s="197"/>
      <c r="Q91" s="196"/>
      <c r="R91" s="203"/>
      <c r="S91" s="203"/>
      <c r="T91" s="203"/>
      <c r="U91" s="203"/>
      <c r="V91" s="203"/>
      <c r="W91" s="203"/>
      <c r="X91" s="203"/>
      <c r="Y91" s="203"/>
      <c r="Z91" s="203"/>
      <c r="AA91" s="247"/>
      <c r="AC91" s="166"/>
    </row>
    <row r="92" spans="1:29" s="92" customFormat="1" hidden="1">
      <c r="A92" s="188"/>
      <c r="B92" s="140"/>
      <c r="C92" s="199"/>
      <c r="D92" s="199"/>
      <c r="E92" s="199"/>
      <c r="F92" s="199"/>
      <c r="G92" s="248"/>
      <c r="H92" s="194"/>
      <c r="I92" s="199"/>
      <c r="J92" s="199"/>
      <c r="K92" s="199"/>
      <c r="L92" s="195"/>
      <c r="M92" s="196"/>
      <c r="N92" s="199"/>
      <c r="O92" s="199"/>
      <c r="P92" s="199"/>
      <c r="Q92" s="199"/>
      <c r="R92" s="199"/>
      <c r="S92" s="199"/>
      <c r="T92" s="199"/>
      <c r="U92" s="199"/>
      <c r="V92" s="199"/>
      <c r="W92" s="199"/>
      <c r="X92" s="199"/>
      <c r="Y92" s="199"/>
      <c r="Z92" s="199"/>
      <c r="AA92" s="249"/>
      <c r="AC92" s="166"/>
    </row>
    <row r="93" spans="1:29">
      <c r="A93" s="188"/>
      <c r="B93" s="232" t="s">
        <v>721</v>
      </c>
      <c r="C93" s="233">
        <f>C94+C95+C102+C123+C128</f>
        <v>0</v>
      </c>
      <c r="D93" s="233">
        <f t="shared" ref="D93:F93" si="98">D94+D95+D102+D123+D128</f>
        <v>7</v>
      </c>
      <c r="E93" s="233">
        <f t="shared" si="98"/>
        <v>900</v>
      </c>
      <c r="F93" s="233">
        <f t="shared" si="98"/>
        <v>0</v>
      </c>
      <c r="G93" s="234"/>
      <c r="H93" s="233">
        <f>H94+H95+H102+H123+H128</f>
        <v>0</v>
      </c>
      <c r="I93" s="233">
        <f t="shared" ref="I93:AA93" si="99">I94+I95+I102+I123+I128</f>
        <v>0</v>
      </c>
      <c r="J93" s="233">
        <f t="shared" si="99"/>
        <v>0</v>
      </c>
      <c r="K93" s="233">
        <f t="shared" si="99"/>
        <v>0</v>
      </c>
      <c r="L93" s="233">
        <f t="shared" si="99"/>
        <v>0</v>
      </c>
      <c r="M93" s="233">
        <f t="shared" si="99"/>
        <v>0</v>
      </c>
      <c r="N93" s="233">
        <f t="shared" si="99"/>
        <v>0</v>
      </c>
      <c r="O93" s="233">
        <f t="shared" si="99"/>
        <v>0</v>
      </c>
      <c r="P93" s="233">
        <f t="shared" si="99"/>
        <v>0</v>
      </c>
      <c r="Q93" s="233">
        <f t="shared" si="99"/>
        <v>0</v>
      </c>
      <c r="R93" s="233">
        <f t="shared" si="99"/>
        <v>0</v>
      </c>
      <c r="S93" s="233">
        <f t="shared" si="99"/>
        <v>0</v>
      </c>
      <c r="T93" s="233">
        <f t="shared" si="99"/>
        <v>0</v>
      </c>
      <c r="U93" s="233">
        <f t="shared" si="99"/>
        <v>0</v>
      </c>
      <c r="V93" s="233">
        <f t="shared" si="99"/>
        <v>0</v>
      </c>
      <c r="W93" s="233">
        <f t="shared" si="99"/>
        <v>0</v>
      </c>
      <c r="X93" s="233">
        <f t="shared" si="99"/>
        <v>0</v>
      </c>
      <c r="Y93" s="233">
        <f t="shared" si="99"/>
        <v>0</v>
      </c>
      <c r="Z93" s="233">
        <f t="shared" si="99"/>
        <v>7</v>
      </c>
      <c r="AA93" s="235">
        <f t="shared" si="99"/>
        <v>0</v>
      </c>
      <c r="AC93" s="166"/>
    </row>
    <row r="94" spans="1:29" ht="21">
      <c r="A94" s="188"/>
      <c r="B94" s="236" t="s">
        <v>743</v>
      </c>
      <c r="C94" s="190"/>
      <c r="D94" s="203">
        <v>7</v>
      </c>
      <c r="E94" s="237">
        <f>75*12</f>
        <v>900</v>
      </c>
      <c r="F94" s="237"/>
      <c r="G94" s="237">
        <v>2813</v>
      </c>
      <c r="H94" s="194"/>
      <c r="I94" s="238"/>
      <c r="J94" s="194"/>
      <c r="K94" s="238"/>
      <c r="L94" s="195">
        <f t="shared" ref="L94" si="100">D94*H94/10</f>
        <v>0</v>
      </c>
      <c r="M94" s="196">
        <f t="shared" ref="M94" si="101">IF(E94&gt;0,(J94*10^3*E94/10^7)+(K94*0.7457*E94/10^7),(K94*F94/10^7)+(J94*(10^3)*(1/0.7457)*F94/10^7))</f>
        <v>0</v>
      </c>
      <c r="N94" s="197"/>
      <c r="O94" s="196">
        <f t="shared" ref="O94" si="102">G94*C94*12/10^7</f>
        <v>0</v>
      </c>
      <c r="P94" s="197"/>
      <c r="Q94" s="196">
        <f t="shared" ref="Q94" si="103">L94+M94+N94+O94+P94</f>
        <v>0</v>
      </c>
      <c r="R94" s="238"/>
      <c r="S94" s="196">
        <f t="shared" ref="S94" si="104">Q94-R94</f>
        <v>0</v>
      </c>
      <c r="T94" s="238"/>
      <c r="U94" s="238"/>
      <c r="V94" s="238"/>
      <c r="W94" s="238"/>
      <c r="X94" s="198"/>
      <c r="Y94" s="199">
        <f t="shared" ref="Y94" si="105">S94+X94</f>
        <v>0</v>
      </c>
      <c r="Z94" s="200">
        <f>'[6]FY24 Revenue @  CT'!R93</f>
        <v>7</v>
      </c>
      <c r="AA94" s="201">
        <f t="shared" ref="AA94" si="106">(H94*Z94/10)+M94+O94+N94+P94+X94</f>
        <v>0</v>
      </c>
      <c r="AC94" s="166"/>
    </row>
    <row r="95" spans="1:29">
      <c r="A95" s="188"/>
      <c r="B95" s="239" t="s">
        <v>744</v>
      </c>
      <c r="C95" s="240">
        <f>SUM(C96:C101)</f>
        <v>0</v>
      </c>
      <c r="D95" s="240"/>
      <c r="E95" s="240"/>
      <c r="F95" s="250"/>
      <c r="G95" s="240"/>
      <c r="H95" s="240">
        <f>SUM(H96:H101)</f>
        <v>0</v>
      </c>
      <c r="I95" s="240">
        <f t="shared" ref="I95:AA95" si="107">SUM(I96:I101)</f>
        <v>0</v>
      </c>
      <c r="J95" s="240">
        <f t="shared" si="107"/>
        <v>0</v>
      </c>
      <c r="K95" s="240">
        <f t="shared" si="107"/>
        <v>0</v>
      </c>
      <c r="L95" s="240">
        <f t="shared" si="107"/>
        <v>0</v>
      </c>
      <c r="M95" s="240">
        <f t="shared" si="107"/>
        <v>0</v>
      </c>
      <c r="N95" s="240">
        <f t="shared" si="107"/>
        <v>0</v>
      </c>
      <c r="O95" s="240">
        <f t="shared" si="107"/>
        <v>0</v>
      </c>
      <c r="P95" s="240">
        <f t="shared" si="107"/>
        <v>0</v>
      </c>
      <c r="Q95" s="240">
        <f t="shared" si="107"/>
        <v>0</v>
      </c>
      <c r="R95" s="240">
        <f t="shared" si="107"/>
        <v>0</v>
      </c>
      <c r="S95" s="240">
        <f t="shared" si="107"/>
        <v>0</v>
      </c>
      <c r="T95" s="240">
        <f t="shared" si="107"/>
        <v>0</v>
      </c>
      <c r="U95" s="240">
        <f t="shared" si="107"/>
        <v>0</v>
      </c>
      <c r="V95" s="240">
        <f t="shared" si="107"/>
        <v>0</v>
      </c>
      <c r="W95" s="240">
        <f t="shared" si="107"/>
        <v>0</v>
      </c>
      <c r="X95" s="240">
        <f t="shared" si="107"/>
        <v>0</v>
      </c>
      <c r="Y95" s="240">
        <f t="shared" si="107"/>
        <v>0</v>
      </c>
      <c r="Z95" s="240"/>
      <c r="AA95" s="241">
        <f t="shared" si="107"/>
        <v>0</v>
      </c>
      <c r="AC95" s="166"/>
    </row>
    <row r="96" spans="1:29">
      <c r="A96" s="188"/>
      <c r="B96" s="236" t="s">
        <v>745</v>
      </c>
      <c r="C96" s="190"/>
      <c r="D96" s="203">
        <v>6.95</v>
      </c>
      <c r="E96" s="237">
        <f>475*12</f>
        <v>5700</v>
      </c>
      <c r="F96" s="237"/>
      <c r="G96" s="237">
        <v>2813</v>
      </c>
      <c r="H96" s="194"/>
      <c r="I96" s="238"/>
      <c r="J96" s="194"/>
      <c r="K96" s="238"/>
      <c r="L96" s="195">
        <f t="shared" ref="L96:L101" si="108">D96*H96/10</f>
        <v>0</v>
      </c>
      <c r="M96" s="196">
        <f t="shared" ref="M96:M101" si="109">IF(E96&gt;0,(J96*10^3*E96/10^7)+(K96*0.7457*E96/10^7),(K96*F96/10^7)+(J96*(10^3)*(1/0.7457)*F96/10^7))</f>
        <v>0</v>
      </c>
      <c r="N96" s="197"/>
      <c r="O96" s="196">
        <f t="shared" ref="O96:O101" si="110">G96*C96*12/10^7</f>
        <v>0</v>
      </c>
      <c r="P96" s="197"/>
      <c r="Q96" s="196">
        <f t="shared" ref="Q96:Q101" si="111">L96+M96+N96+O96+P96</f>
        <v>0</v>
      </c>
      <c r="R96" s="238"/>
      <c r="S96" s="196">
        <f t="shared" ref="S96:S101" si="112">Q96-R96</f>
        <v>0</v>
      </c>
      <c r="T96" s="238"/>
      <c r="U96" s="238"/>
      <c r="V96" s="238"/>
      <c r="W96" s="238"/>
      <c r="X96" s="198"/>
      <c r="Y96" s="199">
        <f t="shared" ref="Y96:Y101" si="113">S96+X96</f>
        <v>0</v>
      </c>
      <c r="Z96" s="200">
        <f>'[6]FY24 Revenue @  CT'!R95</f>
        <v>6.95</v>
      </c>
      <c r="AA96" s="201">
        <f t="shared" ref="AA96:AA101" si="114">(H96*Z96/10)+M96+O96+N96+P96+X96</f>
        <v>0</v>
      </c>
      <c r="AC96" s="166"/>
    </row>
    <row r="97" spans="1:29" s="92" customFormat="1" ht="15" customHeight="1">
      <c r="A97" s="188"/>
      <c r="B97" s="236" t="s">
        <v>697</v>
      </c>
      <c r="C97" s="190"/>
      <c r="D97" s="203">
        <v>7.95</v>
      </c>
      <c r="E97" s="237">
        <f>475*12</f>
        <v>5700</v>
      </c>
      <c r="F97" s="237"/>
      <c r="G97" s="237"/>
      <c r="H97" s="194"/>
      <c r="I97" s="238">
        <f t="shared" ref="I97" si="115">SUM(I98:I103)</f>
        <v>0</v>
      </c>
      <c r="J97" s="194"/>
      <c r="K97" s="238">
        <f>SUM(K98:K103)</f>
        <v>0</v>
      </c>
      <c r="L97" s="195">
        <f t="shared" si="108"/>
        <v>0</v>
      </c>
      <c r="M97" s="196">
        <f t="shared" si="109"/>
        <v>0</v>
      </c>
      <c r="N97" s="197"/>
      <c r="O97" s="196">
        <f t="shared" si="110"/>
        <v>0</v>
      </c>
      <c r="P97" s="197"/>
      <c r="Q97" s="196">
        <f t="shared" si="111"/>
        <v>0</v>
      </c>
      <c r="R97" s="238"/>
      <c r="S97" s="196">
        <f t="shared" si="112"/>
        <v>0</v>
      </c>
      <c r="T97" s="238"/>
      <c r="U97" s="238"/>
      <c r="V97" s="238"/>
      <c r="W97" s="238"/>
      <c r="X97" s="198"/>
      <c r="Y97" s="199">
        <f t="shared" si="113"/>
        <v>0</v>
      </c>
      <c r="Z97" s="200">
        <f>'[6]FY24 Revenue @  CT'!R96</f>
        <v>7.95</v>
      </c>
      <c r="AA97" s="201">
        <f t="shared" si="114"/>
        <v>0</v>
      </c>
      <c r="AC97" s="166"/>
    </row>
    <row r="98" spans="1:29">
      <c r="A98" s="188"/>
      <c r="B98" s="236" t="s">
        <v>746</v>
      </c>
      <c r="C98" s="190"/>
      <c r="D98" s="203">
        <v>12.25</v>
      </c>
      <c r="E98" s="237">
        <v>0</v>
      </c>
      <c r="F98" s="237"/>
      <c r="G98" s="237">
        <v>2813</v>
      </c>
      <c r="H98" s="194"/>
      <c r="I98" s="238"/>
      <c r="J98" s="194"/>
      <c r="K98" s="238"/>
      <c r="L98" s="195">
        <f t="shared" si="108"/>
        <v>0</v>
      </c>
      <c r="M98" s="196">
        <f t="shared" si="109"/>
        <v>0</v>
      </c>
      <c r="N98" s="197"/>
      <c r="O98" s="196">
        <f t="shared" si="110"/>
        <v>0</v>
      </c>
      <c r="P98" s="197"/>
      <c r="Q98" s="196">
        <f t="shared" si="111"/>
        <v>0</v>
      </c>
      <c r="R98" s="238"/>
      <c r="S98" s="196">
        <f t="shared" si="112"/>
        <v>0</v>
      </c>
      <c r="T98" s="238"/>
      <c r="U98" s="238"/>
      <c r="V98" s="238"/>
      <c r="W98" s="238"/>
      <c r="X98" s="198"/>
      <c r="Y98" s="199">
        <f t="shared" si="113"/>
        <v>0</v>
      </c>
      <c r="Z98" s="200">
        <f>'[6]FY24 Revenue @  CT'!R97</f>
        <v>12.25</v>
      </c>
      <c r="AA98" s="201">
        <f t="shared" si="114"/>
        <v>0</v>
      </c>
      <c r="AC98" s="166"/>
    </row>
    <row r="99" spans="1:29">
      <c r="A99" s="188"/>
      <c r="B99" s="236" t="s">
        <v>747</v>
      </c>
      <c r="C99" s="190"/>
      <c r="D99" s="203">
        <v>12.25</v>
      </c>
      <c r="E99" s="237">
        <v>0</v>
      </c>
      <c r="F99" s="237"/>
      <c r="G99" s="237">
        <v>2813</v>
      </c>
      <c r="H99" s="194"/>
      <c r="I99" s="238"/>
      <c r="J99" s="194"/>
      <c r="K99" s="238"/>
      <c r="L99" s="195">
        <f t="shared" si="108"/>
        <v>0</v>
      </c>
      <c r="M99" s="196">
        <f t="shared" si="109"/>
        <v>0</v>
      </c>
      <c r="N99" s="197"/>
      <c r="O99" s="196">
        <f t="shared" si="110"/>
        <v>0</v>
      </c>
      <c r="P99" s="197"/>
      <c r="Q99" s="196">
        <f t="shared" si="111"/>
        <v>0</v>
      </c>
      <c r="R99" s="238"/>
      <c r="S99" s="196">
        <f t="shared" si="112"/>
        <v>0</v>
      </c>
      <c r="T99" s="238"/>
      <c r="U99" s="238"/>
      <c r="V99" s="238"/>
      <c r="W99" s="238"/>
      <c r="X99" s="198"/>
      <c r="Y99" s="199">
        <f t="shared" si="113"/>
        <v>0</v>
      </c>
      <c r="Z99" s="200">
        <f>'[6]FY24 Revenue @  CT'!R98</f>
        <v>12.25</v>
      </c>
      <c r="AA99" s="201">
        <f t="shared" si="114"/>
        <v>0</v>
      </c>
      <c r="AC99" s="166"/>
    </row>
    <row r="100" spans="1:29" ht="21">
      <c r="A100" s="188"/>
      <c r="B100" s="236" t="s">
        <v>748</v>
      </c>
      <c r="C100" s="190"/>
      <c r="D100" s="203">
        <v>6.7</v>
      </c>
      <c r="E100" s="237">
        <v>0</v>
      </c>
      <c r="F100" s="237"/>
      <c r="G100" s="237">
        <v>2813</v>
      </c>
      <c r="H100" s="194"/>
      <c r="I100" s="238"/>
      <c r="J100" s="194"/>
      <c r="K100" s="238"/>
      <c r="L100" s="195">
        <f t="shared" si="108"/>
        <v>0</v>
      </c>
      <c r="M100" s="196">
        <f t="shared" si="109"/>
        <v>0</v>
      </c>
      <c r="N100" s="197"/>
      <c r="O100" s="196">
        <f t="shared" si="110"/>
        <v>0</v>
      </c>
      <c r="P100" s="197"/>
      <c r="Q100" s="196">
        <f t="shared" si="111"/>
        <v>0</v>
      </c>
      <c r="R100" s="238"/>
      <c r="S100" s="196">
        <f t="shared" si="112"/>
        <v>0</v>
      </c>
      <c r="T100" s="238"/>
      <c r="U100" s="238"/>
      <c r="V100" s="238"/>
      <c r="W100" s="238"/>
      <c r="X100" s="198"/>
      <c r="Y100" s="199">
        <f t="shared" si="113"/>
        <v>0</v>
      </c>
      <c r="Z100" s="200">
        <f>'[6]FY24 Revenue @  CT'!R99</f>
        <v>6.7</v>
      </c>
      <c r="AA100" s="201">
        <f t="shared" si="114"/>
        <v>0</v>
      </c>
      <c r="AC100" s="166"/>
    </row>
    <row r="101" spans="1:29">
      <c r="A101" s="188"/>
      <c r="B101" s="236" t="s">
        <v>749</v>
      </c>
      <c r="C101" s="190"/>
      <c r="D101" s="203">
        <v>12.25</v>
      </c>
      <c r="E101" s="237">
        <v>0</v>
      </c>
      <c r="F101" s="237"/>
      <c r="G101" s="237">
        <v>2813</v>
      </c>
      <c r="H101" s="194"/>
      <c r="I101" s="238"/>
      <c r="J101" s="194"/>
      <c r="K101" s="238"/>
      <c r="L101" s="195">
        <f t="shared" si="108"/>
        <v>0</v>
      </c>
      <c r="M101" s="196">
        <f t="shared" si="109"/>
        <v>0</v>
      </c>
      <c r="N101" s="197"/>
      <c r="O101" s="196">
        <f t="shared" si="110"/>
        <v>0</v>
      </c>
      <c r="P101" s="197"/>
      <c r="Q101" s="196">
        <f t="shared" si="111"/>
        <v>0</v>
      </c>
      <c r="R101" s="238"/>
      <c r="S101" s="196">
        <f t="shared" si="112"/>
        <v>0</v>
      </c>
      <c r="T101" s="238"/>
      <c r="U101" s="238"/>
      <c r="V101" s="238"/>
      <c r="W101" s="238"/>
      <c r="X101" s="198"/>
      <c r="Y101" s="199">
        <f t="shared" si="113"/>
        <v>0</v>
      </c>
      <c r="Z101" s="200">
        <f>'[6]FY24 Revenue @  CT'!R100</f>
        <v>12.25</v>
      </c>
      <c r="AA101" s="201">
        <f t="shared" si="114"/>
        <v>0</v>
      </c>
      <c r="AC101" s="166"/>
    </row>
    <row r="102" spans="1:29">
      <c r="A102" s="188"/>
      <c r="B102" s="239" t="s">
        <v>750</v>
      </c>
      <c r="C102" s="240">
        <f>SUM(C104:C114)</f>
        <v>0</v>
      </c>
      <c r="D102" s="240"/>
      <c r="E102" s="240"/>
      <c r="F102" s="240"/>
      <c r="G102" s="240"/>
      <c r="H102" s="240">
        <f>SUM(H104:H114)</f>
        <v>0</v>
      </c>
      <c r="I102" s="240">
        <f t="shared" ref="I102:AA102" si="116">SUM(I104:I114)</f>
        <v>0</v>
      </c>
      <c r="J102" s="240">
        <f t="shared" si="116"/>
        <v>0</v>
      </c>
      <c r="K102" s="240">
        <f t="shared" si="116"/>
        <v>0</v>
      </c>
      <c r="L102" s="240">
        <f t="shared" si="116"/>
        <v>0</v>
      </c>
      <c r="M102" s="240">
        <f t="shared" si="116"/>
        <v>0</v>
      </c>
      <c r="N102" s="240">
        <f t="shared" si="116"/>
        <v>0</v>
      </c>
      <c r="O102" s="240">
        <f t="shared" si="116"/>
        <v>0</v>
      </c>
      <c r="P102" s="240">
        <f t="shared" si="116"/>
        <v>0</v>
      </c>
      <c r="Q102" s="240">
        <f t="shared" si="116"/>
        <v>0</v>
      </c>
      <c r="R102" s="240">
        <f t="shared" si="116"/>
        <v>0</v>
      </c>
      <c r="S102" s="240">
        <f t="shared" si="116"/>
        <v>0</v>
      </c>
      <c r="T102" s="240">
        <f t="shared" si="116"/>
        <v>0</v>
      </c>
      <c r="U102" s="240">
        <f t="shared" si="116"/>
        <v>0</v>
      </c>
      <c r="V102" s="240">
        <f t="shared" si="116"/>
        <v>0</v>
      </c>
      <c r="W102" s="240">
        <f t="shared" si="116"/>
        <v>0</v>
      </c>
      <c r="X102" s="240">
        <f t="shared" si="116"/>
        <v>0</v>
      </c>
      <c r="Y102" s="240">
        <f t="shared" si="116"/>
        <v>0</v>
      </c>
      <c r="Z102" s="240"/>
      <c r="AA102" s="241">
        <f t="shared" si="116"/>
        <v>0</v>
      </c>
      <c r="AC102" s="166"/>
    </row>
    <row r="103" spans="1:29" ht="15" customHeight="1">
      <c r="A103" s="188"/>
      <c r="B103" s="215" t="s">
        <v>753</v>
      </c>
      <c r="C103" s="217"/>
      <c r="D103" s="217"/>
      <c r="E103" s="207"/>
      <c r="F103" s="217"/>
      <c r="G103" s="218"/>
      <c r="H103" s="217"/>
      <c r="I103" s="217"/>
      <c r="J103" s="217"/>
      <c r="K103" s="217"/>
      <c r="L103" s="217"/>
      <c r="M103" s="217"/>
      <c r="N103" s="217"/>
      <c r="O103" s="217"/>
      <c r="P103" s="217"/>
      <c r="Q103" s="217"/>
      <c r="R103" s="217"/>
      <c r="S103" s="217"/>
      <c r="T103" s="217"/>
      <c r="U103" s="217"/>
      <c r="V103" s="217"/>
      <c r="W103" s="217"/>
      <c r="X103" s="217"/>
      <c r="Y103" s="217"/>
      <c r="Z103" s="217"/>
      <c r="AA103" s="219"/>
      <c r="AC103" s="166"/>
    </row>
    <row r="104" spans="1:29" s="92" customFormat="1" ht="28.5" customHeight="1">
      <c r="A104" s="188"/>
      <c r="B104" s="236" t="s">
        <v>918</v>
      </c>
      <c r="C104" s="190"/>
      <c r="D104" s="203"/>
      <c r="E104" s="237"/>
      <c r="F104" s="237"/>
      <c r="G104" s="237"/>
      <c r="H104" s="194"/>
      <c r="I104" s="238"/>
      <c r="J104" s="194"/>
      <c r="K104" s="238">
        <f>SUM(K105:K108)</f>
        <v>0</v>
      </c>
      <c r="L104" s="195">
        <f t="shared" ref="L104:L113" si="117">D104*H104/10</f>
        <v>0</v>
      </c>
      <c r="M104" s="196">
        <f t="shared" ref="M104:M113" si="118">IF(E104&gt;0,(J104*10^3*E104/10^7)+(K104*0.7457*E104/10^7),(K104*F104/10^7)+(J104*(10^3)*(1/0.7457)*F104/10^7))</f>
        <v>0</v>
      </c>
      <c r="N104" s="197"/>
      <c r="O104" s="196">
        <f t="shared" ref="O104:O113" si="119">G104*C104*12/10^7</f>
        <v>0</v>
      </c>
      <c r="P104" s="197"/>
      <c r="Q104" s="196">
        <f t="shared" ref="Q104:Q113" si="120">L104+M104+N104+O104+P104</f>
        <v>0</v>
      </c>
      <c r="R104" s="238"/>
      <c r="S104" s="196">
        <f t="shared" ref="S104:S113" si="121">Q104-R104</f>
        <v>0</v>
      </c>
      <c r="T104" s="238"/>
      <c r="U104" s="238"/>
      <c r="V104" s="238"/>
      <c r="W104" s="238"/>
      <c r="X104" s="198"/>
      <c r="Y104" s="199"/>
      <c r="Z104" s="203"/>
      <c r="AA104" s="201">
        <f t="shared" ref="AA104:AA131" si="122">(H104*Z104/10)+M104+O104+N104+P104+X104</f>
        <v>0</v>
      </c>
      <c r="AC104" s="166"/>
    </row>
    <row r="105" spans="1:29" ht="30.75" customHeight="1">
      <c r="A105" s="188"/>
      <c r="B105" s="236" t="s">
        <v>914</v>
      </c>
      <c r="C105" s="190"/>
      <c r="D105" s="203">
        <v>7.35</v>
      </c>
      <c r="E105" s="237">
        <f>475*12</f>
        <v>5700</v>
      </c>
      <c r="F105" s="237"/>
      <c r="G105" s="237">
        <v>2813</v>
      </c>
      <c r="H105" s="194"/>
      <c r="I105" s="238"/>
      <c r="J105" s="194"/>
      <c r="K105" s="238"/>
      <c r="L105" s="195">
        <f t="shared" si="117"/>
        <v>0</v>
      </c>
      <c r="M105" s="196">
        <f t="shared" si="118"/>
        <v>0</v>
      </c>
      <c r="N105" s="197"/>
      <c r="O105" s="196">
        <f t="shared" si="119"/>
        <v>0</v>
      </c>
      <c r="P105" s="197"/>
      <c r="Q105" s="196">
        <f t="shared" si="120"/>
        <v>0</v>
      </c>
      <c r="R105" s="238"/>
      <c r="S105" s="196">
        <f t="shared" si="121"/>
        <v>0</v>
      </c>
      <c r="T105" s="238"/>
      <c r="U105" s="238"/>
      <c r="V105" s="238"/>
      <c r="W105" s="238"/>
      <c r="X105" s="198"/>
      <c r="Y105" s="199">
        <f t="shared" ref="Y105:Y122" si="123">S105+X105</f>
        <v>0</v>
      </c>
      <c r="Z105" s="200">
        <f>'[6]FY24 Revenue @  CT'!R104</f>
        <v>7.35</v>
      </c>
      <c r="AA105" s="201">
        <f t="shared" si="122"/>
        <v>0</v>
      </c>
      <c r="AC105" s="166"/>
    </row>
    <row r="106" spans="1:29" ht="23.25" customHeight="1">
      <c r="A106" s="188"/>
      <c r="B106" s="236" t="s">
        <v>915</v>
      </c>
      <c r="C106" s="190"/>
      <c r="D106" s="203">
        <v>5.0999999999999996</v>
      </c>
      <c r="E106" s="237">
        <f>475*12</f>
        <v>5700</v>
      </c>
      <c r="F106" s="237"/>
      <c r="G106" s="237">
        <v>2813</v>
      </c>
      <c r="H106" s="194"/>
      <c r="I106" s="238"/>
      <c r="J106" s="194"/>
      <c r="K106" s="238"/>
      <c r="L106" s="195">
        <f t="shared" si="117"/>
        <v>0</v>
      </c>
      <c r="M106" s="196">
        <f t="shared" si="118"/>
        <v>0</v>
      </c>
      <c r="N106" s="197"/>
      <c r="O106" s="196">
        <f t="shared" si="119"/>
        <v>0</v>
      </c>
      <c r="P106" s="197"/>
      <c r="Q106" s="196">
        <f t="shared" si="120"/>
        <v>0</v>
      </c>
      <c r="R106" s="238"/>
      <c r="S106" s="196">
        <f t="shared" si="121"/>
        <v>0</v>
      </c>
      <c r="T106" s="238"/>
      <c r="U106" s="238"/>
      <c r="V106" s="238"/>
      <c r="W106" s="238"/>
      <c r="X106" s="198"/>
      <c r="Y106" s="199">
        <f t="shared" si="123"/>
        <v>0</v>
      </c>
      <c r="Z106" s="200">
        <f>'[6]FY24 Revenue @  CT'!R105</f>
        <v>5.0999999999999996</v>
      </c>
      <c r="AA106" s="201">
        <f t="shared" si="122"/>
        <v>0</v>
      </c>
      <c r="AC106" s="166"/>
    </row>
    <row r="107" spans="1:29" ht="15" customHeight="1">
      <c r="A107" s="188"/>
      <c r="B107" s="236" t="s">
        <v>916</v>
      </c>
      <c r="C107" s="190"/>
      <c r="D107" s="203">
        <v>5.85</v>
      </c>
      <c r="E107" s="237">
        <f>475*12</f>
        <v>5700</v>
      </c>
      <c r="F107" s="237"/>
      <c r="G107" s="237">
        <v>2813</v>
      </c>
      <c r="H107" s="194"/>
      <c r="I107" s="238"/>
      <c r="J107" s="194"/>
      <c r="K107" s="238"/>
      <c r="L107" s="195">
        <f t="shared" si="117"/>
        <v>0</v>
      </c>
      <c r="M107" s="196">
        <f t="shared" si="118"/>
        <v>0</v>
      </c>
      <c r="N107" s="197"/>
      <c r="O107" s="196">
        <f t="shared" si="119"/>
        <v>0</v>
      </c>
      <c r="P107" s="197"/>
      <c r="Q107" s="196">
        <f t="shared" si="120"/>
        <v>0</v>
      </c>
      <c r="R107" s="238"/>
      <c r="S107" s="196">
        <f t="shared" si="121"/>
        <v>0</v>
      </c>
      <c r="T107" s="238"/>
      <c r="U107" s="238"/>
      <c r="V107" s="238"/>
      <c r="W107" s="238"/>
      <c r="X107" s="198"/>
      <c r="Y107" s="199">
        <f t="shared" si="123"/>
        <v>0</v>
      </c>
      <c r="Z107" s="200">
        <f>'[6]FY24 Revenue @  CT'!R106</f>
        <v>5.85</v>
      </c>
      <c r="AA107" s="201">
        <f t="shared" si="122"/>
        <v>0</v>
      </c>
      <c r="AC107" s="166"/>
    </row>
    <row r="108" spans="1:29" ht="26.25" customHeight="1">
      <c r="A108" s="188"/>
      <c r="B108" s="236" t="s">
        <v>917</v>
      </c>
      <c r="C108" s="190"/>
      <c r="D108" s="203"/>
      <c r="E108" s="237"/>
      <c r="F108" s="237"/>
      <c r="G108" s="237"/>
      <c r="H108" s="194"/>
      <c r="I108" s="238"/>
      <c r="J108" s="194"/>
      <c r="K108" s="238"/>
      <c r="L108" s="195">
        <f t="shared" si="117"/>
        <v>0</v>
      </c>
      <c r="M108" s="196">
        <f t="shared" si="118"/>
        <v>0</v>
      </c>
      <c r="N108" s="197"/>
      <c r="O108" s="196">
        <f t="shared" si="119"/>
        <v>0</v>
      </c>
      <c r="P108" s="197"/>
      <c r="Q108" s="196">
        <f t="shared" si="120"/>
        <v>0</v>
      </c>
      <c r="R108" s="238"/>
      <c r="S108" s="196">
        <f t="shared" si="121"/>
        <v>0</v>
      </c>
      <c r="T108" s="238"/>
      <c r="U108" s="238"/>
      <c r="V108" s="238"/>
      <c r="W108" s="238"/>
      <c r="X108" s="198"/>
      <c r="Y108" s="199">
        <f t="shared" si="123"/>
        <v>0</v>
      </c>
      <c r="Z108" s="203"/>
      <c r="AA108" s="201">
        <f t="shared" si="122"/>
        <v>0</v>
      </c>
      <c r="AC108" s="166"/>
    </row>
    <row r="109" spans="1:29" s="92" customFormat="1" ht="15" customHeight="1">
      <c r="A109" s="188"/>
      <c r="B109" s="236" t="s">
        <v>914</v>
      </c>
      <c r="C109" s="190"/>
      <c r="D109" s="203">
        <v>6.85</v>
      </c>
      <c r="E109" s="237">
        <f>475*12</f>
        <v>5700</v>
      </c>
      <c r="F109" s="237"/>
      <c r="G109" s="237">
        <v>2813</v>
      </c>
      <c r="H109" s="194"/>
      <c r="I109" s="238"/>
      <c r="J109" s="194"/>
      <c r="K109" s="238">
        <f>K110+K111</f>
        <v>0</v>
      </c>
      <c r="L109" s="195">
        <f t="shared" si="117"/>
        <v>0</v>
      </c>
      <c r="M109" s="196">
        <f t="shared" si="118"/>
        <v>0</v>
      </c>
      <c r="N109" s="197"/>
      <c r="O109" s="196">
        <f t="shared" si="119"/>
        <v>0</v>
      </c>
      <c r="P109" s="197"/>
      <c r="Q109" s="196">
        <f t="shared" si="120"/>
        <v>0</v>
      </c>
      <c r="R109" s="238"/>
      <c r="S109" s="196">
        <f t="shared" si="121"/>
        <v>0</v>
      </c>
      <c r="T109" s="238"/>
      <c r="U109" s="238"/>
      <c r="V109" s="238"/>
      <c r="W109" s="238"/>
      <c r="X109" s="198"/>
      <c r="Y109" s="199">
        <f t="shared" si="123"/>
        <v>0</v>
      </c>
      <c r="Z109" s="200">
        <f>'[6]FY24 Revenue @  CT'!R108</f>
        <v>6.85</v>
      </c>
      <c r="AA109" s="201">
        <f t="shared" si="122"/>
        <v>0</v>
      </c>
      <c r="AC109" s="166"/>
    </row>
    <row r="110" spans="1:29" ht="14.25" customHeight="1">
      <c r="A110" s="188"/>
      <c r="B110" s="236" t="s">
        <v>915</v>
      </c>
      <c r="C110" s="190"/>
      <c r="D110" s="203">
        <v>5.0999999999999996</v>
      </c>
      <c r="E110" s="237">
        <f>475*12</f>
        <v>5700</v>
      </c>
      <c r="F110" s="237"/>
      <c r="G110" s="237">
        <v>2813</v>
      </c>
      <c r="H110" s="194"/>
      <c r="I110" s="238"/>
      <c r="J110" s="194"/>
      <c r="K110" s="238"/>
      <c r="L110" s="195">
        <f t="shared" si="117"/>
        <v>0</v>
      </c>
      <c r="M110" s="196">
        <f t="shared" si="118"/>
        <v>0</v>
      </c>
      <c r="N110" s="197"/>
      <c r="O110" s="196">
        <f t="shared" si="119"/>
        <v>0</v>
      </c>
      <c r="P110" s="197"/>
      <c r="Q110" s="196">
        <f t="shared" si="120"/>
        <v>0</v>
      </c>
      <c r="R110" s="238"/>
      <c r="S110" s="196">
        <f t="shared" si="121"/>
        <v>0</v>
      </c>
      <c r="T110" s="238"/>
      <c r="U110" s="238"/>
      <c r="V110" s="238"/>
      <c r="W110" s="238"/>
      <c r="X110" s="198"/>
      <c r="Y110" s="199">
        <f t="shared" si="123"/>
        <v>0</v>
      </c>
      <c r="Z110" s="200">
        <f>'[6]FY24 Revenue @  CT'!R109</f>
        <v>5.0999999999999996</v>
      </c>
      <c r="AA110" s="201">
        <f t="shared" si="122"/>
        <v>0</v>
      </c>
      <c r="AC110" s="166"/>
    </row>
    <row r="111" spans="1:29" ht="14.25" customHeight="1">
      <c r="A111" s="188"/>
      <c r="B111" s="236" t="s">
        <v>916</v>
      </c>
      <c r="C111" s="190"/>
      <c r="D111" s="203">
        <v>5.85</v>
      </c>
      <c r="E111" s="237">
        <f>475*12</f>
        <v>5700</v>
      </c>
      <c r="F111" s="237"/>
      <c r="G111" s="237">
        <v>2813</v>
      </c>
      <c r="H111" s="194"/>
      <c r="I111" s="238"/>
      <c r="J111" s="194"/>
      <c r="K111" s="238"/>
      <c r="L111" s="195">
        <f t="shared" si="117"/>
        <v>0</v>
      </c>
      <c r="M111" s="196">
        <f t="shared" si="118"/>
        <v>0</v>
      </c>
      <c r="N111" s="197"/>
      <c r="O111" s="196">
        <f t="shared" si="119"/>
        <v>0</v>
      </c>
      <c r="P111" s="197"/>
      <c r="Q111" s="196">
        <f t="shared" si="120"/>
        <v>0</v>
      </c>
      <c r="R111" s="238"/>
      <c r="S111" s="196">
        <f t="shared" si="121"/>
        <v>0</v>
      </c>
      <c r="T111" s="238"/>
      <c r="U111" s="238"/>
      <c r="V111" s="238"/>
      <c r="W111" s="238"/>
      <c r="X111" s="198"/>
      <c r="Y111" s="199">
        <f t="shared" si="123"/>
        <v>0</v>
      </c>
      <c r="Z111" s="200">
        <f>'[6]FY24 Revenue @  CT'!R110</f>
        <v>5.85</v>
      </c>
      <c r="AA111" s="201">
        <f t="shared" si="122"/>
        <v>0</v>
      </c>
      <c r="AC111" s="166"/>
    </row>
    <row r="112" spans="1:29">
      <c r="A112" s="188"/>
      <c r="B112" s="236" t="s">
        <v>592</v>
      </c>
      <c r="C112" s="190"/>
      <c r="D112" s="203">
        <v>7</v>
      </c>
      <c r="E112" s="237">
        <v>0</v>
      </c>
      <c r="F112" s="237"/>
      <c r="G112" s="237">
        <v>2813</v>
      </c>
      <c r="H112" s="194"/>
      <c r="I112" s="238"/>
      <c r="J112" s="194"/>
      <c r="K112" s="238">
        <f>K113+K114+K129+K137+K142</f>
        <v>0</v>
      </c>
      <c r="L112" s="195">
        <f t="shared" si="117"/>
        <v>0</v>
      </c>
      <c r="M112" s="196">
        <f t="shared" si="118"/>
        <v>0</v>
      </c>
      <c r="N112" s="197"/>
      <c r="O112" s="196">
        <f t="shared" si="119"/>
        <v>0</v>
      </c>
      <c r="P112" s="197"/>
      <c r="Q112" s="196">
        <f t="shared" si="120"/>
        <v>0</v>
      </c>
      <c r="R112" s="238"/>
      <c r="S112" s="196">
        <f t="shared" si="121"/>
        <v>0</v>
      </c>
      <c r="T112" s="238"/>
      <c r="U112" s="238"/>
      <c r="V112" s="238"/>
      <c r="W112" s="238"/>
      <c r="X112" s="198"/>
      <c r="Y112" s="199">
        <f t="shared" si="123"/>
        <v>0</v>
      </c>
      <c r="Z112" s="200">
        <f>'[6]FY24 Revenue @  CT'!R111</f>
        <v>7</v>
      </c>
      <c r="AA112" s="201">
        <f t="shared" si="122"/>
        <v>0</v>
      </c>
      <c r="AC112" s="166"/>
    </row>
    <row r="113" spans="1:29" s="92" customFormat="1" ht="15" customHeight="1">
      <c r="A113" s="188"/>
      <c r="B113" s="251" t="s">
        <v>754</v>
      </c>
      <c r="C113" s="190"/>
      <c r="D113" s="217">
        <v>6.95</v>
      </c>
      <c r="E113" s="207">
        <f>475*12</f>
        <v>5700</v>
      </c>
      <c r="F113" s="217"/>
      <c r="G113" s="218">
        <v>2813</v>
      </c>
      <c r="H113" s="194"/>
      <c r="I113" s="217"/>
      <c r="J113" s="194"/>
      <c r="K113" s="217"/>
      <c r="L113" s="195">
        <f t="shared" si="117"/>
        <v>0</v>
      </c>
      <c r="M113" s="196">
        <f t="shared" si="118"/>
        <v>0</v>
      </c>
      <c r="N113" s="197"/>
      <c r="O113" s="196">
        <f t="shared" si="119"/>
        <v>0</v>
      </c>
      <c r="P113" s="197"/>
      <c r="Q113" s="196">
        <f t="shared" si="120"/>
        <v>0</v>
      </c>
      <c r="R113" s="217"/>
      <c r="S113" s="196">
        <f t="shared" si="121"/>
        <v>0</v>
      </c>
      <c r="T113" s="217"/>
      <c r="U113" s="217"/>
      <c r="V113" s="217"/>
      <c r="W113" s="217"/>
      <c r="X113" s="198"/>
      <c r="Y113" s="199">
        <f t="shared" si="123"/>
        <v>0</v>
      </c>
      <c r="Z113" s="200">
        <f>'[6]FY24 Revenue @  CT'!R112</f>
        <v>6.95</v>
      </c>
      <c r="AA113" s="201">
        <f t="shared" si="122"/>
        <v>0</v>
      </c>
      <c r="AC113" s="166"/>
    </row>
    <row r="114" spans="1:29" s="92" customFormat="1" ht="15" customHeight="1">
      <c r="A114" s="188"/>
      <c r="B114" s="251" t="s">
        <v>755</v>
      </c>
      <c r="C114" s="190">
        <f>SUM(C115:C122)</f>
        <v>0</v>
      </c>
      <c r="D114" s="217"/>
      <c r="E114" s="243"/>
      <c r="F114" s="217"/>
      <c r="G114" s="218"/>
      <c r="H114" s="194">
        <f>SUM(H115:H122)</f>
        <v>0</v>
      </c>
      <c r="I114" s="194">
        <f t="shared" ref="I114:X114" si="124">SUM(I115:I122)</f>
        <v>0</v>
      </c>
      <c r="J114" s="194">
        <f t="shared" si="124"/>
        <v>0</v>
      </c>
      <c r="K114" s="194">
        <f t="shared" si="124"/>
        <v>0</v>
      </c>
      <c r="L114" s="194">
        <f t="shared" si="124"/>
        <v>0</v>
      </c>
      <c r="M114" s="194">
        <f t="shared" si="124"/>
        <v>0</v>
      </c>
      <c r="N114" s="194">
        <f t="shared" si="124"/>
        <v>0</v>
      </c>
      <c r="O114" s="194">
        <f t="shared" si="124"/>
        <v>0</v>
      </c>
      <c r="P114" s="194">
        <f t="shared" si="124"/>
        <v>0</v>
      </c>
      <c r="Q114" s="194">
        <f t="shared" si="124"/>
        <v>0</v>
      </c>
      <c r="R114" s="194">
        <f t="shared" si="124"/>
        <v>0</v>
      </c>
      <c r="S114" s="194">
        <f t="shared" si="124"/>
        <v>0</v>
      </c>
      <c r="T114" s="194">
        <f t="shared" si="124"/>
        <v>0</v>
      </c>
      <c r="U114" s="194">
        <f t="shared" si="124"/>
        <v>0</v>
      </c>
      <c r="V114" s="194">
        <f t="shared" si="124"/>
        <v>0</v>
      </c>
      <c r="W114" s="194">
        <f t="shared" si="124"/>
        <v>0</v>
      </c>
      <c r="X114" s="194">
        <f t="shared" si="124"/>
        <v>0</v>
      </c>
      <c r="Y114" s="199">
        <f t="shared" si="123"/>
        <v>0</v>
      </c>
      <c r="Z114" s="200">
        <f>'[6]FY24 Revenue @  CT'!R113</f>
        <v>5.35</v>
      </c>
      <c r="AA114" s="194">
        <f t="shared" ref="AA114" si="125">SUM(AA115:AA122)</f>
        <v>0</v>
      </c>
      <c r="AC114" s="166"/>
    </row>
    <row r="115" spans="1:29" s="92" customFormat="1" ht="15" customHeight="1">
      <c r="A115" s="188"/>
      <c r="B115" s="244" t="s">
        <v>918</v>
      </c>
      <c r="C115" s="190"/>
      <c r="D115" s="217"/>
      <c r="E115" s="243"/>
      <c r="F115" s="217"/>
      <c r="G115" s="218"/>
      <c r="H115" s="194"/>
      <c r="I115" s="217"/>
      <c r="J115" s="194"/>
      <c r="K115" s="217"/>
      <c r="L115" s="195">
        <f t="shared" ref="L115:L122" si="126">D115*H115/10</f>
        <v>0</v>
      </c>
      <c r="M115" s="196">
        <f t="shared" ref="M115:M122" si="127">IF(E115&gt;0,(J115*10^3*E115/10^7)+(K115*0.7457*E115/10^7),(K115*F115/10^7)+(J115*(10^3)*(1/0.7457)*F115/10^7))</f>
        <v>0</v>
      </c>
      <c r="N115" s="197"/>
      <c r="O115" s="196">
        <f t="shared" ref="O115:O122" si="128">G115*C115*12/10^7</f>
        <v>0</v>
      </c>
      <c r="P115" s="197"/>
      <c r="Q115" s="196">
        <f t="shared" ref="Q115:Q122" si="129">L115+M115+N115+O115+P115</f>
        <v>0</v>
      </c>
      <c r="R115" s="217"/>
      <c r="S115" s="196">
        <f t="shared" ref="S115:S122" si="130">Q115-R115</f>
        <v>0</v>
      </c>
      <c r="T115" s="217"/>
      <c r="U115" s="217"/>
      <c r="V115" s="217"/>
      <c r="W115" s="217"/>
      <c r="X115" s="198"/>
      <c r="Y115" s="199">
        <f t="shared" si="123"/>
        <v>0</v>
      </c>
      <c r="Z115" s="200">
        <f>'[6]FY24 Revenue @  CT'!R114</f>
        <v>0</v>
      </c>
      <c r="AA115" s="201">
        <f t="shared" si="122"/>
        <v>0</v>
      </c>
      <c r="AC115" s="166"/>
    </row>
    <row r="116" spans="1:29" s="92" customFormat="1" ht="15" customHeight="1">
      <c r="A116" s="188"/>
      <c r="B116" s="244" t="s">
        <v>914</v>
      </c>
      <c r="C116" s="190"/>
      <c r="D116" s="217">
        <f>D118+1.5</f>
        <v>6.85</v>
      </c>
      <c r="E116" s="243"/>
      <c r="F116" s="217"/>
      <c r="G116" s="218"/>
      <c r="H116" s="194"/>
      <c r="I116" s="217"/>
      <c r="J116" s="194"/>
      <c r="K116" s="217"/>
      <c r="L116" s="195">
        <f t="shared" si="126"/>
        <v>0</v>
      </c>
      <c r="M116" s="196">
        <f t="shared" si="127"/>
        <v>0</v>
      </c>
      <c r="N116" s="197"/>
      <c r="O116" s="196">
        <f t="shared" si="128"/>
        <v>0</v>
      </c>
      <c r="P116" s="197"/>
      <c r="Q116" s="196">
        <f t="shared" si="129"/>
        <v>0</v>
      </c>
      <c r="R116" s="217"/>
      <c r="S116" s="196">
        <f t="shared" si="130"/>
        <v>0</v>
      </c>
      <c r="T116" s="217"/>
      <c r="U116" s="217"/>
      <c r="V116" s="217"/>
      <c r="W116" s="217"/>
      <c r="X116" s="198"/>
      <c r="Y116" s="199">
        <f t="shared" si="123"/>
        <v>0</v>
      </c>
      <c r="Z116" s="200">
        <f>'[6]FY24 Revenue @  CT'!R115</f>
        <v>6.85</v>
      </c>
      <c r="AA116" s="201">
        <f t="shared" si="122"/>
        <v>0</v>
      </c>
      <c r="AC116" s="166"/>
    </row>
    <row r="117" spans="1:29" s="92" customFormat="1" ht="15" customHeight="1">
      <c r="A117" s="188"/>
      <c r="B117" s="244" t="s">
        <v>915</v>
      </c>
      <c r="C117" s="190"/>
      <c r="D117" s="217">
        <f>5.35-0.75</f>
        <v>4.5999999999999996</v>
      </c>
      <c r="E117" s="243"/>
      <c r="F117" s="217"/>
      <c r="G117" s="218"/>
      <c r="H117" s="194"/>
      <c r="I117" s="217"/>
      <c r="J117" s="194"/>
      <c r="K117" s="217"/>
      <c r="L117" s="195">
        <f t="shared" si="126"/>
        <v>0</v>
      </c>
      <c r="M117" s="196">
        <f t="shared" si="127"/>
        <v>0</v>
      </c>
      <c r="N117" s="197"/>
      <c r="O117" s="196">
        <f t="shared" si="128"/>
        <v>0</v>
      </c>
      <c r="P117" s="197"/>
      <c r="Q117" s="196">
        <f t="shared" si="129"/>
        <v>0</v>
      </c>
      <c r="R117" s="217"/>
      <c r="S117" s="196">
        <f t="shared" si="130"/>
        <v>0</v>
      </c>
      <c r="T117" s="217"/>
      <c r="U117" s="217"/>
      <c r="V117" s="217"/>
      <c r="W117" s="217"/>
      <c r="X117" s="198"/>
      <c r="Y117" s="199">
        <f t="shared" si="123"/>
        <v>0</v>
      </c>
      <c r="Z117" s="200">
        <f>'[6]FY24 Revenue @  CT'!R116</f>
        <v>4.5999999999999996</v>
      </c>
      <c r="AA117" s="201">
        <f t="shared" si="122"/>
        <v>0</v>
      </c>
      <c r="AC117" s="166"/>
    </row>
    <row r="118" spans="1:29" s="92" customFormat="1" ht="15" customHeight="1">
      <c r="A118" s="188"/>
      <c r="B118" s="244" t="s">
        <v>916</v>
      </c>
      <c r="C118" s="190"/>
      <c r="D118" s="217">
        <v>5.35</v>
      </c>
      <c r="E118" s="243">
        <f>475*12</f>
        <v>5700</v>
      </c>
      <c r="F118" s="217"/>
      <c r="G118" s="218">
        <v>2813</v>
      </c>
      <c r="H118" s="194"/>
      <c r="I118" s="217"/>
      <c r="J118" s="194"/>
      <c r="K118" s="217"/>
      <c r="L118" s="195">
        <f t="shared" si="126"/>
        <v>0</v>
      </c>
      <c r="M118" s="196">
        <f t="shared" si="127"/>
        <v>0</v>
      </c>
      <c r="N118" s="252"/>
      <c r="O118" s="196">
        <f t="shared" si="128"/>
        <v>0</v>
      </c>
      <c r="P118" s="197"/>
      <c r="Q118" s="196">
        <f t="shared" si="129"/>
        <v>0</v>
      </c>
      <c r="R118" s="217"/>
      <c r="S118" s="196">
        <f t="shared" si="130"/>
        <v>0</v>
      </c>
      <c r="T118" s="217"/>
      <c r="U118" s="217"/>
      <c r="V118" s="217"/>
      <c r="W118" s="217"/>
      <c r="X118" s="198"/>
      <c r="Y118" s="199">
        <f t="shared" si="123"/>
        <v>0</v>
      </c>
      <c r="Z118" s="200">
        <f>'[6]FY24 Revenue @  CT'!R117</f>
        <v>5.35</v>
      </c>
      <c r="AA118" s="201">
        <f t="shared" si="122"/>
        <v>0</v>
      </c>
      <c r="AC118" s="166"/>
    </row>
    <row r="119" spans="1:29" s="92" customFormat="1" ht="15" customHeight="1">
      <c r="A119" s="188"/>
      <c r="B119" s="244" t="s">
        <v>917</v>
      </c>
      <c r="C119" s="190"/>
      <c r="D119" s="217"/>
      <c r="E119" s="243"/>
      <c r="F119" s="217"/>
      <c r="G119" s="218"/>
      <c r="H119" s="194"/>
      <c r="I119" s="217"/>
      <c r="J119" s="194"/>
      <c r="K119" s="217"/>
      <c r="L119" s="195">
        <f t="shared" si="126"/>
        <v>0</v>
      </c>
      <c r="M119" s="196">
        <f t="shared" si="127"/>
        <v>0</v>
      </c>
      <c r="N119" s="197"/>
      <c r="O119" s="196">
        <f t="shared" si="128"/>
        <v>0</v>
      </c>
      <c r="P119" s="197"/>
      <c r="Q119" s="196">
        <f t="shared" si="129"/>
        <v>0</v>
      </c>
      <c r="R119" s="217"/>
      <c r="S119" s="196">
        <f t="shared" si="130"/>
        <v>0</v>
      </c>
      <c r="T119" s="217"/>
      <c r="U119" s="217"/>
      <c r="V119" s="217"/>
      <c r="W119" s="217"/>
      <c r="X119" s="198"/>
      <c r="Y119" s="199">
        <f t="shared" si="123"/>
        <v>0</v>
      </c>
      <c r="Z119" s="200">
        <f>'[6]FY24 Revenue @  CT'!R118</f>
        <v>0</v>
      </c>
      <c r="AA119" s="201">
        <f t="shared" si="122"/>
        <v>0</v>
      </c>
      <c r="AC119" s="166"/>
    </row>
    <row r="120" spans="1:29" s="92" customFormat="1" ht="15" customHeight="1">
      <c r="A120" s="188"/>
      <c r="B120" s="244" t="s">
        <v>914</v>
      </c>
      <c r="C120" s="190"/>
      <c r="D120" s="217">
        <f>5.35+1</f>
        <v>6.35</v>
      </c>
      <c r="E120" s="243"/>
      <c r="F120" s="217"/>
      <c r="G120" s="218"/>
      <c r="H120" s="194"/>
      <c r="I120" s="217"/>
      <c r="J120" s="194"/>
      <c r="K120" s="217"/>
      <c r="L120" s="195">
        <f t="shared" si="126"/>
        <v>0</v>
      </c>
      <c r="M120" s="196">
        <f t="shared" si="127"/>
        <v>0</v>
      </c>
      <c r="N120" s="197"/>
      <c r="O120" s="196">
        <f t="shared" si="128"/>
        <v>0</v>
      </c>
      <c r="P120" s="197"/>
      <c r="Q120" s="196">
        <f t="shared" si="129"/>
        <v>0</v>
      </c>
      <c r="R120" s="217"/>
      <c r="S120" s="196">
        <f t="shared" si="130"/>
        <v>0</v>
      </c>
      <c r="T120" s="217"/>
      <c r="U120" s="217"/>
      <c r="V120" s="217"/>
      <c r="W120" s="217"/>
      <c r="X120" s="198"/>
      <c r="Y120" s="199">
        <f t="shared" si="123"/>
        <v>0</v>
      </c>
      <c r="Z120" s="200">
        <f>'[6]FY24 Revenue @  CT'!R119</f>
        <v>6.35</v>
      </c>
      <c r="AA120" s="201">
        <f t="shared" si="122"/>
        <v>0</v>
      </c>
      <c r="AC120" s="166"/>
    </row>
    <row r="121" spans="1:29" s="92" customFormat="1" ht="15" customHeight="1">
      <c r="A121" s="188"/>
      <c r="B121" s="244" t="s">
        <v>915</v>
      </c>
      <c r="C121" s="190"/>
      <c r="D121" s="217">
        <f>5.35-0.75</f>
        <v>4.5999999999999996</v>
      </c>
      <c r="E121" s="243"/>
      <c r="F121" s="217"/>
      <c r="G121" s="218"/>
      <c r="H121" s="194"/>
      <c r="I121" s="217"/>
      <c r="J121" s="194"/>
      <c r="K121" s="217"/>
      <c r="L121" s="195">
        <f t="shared" si="126"/>
        <v>0</v>
      </c>
      <c r="M121" s="196">
        <f t="shared" si="127"/>
        <v>0</v>
      </c>
      <c r="N121" s="197"/>
      <c r="O121" s="196">
        <f t="shared" si="128"/>
        <v>0</v>
      </c>
      <c r="P121" s="197"/>
      <c r="Q121" s="196">
        <f t="shared" si="129"/>
        <v>0</v>
      </c>
      <c r="R121" s="217"/>
      <c r="S121" s="196">
        <f t="shared" si="130"/>
        <v>0</v>
      </c>
      <c r="T121" s="217"/>
      <c r="U121" s="217"/>
      <c r="V121" s="217"/>
      <c r="W121" s="217"/>
      <c r="X121" s="198"/>
      <c r="Y121" s="199">
        <f t="shared" si="123"/>
        <v>0</v>
      </c>
      <c r="Z121" s="200">
        <f>'[6]FY24 Revenue @  CT'!R120</f>
        <v>4.5999999999999996</v>
      </c>
      <c r="AA121" s="201">
        <f t="shared" si="122"/>
        <v>0</v>
      </c>
      <c r="AC121" s="166"/>
    </row>
    <row r="122" spans="1:29" s="92" customFormat="1" ht="15" customHeight="1">
      <c r="A122" s="188"/>
      <c r="B122" s="244" t="s">
        <v>916</v>
      </c>
      <c r="C122" s="190"/>
      <c r="D122" s="217">
        <v>5.35</v>
      </c>
      <c r="E122" s="243"/>
      <c r="F122" s="217"/>
      <c r="G122" s="218"/>
      <c r="H122" s="194"/>
      <c r="I122" s="217"/>
      <c r="J122" s="194"/>
      <c r="K122" s="217"/>
      <c r="L122" s="195">
        <f t="shared" si="126"/>
        <v>0</v>
      </c>
      <c r="M122" s="196">
        <f t="shared" si="127"/>
        <v>0</v>
      </c>
      <c r="N122" s="197"/>
      <c r="O122" s="196">
        <f t="shared" si="128"/>
        <v>0</v>
      </c>
      <c r="P122" s="197"/>
      <c r="Q122" s="196">
        <f t="shared" si="129"/>
        <v>0</v>
      </c>
      <c r="R122" s="217"/>
      <c r="S122" s="196">
        <f t="shared" si="130"/>
        <v>0</v>
      </c>
      <c r="T122" s="217"/>
      <c r="U122" s="217"/>
      <c r="V122" s="217"/>
      <c r="W122" s="217"/>
      <c r="X122" s="198"/>
      <c r="Y122" s="199">
        <f t="shared" si="123"/>
        <v>0</v>
      </c>
      <c r="Z122" s="200">
        <f>'[6]FY24 Revenue @  CT'!R121</f>
        <v>5.35</v>
      </c>
      <c r="AA122" s="201">
        <f t="shared" si="122"/>
        <v>0</v>
      </c>
      <c r="AC122" s="166"/>
    </row>
    <row r="123" spans="1:29">
      <c r="A123" s="188"/>
      <c r="B123" s="239" t="s">
        <v>751</v>
      </c>
      <c r="C123" s="240">
        <f>SUM(C124:C127)</f>
        <v>0</v>
      </c>
      <c r="D123" s="240"/>
      <c r="E123" s="240"/>
      <c r="F123" s="240"/>
      <c r="G123" s="240"/>
      <c r="H123" s="240">
        <f>SUM(H124:H127)</f>
        <v>0</v>
      </c>
      <c r="I123" s="240">
        <f t="shared" ref="I123:AA123" si="131">SUM(I124:I127)</f>
        <v>0</v>
      </c>
      <c r="J123" s="240">
        <f t="shared" si="131"/>
        <v>0</v>
      </c>
      <c r="K123" s="240">
        <f t="shared" si="131"/>
        <v>0</v>
      </c>
      <c r="L123" s="240">
        <f t="shared" si="131"/>
        <v>0</v>
      </c>
      <c r="M123" s="240">
        <f t="shared" si="131"/>
        <v>0</v>
      </c>
      <c r="N123" s="240">
        <f t="shared" si="131"/>
        <v>0</v>
      </c>
      <c r="O123" s="240">
        <f t="shared" si="131"/>
        <v>0</v>
      </c>
      <c r="P123" s="240">
        <f t="shared" si="131"/>
        <v>0</v>
      </c>
      <c r="Q123" s="240">
        <f t="shared" si="131"/>
        <v>0</v>
      </c>
      <c r="R123" s="240">
        <f t="shared" si="131"/>
        <v>0</v>
      </c>
      <c r="S123" s="240">
        <f t="shared" si="131"/>
        <v>0</v>
      </c>
      <c r="T123" s="240">
        <f t="shared" si="131"/>
        <v>0</v>
      </c>
      <c r="U123" s="240">
        <f t="shared" si="131"/>
        <v>0</v>
      </c>
      <c r="V123" s="240">
        <f t="shared" si="131"/>
        <v>0</v>
      </c>
      <c r="W123" s="240">
        <f t="shared" si="131"/>
        <v>0</v>
      </c>
      <c r="X123" s="240">
        <f t="shared" si="131"/>
        <v>0</v>
      </c>
      <c r="Y123" s="240">
        <f t="shared" si="131"/>
        <v>0</v>
      </c>
      <c r="Z123" s="240"/>
      <c r="AA123" s="241">
        <f t="shared" si="131"/>
        <v>0</v>
      </c>
      <c r="AC123" s="166"/>
    </row>
    <row r="124" spans="1:29" ht="25.5" customHeight="1">
      <c r="A124" s="188"/>
      <c r="B124" s="236" t="s">
        <v>756</v>
      </c>
      <c r="C124" s="190"/>
      <c r="D124" s="203">
        <v>6.95</v>
      </c>
      <c r="E124" s="237">
        <f>475*12</f>
        <v>5700</v>
      </c>
      <c r="F124" s="237"/>
      <c r="G124" s="237">
        <v>2813</v>
      </c>
      <c r="H124" s="194"/>
      <c r="I124" s="238"/>
      <c r="J124" s="194"/>
      <c r="K124" s="238"/>
      <c r="L124" s="195">
        <f t="shared" ref="L124:L127" si="132">D124*H124/10</f>
        <v>0</v>
      </c>
      <c r="M124" s="196">
        <f t="shared" ref="M124:M127" si="133">IF(E124&gt;0,(J124*10^3*E124/10^7)+(K124*0.7457*E124/10^7),(K124*F124/10^7)+(J124*(10^3)*(1/0.7457)*F124/10^7))</f>
        <v>0</v>
      </c>
      <c r="N124" s="197"/>
      <c r="O124" s="196">
        <f t="shared" ref="O124:O127" si="134">G124*C124*12/10^7</f>
        <v>0</v>
      </c>
      <c r="P124" s="197"/>
      <c r="Q124" s="196">
        <f t="shared" ref="Q124:Q127" si="135">L124+M124+N124+O124+P124</f>
        <v>0</v>
      </c>
      <c r="R124" s="238"/>
      <c r="S124" s="196">
        <f t="shared" ref="S124:S127" si="136">Q124-R124</f>
        <v>0</v>
      </c>
      <c r="T124" s="238"/>
      <c r="U124" s="238"/>
      <c r="V124" s="238"/>
      <c r="W124" s="238"/>
      <c r="X124" s="198"/>
      <c r="Y124" s="199">
        <f t="shared" ref="Y124:Y127" si="137">S124+X124</f>
        <v>0</v>
      </c>
      <c r="Z124" s="200">
        <f>'[6]FY24 Revenue @  CT'!R123</f>
        <v>6.95</v>
      </c>
      <c r="AA124" s="201">
        <f t="shared" si="122"/>
        <v>0</v>
      </c>
      <c r="AC124" s="166"/>
    </row>
    <row r="125" spans="1:29" ht="15" customHeight="1">
      <c r="A125" s="188"/>
      <c r="B125" s="236" t="s">
        <v>757</v>
      </c>
      <c r="C125" s="190"/>
      <c r="D125" s="203">
        <v>7.25</v>
      </c>
      <c r="E125" s="237">
        <f>475*12</f>
        <v>5700</v>
      </c>
      <c r="F125" s="237"/>
      <c r="G125" s="237">
        <v>2813</v>
      </c>
      <c r="H125" s="194"/>
      <c r="I125" s="238"/>
      <c r="J125" s="194"/>
      <c r="K125" s="238"/>
      <c r="L125" s="195">
        <f t="shared" si="132"/>
        <v>0</v>
      </c>
      <c r="M125" s="196">
        <f t="shared" si="133"/>
        <v>0</v>
      </c>
      <c r="N125" s="197"/>
      <c r="O125" s="196">
        <f t="shared" si="134"/>
        <v>0</v>
      </c>
      <c r="P125" s="197"/>
      <c r="Q125" s="196">
        <f t="shared" si="135"/>
        <v>0</v>
      </c>
      <c r="R125" s="238"/>
      <c r="S125" s="196">
        <f t="shared" si="136"/>
        <v>0</v>
      </c>
      <c r="T125" s="238"/>
      <c r="U125" s="238"/>
      <c r="V125" s="238"/>
      <c r="W125" s="238"/>
      <c r="X125" s="198"/>
      <c r="Y125" s="199">
        <f t="shared" si="137"/>
        <v>0</v>
      </c>
      <c r="Z125" s="200">
        <f>'[6]FY24 Revenue @  CT'!R124</f>
        <v>7.25</v>
      </c>
      <c r="AA125" s="201">
        <f t="shared" si="122"/>
        <v>0</v>
      </c>
      <c r="AC125" s="166"/>
    </row>
    <row r="126" spans="1:29" ht="15" customHeight="1">
      <c r="A126" s="188"/>
      <c r="B126" s="236" t="s">
        <v>758</v>
      </c>
      <c r="C126" s="190"/>
      <c r="D126" s="203">
        <v>5</v>
      </c>
      <c r="E126" s="237">
        <f>30*12</f>
        <v>360</v>
      </c>
      <c r="F126" s="237"/>
      <c r="G126" s="237">
        <v>2813</v>
      </c>
      <c r="H126" s="194"/>
      <c r="I126" s="238"/>
      <c r="J126" s="194"/>
      <c r="K126" s="238"/>
      <c r="L126" s="195">
        <f t="shared" si="132"/>
        <v>0</v>
      </c>
      <c r="M126" s="196">
        <f t="shared" si="133"/>
        <v>0</v>
      </c>
      <c r="N126" s="197"/>
      <c r="O126" s="196">
        <f t="shared" si="134"/>
        <v>0</v>
      </c>
      <c r="P126" s="197"/>
      <c r="Q126" s="196">
        <f t="shared" si="135"/>
        <v>0</v>
      </c>
      <c r="R126" s="238"/>
      <c r="S126" s="196">
        <f t="shared" si="136"/>
        <v>0</v>
      </c>
      <c r="T126" s="238"/>
      <c r="U126" s="238"/>
      <c r="V126" s="238"/>
      <c r="W126" s="238"/>
      <c r="X126" s="198"/>
      <c r="Y126" s="199">
        <f t="shared" si="137"/>
        <v>0</v>
      </c>
      <c r="Z126" s="200">
        <f>'[6]FY24 Revenue @  CT'!R125</f>
        <v>5</v>
      </c>
      <c r="AA126" s="201">
        <f t="shared" si="122"/>
        <v>0</v>
      </c>
      <c r="AC126" s="166"/>
    </row>
    <row r="127" spans="1:29" ht="15" customHeight="1">
      <c r="A127" s="188"/>
      <c r="B127" s="236" t="s">
        <v>759</v>
      </c>
      <c r="C127" s="190"/>
      <c r="D127" s="203">
        <v>5.5</v>
      </c>
      <c r="E127" s="237">
        <f>350*12</f>
        <v>4200</v>
      </c>
      <c r="F127" s="237"/>
      <c r="G127" s="237">
        <v>2813</v>
      </c>
      <c r="H127" s="194"/>
      <c r="I127" s="238"/>
      <c r="J127" s="194"/>
      <c r="K127" s="238"/>
      <c r="L127" s="195">
        <f t="shared" si="132"/>
        <v>0</v>
      </c>
      <c r="M127" s="196">
        <f t="shared" si="133"/>
        <v>0</v>
      </c>
      <c r="N127" s="197"/>
      <c r="O127" s="196">
        <f t="shared" si="134"/>
        <v>0</v>
      </c>
      <c r="P127" s="197"/>
      <c r="Q127" s="196">
        <f t="shared" si="135"/>
        <v>0</v>
      </c>
      <c r="R127" s="238"/>
      <c r="S127" s="196">
        <f t="shared" si="136"/>
        <v>0</v>
      </c>
      <c r="T127" s="238"/>
      <c r="U127" s="238"/>
      <c r="V127" s="238"/>
      <c r="W127" s="238"/>
      <c r="X127" s="198"/>
      <c r="Y127" s="199">
        <f t="shared" si="137"/>
        <v>0</v>
      </c>
      <c r="Z127" s="200">
        <f>'[6]FY24 Revenue @  CT'!R126</f>
        <v>5.5</v>
      </c>
      <c r="AA127" s="201">
        <f t="shared" si="122"/>
        <v>0</v>
      </c>
      <c r="AC127" s="166"/>
    </row>
    <row r="128" spans="1:29" ht="18" customHeight="1">
      <c r="A128" s="188"/>
      <c r="B128" s="239" t="s">
        <v>752</v>
      </c>
      <c r="C128" s="240">
        <f>C129+C130</f>
        <v>0</v>
      </c>
      <c r="D128" s="240"/>
      <c r="E128" s="240"/>
      <c r="F128" s="240"/>
      <c r="G128" s="240"/>
      <c r="H128" s="240">
        <f>H129+H130</f>
        <v>0</v>
      </c>
      <c r="I128" s="240">
        <f t="shared" ref="I128:AA128" si="138">I129+I130</f>
        <v>0</v>
      </c>
      <c r="J128" s="240">
        <f t="shared" si="138"/>
        <v>0</v>
      </c>
      <c r="K128" s="240">
        <f t="shared" si="138"/>
        <v>0</v>
      </c>
      <c r="L128" s="240">
        <f t="shared" si="138"/>
        <v>0</v>
      </c>
      <c r="M128" s="240">
        <f t="shared" si="138"/>
        <v>0</v>
      </c>
      <c r="N128" s="240">
        <f t="shared" si="138"/>
        <v>0</v>
      </c>
      <c r="O128" s="240">
        <f t="shared" si="138"/>
        <v>0</v>
      </c>
      <c r="P128" s="240">
        <f t="shared" si="138"/>
        <v>0</v>
      </c>
      <c r="Q128" s="240">
        <f t="shared" si="138"/>
        <v>0</v>
      </c>
      <c r="R128" s="240">
        <f t="shared" si="138"/>
        <v>0</v>
      </c>
      <c r="S128" s="240">
        <f t="shared" si="138"/>
        <v>0</v>
      </c>
      <c r="T128" s="240">
        <f t="shared" si="138"/>
        <v>0</v>
      </c>
      <c r="U128" s="240">
        <f t="shared" si="138"/>
        <v>0</v>
      </c>
      <c r="V128" s="240">
        <f t="shared" si="138"/>
        <v>0</v>
      </c>
      <c r="W128" s="240">
        <f t="shared" si="138"/>
        <v>0</v>
      </c>
      <c r="X128" s="240">
        <f t="shared" si="138"/>
        <v>0</v>
      </c>
      <c r="Y128" s="240">
        <f t="shared" si="138"/>
        <v>0</v>
      </c>
      <c r="Z128" s="240"/>
      <c r="AA128" s="241">
        <f t="shared" si="138"/>
        <v>0</v>
      </c>
      <c r="AC128" s="166"/>
    </row>
    <row r="129" spans="1:29" s="92" customFormat="1" ht="24.75" customHeight="1">
      <c r="A129" s="188"/>
      <c r="B129" s="236" t="s">
        <v>760</v>
      </c>
      <c r="C129" s="190"/>
      <c r="D129" s="203">
        <v>3.85</v>
      </c>
      <c r="E129" s="237">
        <f>30*12</f>
        <v>360</v>
      </c>
      <c r="F129" s="237"/>
      <c r="G129" s="237">
        <v>2813</v>
      </c>
      <c r="H129" s="194"/>
      <c r="I129" s="238"/>
      <c r="J129" s="194"/>
      <c r="K129" s="238">
        <f>SUM(K130:K136)</f>
        <v>0</v>
      </c>
      <c r="L129" s="195">
        <f t="shared" ref="L129:L130" si="139">D129*H129/10</f>
        <v>0</v>
      </c>
      <c r="M129" s="196">
        <f t="shared" ref="M129:M130" si="140">IF(E129&gt;0,(J129*10^3*E129/10^7)+(K129*0.7457*E129/10^7),(K129*F129/10^7)+(J129*(10^3)*(1/0.7457)*F129/10^7))</f>
        <v>0</v>
      </c>
      <c r="N129" s="197"/>
      <c r="O129" s="196">
        <f t="shared" ref="O129:O130" si="141">G129*C129*12/10^7</f>
        <v>0</v>
      </c>
      <c r="P129" s="197"/>
      <c r="Q129" s="196">
        <f t="shared" ref="Q129:Q130" si="142">L129+M129+N129+O129+P129</f>
        <v>0</v>
      </c>
      <c r="R129" s="238"/>
      <c r="S129" s="196">
        <f t="shared" ref="S129:S130" si="143">Q129-R129</f>
        <v>0</v>
      </c>
      <c r="T129" s="238"/>
      <c r="U129" s="238"/>
      <c r="V129" s="238"/>
      <c r="W129" s="238"/>
      <c r="X129" s="198"/>
      <c r="Y129" s="199">
        <f t="shared" ref="Y129:Y130" si="144">S129+X129</f>
        <v>0</v>
      </c>
      <c r="Z129" s="200">
        <f>'[6]FY24 Revenue @  CT'!R128</f>
        <v>3.85</v>
      </c>
      <c r="AA129" s="201">
        <f t="shared" si="122"/>
        <v>0</v>
      </c>
      <c r="AC129" s="166"/>
    </row>
    <row r="130" spans="1:29" ht="24.75" customHeight="1">
      <c r="A130" s="188"/>
      <c r="B130" s="236" t="s">
        <v>761</v>
      </c>
      <c r="C130" s="190"/>
      <c r="D130" s="203">
        <v>7.15</v>
      </c>
      <c r="E130" s="237">
        <v>0</v>
      </c>
      <c r="F130" s="237"/>
      <c r="G130" s="237">
        <v>2813</v>
      </c>
      <c r="H130" s="194"/>
      <c r="I130" s="238"/>
      <c r="J130" s="194"/>
      <c r="K130" s="238"/>
      <c r="L130" s="195">
        <f t="shared" si="139"/>
        <v>0</v>
      </c>
      <c r="M130" s="196">
        <f t="shared" si="140"/>
        <v>0</v>
      </c>
      <c r="N130" s="197"/>
      <c r="O130" s="196">
        <f t="shared" si="141"/>
        <v>0</v>
      </c>
      <c r="P130" s="197"/>
      <c r="Q130" s="196">
        <f t="shared" si="142"/>
        <v>0</v>
      </c>
      <c r="R130" s="238"/>
      <c r="S130" s="196">
        <f t="shared" si="143"/>
        <v>0</v>
      </c>
      <c r="T130" s="238"/>
      <c r="U130" s="238"/>
      <c r="V130" s="238"/>
      <c r="W130" s="238"/>
      <c r="X130" s="198"/>
      <c r="Y130" s="199">
        <f t="shared" si="144"/>
        <v>0</v>
      </c>
      <c r="Z130" s="200">
        <f>'[6]FY24 Revenue @  CT'!R129</f>
        <v>7.15</v>
      </c>
      <c r="AA130" s="201">
        <f t="shared" si="122"/>
        <v>0</v>
      </c>
      <c r="AC130" s="166"/>
    </row>
    <row r="131" spans="1:29" ht="12" customHeight="1">
      <c r="A131" s="188"/>
      <c r="B131" s="253"/>
      <c r="C131" s="193"/>
      <c r="D131" s="203"/>
      <c r="E131" s="237"/>
      <c r="F131" s="237"/>
      <c r="G131" s="237"/>
      <c r="H131" s="238"/>
      <c r="I131" s="238"/>
      <c r="J131" s="238"/>
      <c r="K131" s="238"/>
      <c r="L131" s="195"/>
      <c r="M131" s="196"/>
      <c r="N131" s="197"/>
      <c r="O131" s="196"/>
      <c r="P131" s="197"/>
      <c r="Q131" s="196"/>
      <c r="R131" s="238"/>
      <c r="S131" s="238"/>
      <c r="T131" s="238"/>
      <c r="U131" s="238"/>
      <c r="V131" s="238"/>
      <c r="W131" s="238"/>
      <c r="X131" s="238"/>
      <c r="Y131" s="199"/>
      <c r="Z131" s="203"/>
      <c r="AA131" s="254">
        <f t="shared" si="122"/>
        <v>0</v>
      </c>
      <c r="AC131" s="166"/>
    </row>
    <row r="132" spans="1:29">
      <c r="A132" s="188"/>
      <c r="B132" s="232" t="s">
        <v>604</v>
      </c>
      <c r="C132" s="255">
        <f>C133+C134+C141+C162+C167</f>
        <v>0</v>
      </c>
      <c r="D132" s="233"/>
      <c r="E132" s="233"/>
      <c r="F132" s="233"/>
      <c r="G132" s="234"/>
      <c r="H132" s="233">
        <f>H133+H134+H141+H162+H167</f>
        <v>0</v>
      </c>
      <c r="I132" s="233">
        <f t="shared" ref="I132:AA132" si="145">I133+I134+I141+I162+I167</f>
        <v>0</v>
      </c>
      <c r="J132" s="233">
        <f t="shared" si="145"/>
        <v>0</v>
      </c>
      <c r="K132" s="233">
        <f t="shared" si="145"/>
        <v>0</v>
      </c>
      <c r="L132" s="233">
        <f t="shared" si="145"/>
        <v>0</v>
      </c>
      <c r="M132" s="233">
        <f t="shared" si="145"/>
        <v>0</v>
      </c>
      <c r="N132" s="233">
        <f t="shared" si="145"/>
        <v>0</v>
      </c>
      <c r="O132" s="233">
        <f t="shared" si="145"/>
        <v>0</v>
      </c>
      <c r="P132" s="233">
        <f t="shared" si="145"/>
        <v>0</v>
      </c>
      <c r="Q132" s="233">
        <f t="shared" si="145"/>
        <v>0</v>
      </c>
      <c r="R132" s="233">
        <f t="shared" si="145"/>
        <v>0</v>
      </c>
      <c r="S132" s="233">
        <f t="shared" si="145"/>
        <v>0</v>
      </c>
      <c r="T132" s="233">
        <f t="shared" si="145"/>
        <v>0</v>
      </c>
      <c r="U132" s="233">
        <f t="shared" si="145"/>
        <v>0</v>
      </c>
      <c r="V132" s="233">
        <f t="shared" si="145"/>
        <v>0</v>
      </c>
      <c r="W132" s="233">
        <f t="shared" si="145"/>
        <v>0</v>
      </c>
      <c r="X132" s="233">
        <f t="shared" si="145"/>
        <v>0</v>
      </c>
      <c r="Y132" s="233">
        <f t="shared" si="145"/>
        <v>0</v>
      </c>
      <c r="Z132" s="233"/>
      <c r="AA132" s="235">
        <f t="shared" si="145"/>
        <v>0</v>
      </c>
      <c r="AC132" s="166"/>
    </row>
    <row r="133" spans="1:29" ht="10.5" customHeight="1">
      <c r="A133" s="188"/>
      <c r="B133" s="236" t="s">
        <v>743</v>
      </c>
      <c r="C133" s="190"/>
      <c r="D133" s="203">
        <v>7</v>
      </c>
      <c r="E133" s="237">
        <f>75*12</f>
        <v>900</v>
      </c>
      <c r="F133" s="237"/>
      <c r="G133" s="237">
        <v>2813</v>
      </c>
      <c r="H133" s="194"/>
      <c r="I133" s="238"/>
      <c r="J133" s="194"/>
      <c r="K133" s="238"/>
      <c r="L133" s="195">
        <f t="shared" ref="L133" si="146">D133*H133/10</f>
        <v>0</v>
      </c>
      <c r="M133" s="196">
        <f t="shared" ref="M133" si="147">IF(E133&gt;0,(J133*10^3*E133/10^7)+(K133*0.7457*E133/10^7),(K133*F133/10^7)+(J133*(10^3)*(1/0.7457)*F133/10^7))</f>
        <v>0</v>
      </c>
      <c r="N133" s="197"/>
      <c r="O133" s="196">
        <f t="shared" ref="O133" si="148">G133*C133*12/10^7</f>
        <v>0</v>
      </c>
      <c r="P133" s="197"/>
      <c r="Q133" s="196">
        <f t="shared" ref="Q133:Q140" si="149">L133+M133+N133+O133+P133</f>
        <v>0</v>
      </c>
      <c r="R133" s="238"/>
      <c r="S133" s="196">
        <f t="shared" ref="S133" si="150">Q133-R133</f>
        <v>0</v>
      </c>
      <c r="T133" s="238"/>
      <c r="U133" s="238"/>
      <c r="V133" s="238"/>
      <c r="W133" s="238"/>
      <c r="X133" s="198"/>
      <c r="Y133" s="199">
        <f t="shared" ref="Y133" si="151">S133+X133</f>
        <v>0</v>
      </c>
      <c r="Z133" s="200">
        <f>'[6]FY24 Revenue @  CT'!R132</f>
        <v>7</v>
      </c>
      <c r="AA133" s="201">
        <f t="shared" ref="AA133" si="152">(H133*Z133/10)+M133+O133+N133+P133+X133</f>
        <v>0</v>
      </c>
      <c r="AC133" s="166"/>
    </row>
    <row r="134" spans="1:29" ht="10.5" customHeight="1">
      <c r="A134" s="188"/>
      <c r="B134" s="239" t="s">
        <v>744</v>
      </c>
      <c r="C134" s="240">
        <f>SUM(C135:C140)</f>
        <v>0</v>
      </c>
      <c r="D134" s="240"/>
      <c r="E134" s="240"/>
      <c r="F134" s="240"/>
      <c r="G134" s="240"/>
      <c r="H134" s="240">
        <f>SUM(H135:H140)</f>
        <v>0</v>
      </c>
      <c r="I134" s="240">
        <f t="shared" ref="I134:AA134" si="153">SUM(I135:I140)</f>
        <v>0</v>
      </c>
      <c r="J134" s="240">
        <f t="shared" si="153"/>
        <v>0</v>
      </c>
      <c r="K134" s="240">
        <f t="shared" si="153"/>
        <v>0</v>
      </c>
      <c r="L134" s="240">
        <f t="shared" si="153"/>
        <v>0</v>
      </c>
      <c r="M134" s="240">
        <f t="shared" si="153"/>
        <v>0</v>
      </c>
      <c r="N134" s="240">
        <f t="shared" si="153"/>
        <v>0</v>
      </c>
      <c r="O134" s="240">
        <f t="shared" si="153"/>
        <v>0</v>
      </c>
      <c r="P134" s="240">
        <f t="shared" si="153"/>
        <v>0</v>
      </c>
      <c r="Q134" s="240">
        <f t="shared" si="153"/>
        <v>0</v>
      </c>
      <c r="R134" s="240"/>
      <c r="S134" s="240">
        <f t="shared" si="153"/>
        <v>0</v>
      </c>
      <c r="T134" s="240">
        <f t="shared" si="153"/>
        <v>0</v>
      </c>
      <c r="U134" s="240">
        <f t="shared" si="153"/>
        <v>0</v>
      </c>
      <c r="V134" s="240">
        <f t="shared" si="153"/>
        <v>0</v>
      </c>
      <c r="W134" s="240">
        <f t="shared" si="153"/>
        <v>0</v>
      </c>
      <c r="X134" s="240">
        <f t="shared" si="153"/>
        <v>0</v>
      </c>
      <c r="Y134" s="240">
        <f t="shared" si="153"/>
        <v>0</v>
      </c>
      <c r="Z134" s="240"/>
      <c r="AA134" s="241">
        <f t="shared" si="153"/>
        <v>0</v>
      </c>
      <c r="AC134" s="166"/>
    </row>
    <row r="135" spans="1:29" ht="10.5" customHeight="1">
      <c r="A135" s="188"/>
      <c r="B135" s="236" t="s">
        <v>745</v>
      </c>
      <c r="C135" s="190"/>
      <c r="D135" s="203">
        <v>6.7</v>
      </c>
      <c r="E135" s="237">
        <f>475*12</f>
        <v>5700</v>
      </c>
      <c r="F135" s="237"/>
      <c r="G135" s="237">
        <v>2813</v>
      </c>
      <c r="H135" s="194"/>
      <c r="I135" s="238"/>
      <c r="J135" s="194"/>
      <c r="K135" s="238"/>
      <c r="L135" s="195">
        <f t="shared" ref="L135:L140" si="154">D135*H135/10</f>
        <v>0</v>
      </c>
      <c r="M135" s="196">
        <f t="shared" ref="M135:M140" si="155">IF(E135&gt;0,(J135*10^3*E135/10^7)+(K135*0.7457*E135/10^7),(K135*F135/10^7)+(J135*(10^3)*(1/0.7457)*F135/10^7))</f>
        <v>0</v>
      </c>
      <c r="N135" s="197"/>
      <c r="O135" s="196">
        <f t="shared" ref="O135:O140" si="156">G135*C135*12/10^7</f>
        <v>0</v>
      </c>
      <c r="P135" s="197"/>
      <c r="Q135" s="196">
        <f t="shared" si="149"/>
        <v>0</v>
      </c>
      <c r="R135" s="238"/>
      <c r="S135" s="196">
        <f t="shared" ref="S135:S140" si="157">Q135-R135</f>
        <v>0</v>
      </c>
      <c r="T135" s="238"/>
      <c r="U135" s="238"/>
      <c r="V135" s="238"/>
      <c r="W135" s="238"/>
      <c r="X135" s="198"/>
      <c r="Y135" s="199">
        <f t="shared" ref="Y135:Y140" si="158">S135+X135</f>
        <v>0</v>
      </c>
      <c r="Z135" s="200">
        <f>'[6]FY24 Revenue @  CT'!R134</f>
        <v>6.7</v>
      </c>
      <c r="AA135" s="201">
        <f t="shared" ref="AA135:AA140" si="159">(H135*Z135/10)+M135+O135+N135+P135+X135</f>
        <v>0</v>
      </c>
      <c r="AC135" s="166"/>
    </row>
    <row r="136" spans="1:29">
      <c r="A136" s="188"/>
      <c r="B136" s="236" t="s">
        <v>697</v>
      </c>
      <c r="C136" s="190"/>
      <c r="D136" s="203">
        <v>7.7</v>
      </c>
      <c r="E136" s="237">
        <f>475*12</f>
        <v>5700</v>
      </c>
      <c r="F136" s="237"/>
      <c r="G136" s="237"/>
      <c r="H136" s="194"/>
      <c r="I136" s="238"/>
      <c r="J136" s="194"/>
      <c r="K136" s="238"/>
      <c r="L136" s="195">
        <f t="shared" si="154"/>
        <v>0</v>
      </c>
      <c r="M136" s="196">
        <f t="shared" si="155"/>
        <v>0</v>
      </c>
      <c r="N136" s="197"/>
      <c r="O136" s="196">
        <f t="shared" si="156"/>
        <v>0</v>
      </c>
      <c r="P136" s="197"/>
      <c r="Q136" s="196">
        <f t="shared" si="149"/>
        <v>0</v>
      </c>
      <c r="R136" s="238"/>
      <c r="S136" s="196">
        <f t="shared" si="157"/>
        <v>0</v>
      </c>
      <c r="T136" s="238"/>
      <c r="U136" s="238"/>
      <c r="V136" s="238"/>
      <c r="W136" s="238"/>
      <c r="X136" s="198"/>
      <c r="Y136" s="199">
        <f t="shared" si="158"/>
        <v>0</v>
      </c>
      <c r="Z136" s="200">
        <f>'[6]FY24 Revenue @  CT'!R135</f>
        <v>7.7</v>
      </c>
      <c r="AA136" s="201">
        <f t="shared" si="159"/>
        <v>0</v>
      </c>
      <c r="AC136" s="166"/>
    </row>
    <row r="137" spans="1:29" s="92" customFormat="1" ht="15" customHeight="1">
      <c r="A137" s="188"/>
      <c r="B137" s="236" t="s">
        <v>746</v>
      </c>
      <c r="C137" s="190"/>
      <c r="D137" s="203">
        <v>12.25</v>
      </c>
      <c r="E137" s="237">
        <v>0</v>
      </c>
      <c r="F137" s="237"/>
      <c r="G137" s="237">
        <v>2813</v>
      </c>
      <c r="H137" s="194"/>
      <c r="I137" s="238"/>
      <c r="J137" s="194"/>
      <c r="K137" s="238"/>
      <c r="L137" s="195">
        <f t="shared" si="154"/>
        <v>0</v>
      </c>
      <c r="M137" s="196">
        <f t="shared" si="155"/>
        <v>0</v>
      </c>
      <c r="N137" s="197"/>
      <c r="O137" s="196">
        <f t="shared" si="156"/>
        <v>0</v>
      </c>
      <c r="P137" s="197"/>
      <c r="Q137" s="196">
        <f t="shared" si="149"/>
        <v>0</v>
      </c>
      <c r="R137" s="238"/>
      <c r="S137" s="196">
        <f t="shared" si="157"/>
        <v>0</v>
      </c>
      <c r="T137" s="238"/>
      <c r="U137" s="238"/>
      <c r="V137" s="238"/>
      <c r="W137" s="238"/>
      <c r="X137" s="198"/>
      <c r="Y137" s="199">
        <f t="shared" si="158"/>
        <v>0</v>
      </c>
      <c r="Z137" s="200">
        <f>'[6]FY24 Revenue @  CT'!R136</f>
        <v>12.25</v>
      </c>
      <c r="AA137" s="201">
        <f t="shared" si="159"/>
        <v>0</v>
      </c>
      <c r="AC137" s="166"/>
    </row>
    <row r="138" spans="1:29" ht="10.5" customHeight="1">
      <c r="A138" s="188"/>
      <c r="B138" s="236" t="s">
        <v>747</v>
      </c>
      <c r="C138" s="190"/>
      <c r="D138" s="203">
        <v>12.25</v>
      </c>
      <c r="E138" s="237">
        <v>0</v>
      </c>
      <c r="F138" s="237"/>
      <c r="G138" s="237">
        <v>2813</v>
      </c>
      <c r="H138" s="194"/>
      <c r="I138" s="238"/>
      <c r="J138" s="194"/>
      <c r="K138" s="238"/>
      <c r="L138" s="195">
        <f t="shared" si="154"/>
        <v>0</v>
      </c>
      <c r="M138" s="196">
        <f t="shared" si="155"/>
        <v>0</v>
      </c>
      <c r="N138" s="197"/>
      <c r="O138" s="196">
        <f t="shared" si="156"/>
        <v>0</v>
      </c>
      <c r="P138" s="197"/>
      <c r="Q138" s="196">
        <f t="shared" si="149"/>
        <v>0</v>
      </c>
      <c r="R138" s="238"/>
      <c r="S138" s="196">
        <f t="shared" si="157"/>
        <v>0</v>
      </c>
      <c r="T138" s="238"/>
      <c r="U138" s="238"/>
      <c r="V138" s="238"/>
      <c r="W138" s="238"/>
      <c r="X138" s="198"/>
      <c r="Y138" s="199">
        <f t="shared" si="158"/>
        <v>0</v>
      </c>
      <c r="Z138" s="200">
        <f>'[6]FY24 Revenue @  CT'!R137</f>
        <v>12.25</v>
      </c>
      <c r="AA138" s="201">
        <f t="shared" si="159"/>
        <v>0</v>
      </c>
      <c r="AC138" s="166"/>
    </row>
    <row r="139" spans="1:29" ht="10.5" customHeight="1">
      <c r="A139" s="188"/>
      <c r="B139" s="236" t="s">
        <v>748</v>
      </c>
      <c r="C139" s="190"/>
      <c r="D139" s="203">
        <v>6.7</v>
      </c>
      <c r="E139" s="237">
        <v>0</v>
      </c>
      <c r="F139" s="237"/>
      <c r="G139" s="237">
        <v>2813</v>
      </c>
      <c r="H139" s="194"/>
      <c r="I139" s="238"/>
      <c r="J139" s="194"/>
      <c r="K139" s="238"/>
      <c r="L139" s="195">
        <f t="shared" si="154"/>
        <v>0</v>
      </c>
      <c r="M139" s="196">
        <f t="shared" si="155"/>
        <v>0</v>
      </c>
      <c r="N139" s="197"/>
      <c r="O139" s="196">
        <f t="shared" si="156"/>
        <v>0</v>
      </c>
      <c r="P139" s="197"/>
      <c r="Q139" s="196">
        <f t="shared" si="149"/>
        <v>0</v>
      </c>
      <c r="R139" s="238"/>
      <c r="S139" s="196">
        <f t="shared" si="157"/>
        <v>0</v>
      </c>
      <c r="T139" s="238"/>
      <c r="U139" s="238"/>
      <c r="V139" s="238"/>
      <c r="W139" s="238"/>
      <c r="X139" s="198"/>
      <c r="Y139" s="199">
        <f t="shared" si="158"/>
        <v>0</v>
      </c>
      <c r="Z139" s="200">
        <f>'[6]FY24 Revenue @  CT'!R138</f>
        <v>6.7</v>
      </c>
      <c r="AA139" s="201">
        <f t="shared" si="159"/>
        <v>0</v>
      </c>
      <c r="AC139" s="166"/>
    </row>
    <row r="140" spans="1:29" ht="10.5" customHeight="1">
      <c r="A140" s="188"/>
      <c r="B140" s="236" t="s">
        <v>749</v>
      </c>
      <c r="C140" s="190"/>
      <c r="D140" s="203">
        <v>12.25</v>
      </c>
      <c r="E140" s="237">
        <v>0</v>
      </c>
      <c r="F140" s="237"/>
      <c r="G140" s="237">
        <v>2813</v>
      </c>
      <c r="H140" s="194"/>
      <c r="I140" s="238"/>
      <c r="J140" s="194"/>
      <c r="K140" s="238"/>
      <c r="L140" s="195">
        <f t="shared" si="154"/>
        <v>0</v>
      </c>
      <c r="M140" s="196">
        <f t="shared" si="155"/>
        <v>0</v>
      </c>
      <c r="N140" s="197"/>
      <c r="O140" s="196">
        <f t="shared" si="156"/>
        <v>0</v>
      </c>
      <c r="P140" s="197"/>
      <c r="Q140" s="196">
        <f t="shared" si="149"/>
        <v>0</v>
      </c>
      <c r="R140" s="238"/>
      <c r="S140" s="196">
        <f t="shared" si="157"/>
        <v>0</v>
      </c>
      <c r="T140" s="238"/>
      <c r="U140" s="238"/>
      <c r="V140" s="238"/>
      <c r="W140" s="238"/>
      <c r="X140" s="198"/>
      <c r="Y140" s="199">
        <f t="shared" si="158"/>
        <v>0</v>
      </c>
      <c r="Z140" s="200">
        <f>'[6]FY24 Revenue @  CT'!R139</f>
        <v>12.25</v>
      </c>
      <c r="AA140" s="201">
        <f t="shared" si="159"/>
        <v>0</v>
      </c>
      <c r="AC140" s="166"/>
    </row>
    <row r="141" spans="1:29" ht="10.5" customHeight="1">
      <c r="A141" s="188"/>
      <c r="B141" s="239" t="s">
        <v>750</v>
      </c>
      <c r="C141" s="250">
        <f>SUM(C142:C153)</f>
        <v>0</v>
      </c>
      <c r="D141" s="240"/>
      <c r="E141" s="240"/>
      <c r="F141" s="240"/>
      <c r="G141" s="240"/>
      <c r="H141" s="240">
        <f>SUM(H142:H153)</f>
        <v>0</v>
      </c>
      <c r="I141" s="240">
        <f t="shared" ref="I141:AA141" si="160">SUM(I142:I153)</f>
        <v>0</v>
      </c>
      <c r="J141" s="240">
        <f t="shared" si="160"/>
        <v>0</v>
      </c>
      <c r="K141" s="240">
        <f t="shared" si="160"/>
        <v>0</v>
      </c>
      <c r="L141" s="240">
        <f t="shared" si="160"/>
        <v>0</v>
      </c>
      <c r="M141" s="240">
        <f t="shared" si="160"/>
        <v>0</v>
      </c>
      <c r="N141" s="240">
        <f t="shared" si="160"/>
        <v>0</v>
      </c>
      <c r="O141" s="240">
        <f t="shared" si="160"/>
        <v>0</v>
      </c>
      <c r="P141" s="240">
        <f t="shared" si="160"/>
        <v>0</v>
      </c>
      <c r="Q141" s="240">
        <f t="shared" si="160"/>
        <v>0</v>
      </c>
      <c r="R141" s="240"/>
      <c r="S141" s="240">
        <f t="shared" si="160"/>
        <v>0</v>
      </c>
      <c r="T141" s="240">
        <f t="shared" si="160"/>
        <v>0</v>
      </c>
      <c r="U141" s="240">
        <f t="shared" si="160"/>
        <v>0</v>
      </c>
      <c r="V141" s="240">
        <f t="shared" si="160"/>
        <v>0</v>
      </c>
      <c r="W141" s="240">
        <f t="shared" si="160"/>
        <v>0</v>
      </c>
      <c r="X141" s="240">
        <f t="shared" si="160"/>
        <v>0</v>
      </c>
      <c r="Y141" s="240">
        <f t="shared" si="160"/>
        <v>0</v>
      </c>
      <c r="Z141" s="240"/>
      <c r="AA141" s="241">
        <f t="shared" si="160"/>
        <v>0</v>
      </c>
      <c r="AC141" s="166"/>
    </row>
    <row r="142" spans="1:29" s="92" customFormat="1" ht="15" customHeight="1">
      <c r="A142" s="188"/>
      <c r="B142" s="215" t="s">
        <v>753</v>
      </c>
      <c r="C142" s="217"/>
      <c r="D142" s="217"/>
      <c r="E142" s="207"/>
      <c r="F142" s="217"/>
      <c r="G142" s="218"/>
      <c r="H142" s="217"/>
      <c r="I142" s="217"/>
      <c r="J142" s="217"/>
      <c r="K142" s="217"/>
      <c r="L142" s="217"/>
      <c r="M142" s="217"/>
      <c r="N142" s="217"/>
      <c r="O142" s="217"/>
      <c r="P142" s="217"/>
      <c r="Q142" s="217"/>
      <c r="R142" s="217"/>
      <c r="S142" s="217"/>
      <c r="T142" s="217"/>
      <c r="U142" s="217"/>
      <c r="V142" s="217"/>
      <c r="W142" s="217"/>
      <c r="X142" s="217"/>
      <c r="Y142" s="217"/>
      <c r="Z142" s="217"/>
      <c r="AA142" s="219"/>
      <c r="AC142" s="166"/>
    </row>
    <row r="143" spans="1:29" ht="10.5" customHeight="1">
      <c r="A143" s="188"/>
      <c r="B143" s="236" t="s">
        <v>918</v>
      </c>
      <c r="C143" s="190"/>
      <c r="D143" s="203"/>
      <c r="E143" s="237"/>
      <c r="F143" s="237"/>
      <c r="G143" s="237"/>
      <c r="H143" s="194"/>
      <c r="I143" s="238"/>
      <c r="J143" s="194"/>
      <c r="K143" s="238"/>
      <c r="L143" s="195">
        <f t="shared" ref="L143:L161" si="161">D143*H143/10</f>
        <v>0</v>
      </c>
      <c r="M143" s="196">
        <f t="shared" ref="M143:M161" si="162">IF(E143&gt;0,(J143*10^3*E143/10^7)+(K143*0.7457*E143/10^7),(K143*F143/10^7)+(J143*(10^3)*(1/0.7457)*F143/10^7))</f>
        <v>0</v>
      </c>
      <c r="N143" s="197"/>
      <c r="O143" s="196">
        <f t="shared" ref="O143:O161" si="163">G143*C143*12/10^7</f>
        <v>0</v>
      </c>
      <c r="P143" s="197"/>
      <c r="Q143" s="196">
        <f t="shared" ref="Q143:Q161" si="164">L143+M143+N143+O143+P143</f>
        <v>0</v>
      </c>
      <c r="R143" s="238"/>
      <c r="S143" s="196">
        <f t="shared" ref="S143:S161" si="165">Q143-R143</f>
        <v>0</v>
      </c>
      <c r="T143" s="238"/>
      <c r="U143" s="238"/>
      <c r="V143" s="238"/>
      <c r="W143" s="238"/>
      <c r="X143" s="198"/>
      <c r="Y143" s="199">
        <f t="shared" ref="Y143:Y161" si="166">S143+X143</f>
        <v>0</v>
      </c>
      <c r="Z143" s="203"/>
      <c r="AA143" s="201">
        <f t="shared" ref="AA143:AA161" si="167">(H143*Z143/10)+M143+O143+N143+P143+X143</f>
        <v>0</v>
      </c>
      <c r="AC143" s="166"/>
    </row>
    <row r="144" spans="1:29" ht="10.5" customHeight="1">
      <c r="A144" s="188"/>
      <c r="B144" s="236" t="s">
        <v>914</v>
      </c>
      <c r="C144" s="190"/>
      <c r="D144" s="203">
        <v>6.9</v>
      </c>
      <c r="E144" s="237">
        <f>475*12</f>
        <v>5700</v>
      </c>
      <c r="F144" s="237"/>
      <c r="G144" s="237">
        <v>2813</v>
      </c>
      <c r="H144" s="194"/>
      <c r="I144" s="238"/>
      <c r="J144" s="194"/>
      <c r="K144" s="238"/>
      <c r="L144" s="195">
        <f t="shared" si="161"/>
        <v>0</v>
      </c>
      <c r="M144" s="196">
        <f t="shared" si="162"/>
        <v>0</v>
      </c>
      <c r="N144" s="197"/>
      <c r="O144" s="196">
        <f t="shared" si="163"/>
        <v>0</v>
      </c>
      <c r="P144" s="197"/>
      <c r="Q144" s="196">
        <f t="shared" si="164"/>
        <v>0</v>
      </c>
      <c r="R144" s="238"/>
      <c r="S144" s="196">
        <f t="shared" si="165"/>
        <v>0</v>
      </c>
      <c r="T144" s="238"/>
      <c r="U144" s="238"/>
      <c r="V144" s="238"/>
      <c r="W144" s="238"/>
      <c r="X144" s="198"/>
      <c r="Y144" s="199">
        <f t="shared" si="166"/>
        <v>0</v>
      </c>
      <c r="Z144" s="200">
        <f>'[6]FY24 Revenue @  CT'!R143</f>
        <v>6.9</v>
      </c>
      <c r="AA144" s="201">
        <f t="shared" si="167"/>
        <v>0</v>
      </c>
      <c r="AC144" s="166"/>
    </row>
    <row r="145" spans="1:29" ht="21">
      <c r="A145" s="188"/>
      <c r="B145" s="236" t="s">
        <v>915</v>
      </c>
      <c r="C145" s="190"/>
      <c r="D145" s="203">
        <v>4.6500000000000004</v>
      </c>
      <c r="E145" s="237">
        <f>475*12</f>
        <v>5700</v>
      </c>
      <c r="F145" s="237"/>
      <c r="G145" s="237">
        <v>2813</v>
      </c>
      <c r="H145" s="194"/>
      <c r="I145" s="238"/>
      <c r="J145" s="194"/>
      <c r="K145" s="238">
        <f>K146+K147+K162+K169+K175</f>
        <v>0</v>
      </c>
      <c r="L145" s="195">
        <f t="shared" si="161"/>
        <v>0</v>
      </c>
      <c r="M145" s="196">
        <f t="shared" si="162"/>
        <v>0</v>
      </c>
      <c r="N145" s="197"/>
      <c r="O145" s="196">
        <f t="shared" si="163"/>
        <v>0</v>
      </c>
      <c r="P145" s="197"/>
      <c r="Q145" s="196">
        <f t="shared" si="164"/>
        <v>0</v>
      </c>
      <c r="R145" s="238"/>
      <c r="S145" s="196">
        <f t="shared" si="165"/>
        <v>0</v>
      </c>
      <c r="T145" s="238"/>
      <c r="U145" s="238"/>
      <c r="V145" s="238"/>
      <c r="W145" s="238"/>
      <c r="X145" s="198"/>
      <c r="Y145" s="199">
        <f t="shared" si="166"/>
        <v>0</v>
      </c>
      <c r="Z145" s="200">
        <f>'[6]FY24 Revenue @  CT'!R144</f>
        <v>4.6500000000000004</v>
      </c>
      <c r="AA145" s="201">
        <f t="shared" si="167"/>
        <v>0</v>
      </c>
      <c r="AC145" s="166"/>
    </row>
    <row r="146" spans="1:29" s="92" customFormat="1" ht="18" customHeight="1">
      <c r="A146" s="188"/>
      <c r="B146" s="236" t="s">
        <v>916</v>
      </c>
      <c r="C146" s="190"/>
      <c r="D146" s="203">
        <v>5.4</v>
      </c>
      <c r="E146" s="237">
        <f>475*12</f>
        <v>5700</v>
      </c>
      <c r="F146" s="237"/>
      <c r="G146" s="237">
        <v>2813</v>
      </c>
      <c r="H146" s="194"/>
      <c r="I146" s="238"/>
      <c r="J146" s="194"/>
      <c r="K146" s="238"/>
      <c r="L146" s="195">
        <f t="shared" si="161"/>
        <v>0</v>
      </c>
      <c r="M146" s="196">
        <f t="shared" si="162"/>
        <v>0</v>
      </c>
      <c r="N146" s="197"/>
      <c r="O146" s="196">
        <f t="shared" si="163"/>
        <v>0</v>
      </c>
      <c r="P146" s="197"/>
      <c r="Q146" s="196">
        <f t="shared" si="164"/>
        <v>0</v>
      </c>
      <c r="R146" s="238"/>
      <c r="S146" s="196">
        <f t="shared" si="165"/>
        <v>0</v>
      </c>
      <c r="T146" s="238"/>
      <c r="U146" s="238"/>
      <c r="V146" s="238"/>
      <c r="W146" s="238"/>
      <c r="X146" s="198"/>
      <c r="Y146" s="199">
        <f t="shared" si="166"/>
        <v>0</v>
      </c>
      <c r="Z146" s="200">
        <f>'[6]FY24 Revenue @  CT'!R145</f>
        <v>5.4</v>
      </c>
      <c r="AA146" s="201">
        <f t="shared" si="167"/>
        <v>0</v>
      </c>
      <c r="AC146" s="166"/>
    </row>
    <row r="147" spans="1:29" s="92" customFormat="1" ht="21">
      <c r="A147" s="188"/>
      <c r="B147" s="236" t="s">
        <v>917</v>
      </c>
      <c r="C147" s="190"/>
      <c r="D147" s="203"/>
      <c r="E147" s="237"/>
      <c r="F147" s="237"/>
      <c r="G147" s="237"/>
      <c r="H147" s="194"/>
      <c r="I147" s="238"/>
      <c r="J147" s="194"/>
      <c r="K147" s="238">
        <f>SUM(K148:K153)</f>
        <v>0</v>
      </c>
      <c r="L147" s="195">
        <f t="shared" si="161"/>
        <v>0</v>
      </c>
      <c r="M147" s="196">
        <f t="shared" si="162"/>
        <v>0</v>
      </c>
      <c r="N147" s="197"/>
      <c r="O147" s="196">
        <f t="shared" si="163"/>
        <v>0</v>
      </c>
      <c r="P147" s="197"/>
      <c r="Q147" s="196">
        <f t="shared" si="164"/>
        <v>0</v>
      </c>
      <c r="R147" s="238"/>
      <c r="S147" s="196">
        <f t="shared" si="165"/>
        <v>0</v>
      </c>
      <c r="T147" s="238"/>
      <c r="U147" s="238"/>
      <c r="V147" s="238"/>
      <c r="W147" s="238"/>
      <c r="X147" s="198"/>
      <c r="Y147" s="199">
        <f t="shared" si="166"/>
        <v>0</v>
      </c>
      <c r="Z147" s="200">
        <f>'[6]FY24 Revenue @  CT'!R146</f>
        <v>0</v>
      </c>
      <c r="AA147" s="201">
        <f t="shared" si="167"/>
        <v>0</v>
      </c>
      <c r="AC147" s="166"/>
    </row>
    <row r="148" spans="1:29" ht="12.75" customHeight="1">
      <c r="A148" s="188"/>
      <c r="B148" s="236" t="s">
        <v>914</v>
      </c>
      <c r="C148" s="190"/>
      <c r="D148" s="203">
        <v>6.4</v>
      </c>
      <c r="E148" s="237">
        <f>475*12</f>
        <v>5700</v>
      </c>
      <c r="F148" s="237"/>
      <c r="G148" s="237">
        <v>2813</v>
      </c>
      <c r="H148" s="194"/>
      <c r="I148" s="238"/>
      <c r="J148" s="194"/>
      <c r="K148" s="238"/>
      <c r="L148" s="195">
        <f t="shared" si="161"/>
        <v>0</v>
      </c>
      <c r="M148" s="196">
        <f t="shared" si="162"/>
        <v>0</v>
      </c>
      <c r="N148" s="197"/>
      <c r="O148" s="196">
        <f t="shared" si="163"/>
        <v>0</v>
      </c>
      <c r="P148" s="197"/>
      <c r="Q148" s="196">
        <f t="shared" si="164"/>
        <v>0</v>
      </c>
      <c r="R148" s="238"/>
      <c r="S148" s="196">
        <f t="shared" si="165"/>
        <v>0</v>
      </c>
      <c r="T148" s="238"/>
      <c r="U148" s="238"/>
      <c r="V148" s="238"/>
      <c r="W148" s="238"/>
      <c r="X148" s="198"/>
      <c r="Y148" s="199">
        <f t="shared" si="166"/>
        <v>0</v>
      </c>
      <c r="Z148" s="200">
        <f>'[6]FY24 Revenue @  CT'!R147</f>
        <v>6.4</v>
      </c>
      <c r="AA148" s="201">
        <f t="shared" si="167"/>
        <v>0</v>
      </c>
      <c r="AC148" s="166"/>
    </row>
    <row r="149" spans="1:29" ht="12.75" customHeight="1">
      <c r="A149" s="188"/>
      <c r="B149" s="236" t="s">
        <v>915</v>
      </c>
      <c r="C149" s="190"/>
      <c r="D149" s="203">
        <v>4.6500000000000004</v>
      </c>
      <c r="E149" s="237">
        <f>475*12</f>
        <v>5700</v>
      </c>
      <c r="F149" s="237"/>
      <c r="G149" s="237">
        <v>2813</v>
      </c>
      <c r="H149" s="194"/>
      <c r="I149" s="238"/>
      <c r="J149" s="194"/>
      <c r="K149" s="238"/>
      <c r="L149" s="195">
        <f t="shared" si="161"/>
        <v>0</v>
      </c>
      <c r="M149" s="196">
        <f t="shared" si="162"/>
        <v>0</v>
      </c>
      <c r="N149" s="197"/>
      <c r="O149" s="196">
        <f t="shared" si="163"/>
        <v>0</v>
      </c>
      <c r="P149" s="197"/>
      <c r="Q149" s="196">
        <f t="shared" si="164"/>
        <v>0</v>
      </c>
      <c r="R149" s="238"/>
      <c r="S149" s="196">
        <f t="shared" si="165"/>
        <v>0</v>
      </c>
      <c r="T149" s="238"/>
      <c r="U149" s="238"/>
      <c r="V149" s="238"/>
      <c r="W149" s="238"/>
      <c r="X149" s="198"/>
      <c r="Y149" s="199">
        <f t="shared" si="166"/>
        <v>0</v>
      </c>
      <c r="Z149" s="200">
        <f>'[6]FY24 Revenue @  CT'!R148</f>
        <v>4.6500000000000004</v>
      </c>
      <c r="AA149" s="201">
        <f t="shared" si="167"/>
        <v>0</v>
      </c>
      <c r="AC149" s="166"/>
    </row>
    <row r="150" spans="1:29" ht="12.75" customHeight="1">
      <c r="A150" s="188"/>
      <c r="B150" s="236" t="s">
        <v>916</v>
      </c>
      <c r="C150" s="190"/>
      <c r="D150" s="203">
        <v>5.4</v>
      </c>
      <c r="E150" s="237">
        <f>475*12</f>
        <v>5700</v>
      </c>
      <c r="F150" s="237"/>
      <c r="G150" s="237">
        <v>2813</v>
      </c>
      <c r="H150" s="194"/>
      <c r="I150" s="238"/>
      <c r="J150" s="194"/>
      <c r="K150" s="238"/>
      <c r="L150" s="195">
        <f t="shared" si="161"/>
        <v>0</v>
      </c>
      <c r="M150" s="196">
        <f t="shared" si="162"/>
        <v>0</v>
      </c>
      <c r="N150" s="197"/>
      <c r="O150" s="196">
        <f t="shared" si="163"/>
        <v>0</v>
      </c>
      <c r="P150" s="197"/>
      <c r="Q150" s="196">
        <f t="shared" si="164"/>
        <v>0</v>
      </c>
      <c r="R150" s="238"/>
      <c r="S150" s="196">
        <f t="shared" si="165"/>
        <v>0</v>
      </c>
      <c r="T150" s="238"/>
      <c r="U150" s="238"/>
      <c r="V150" s="238"/>
      <c r="W150" s="238"/>
      <c r="X150" s="198"/>
      <c r="Y150" s="199">
        <f t="shared" si="166"/>
        <v>0</v>
      </c>
      <c r="Z150" s="200">
        <f>'[6]FY24 Revenue @  CT'!R149</f>
        <v>5.4</v>
      </c>
      <c r="AA150" s="201">
        <f t="shared" si="167"/>
        <v>0</v>
      </c>
      <c r="AC150" s="166"/>
    </row>
    <row r="151" spans="1:29" ht="12.75" customHeight="1">
      <c r="A151" s="188"/>
      <c r="B151" s="236" t="s">
        <v>592</v>
      </c>
      <c r="C151" s="190"/>
      <c r="D151" s="203">
        <v>7</v>
      </c>
      <c r="E151" s="237">
        <v>0</v>
      </c>
      <c r="F151" s="237"/>
      <c r="G151" s="237"/>
      <c r="H151" s="194"/>
      <c r="I151" s="238"/>
      <c r="J151" s="194"/>
      <c r="K151" s="238"/>
      <c r="L151" s="195">
        <f t="shared" si="161"/>
        <v>0</v>
      </c>
      <c r="M151" s="196">
        <f t="shared" si="162"/>
        <v>0</v>
      </c>
      <c r="N151" s="197"/>
      <c r="O151" s="196">
        <f t="shared" si="163"/>
        <v>0</v>
      </c>
      <c r="P151" s="197"/>
      <c r="Q151" s="196">
        <f t="shared" si="164"/>
        <v>0</v>
      </c>
      <c r="R151" s="238"/>
      <c r="S151" s="196">
        <f t="shared" si="165"/>
        <v>0</v>
      </c>
      <c r="T151" s="238"/>
      <c r="U151" s="238"/>
      <c r="V151" s="238"/>
      <c r="W151" s="238"/>
      <c r="X151" s="198"/>
      <c r="Y151" s="199">
        <f t="shared" si="166"/>
        <v>0</v>
      </c>
      <c r="Z151" s="200">
        <f>'[6]FY24 Revenue @  CT'!R150</f>
        <v>7</v>
      </c>
      <c r="AA151" s="201">
        <f t="shared" si="167"/>
        <v>0</v>
      </c>
      <c r="AC151" s="166"/>
    </row>
    <row r="152" spans="1:29" ht="12.75" customHeight="1">
      <c r="A152" s="188"/>
      <c r="B152" s="251" t="s">
        <v>754</v>
      </c>
      <c r="C152" s="190"/>
      <c r="D152" s="217">
        <v>6.7</v>
      </c>
      <c r="E152" s="207">
        <f>475*12</f>
        <v>5700</v>
      </c>
      <c r="F152" s="217"/>
      <c r="G152" s="218">
        <v>2813</v>
      </c>
      <c r="H152" s="194"/>
      <c r="I152" s="217"/>
      <c r="J152" s="194"/>
      <c r="K152" s="217"/>
      <c r="L152" s="195">
        <f t="shared" si="161"/>
        <v>0</v>
      </c>
      <c r="M152" s="196">
        <f t="shared" si="162"/>
        <v>0</v>
      </c>
      <c r="N152" s="197"/>
      <c r="O152" s="196">
        <f t="shared" si="163"/>
        <v>0</v>
      </c>
      <c r="P152" s="197"/>
      <c r="Q152" s="196">
        <f t="shared" si="164"/>
        <v>0</v>
      </c>
      <c r="R152" s="217"/>
      <c r="S152" s="196">
        <f t="shared" si="165"/>
        <v>0</v>
      </c>
      <c r="T152" s="217"/>
      <c r="U152" s="217"/>
      <c r="V152" s="217"/>
      <c r="W152" s="217"/>
      <c r="X152" s="198"/>
      <c r="Y152" s="199">
        <f t="shared" si="166"/>
        <v>0</v>
      </c>
      <c r="Z152" s="200">
        <f>'[6]FY24 Revenue @  CT'!R151</f>
        <v>6.7</v>
      </c>
      <c r="AA152" s="201">
        <f t="shared" si="167"/>
        <v>0</v>
      </c>
      <c r="AC152" s="166"/>
    </row>
    <row r="153" spans="1:29" s="242" customFormat="1" ht="12.75" customHeight="1">
      <c r="A153" s="256"/>
      <c r="B153" s="215" t="s">
        <v>755</v>
      </c>
      <c r="C153" s="257"/>
      <c r="D153" s="217"/>
      <c r="E153" s="243"/>
      <c r="F153" s="217"/>
      <c r="G153" s="218">
        <v>2813</v>
      </c>
      <c r="H153" s="228">
        <f>SUM(H154:H161)</f>
        <v>0</v>
      </c>
      <c r="I153" s="228">
        <f t="shared" ref="I153:Q153" si="168">SUM(I154:I161)</f>
        <v>0</v>
      </c>
      <c r="J153" s="228">
        <f t="shared" si="168"/>
        <v>0</v>
      </c>
      <c r="K153" s="228">
        <f t="shared" si="168"/>
        <v>0</v>
      </c>
      <c r="L153" s="228">
        <f t="shared" si="168"/>
        <v>0</v>
      </c>
      <c r="M153" s="228">
        <f t="shared" si="168"/>
        <v>0</v>
      </c>
      <c r="N153" s="228">
        <f t="shared" si="168"/>
        <v>0</v>
      </c>
      <c r="O153" s="228">
        <f t="shared" si="168"/>
        <v>0</v>
      </c>
      <c r="P153" s="228">
        <f t="shared" si="168"/>
        <v>0</v>
      </c>
      <c r="Q153" s="228">
        <f t="shared" si="168"/>
        <v>0</v>
      </c>
      <c r="R153" s="217"/>
      <c r="S153" s="258">
        <f t="shared" si="165"/>
        <v>0</v>
      </c>
      <c r="T153" s="217"/>
      <c r="U153" s="217"/>
      <c r="V153" s="217"/>
      <c r="W153" s="217"/>
      <c r="X153" s="228">
        <f t="shared" ref="X153" si="169">SUM(X154:X161)</f>
        <v>0</v>
      </c>
      <c r="Y153" s="199">
        <f t="shared" si="166"/>
        <v>0</v>
      </c>
      <c r="Z153" s="200"/>
      <c r="AA153" s="228">
        <f t="shared" ref="AA153" si="170">SUM(AA154:AA161)</f>
        <v>0</v>
      </c>
      <c r="AC153" s="166"/>
    </row>
    <row r="154" spans="1:29" s="92" customFormat="1" ht="15" customHeight="1">
      <c r="A154" s="188"/>
      <c r="B154" s="244" t="s">
        <v>918</v>
      </c>
      <c r="C154" s="190"/>
      <c r="D154" s="217"/>
      <c r="E154" s="243"/>
      <c r="F154" s="217"/>
      <c r="G154" s="218"/>
      <c r="H154" s="194"/>
      <c r="I154" s="217"/>
      <c r="J154" s="194"/>
      <c r="K154" s="217"/>
      <c r="L154" s="195">
        <f t="shared" si="161"/>
        <v>0</v>
      </c>
      <c r="M154" s="196">
        <f t="shared" si="162"/>
        <v>0</v>
      </c>
      <c r="N154" s="197"/>
      <c r="O154" s="196">
        <f t="shared" si="163"/>
        <v>0</v>
      </c>
      <c r="P154" s="197"/>
      <c r="Q154" s="196">
        <f t="shared" si="164"/>
        <v>0</v>
      </c>
      <c r="R154" s="217"/>
      <c r="S154" s="258">
        <f t="shared" si="165"/>
        <v>0</v>
      </c>
      <c r="T154" s="217"/>
      <c r="U154" s="217"/>
      <c r="V154" s="217"/>
      <c r="W154" s="217"/>
      <c r="X154" s="198"/>
      <c r="Y154" s="199">
        <f t="shared" si="166"/>
        <v>0</v>
      </c>
      <c r="Z154" s="200">
        <f>'[6]FY24 Revenue @  CT'!R153</f>
        <v>0</v>
      </c>
      <c r="AA154" s="201">
        <f t="shared" si="167"/>
        <v>0</v>
      </c>
      <c r="AC154" s="166"/>
    </row>
    <row r="155" spans="1:29" s="92" customFormat="1" ht="15" customHeight="1">
      <c r="A155" s="188"/>
      <c r="B155" s="244" t="s">
        <v>914</v>
      </c>
      <c r="C155" s="190"/>
      <c r="D155" s="217">
        <f>4.95+1.5</f>
        <v>6.45</v>
      </c>
      <c r="E155" s="243"/>
      <c r="F155" s="217"/>
      <c r="G155" s="218"/>
      <c r="H155" s="194"/>
      <c r="I155" s="217"/>
      <c r="J155" s="194"/>
      <c r="K155" s="217"/>
      <c r="L155" s="195">
        <f t="shared" si="161"/>
        <v>0</v>
      </c>
      <c r="M155" s="196">
        <f t="shared" si="162"/>
        <v>0</v>
      </c>
      <c r="N155" s="197"/>
      <c r="O155" s="196">
        <f t="shared" si="163"/>
        <v>0</v>
      </c>
      <c r="P155" s="197"/>
      <c r="Q155" s="196">
        <f t="shared" si="164"/>
        <v>0</v>
      </c>
      <c r="R155" s="217"/>
      <c r="S155" s="258">
        <f t="shared" si="165"/>
        <v>0</v>
      </c>
      <c r="T155" s="217"/>
      <c r="U155" s="217"/>
      <c r="V155" s="217"/>
      <c r="W155" s="217"/>
      <c r="X155" s="198"/>
      <c r="Y155" s="199">
        <f t="shared" si="166"/>
        <v>0</v>
      </c>
      <c r="Z155" s="200">
        <f>'[6]FY24 Revenue @  CT'!R154</f>
        <v>6.45</v>
      </c>
      <c r="AA155" s="201">
        <f t="shared" si="167"/>
        <v>0</v>
      </c>
      <c r="AC155" s="166"/>
    </row>
    <row r="156" spans="1:29" s="92" customFormat="1" ht="15" customHeight="1">
      <c r="A156" s="188"/>
      <c r="B156" s="244" t="s">
        <v>915</v>
      </c>
      <c r="C156" s="190"/>
      <c r="D156" s="217">
        <f>4.95-0.75</f>
        <v>4.2</v>
      </c>
      <c r="E156" s="243"/>
      <c r="F156" s="217"/>
      <c r="G156" s="218"/>
      <c r="H156" s="194"/>
      <c r="I156" s="217"/>
      <c r="J156" s="194"/>
      <c r="K156" s="217"/>
      <c r="L156" s="195">
        <f t="shared" si="161"/>
        <v>0</v>
      </c>
      <c r="M156" s="196">
        <f t="shared" si="162"/>
        <v>0</v>
      </c>
      <c r="N156" s="197"/>
      <c r="O156" s="196">
        <f t="shared" si="163"/>
        <v>0</v>
      </c>
      <c r="P156" s="197"/>
      <c r="Q156" s="196">
        <f t="shared" si="164"/>
        <v>0</v>
      </c>
      <c r="R156" s="217"/>
      <c r="S156" s="258">
        <f t="shared" si="165"/>
        <v>0</v>
      </c>
      <c r="T156" s="217"/>
      <c r="U156" s="217"/>
      <c r="V156" s="217"/>
      <c r="W156" s="217"/>
      <c r="X156" s="198"/>
      <c r="Y156" s="199">
        <f t="shared" si="166"/>
        <v>0</v>
      </c>
      <c r="Z156" s="200">
        <f>'[6]FY24 Revenue @  CT'!R155</f>
        <v>4.2</v>
      </c>
      <c r="AA156" s="201">
        <f t="shared" si="167"/>
        <v>0</v>
      </c>
      <c r="AC156" s="166"/>
    </row>
    <row r="157" spans="1:29" s="92" customFormat="1" ht="15" customHeight="1">
      <c r="A157" s="188"/>
      <c r="B157" s="244" t="s">
        <v>916</v>
      </c>
      <c r="C157" s="190"/>
      <c r="D157" s="217">
        <v>4.95</v>
      </c>
      <c r="E157" s="243">
        <v>5700</v>
      </c>
      <c r="F157" s="217"/>
      <c r="G157" s="218">
        <v>2813</v>
      </c>
      <c r="H157" s="194"/>
      <c r="I157" s="217"/>
      <c r="J157" s="228"/>
      <c r="K157" s="217"/>
      <c r="L157" s="195">
        <f t="shared" si="161"/>
        <v>0</v>
      </c>
      <c r="M157" s="196">
        <f t="shared" si="162"/>
        <v>0</v>
      </c>
      <c r="N157" s="197"/>
      <c r="O157" s="196">
        <f t="shared" si="163"/>
        <v>0</v>
      </c>
      <c r="P157" s="197"/>
      <c r="Q157" s="196">
        <f t="shared" si="164"/>
        <v>0</v>
      </c>
      <c r="R157" s="217"/>
      <c r="S157" s="258">
        <f t="shared" si="165"/>
        <v>0</v>
      </c>
      <c r="T157" s="217"/>
      <c r="U157" s="217"/>
      <c r="V157" s="217"/>
      <c r="W157" s="217"/>
      <c r="X157" s="198"/>
      <c r="Y157" s="199">
        <f t="shared" si="166"/>
        <v>0</v>
      </c>
      <c r="Z157" s="200">
        <f>'[6]FY24 Revenue @  CT'!R156</f>
        <v>4.95</v>
      </c>
      <c r="AA157" s="201">
        <f t="shared" si="167"/>
        <v>0</v>
      </c>
      <c r="AC157" s="166"/>
    </row>
    <row r="158" spans="1:29" s="92" customFormat="1" ht="15" customHeight="1">
      <c r="A158" s="188"/>
      <c r="B158" s="244" t="s">
        <v>917</v>
      </c>
      <c r="C158" s="190"/>
      <c r="D158" s="217"/>
      <c r="E158" s="243"/>
      <c r="F158" s="217"/>
      <c r="G158" s="218"/>
      <c r="H158" s="194"/>
      <c r="I158" s="217"/>
      <c r="J158" s="194"/>
      <c r="K158" s="217"/>
      <c r="L158" s="195">
        <f t="shared" si="161"/>
        <v>0</v>
      </c>
      <c r="M158" s="196">
        <f t="shared" si="162"/>
        <v>0</v>
      </c>
      <c r="N158" s="197"/>
      <c r="O158" s="196">
        <f t="shared" si="163"/>
        <v>0</v>
      </c>
      <c r="P158" s="197"/>
      <c r="Q158" s="196">
        <f t="shared" si="164"/>
        <v>0</v>
      </c>
      <c r="R158" s="217"/>
      <c r="S158" s="258">
        <f t="shared" si="165"/>
        <v>0</v>
      </c>
      <c r="T158" s="217"/>
      <c r="U158" s="217"/>
      <c r="V158" s="217"/>
      <c r="W158" s="217"/>
      <c r="X158" s="198"/>
      <c r="Y158" s="199">
        <f t="shared" si="166"/>
        <v>0</v>
      </c>
      <c r="Z158" s="200">
        <f>'[6]FY24 Revenue @  CT'!R157</f>
        <v>0</v>
      </c>
      <c r="AA158" s="201">
        <f t="shared" si="167"/>
        <v>0</v>
      </c>
      <c r="AC158" s="166"/>
    </row>
    <row r="159" spans="1:29" s="92" customFormat="1" ht="15" customHeight="1">
      <c r="A159" s="188"/>
      <c r="B159" s="244" t="s">
        <v>914</v>
      </c>
      <c r="C159" s="190"/>
      <c r="D159" s="217">
        <f>4.95+1</f>
        <v>5.95</v>
      </c>
      <c r="E159" s="243"/>
      <c r="F159" s="217"/>
      <c r="G159" s="218"/>
      <c r="H159" s="194"/>
      <c r="I159" s="217"/>
      <c r="J159" s="194"/>
      <c r="K159" s="217"/>
      <c r="L159" s="195">
        <f t="shared" si="161"/>
        <v>0</v>
      </c>
      <c r="M159" s="196">
        <f t="shared" si="162"/>
        <v>0</v>
      </c>
      <c r="N159" s="197"/>
      <c r="O159" s="196">
        <f t="shared" si="163"/>
        <v>0</v>
      </c>
      <c r="P159" s="197"/>
      <c r="Q159" s="196">
        <f t="shared" si="164"/>
        <v>0</v>
      </c>
      <c r="R159" s="217"/>
      <c r="S159" s="258">
        <f t="shared" si="165"/>
        <v>0</v>
      </c>
      <c r="T159" s="217"/>
      <c r="U159" s="217"/>
      <c r="V159" s="217"/>
      <c r="W159" s="217"/>
      <c r="X159" s="198"/>
      <c r="Y159" s="199">
        <f t="shared" si="166"/>
        <v>0</v>
      </c>
      <c r="Z159" s="200">
        <f>'[6]FY24 Revenue @  CT'!R158</f>
        <v>5.95</v>
      </c>
      <c r="AA159" s="201">
        <f t="shared" si="167"/>
        <v>0</v>
      </c>
      <c r="AC159" s="166"/>
    </row>
    <row r="160" spans="1:29" s="92" customFormat="1" ht="15" customHeight="1">
      <c r="A160" s="188"/>
      <c r="B160" s="244" t="s">
        <v>915</v>
      </c>
      <c r="C160" s="190"/>
      <c r="D160" s="217">
        <f>4.95-0.75</f>
        <v>4.2</v>
      </c>
      <c r="E160" s="243"/>
      <c r="F160" s="217"/>
      <c r="G160" s="218"/>
      <c r="H160" s="194"/>
      <c r="I160" s="217"/>
      <c r="J160" s="194"/>
      <c r="K160" s="217"/>
      <c r="L160" s="195">
        <f t="shared" si="161"/>
        <v>0</v>
      </c>
      <c r="M160" s="196">
        <f t="shared" si="162"/>
        <v>0</v>
      </c>
      <c r="N160" s="197"/>
      <c r="O160" s="196">
        <f t="shared" si="163"/>
        <v>0</v>
      </c>
      <c r="P160" s="197"/>
      <c r="Q160" s="196">
        <f t="shared" si="164"/>
        <v>0</v>
      </c>
      <c r="R160" s="217"/>
      <c r="S160" s="258">
        <f t="shared" si="165"/>
        <v>0</v>
      </c>
      <c r="T160" s="217"/>
      <c r="U160" s="217"/>
      <c r="V160" s="217"/>
      <c r="W160" s="217"/>
      <c r="X160" s="198"/>
      <c r="Y160" s="199">
        <f t="shared" si="166"/>
        <v>0</v>
      </c>
      <c r="Z160" s="200">
        <f>'[6]FY24 Revenue @  CT'!R159</f>
        <v>4.2</v>
      </c>
      <c r="AA160" s="201">
        <f t="shared" si="167"/>
        <v>0</v>
      </c>
      <c r="AC160" s="166"/>
    </row>
    <row r="161" spans="1:29" s="92" customFormat="1" ht="15" customHeight="1">
      <c r="A161" s="188"/>
      <c r="B161" s="244" t="s">
        <v>916</v>
      </c>
      <c r="C161" s="190"/>
      <c r="D161" s="217">
        <v>4.95</v>
      </c>
      <c r="E161" s="243">
        <v>5700</v>
      </c>
      <c r="F161" s="217"/>
      <c r="G161" s="218">
        <v>2813</v>
      </c>
      <c r="H161" s="194"/>
      <c r="I161" s="217"/>
      <c r="J161" s="194"/>
      <c r="K161" s="217"/>
      <c r="L161" s="195">
        <f t="shared" si="161"/>
        <v>0</v>
      </c>
      <c r="M161" s="196">
        <f t="shared" si="162"/>
        <v>0</v>
      </c>
      <c r="N161" s="197"/>
      <c r="O161" s="196">
        <f t="shared" si="163"/>
        <v>0</v>
      </c>
      <c r="P161" s="197"/>
      <c r="Q161" s="196">
        <f t="shared" si="164"/>
        <v>0</v>
      </c>
      <c r="R161" s="217"/>
      <c r="S161" s="258">
        <f t="shared" si="165"/>
        <v>0</v>
      </c>
      <c r="T161" s="217"/>
      <c r="U161" s="217"/>
      <c r="V161" s="217"/>
      <c r="W161" s="217"/>
      <c r="X161" s="198"/>
      <c r="Y161" s="199">
        <f t="shared" si="166"/>
        <v>0</v>
      </c>
      <c r="Z161" s="200">
        <f>'[6]FY24 Revenue @  CT'!R160</f>
        <v>4.95</v>
      </c>
      <c r="AA161" s="201">
        <f t="shared" si="167"/>
        <v>0</v>
      </c>
      <c r="AC161" s="166"/>
    </row>
    <row r="162" spans="1:29" s="92" customFormat="1" ht="15" customHeight="1">
      <c r="A162" s="188"/>
      <c r="B162" s="239" t="s">
        <v>751</v>
      </c>
      <c r="C162" s="250">
        <f>SUM(C163:C166)</f>
        <v>0</v>
      </c>
      <c r="D162" s="240"/>
      <c r="E162" s="240"/>
      <c r="F162" s="240"/>
      <c r="G162" s="240"/>
      <c r="H162" s="240">
        <f>SUM(H163:H166)</f>
        <v>0</v>
      </c>
      <c r="I162" s="240">
        <f t="shared" ref="I162:AA162" si="171">SUM(I163:I166)</f>
        <v>0</v>
      </c>
      <c r="J162" s="240">
        <f t="shared" si="171"/>
        <v>0</v>
      </c>
      <c r="K162" s="240">
        <f t="shared" si="171"/>
        <v>0</v>
      </c>
      <c r="L162" s="240">
        <f t="shared" si="171"/>
        <v>0</v>
      </c>
      <c r="M162" s="240">
        <f t="shared" si="171"/>
        <v>0</v>
      </c>
      <c r="N162" s="240">
        <f t="shared" si="171"/>
        <v>0</v>
      </c>
      <c r="O162" s="240">
        <f t="shared" si="171"/>
        <v>0</v>
      </c>
      <c r="P162" s="240">
        <f t="shared" si="171"/>
        <v>0</v>
      </c>
      <c r="Q162" s="240">
        <f t="shared" si="171"/>
        <v>0</v>
      </c>
      <c r="R162" s="240"/>
      <c r="S162" s="240">
        <f t="shared" si="171"/>
        <v>0</v>
      </c>
      <c r="T162" s="240">
        <f t="shared" si="171"/>
        <v>0</v>
      </c>
      <c r="U162" s="240">
        <f t="shared" si="171"/>
        <v>0</v>
      </c>
      <c r="V162" s="240">
        <f t="shared" si="171"/>
        <v>0</v>
      </c>
      <c r="W162" s="240">
        <f t="shared" si="171"/>
        <v>0</v>
      </c>
      <c r="X162" s="240">
        <f t="shared" si="171"/>
        <v>0</v>
      </c>
      <c r="Y162" s="240">
        <f t="shared" si="171"/>
        <v>0</v>
      </c>
      <c r="Z162" s="240"/>
      <c r="AA162" s="241">
        <f t="shared" si="171"/>
        <v>0</v>
      </c>
      <c r="AC162" s="166"/>
    </row>
    <row r="163" spans="1:29" ht="24.75" customHeight="1">
      <c r="A163" s="188"/>
      <c r="B163" s="236" t="s">
        <v>756</v>
      </c>
      <c r="C163" s="190"/>
      <c r="D163" s="203">
        <v>6.7</v>
      </c>
      <c r="E163" s="237">
        <f>475*12</f>
        <v>5700</v>
      </c>
      <c r="F163" s="237"/>
      <c r="G163" s="237">
        <v>2813</v>
      </c>
      <c r="H163" s="194"/>
      <c r="I163" s="238"/>
      <c r="J163" s="194"/>
      <c r="K163" s="238"/>
      <c r="L163" s="195">
        <f t="shared" ref="L163:L166" si="172">D163*H163/10</f>
        <v>0</v>
      </c>
      <c r="M163" s="196">
        <f t="shared" ref="M163:M166" si="173">IF(E163&gt;0,(J163*10^3*E163/10^7)+(K163*0.7457*E163/10^7),(K163*F163/10^7)+(J163*(10^3)*(1/0.7457)*F163/10^7))</f>
        <v>0</v>
      </c>
      <c r="N163" s="197"/>
      <c r="O163" s="196">
        <f t="shared" ref="O163:O166" si="174">G163*C163*12/10^7</f>
        <v>0</v>
      </c>
      <c r="P163" s="197"/>
      <c r="Q163" s="196">
        <f t="shared" ref="Q163:Q166" si="175">L163+M163+N163+O163+P163</f>
        <v>0</v>
      </c>
      <c r="R163" s="238"/>
      <c r="S163" s="196">
        <f t="shared" ref="S163:S166" si="176">Q163-R163</f>
        <v>0</v>
      </c>
      <c r="T163" s="238"/>
      <c r="U163" s="238"/>
      <c r="V163" s="238"/>
      <c r="W163" s="238"/>
      <c r="X163" s="198"/>
      <c r="Y163" s="199">
        <f t="shared" ref="Y163:Y166" si="177">S163+X163</f>
        <v>0</v>
      </c>
      <c r="Z163" s="200">
        <f>'[6]FY24 Revenue @  CT'!R162</f>
        <v>6.7</v>
      </c>
      <c r="AA163" s="201">
        <f t="shared" ref="AA163:AA166" si="178">(H163*Z163/10)+M163+O163+N163+P163+X163</f>
        <v>0</v>
      </c>
      <c r="AC163" s="166"/>
    </row>
    <row r="164" spans="1:29" ht="12.75" customHeight="1">
      <c r="A164" s="188"/>
      <c r="B164" s="236" t="s">
        <v>757</v>
      </c>
      <c r="C164" s="190"/>
      <c r="D164" s="203">
        <v>7</v>
      </c>
      <c r="E164" s="237">
        <f>475*12</f>
        <v>5700</v>
      </c>
      <c r="F164" s="237"/>
      <c r="G164" s="237">
        <v>2813</v>
      </c>
      <c r="H164" s="194"/>
      <c r="I164" s="238"/>
      <c r="J164" s="194"/>
      <c r="K164" s="238"/>
      <c r="L164" s="195">
        <f t="shared" si="172"/>
        <v>0</v>
      </c>
      <c r="M164" s="196">
        <f t="shared" si="173"/>
        <v>0</v>
      </c>
      <c r="N164" s="197"/>
      <c r="O164" s="196">
        <f t="shared" si="174"/>
        <v>0</v>
      </c>
      <c r="P164" s="197"/>
      <c r="Q164" s="196">
        <f t="shared" si="175"/>
        <v>0</v>
      </c>
      <c r="R164" s="238"/>
      <c r="S164" s="196">
        <f t="shared" si="176"/>
        <v>0</v>
      </c>
      <c r="T164" s="238"/>
      <c r="U164" s="238"/>
      <c r="V164" s="238"/>
      <c r="W164" s="238"/>
      <c r="X164" s="198"/>
      <c r="Y164" s="199">
        <f t="shared" si="177"/>
        <v>0</v>
      </c>
      <c r="Z164" s="200">
        <f>'[6]FY24 Revenue @  CT'!R163</f>
        <v>7</v>
      </c>
      <c r="AA164" s="201">
        <f t="shared" si="178"/>
        <v>0</v>
      </c>
      <c r="AC164" s="166"/>
    </row>
    <row r="165" spans="1:29" ht="12.75" customHeight="1">
      <c r="A165" s="188"/>
      <c r="B165" s="236" t="s">
        <v>758</v>
      </c>
      <c r="C165" s="190"/>
      <c r="D165" s="203">
        <v>5</v>
      </c>
      <c r="E165" s="237">
        <f>30*12</f>
        <v>360</v>
      </c>
      <c r="F165" s="237"/>
      <c r="G165" s="237">
        <v>2813</v>
      </c>
      <c r="H165" s="194"/>
      <c r="I165" s="238"/>
      <c r="J165" s="194"/>
      <c r="K165" s="238"/>
      <c r="L165" s="195">
        <f t="shared" si="172"/>
        <v>0</v>
      </c>
      <c r="M165" s="196">
        <f t="shared" si="173"/>
        <v>0</v>
      </c>
      <c r="N165" s="197"/>
      <c r="O165" s="196">
        <f t="shared" si="174"/>
        <v>0</v>
      </c>
      <c r="P165" s="197"/>
      <c r="Q165" s="196">
        <f t="shared" si="175"/>
        <v>0</v>
      </c>
      <c r="R165" s="238"/>
      <c r="S165" s="196">
        <f t="shared" si="176"/>
        <v>0</v>
      </c>
      <c r="T165" s="238"/>
      <c r="U165" s="238"/>
      <c r="V165" s="238"/>
      <c r="W165" s="238"/>
      <c r="X165" s="198"/>
      <c r="Y165" s="199">
        <f t="shared" si="177"/>
        <v>0</v>
      </c>
      <c r="Z165" s="200">
        <f>'[6]FY24 Revenue @  CT'!R164</f>
        <v>5</v>
      </c>
      <c r="AA165" s="201">
        <f t="shared" si="178"/>
        <v>0</v>
      </c>
      <c r="AC165" s="166"/>
    </row>
    <row r="166" spans="1:29" ht="12.75" customHeight="1">
      <c r="A166" s="188"/>
      <c r="B166" s="236" t="s">
        <v>759</v>
      </c>
      <c r="C166" s="190"/>
      <c r="D166" s="203">
        <v>5.5</v>
      </c>
      <c r="E166" s="237">
        <f>350*12</f>
        <v>4200</v>
      </c>
      <c r="F166" s="237"/>
      <c r="G166" s="237">
        <v>2813</v>
      </c>
      <c r="H166" s="194"/>
      <c r="I166" s="238"/>
      <c r="J166" s="194"/>
      <c r="K166" s="238"/>
      <c r="L166" s="195">
        <f t="shared" si="172"/>
        <v>0</v>
      </c>
      <c r="M166" s="196">
        <f t="shared" si="173"/>
        <v>0</v>
      </c>
      <c r="N166" s="197"/>
      <c r="O166" s="196">
        <f t="shared" si="174"/>
        <v>0</v>
      </c>
      <c r="P166" s="197"/>
      <c r="Q166" s="196">
        <f t="shared" si="175"/>
        <v>0</v>
      </c>
      <c r="R166" s="238"/>
      <c r="S166" s="196">
        <f t="shared" si="176"/>
        <v>0</v>
      </c>
      <c r="T166" s="238"/>
      <c r="U166" s="238"/>
      <c r="V166" s="238"/>
      <c r="W166" s="238"/>
      <c r="X166" s="198"/>
      <c r="Y166" s="199">
        <f t="shared" si="177"/>
        <v>0</v>
      </c>
      <c r="Z166" s="200">
        <f>'[6]FY24 Revenue @  CT'!R165</f>
        <v>5.5</v>
      </c>
      <c r="AA166" s="201">
        <f t="shared" si="178"/>
        <v>0</v>
      </c>
      <c r="AC166" s="166"/>
    </row>
    <row r="167" spans="1:29" ht="12.75" customHeight="1">
      <c r="A167" s="188"/>
      <c r="B167" s="239" t="s">
        <v>752</v>
      </c>
      <c r="C167" s="250">
        <f>C168+C169</f>
        <v>0</v>
      </c>
      <c r="D167" s="240"/>
      <c r="E167" s="240"/>
      <c r="F167" s="240"/>
      <c r="G167" s="240"/>
      <c r="H167" s="240">
        <f>H168+H169</f>
        <v>0</v>
      </c>
      <c r="I167" s="240">
        <f t="shared" ref="I167:AA167" si="179">I168+I169</f>
        <v>0</v>
      </c>
      <c r="J167" s="240">
        <f t="shared" si="179"/>
        <v>0</v>
      </c>
      <c r="K167" s="240">
        <f t="shared" si="179"/>
        <v>0</v>
      </c>
      <c r="L167" s="240">
        <f t="shared" si="179"/>
        <v>0</v>
      </c>
      <c r="M167" s="240">
        <f t="shared" si="179"/>
        <v>0</v>
      </c>
      <c r="N167" s="240">
        <f t="shared" si="179"/>
        <v>0</v>
      </c>
      <c r="O167" s="240">
        <f t="shared" si="179"/>
        <v>0</v>
      </c>
      <c r="P167" s="240">
        <f t="shared" si="179"/>
        <v>0</v>
      </c>
      <c r="Q167" s="240">
        <f t="shared" si="179"/>
        <v>0</v>
      </c>
      <c r="R167" s="240">
        <f t="shared" si="179"/>
        <v>0</v>
      </c>
      <c r="S167" s="240">
        <f t="shared" si="179"/>
        <v>0</v>
      </c>
      <c r="T167" s="240">
        <f t="shared" si="179"/>
        <v>0</v>
      </c>
      <c r="U167" s="240">
        <f t="shared" si="179"/>
        <v>0</v>
      </c>
      <c r="V167" s="240">
        <f t="shared" si="179"/>
        <v>0</v>
      </c>
      <c r="W167" s="240">
        <f t="shared" si="179"/>
        <v>0</v>
      </c>
      <c r="X167" s="240">
        <f t="shared" si="179"/>
        <v>0</v>
      </c>
      <c r="Y167" s="240">
        <f t="shared" si="179"/>
        <v>0</v>
      </c>
      <c r="Z167" s="240"/>
      <c r="AA167" s="241">
        <f t="shared" si="179"/>
        <v>0</v>
      </c>
      <c r="AC167" s="166"/>
    </row>
    <row r="168" spans="1:29" ht="23.25" customHeight="1">
      <c r="A168" s="188"/>
      <c r="B168" s="236" t="s">
        <v>760</v>
      </c>
      <c r="C168" s="190"/>
      <c r="D168" s="203">
        <v>3.85</v>
      </c>
      <c r="E168" s="237">
        <f>30*12</f>
        <v>360</v>
      </c>
      <c r="F168" s="237"/>
      <c r="G168" s="237">
        <v>2813</v>
      </c>
      <c r="H168" s="194"/>
      <c r="I168" s="238"/>
      <c r="J168" s="194"/>
      <c r="K168" s="238"/>
      <c r="L168" s="195">
        <f t="shared" ref="L168:L169" si="180">D168*H168/10</f>
        <v>0</v>
      </c>
      <c r="M168" s="196">
        <f t="shared" ref="M168:M169" si="181">IF(E168&gt;0,(J168*10^3*E168/10^7)+(K168*0.7457*E168/10^7),(K168*F168/10^7)+(J168*(10^3)*(1/0.7457)*F168/10^7))</f>
        <v>0</v>
      </c>
      <c r="N168" s="197"/>
      <c r="O168" s="196">
        <f t="shared" ref="O168:O169" si="182">G168*C168*12/10^7</f>
        <v>0</v>
      </c>
      <c r="P168" s="197"/>
      <c r="Q168" s="196">
        <f t="shared" ref="Q168:Q169" si="183">L168+M168+N168+O168+P168</f>
        <v>0</v>
      </c>
      <c r="R168" s="238"/>
      <c r="S168" s="196">
        <f t="shared" ref="S168:S169" si="184">Q168-R168</f>
        <v>0</v>
      </c>
      <c r="T168" s="238"/>
      <c r="U168" s="238"/>
      <c r="V168" s="238"/>
      <c r="W168" s="238"/>
      <c r="X168" s="198"/>
      <c r="Y168" s="199">
        <f t="shared" ref="Y168:Y169" si="185">S168+X168</f>
        <v>0</v>
      </c>
      <c r="Z168" s="200">
        <f>'[6]FY24 Revenue @  CT'!R167</f>
        <v>3.85</v>
      </c>
      <c r="AA168" s="201">
        <f t="shared" ref="AA168:AA169" si="186">(H168*Z168/10)+M168+O168+N168+P168+X168</f>
        <v>0</v>
      </c>
      <c r="AC168" s="166"/>
    </row>
    <row r="169" spans="1:29" s="92" customFormat="1" ht="27" customHeight="1">
      <c r="A169" s="188"/>
      <c r="B169" s="236" t="s">
        <v>761</v>
      </c>
      <c r="C169" s="190"/>
      <c r="D169" s="203">
        <v>7.15</v>
      </c>
      <c r="E169" s="237">
        <v>0</v>
      </c>
      <c r="F169" s="237"/>
      <c r="G169" s="237">
        <v>2813</v>
      </c>
      <c r="H169" s="194"/>
      <c r="I169" s="238"/>
      <c r="J169" s="194"/>
      <c r="K169" s="238">
        <f>SUM(K171:K174)</f>
        <v>0</v>
      </c>
      <c r="L169" s="195">
        <f t="shared" si="180"/>
        <v>0</v>
      </c>
      <c r="M169" s="196">
        <f t="shared" si="181"/>
        <v>0</v>
      </c>
      <c r="N169" s="197"/>
      <c r="O169" s="196">
        <f t="shared" si="182"/>
        <v>0</v>
      </c>
      <c r="P169" s="197"/>
      <c r="Q169" s="196">
        <f t="shared" si="183"/>
        <v>0</v>
      </c>
      <c r="R169" s="238"/>
      <c r="S169" s="196">
        <f t="shared" si="184"/>
        <v>0</v>
      </c>
      <c r="T169" s="238"/>
      <c r="U169" s="238"/>
      <c r="V169" s="238"/>
      <c r="W169" s="238"/>
      <c r="X169" s="198"/>
      <c r="Y169" s="199">
        <f t="shared" si="185"/>
        <v>0</v>
      </c>
      <c r="Z169" s="200">
        <f>'[6]FY24 Revenue @  CT'!R168</f>
        <v>7.15</v>
      </c>
      <c r="AA169" s="201">
        <f t="shared" si="186"/>
        <v>0</v>
      </c>
      <c r="AC169" s="166"/>
    </row>
    <row r="170" spans="1:29" s="92" customFormat="1" ht="15" customHeight="1">
      <c r="A170" s="188"/>
      <c r="B170" s="253"/>
      <c r="C170" s="193"/>
      <c r="D170" s="203"/>
      <c r="E170" s="237"/>
      <c r="F170" s="237"/>
      <c r="G170" s="237"/>
      <c r="H170" s="238"/>
      <c r="I170" s="238"/>
      <c r="J170" s="238"/>
      <c r="K170" s="238"/>
      <c r="L170" s="195"/>
      <c r="M170" s="196"/>
      <c r="N170" s="197"/>
      <c r="O170" s="196"/>
      <c r="P170" s="197"/>
      <c r="Q170" s="196"/>
      <c r="R170" s="238"/>
      <c r="S170" s="238"/>
      <c r="T170" s="238"/>
      <c r="U170" s="238"/>
      <c r="V170" s="238"/>
      <c r="W170" s="238"/>
      <c r="X170" s="238"/>
      <c r="Y170" s="199"/>
      <c r="Z170" s="203"/>
      <c r="AA170" s="259"/>
      <c r="AC170" s="166"/>
    </row>
    <row r="171" spans="1:29" ht="13.5" customHeight="1">
      <c r="A171" s="188"/>
      <c r="B171" s="232" t="s">
        <v>919</v>
      </c>
      <c r="C171" s="255">
        <f>C172+C173+C180+C201+C206</f>
        <v>0</v>
      </c>
      <c r="D171" s="233"/>
      <c r="E171" s="233"/>
      <c r="F171" s="233"/>
      <c r="G171" s="234"/>
      <c r="H171" s="233">
        <f>H172+H173+H180+H201+H206</f>
        <v>0</v>
      </c>
      <c r="I171" s="233">
        <f t="shared" ref="I171:AA171" si="187">I172+I173+I180+I201+I206</f>
        <v>0</v>
      </c>
      <c r="J171" s="233">
        <f t="shared" si="187"/>
        <v>0</v>
      </c>
      <c r="K171" s="233">
        <f t="shared" si="187"/>
        <v>0</v>
      </c>
      <c r="L171" s="233">
        <f t="shared" si="187"/>
        <v>0</v>
      </c>
      <c r="M171" s="233">
        <f t="shared" si="187"/>
        <v>0</v>
      </c>
      <c r="N171" s="233">
        <f t="shared" si="187"/>
        <v>0</v>
      </c>
      <c r="O171" s="233">
        <f t="shared" si="187"/>
        <v>0</v>
      </c>
      <c r="P171" s="233">
        <f t="shared" si="187"/>
        <v>0</v>
      </c>
      <c r="Q171" s="233">
        <f t="shared" si="187"/>
        <v>0</v>
      </c>
      <c r="R171" s="233">
        <f t="shared" si="187"/>
        <v>0</v>
      </c>
      <c r="S171" s="233">
        <f t="shared" si="187"/>
        <v>0</v>
      </c>
      <c r="T171" s="233">
        <f t="shared" si="187"/>
        <v>0</v>
      </c>
      <c r="U171" s="233">
        <f t="shared" si="187"/>
        <v>0</v>
      </c>
      <c r="V171" s="233">
        <f t="shared" si="187"/>
        <v>0</v>
      </c>
      <c r="W171" s="233">
        <f t="shared" si="187"/>
        <v>0</v>
      </c>
      <c r="X171" s="233">
        <f t="shared" si="187"/>
        <v>0</v>
      </c>
      <c r="Y171" s="233">
        <f t="shared" si="187"/>
        <v>0</v>
      </c>
      <c r="Z171" s="233"/>
      <c r="AA171" s="235">
        <f t="shared" si="187"/>
        <v>0</v>
      </c>
      <c r="AC171" s="166"/>
    </row>
    <row r="172" spans="1:29" ht="13.5" customHeight="1">
      <c r="A172" s="188"/>
      <c r="B172" s="236" t="s">
        <v>743</v>
      </c>
      <c r="C172" s="190"/>
      <c r="D172" s="203">
        <v>7</v>
      </c>
      <c r="E172" s="237">
        <f>75*12</f>
        <v>900</v>
      </c>
      <c r="F172" s="237"/>
      <c r="G172" s="237">
        <v>2813</v>
      </c>
      <c r="H172" s="194"/>
      <c r="I172" s="238"/>
      <c r="J172" s="194"/>
      <c r="K172" s="238"/>
      <c r="L172" s="195">
        <f t="shared" ref="L172" si="188">D172*H172/10</f>
        <v>0</v>
      </c>
      <c r="M172" s="196">
        <f t="shared" ref="M172" si="189">IF(E172&gt;0,(J172*10^3*E172/10^7)+(K172*0.7457*E172/10^7),(K172*F172/10^7)+(J172*(10^3)*(1/0.7457)*F172/10^7))</f>
        <v>0</v>
      </c>
      <c r="N172" s="197"/>
      <c r="O172" s="196">
        <f t="shared" ref="O172" si="190">G172*C172*12/10^7</f>
        <v>0</v>
      </c>
      <c r="P172" s="197"/>
      <c r="Q172" s="196">
        <f t="shared" ref="Q172" si="191">L172+M172+N172+O172+P172</f>
        <v>0</v>
      </c>
      <c r="R172" s="238"/>
      <c r="S172" s="196">
        <f t="shared" ref="S172" si="192">Q172-R172</f>
        <v>0</v>
      </c>
      <c r="T172" s="238"/>
      <c r="U172" s="238"/>
      <c r="V172" s="238"/>
      <c r="W172" s="238"/>
      <c r="X172" s="198"/>
      <c r="Y172" s="199">
        <f t="shared" ref="Y172" si="193">S172+X172</f>
        <v>0</v>
      </c>
      <c r="Z172" s="200">
        <f>'[6]FY24 Revenue @  CT'!R171</f>
        <v>7</v>
      </c>
      <c r="AA172" s="201">
        <f t="shared" ref="AA172" si="194">(H172*Z172/10)+M172+O172+N172+P172+X172</f>
        <v>0</v>
      </c>
      <c r="AC172" s="166"/>
    </row>
    <row r="173" spans="1:29" ht="13.5" customHeight="1">
      <c r="A173" s="188"/>
      <c r="B173" s="239" t="s">
        <v>744</v>
      </c>
      <c r="C173" s="240">
        <f>SUM(C174:C179)</f>
        <v>0</v>
      </c>
      <c r="D173" s="240"/>
      <c r="E173" s="240"/>
      <c r="F173" s="240"/>
      <c r="G173" s="240"/>
      <c r="H173" s="240">
        <f>SUM(H174:H179)</f>
        <v>0</v>
      </c>
      <c r="I173" s="240">
        <f t="shared" ref="I173:AA173" si="195">SUM(I174:I179)</f>
        <v>0</v>
      </c>
      <c r="J173" s="240">
        <f t="shared" si="195"/>
        <v>0</v>
      </c>
      <c r="K173" s="240">
        <f t="shared" si="195"/>
        <v>0</v>
      </c>
      <c r="L173" s="240">
        <f t="shared" si="195"/>
        <v>0</v>
      </c>
      <c r="M173" s="240">
        <f t="shared" si="195"/>
        <v>0</v>
      </c>
      <c r="N173" s="240">
        <f t="shared" si="195"/>
        <v>0</v>
      </c>
      <c r="O173" s="240">
        <f t="shared" si="195"/>
        <v>0</v>
      </c>
      <c r="P173" s="240">
        <f t="shared" si="195"/>
        <v>0</v>
      </c>
      <c r="Q173" s="240">
        <f t="shared" si="195"/>
        <v>0</v>
      </c>
      <c r="R173" s="240">
        <f t="shared" si="195"/>
        <v>0</v>
      </c>
      <c r="S173" s="240">
        <f t="shared" si="195"/>
        <v>0</v>
      </c>
      <c r="T173" s="240">
        <f t="shared" si="195"/>
        <v>0</v>
      </c>
      <c r="U173" s="240">
        <f t="shared" si="195"/>
        <v>0</v>
      </c>
      <c r="V173" s="240">
        <f t="shared" si="195"/>
        <v>0</v>
      </c>
      <c r="W173" s="240">
        <f t="shared" si="195"/>
        <v>0</v>
      </c>
      <c r="X173" s="240">
        <f t="shared" si="195"/>
        <v>0</v>
      </c>
      <c r="Y173" s="240">
        <f t="shared" si="195"/>
        <v>0</v>
      </c>
      <c r="Z173" s="240"/>
      <c r="AA173" s="241">
        <f t="shared" si="195"/>
        <v>0</v>
      </c>
      <c r="AC173" s="166"/>
    </row>
    <row r="174" spans="1:29" ht="14.25" customHeight="1">
      <c r="A174" s="188"/>
      <c r="B174" s="236" t="s">
        <v>745</v>
      </c>
      <c r="C174" s="190"/>
      <c r="D174" s="203">
        <v>6.65</v>
      </c>
      <c r="E174" s="237">
        <f>475*12</f>
        <v>5700</v>
      </c>
      <c r="F174" s="237"/>
      <c r="G174" s="237">
        <v>2813</v>
      </c>
      <c r="H174" s="194"/>
      <c r="I174" s="238"/>
      <c r="J174" s="194"/>
      <c r="K174" s="238"/>
      <c r="L174" s="195">
        <f t="shared" ref="L174:L179" si="196">D174*H174/10</f>
        <v>0</v>
      </c>
      <c r="M174" s="196">
        <f t="shared" ref="M174:M179" si="197">IF(E174&gt;0,(J174*10^3*E174/10^7)+(K174*0.7457*E174/10^7),(K174*F174/10^7)+(J174*(10^3)*(1/0.7457)*F174/10^7))</f>
        <v>0</v>
      </c>
      <c r="N174" s="197"/>
      <c r="O174" s="196">
        <f t="shared" ref="O174:O179" si="198">G174*C174*12/10^7</f>
        <v>0</v>
      </c>
      <c r="P174" s="197"/>
      <c r="Q174" s="196">
        <f t="shared" ref="Q174:Q179" si="199">L174+M174+N174+O174+P174</f>
        <v>0</v>
      </c>
      <c r="R174" s="238"/>
      <c r="S174" s="196">
        <f t="shared" ref="S174:S179" si="200">Q174-R174</f>
        <v>0</v>
      </c>
      <c r="T174" s="238"/>
      <c r="U174" s="238"/>
      <c r="V174" s="238"/>
      <c r="W174" s="238"/>
      <c r="X174" s="198"/>
      <c r="Y174" s="199">
        <f t="shared" ref="Y174:Y179" si="201">S174+X174</f>
        <v>0</v>
      </c>
      <c r="Z174" s="200">
        <f>'[6]FY24 Revenue @  CT'!R173</f>
        <v>6.65</v>
      </c>
      <c r="AA174" s="201">
        <f t="shared" ref="AA174:AA179" si="202">(H174*Z174/10)+M174+O174+N174+P174+X174</f>
        <v>0</v>
      </c>
      <c r="AC174" s="166"/>
    </row>
    <row r="175" spans="1:29" s="92" customFormat="1" ht="14.25" customHeight="1">
      <c r="A175" s="188"/>
      <c r="B175" s="236" t="s">
        <v>697</v>
      </c>
      <c r="C175" s="190"/>
      <c r="D175" s="203">
        <v>7.65</v>
      </c>
      <c r="E175" s="237">
        <f>475*12</f>
        <v>5700</v>
      </c>
      <c r="F175" s="237"/>
      <c r="G175" s="237"/>
      <c r="H175" s="194"/>
      <c r="I175" s="238"/>
      <c r="J175" s="194"/>
      <c r="K175" s="238"/>
      <c r="L175" s="195">
        <f t="shared" si="196"/>
        <v>0</v>
      </c>
      <c r="M175" s="196">
        <f t="shared" si="197"/>
        <v>0</v>
      </c>
      <c r="N175" s="197"/>
      <c r="O175" s="196">
        <f t="shared" si="198"/>
        <v>0</v>
      </c>
      <c r="P175" s="197"/>
      <c r="Q175" s="196">
        <f t="shared" si="199"/>
        <v>0</v>
      </c>
      <c r="R175" s="238"/>
      <c r="S175" s="196">
        <f t="shared" si="200"/>
        <v>0</v>
      </c>
      <c r="T175" s="238"/>
      <c r="U175" s="238"/>
      <c r="V175" s="238"/>
      <c r="W175" s="238"/>
      <c r="X175" s="198"/>
      <c r="Y175" s="199">
        <f t="shared" si="201"/>
        <v>0</v>
      </c>
      <c r="Z175" s="200">
        <f>'[6]FY24 Revenue @  CT'!R174</f>
        <v>7.65</v>
      </c>
      <c r="AA175" s="201">
        <f t="shared" si="202"/>
        <v>0</v>
      </c>
      <c r="AC175" s="166"/>
    </row>
    <row r="176" spans="1:29" ht="14.25" customHeight="1">
      <c r="A176" s="188"/>
      <c r="B176" s="236" t="s">
        <v>746</v>
      </c>
      <c r="C176" s="190"/>
      <c r="D176" s="203">
        <v>12.25</v>
      </c>
      <c r="E176" s="237">
        <v>0</v>
      </c>
      <c r="F176" s="237"/>
      <c r="G176" s="237">
        <v>2813</v>
      </c>
      <c r="H176" s="194"/>
      <c r="I176" s="238"/>
      <c r="J176" s="194"/>
      <c r="K176" s="238"/>
      <c r="L176" s="195">
        <f t="shared" si="196"/>
        <v>0</v>
      </c>
      <c r="M176" s="196">
        <f t="shared" si="197"/>
        <v>0</v>
      </c>
      <c r="N176" s="197"/>
      <c r="O176" s="196">
        <f t="shared" si="198"/>
        <v>0</v>
      </c>
      <c r="P176" s="197"/>
      <c r="Q176" s="196">
        <f t="shared" si="199"/>
        <v>0</v>
      </c>
      <c r="R176" s="238"/>
      <c r="S176" s="196">
        <f t="shared" si="200"/>
        <v>0</v>
      </c>
      <c r="T176" s="238"/>
      <c r="U176" s="238"/>
      <c r="V176" s="238"/>
      <c r="W176" s="238"/>
      <c r="X176" s="198"/>
      <c r="Y176" s="199">
        <f t="shared" si="201"/>
        <v>0</v>
      </c>
      <c r="Z176" s="200">
        <f>'[6]FY24 Revenue @  CT'!R175</f>
        <v>12.25</v>
      </c>
      <c r="AA176" s="201">
        <f t="shared" si="202"/>
        <v>0</v>
      </c>
      <c r="AC176" s="166"/>
    </row>
    <row r="177" spans="1:29" ht="14.25" customHeight="1">
      <c r="A177" s="188"/>
      <c r="B177" s="236" t="s">
        <v>747</v>
      </c>
      <c r="C177" s="190"/>
      <c r="D177" s="203">
        <v>12.25</v>
      </c>
      <c r="E177" s="237">
        <v>0</v>
      </c>
      <c r="F177" s="237"/>
      <c r="G177" s="237">
        <v>2813</v>
      </c>
      <c r="H177" s="194"/>
      <c r="I177" s="238"/>
      <c r="J177" s="194"/>
      <c r="K177" s="238"/>
      <c r="L177" s="195">
        <f t="shared" si="196"/>
        <v>0</v>
      </c>
      <c r="M177" s="196">
        <f t="shared" si="197"/>
        <v>0</v>
      </c>
      <c r="N177" s="197"/>
      <c r="O177" s="196">
        <f t="shared" si="198"/>
        <v>0</v>
      </c>
      <c r="P177" s="197"/>
      <c r="Q177" s="196">
        <f t="shared" si="199"/>
        <v>0</v>
      </c>
      <c r="R177" s="238"/>
      <c r="S177" s="196">
        <f t="shared" si="200"/>
        <v>0</v>
      </c>
      <c r="T177" s="238"/>
      <c r="U177" s="238"/>
      <c r="V177" s="238"/>
      <c r="W177" s="238"/>
      <c r="X177" s="198"/>
      <c r="Y177" s="199">
        <f t="shared" si="201"/>
        <v>0</v>
      </c>
      <c r="Z177" s="200">
        <f>'[6]FY24 Revenue @  CT'!R176</f>
        <v>12.25</v>
      </c>
      <c r="AA177" s="201">
        <f t="shared" si="202"/>
        <v>0</v>
      </c>
      <c r="AC177" s="166"/>
    </row>
    <row r="178" spans="1:29" ht="14.25" customHeight="1">
      <c r="A178" s="92"/>
      <c r="B178" s="236" t="s">
        <v>748</v>
      </c>
      <c r="C178" s="190"/>
      <c r="D178" s="203">
        <v>6.7</v>
      </c>
      <c r="E178" s="237">
        <v>0</v>
      </c>
      <c r="F178" s="237"/>
      <c r="G178" s="237">
        <v>2813</v>
      </c>
      <c r="H178" s="194"/>
      <c r="I178" s="238"/>
      <c r="J178" s="194"/>
      <c r="K178" s="238"/>
      <c r="L178" s="195">
        <f t="shared" si="196"/>
        <v>0</v>
      </c>
      <c r="M178" s="196">
        <f t="shared" si="197"/>
        <v>0</v>
      </c>
      <c r="N178" s="197"/>
      <c r="O178" s="196">
        <f t="shared" si="198"/>
        <v>0</v>
      </c>
      <c r="P178" s="197"/>
      <c r="Q178" s="196">
        <f t="shared" si="199"/>
        <v>0</v>
      </c>
      <c r="R178" s="238"/>
      <c r="S178" s="196">
        <f t="shared" si="200"/>
        <v>0</v>
      </c>
      <c r="T178" s="238"/>
      <c r="U178" s="238"/>
      <c r="V178" s="238"/>
      <c r="W178" s="238"/>
      <c r="X178" s="198"/>
      <c r="Y178" s="199">
        <f t="shared" si="201"/>
        <v>0</v>
      </c>
      <c r="Z178" s="200">
        <f>'[6]FY24 Revenue @  CT'!R177</f>
        <v>6.7</v>
      </c>
      <c r="AA178" s="201">
        <f t="shared" si="202"/>
        <v>0</v>
      </c>
      <c r="AC178" s="166"/>
    </row>
    <row r="179" spans="1:29" ht="14.25" customHeight="1">
      <c r="A179" s="92"/>
      <c r="B179" s="236" t="s">
        <v>749</v>
      </c>
      <c r="C179" s="190"/>
      <c r="D179" s="203">
        <v>12.25</v>
      </c>
      <c r="E179" s="237">
        <v>0</v>
      </c>
      <c r="F179" s="237"/>
      <c r="G179" s="237">
        <v>2813</v>
      </c>
      <c r="H179" s="194"/>
      <c r="I179" s="238"/>
      <c r="J179" s="194"/>
      <c r="K179" s="238"/>
      <c r="L179" s="195">
        <f t="shared" si="196"/>
        <v>0</v>
      </c>
      <c r="M179" s="196">
        <f t="shared" si="197"/>
        <v>0</v>
      </c>
      <c r="N179" s="197"/>
      <c r="O179" s="196">
        <f t="shared" si="198"/>
        <v>0</v>
      </c>
      <c r="P179" s="197"/>
      <c r="Q179" s="196">
        <f t="shared" si="199"/>
        <v>0</v>
      </c>
      <c r="R179" s="238"/>
      <c r="S179" s="196">
        <f t="shared" si="200"/>
        <v>0</v>
      </c>
      <c r="T179" s="238"/>
      <c r="U179" s="238"/>
      <c r="V179" s="238"/>
      <c r="W179" s="238"/>
      <c r="X179" s="198"/>
      <c r="Y179" s="199">
        <f t="shared" si="201"/>
        <v>0</v>
      </c>
      <c r="Z179" s="200">
        <f>'[6]FY24 Revenue @  CT'!R178</f>
        <v>12.25</v>
      </c>
      <c r="AA179" s="201">
        <f t="shared" si="202"/>
        <v>0</v>
      </c>
      <c r="AB179" s="260"/>
      <c r="AC179" s="166"/>
    </row>
    <row r="180" spans="1:29" ht="10.5" customHeight="1">
      <c r="B180" s="239" t="s">
        <v>750</v>
      </c>
      <c r="C180" s="250">
        <f>SUM(C182:C192)</f>
        <v>0</v>
      </c>
      <c r="D180" s="240"/>
      <c r="E180" s="240"/>
      <c r="F180" s="240"/>
      <c r="G180" s="240"/>
      <c r="H180" s="240">
        <f>SUM(H182:H192)</f>
        <v>0</v>
      </c>
      <c r="I180" s="240">
        <f t="shared" ref="I180:AA180" si="203">SUM(I182:I192)</f>
        <v>0</v>
      </c>
      <c r="J180" s="240">
        <f t="shared" si="203"/>
        <v>0</v>
      </c>
      <c r="K180" s="240">
        <f t="shared" si="203"/>
        <v>0</v>
      </c>
      <c r="L180" s="240">
        <f t="shared" si="203"/>
        <v>0</v>
      </c>
      <c r="M180" s="240">
        <f t="shared" si="203"/>
        <v>0</v>
      </c>
      <c r="N180" s="240">
        <f t="shared" si="203"/>
        <v>0</v>
      </c>
      <c r="O180" s="240">
        <f t="shared" si="203"/>
        <v>0</v>
      </c>
      <c r="P180" s="240">
        <f t="shared" si="203"/>
        <v>0</v>
      </c>
      <c r="Q180" s="240">
        <f t="shared" si="203"/>
        <v>0</v>
      </c>
      <c r="R180" s="240">
        <f t="shared" si="203"/>
        <v>0</v>
      </c>
      <c r="S180" s="240">
        <f t="shared" si="203"/>
        <v>0</v>
      </c>
      <c r="T180" s="240">
        <f t="shared" si="203"/>
        <v>0</v>
      </c>
      <c r="U180" s="240">
        <f t="shared" si="203"/>
        <v>0</v>
      </c>
      <c r="V180" s="240">
        <f t="shared" si="203"/>
        <v>0</v>
      </c>
      <c r="W180" s="240">
        <f t="shared" si="203"/>
        <v>0</v>
      </c>
      <c r="X180" s="240">
        <f t="shared" si="203"/>
        <v>0</v>
      </c>
      <c r="Y180" s="240">
        <f t="shared" si="203"/>
        <v>0</v>
      </c>
      <c r="Z180" s="240"/>
      <c r="AA180" s="241">
        <f t="shared" si="203"/>
        <v>0</v>
      </c>
      <c r="AC180" s="166"/>
    </row>
    <row r="181" spans="1:29" ht="12.75" customHeight="1">
      <c r="B181" s="215" t="s">
        <v>753</v>
      </c>
      <c r="C181" s="217"/>
      <c r="D181" s="217"/>
      <c r="E181" s="207"/>
      <c r="F181" s="217"/>
      <c r="G181" s="218"/>
      <c r="H181" s="217"/>
      <c r="I181" s="217"/>
      <c r="J181" s="217"/>
      <c r="K181" s="217"/>
      <c r="L181" s="217"/>
      <c r="M181" s="217"/>
      <c r="N181" s="217"/>
      <c r="O181" s="217"/>
      <c r="P181" s="217"/>
      <c r="Q181" s="217"/>
      <c r="R181" s="217"/>
      <c r="S181" s="217"/>
      <c r="T181" s="217"/>
      <c r="U181" s="217"/>
      <c r="V181" s="217"/>
      <c r="W181" s="217"/>
      <c r="X181" s="217"/>
      <c r="Y181" s="217"/>
      <c r="Z181" s="217"/>
      <c r="AA181" s="219"/>
      <c r="AB181" s="166"/>
      <c r="AC181" s="166"/>
    </row>
    <row r="182" spans="1:29" ht="12.75" customHeight="1">
      <c r="B182" s="236" t="s">
        <v>918</v>
      </c>
      <c r="C182" s="190"/>
      <c r="D182" s="203"/>
      <c r="E182" s="237"/>
      <c r="F182" s="237"/>
      <c r="G182" s="237"/>
      <c r="H182" s="194"/>
      <c r="I182" s="238"/>
      <c r="J182" s="194"/>
      <c r="K182" s="238"/>
      <c r="L182" s="195">
        <f t="shared" ref="L182:L200" si="204">D182*H182/10</f>
        <v>0</v>
      </c>
      <c r="M182" s="196">
        <f t="shared" ref="M182:M200" si="205">IF(E182&gt;0,(J182*10^3*E182/10^7)+(K182*0.7457*E182/10^7),(K182*F182/10^7)+(J182*(10^3)*(1/0.7457)*F182/10^7))</f>
        <v>0</v>
      </c>
      <c r="N182" s="197"/>
      <c r="O182" s="196">
        <f t="shared" ref="O182:O200" si="206">G182*C182*12/10^7</f>
        <v>0</v>
      </c>
      <c r="P182" s="197"/>
      <c r="Q182" s="196">
        <f t="shared" ref="Q182:Q200" si="207">L182+M182+N182+O182+P182</f>
        <v>0</v>
      </c>
      <c r="R182" s="238"/>
      <c r="S182" s="196">
        <f t="shared" ref="S182:S200" si="208">Q182-R182</f>
        <v>0</v>
      </c>
      <c r="T182" s="238"/>
      <c r="U182" s="238"/>
      <c r="V182" s="238"/>
      <c r="W182" s="238"/>
      <c r="X182" s="238"/>
      <c r="Y182" s="199">
        <f t="shared" ref="Y182:Y200" si="209">S182+X182</f>
        <v>0</v>
      </c>
      <c r="Z182" s="203"/>
      <c r="AA182" s="201">
        <f t="shared" ref="AA182:AA200" si="210">(H182*Z182/10)+M182+O182+N182+P182+X182</f>
        <v>0</v>
      </c>
      <c r="AC182" s="166"/>
    </row>
    <row r="183" spans="1:29" ht="24.75" customHeight="1">
      <c r="B183" s="236" t="s">
        <v>914</v>
      </c>
      <c r="C183" s="190"/>
      <c r="D183" s="203">
        <v>6.85</v>
      </c>
      <c r="E183" s="237">
        <f>475*12</f>
        <v>5700</v>
      </c>
      <c r="F183" s="237"/>
      <c r="G183" s="237">
        <v>2813</v>
      </c>
      <c r="H183" s="194"/>
      <c r="I183" s="238"/>
      <c r="J183" s="194"/>
      <c r="K183" s="238"/>
      <c r="L183" s="195">
        <f t="shared" si="204"/>
        <v>0</v>
      </c>
      <c r="M183" s="196">
        <f t="shared" si="205"/>
        <v>0</v>
      </c>
      <c r="N183" s="197"/>
      <c r="O183" s="196">
        <f t="shared" si="206"/>
        <v>0</v>
      </c>
      <c r="P183" s="197"/>
      <c r="Q183" s="196">
        <f t="shared" si="207"/>
        <v>0</v>
      </c>
      <c r="R183" s="238"/>
      <c r="S183" s="196">
        <f t="shared" si="208"/>
        <v>0</v>
      </c>
      <c r="T183" s="238"/>
      <c r="U183" s="238"/>
      <c r="V183" s="238"/>
      <c r="W183" s="238"/>
      <c r="X183" s="198"/>
      <c r="Y183" s="199">
        <f t="shared" si="209"/>
        <v>0</v>
      </c>
      <c r="Z183" s="200">
        <f>'[6]FY24 Revenue @  CT'!R182</f>
        <v>6.85</v>
      </c>
      <c r="AA183" s="201">
        <f t="shared" si="210"/>
        <v>0</v>
      </c>
      <c r="AC183" s="166"/>
    </row>
    <row r="184" spans="1:29" ht="27.75" customHeight="1">
      <c r="B184" s="236" t="s">
        <v>915</v>
      </c>
      <c r="C184" s="190"/>
      <c r="D184" s="203">
        <v>4.5999999999999996</v>
      </c>
      <c r="E184" s="237">
        <f>475*12</f>
        <v>5700</v>
      </c>
      <c r="F184" s="237"/>
      <c r="G184" s="237">
        <v>2813</v>
      </c>
      <c r="H184" s="194"/>
      <c r="I184" s="238"/>
      <c r="J184" s="194"/>
      <c r="K184" s="238"/>
      <c r="L184" s="195">
        <f t="shared" si="204"/>
        <v>0</v>
      </c>
      <c r="M184" s="196">
        <f t="shared" si="205"/>
        <v>0</v>
      </c>
      <c r="N184" s="197"/>
      <c r="O184" s="196">
        <f t="shared" si="206"/>
        <v>0</v>
      </c>
      <c r="P184" s="197"/>
      <c r="Q184" s="196">
        <f t="shared" si="207"/>
        <v>0</v>
      </c>
      <c r="R184" s="238"/>
      <c r="S184" s="196">
        <f t="shared" si="208"/>
        <v>0</v>
      </c>
      <c r="T184" s="238"/>
      <c r="U184" s="238"/>
      <c r="V184" s="238"/>
      <c r="W184" s="238"/>
      <c r="X184" s="198"/>
      <c r="Y184" s="199">
        <f t="shared" si="209"/>
        <v>0</v>
      </c>
      <c r="Z184" s="200">
        <f>'[6]FY24 Revenue @  CT'!R183</f>
        <v>4.5999999999999996</v>
      </c>
      <c r="AA184" s="201">
        <f t="shared" si="210"/>
        <v>0</v>
      </c>
      <c r="AC184" s="166"/>
    </row>
    <row r="185" spans="1:29" ht="15" customHeight="1">
      <c r="B185" s="236" t="s">
        <v>916</v>
      </c>
      <c r="C185" s="190"/>
      <c r="D185" s="203">
        <v>5.35</v>
      </c>
      <c r="E185" s="237">
        <f>475*12</f>
        <v>5700</v>
      </c>
      <c r="F185" s="237"/>
      <c r="G185" s="237">
        <v>2813</v>
      </c>
      <c r="H185" s="194"/>
      <c r="I185" s="238"/>
      <c r="J185" s="194"/>
      <c r="K185" s="238"/>
      <c r="L185" s="195">
        <f t="shared" si="204"/>
        <v>0</v>
      </c>
      <c r="M185" s="196">
        <f t="shared" si="205"/>
        <v>0</v>
      </c>
      <c r="N185" s="197"/>
      <c r="O185" s="196">
        <f t="shared" si="206"/>
        <v>0</v>
      </c>
      <c r="P185" s="197"/>
      <c r="Q185" s="196">
        <f t="shared" si="207"/>
        <v>0</v>
      </c>
      <c r="R185" s="238"/>
      <c r="S185" s="196">
        <f t="shared" si="208"/>
        <v>0</v>
      </c>
      <c r="T185" s="238"/>
      <c r="U185" s="238"/>
      <c r="V185" s="238"/>
      <c r="W185" s="238"/>
      <c r="X185" s="198"/>
      <c r="Y185" s="199">
        <f t="shared" si="209"/>
        <v>0</v>
      </c>
      <c r="Z185" s="200">
        <f>'[6]FY24 Revenue @  CT'!R184</f>
        <v>5.35</v>
      </c>
      <c r="AA185" s="201">
        <f t="shared" si="210"/>
        <v>0</v>
      </c>
      <c r="AC185" s="166"/>
    </row>
    <row r="186" spans="1:29" ht="30.75" customHeight="1">
      <c r="B186" s="236" t="s">
        <v>917</v>
      </c>
      <c r="C186" s="190"/>
      <c r="D186" s="203"/>
      <c r="E186" s="237"/>
      <c r="F186" s="237"/>
      <c r="G186" s="237"/>
      <c r="H186" s="194"/>
      <c r="I186" s="238"/>
      <c r="J186" s="194"/>
      <c r="K186" s="238"/>
      <c r="L186" s="195">
        <f t="shared" si="204"/>
        <v>0</v>
      </c>
      <c r="M186" s="196">
        <f t="shared" si="205"/>
        <v>0</v>
      </c>
      <c r="N186" s="197"/>
      <c r="O186" s="196">
        <f t="shared" si="206"/>
        <v>0</v>
      </c>
      <c r="P186" s="197"/>
      <c r="Q186" s="196">
        <f t="shared" si="207"/>
        <v>0</v>
      </c>
      <c r="R186" s="238"/>
      <c r="S186" s="196">
        <f t="shared" si="208"/>
        <v>0</v>
      </c>
      <c r="T186" s="238"/>
      <c r="U186" s="238"/>
      <c r="V186" s="238"/>
      <c r="W186" s="238"/>
      <c r="X186" s="198"/>
      <c r="Y186" s="199">
        <f t="shared" si="209"/>
        <v>0</v>
      </c>
      <c r="Z186" s="200">
        <f>'[6]FY24 Revenue @  CT'!R185</f>
        <v>0</v>
      </c>
      <c r="AA186" s="201">
        <f t="shared" si="210"/>
        <v>0</v>
      </c>
      <c r="AC186" s="166"/>
    </row>
    <row r="187" spans="1:29" ht="27" customHeight="1">
      <c r="B187" s="236" t="s">
        <v>914</v>
      </c>
      <c r="C187" s="190"/>
      <c r="D187" s="203">
        <v>6.35</v>
      </c>
      <c r="E187" s="237">
        <f>475*12</f>
        <v>5700</v>
      </c>
      <c r="F187" s="237"/>
      <c r="G187" s="237">
        <v>2813</v>
      </c>
      <c r="H187" s="194"/>
      <c r="I187" s="238"/>
      <c r="J187" s="194"/>
      <c r="K187" s="238"/>
      <c r="L187" s="195">
        <f t="shared" si="204"/>
        <v>0</v>
      </c>
      <c r="M187" s="196">
        <f t="shared" si="205"/>
        <v>0</v>
      </c>
      <c r="N187" s="197"/>
      <c r="O187" s="196">
        <f t="shared" si="206"/>
        <v>0</v>
      </c>
      <c r="P187" s="197"/>
      <c r="Q187" s="196">
        <f t="shared" si="207"/>
        <v>0</v>
      </c>
      <c r="R187" s="238"/>
      <c r="S187" s="196">
        <f t="shared" si="208"/>
        <v>0</v>
      </c>
      <c r="T187" s="238"/>
      <c r="U187" s="238"/>
      <c r="V187" s="238"/>
      <c r="W187" s="238"/>
      <c r="X187" s="198"/>
      <c r="Y187" s="199">
        <f t="shared" si="209"/>
        <v>0</v>
      </c>
      <c r="Z187" s="200">
        <f>'[6]FY24 Revenue @  CT'!R186</f>
        <v>6.35</v>
      </c>
      <c r="AA187" s="201">
        <f t="shared" si="210"/>
        <v>0</v>
      </c>
      <c r="AC187" s="166"/>
    </row>
    <row r="188" spans="1:29" ht="26.25" customHeight="1">
      <c r="B188" s="236" t="s">
        <v>915</v>
      </c>
      <c r="C188" s="190"/>
      <c r="D188" s="203">
        <v>4.5999999999999996</v>
      </c>
      <c r="E188" s="237">
        <f>475*12</f>
        <v>5700</v>
      </c>
      <c r="F188" s="237"/>
      <c r="G188" s="237">
        <v>2813</v>
      </c>
      <c r="H188" s="194"/>
      <c r="I188" s="238"/>
      <c r="J188" s="194"/>
      <c r="K188" s="238"/>
      <c r="L188" s="195">
        <f t="shared" si="204"/>
        <v>0</v>
      </c>
      <c r="M188" s="196">
        <f t="shared" si="205"/>
        <v>0</v>
      </c>
      <c r="N188" s="197"/>
      <c r="O188" s="196">
        <f t="shared" si="206"/>
        <v>0</v>
      </c>
      <c r="P188" s="197"/>
      <c r="Q188" s="196">
        <f t="shared" si="207"/>
        <v>0</v>
      </c>
      <c r="R188" s="238"/>
      <c r="S188" s="196">
        <f t="shared" si="208"/>
        <v>0</v>
      </c>
      <c r="T188" s="238"/>
      <c r="U188" s="238"/>
      <c r="V188" s="238"/>
      <c r="W188" s="238"/>
      <c r="X188" s="198"/>
      <c r="Y188" s="199">
        <f t="shared" si="209"/>
        <v>0</v>
      </c>
      <c r="Z188" s="200">
        <f>'[6]FY24 Revenue @  CT'!R187</f>
        <v>4.5999999999999996</v>
      </c>
      <c r="AA188" s="201">
        <f t="shared" si="210"/>
        <v>0</v>
      </c>
      <c r="AC188" s="166"/>
    </row>
    <row r="189" spans="1:29" ht="18" customHeight="1">
      <c r="B189" s="236" t="s">
        <v>916</v>
      </c>
      <c r="C189" s="190"/>
      <c r="D189" s="203">
        <v>5.35</v>
      </c>
      <c r="E189" s="237">
        <f>475*12</f>
        <v>5700</v>
      </c>
      <c r="F189" s="237"/>
      <c r="G189" s="237">
        <v>2813</v>
      </c>
      <c r="H189" s="194"/>
      <c r="I189" s="238"/>
      <c r="J189" s="194"/>
      <c r="K189" s="238"/>
      <c r="L189" s="195">
        <f t="shared" si="204"/>
        <v>0</v>
      </c>
      <c r="M189" s="196">
        <f t="shared" si="205"/>
        <v>0</v>
      </c>
      <c r="N189" s="197"/>
      <c r="O189" s="196">
        <f t="shared" si="206"/>
        <v>0</v>
      </c>
      <c r="P189" s="197"/>
      <c r="Q189" s="196">
        <f t="shared" si="207"/>
        <v>0</v>
      </c>
      <c r="R189" s="238"/>
      <c r="S189" s="196">
        <f t="shared" si="208"/>
        <v>0</v>
      </c>
      <c r="T189" s="238"/>
      <c r="U189" s="238"/>
      <c r="V189" s="238"/>
      <c r="W189" s="238"/>
      <c r="X189" s="198"/>
      <c r="Y189" s="199">
        <f t="shared" si="209"/>
        <v>0</v>
      </c>
      <c r="Z189" s="200">
        <f>'[6]FY24 Revenue @  CT'!R188</f>
        <v>5.35</v>
      </c>
      <c r="AA189" s="201">
        <f t="shared" si="210"/>
        <v>0</v>
      </c>
      <c r="AC189" s="166"/>
    </row>
    <row r="190" spans="1:29" ht="15.75" customHeight="1">
      <c r="B190" s="236" t="s">
        <v>592</v>
      </c>
      <c r="C190" s="190"/>
      <c r="D190" s="203">
        <v>7</v>
      </c>
      <c r="E190" s="237">
        <v>0</v>
      </c>
      <c r="F190" s="237"/>
      <c r="G190" s="237">
        <v>2813</v>
      </c>
      <c r="H190" s="194"/>
      <c r="I190" s="238"/>
      <c r="J190" s="194"/>
      <c r="K190" s="238"/>
      <c r="L190" s="195">
        <f t="shared" si="204"/>
        <v>0</v>
      </c>
      <c r="M190" s="196">
        <f t="shared" si="205"/>
        <v>0</v>
      </c>
      <c r="N190" s="197"/>
      <c r="O190" s="196">
        <f t="shared" si="206"/>
        <v>0</v>
      </c>
      <c r="P190" s="197"/>
      <c r="Q190" s="196">
        <f t="shared" si="207"/>
        <v>0</v>
      </c>
      <c r="R190" s="238"/>
      <c r="S190" s="196">
        <f t="shared" si="208"/>
        <v>0</v>
      </c>
      <c r="T190" s="238"/>
      <c r="U190" s="238"/>
      <c r="V190" s="238"/>
      <c r="W190" s="238"/>
      <c r="X190" s="198"/>
      <c r="Y190" s="199">
        <f t="shared" si="209"/>
        <v>0</v>
      </c>
      <c r="Z190" s="200">
        <f>'[6]FY24 Revenue @  CT'!R189</f>
        <v>7</v>
      </c>
      <c r="AA190" s="201">
        <f t="shared" si="210"/>
        <v>0</v>
      </c>
      <c r="AC190" s="166"/>
    </row>
    <row r="191" spans="1:29" ht="23.25" customHeight="1">
      <c r="B191" s="251" t="s">
        <v>754</v>
      </c>
      <c r="C191" s="190"/>
      <c r="D191" s="217">
        <v>6.65</v>
      </c>
      <c r="E191" s="207">
        <f>475*12</f>
        <v>5700</v>
      </c>
      <c r="F191" s="217"/>
      <c r="G191" s="222">
        <v>2813</v>
      </c>
      <c r="H191" s="194"/>
      <c r="I191" s="217"/>
      <c r="J191" s="194"/>
      <c r="K191" s="217"/>
      <c r="L191" s="195">
        <f t="shared" si="204"/>
        <v>0</v>
      </c>
      <c r="M191" s="196">
        <f t="shared" si="205"/>
        <v>0</v>
      </c>
      <c r="N191" s="197"/>
      <c r="O191" s="196">
        <f t="shared" si="206"/>
        <v>0</v>
      </c>
      <c r="P191" s="197"/>
      <c r="Q191" s="196">
        <f t="shared" si="207"/>
        <v>0</v>
      </c>
      <c r="R191" s="217"/>
      <c r="S191" s="196">
        <f t="shared" si="208"/>
        <v>0</v>
      </c>
      <c r="T191" s="217"/>
      <c r="U191" s="217"/>
      <c r="V191" s="217"/>
      <c r="W191" s="217"/>
      <c r="X191" s="198"/>
      <c r="Y191" s="199">
        <f t="shared" si="209"/>
        <v>0</v>
      </c>
      <c r="Z191" s="200">
        <f>'[6]FY24 Revenue @  CT'!R190</f>
        <v>6.65</v>
      </c>
      <c r="AA191" s="201">
        <f t="shared" si="210"/>
        <v>0</v>
      </c>
      <c r="AC191" s="166"/>
    </row>
    <row r="192" spans="1:29" ht="15.75" customHeight="1">
      <c r="B192" s="251" t="s">
        <v>755</v>
      </c>
      <c r="C192" s="190">
        <f>C196</f>
        <v>0</v>
      </c>
      <c r="D192" s="217"/>
      <c r="E192" s="243"/>
      <c r="F192" s="217"/>
      <c r="G192" s="222"/>
      <c r="H192" s="261">
        <f>SUM(H193:H200)</f>
        <v>0</v>
      </c>
      <c r="I192" s="261">
        <f t="shared" ref="I192:X192" si="211">SUM(I193:I200)</f>
        <v>0</v>
      </c>
      <c r="J192" s="261">
        <f t="shared" si="211"/>
        <v>0</v>
      </c>
      <c r="K192" s="261">
        <f t="shared" si="211"/>
        <v>0</v>
      </c>
      <c r="L192" s="261">
        <f t="shared" si="211"/>
        <v>0</v>
      </c>
      <c r="M192" s="261">
        <f t="shared" si="211"/>
        <v>0</v>
      </c>
      <c r="N192" s="261">
        <f t="shared" si="211"/>
        <v>0</v>
      </c>
      <c r="O192" s="261">
        <f t="shared" si="211"/>
        <v>0</v>
      </c>
      <c r="P192" s="261">
        <f t="shared" si="211"/>
        <v>0</v>
      </c>
      <c r="Q192" s="261">
        <f t="shared" si="211"/>
        <v>0</v>
      </c>
      <c r="R192" s="261">
        <f t="shared" si="211"/>
        <v>0</v>
      </c>
      <c r="S192" s="261">
        <f t="shared" si="211"/>
        <v>0</v>
      </c>
      <c r="T192" s="261">
        <f t="shared" si="211"/>
        <v>0</v>
      </c>
      <c r="U192" s="261">
        <f t="shared" si="211"/>
        <v>0</v>
      </c>
      <c r="V192" s="261">
        <f t="shared" si="211"/>
        <v>0</v>
      </c>
      <c r="W192" s="261">
        <f t="shared" si="211"/>
        <v>0</v>
      </c>
      <c r="X192" s="261">
        <f t="shared" si="211"/>
        <v>0</v>
      </c>
      <c r="Y192" s="199">
        <f t="shared" si="209"/>
        <v>0</v>
      </c>
      <c r="Z192" s="200">
        <f>'[6]FY24 Revenue @  CT'!R191</f>
        <v>0</v>
      </c>
      <c r="AA192" s="261">
        <f t="shared" ref="AA192" si="212">SUM(AA193:AA200)</f>
        <v>0</v>
      </c>
      <c r="AC192" s="166"/>
    </row>
    <row r="193" spans="1:29" s="92" customFormat="1" ht="15" customHeight="1">
      <c r="A193" s="188"/>
      <c r="B193" s="244" t="s">
        <v>918</v>
      </c>
      <c r="C193" s="190"/>
      <c r="D193" s="217"/>
      <c r="E193" s="243"/>
      <c r="F193" s="217"/>
      <c r="G193" s="218"/>
      <c r="H193" s="194"/>
      <c r="I193" s="217"/>
      <c r="J193" s="194"/>
      <c r="K193" s="217"/>
      <c r="L193" s="195">
        <f t="shared" si="204"/>
        <v>0</v>
      </c>
      <c r="M193" s="196">
        <f t="shared" si="205"/>
        <v>0</v>
      </c>
      <c r="N193" s="197"/>
      <c r="O193" s="196">
        <f t="shared" si="206"/>
        <v>0</v>
      </c>
      <c r="P193" s="197"/>
      <c r="Q193" s="196">
        <f t="shared" si="207"/>
        <v>0</v>
      </c>
      <c r="R193" s="217"/>
      <c r="S193" s="196">
        <f t="shared" si="208"/>
        <v>0</v>
      </c>
      <c r="T193" s="217"/>
      <c r="U193" s="217"/>
      <c r="V193" s="217"/>
      <c r="W193" s="217"/>
      <c r="X193" s="198"/>
      <c r="Y193" s="199">
        <f t="shared" si="209"/>
        <v>0</v>
      </c>
      <c r="Z193" s="200">
        <f>'[6]FY24 Revenue @  CT'!R192</f>
        <v>0</v>
      </c>
      <c r="AA193" s="201">
        <f t="shared" si="210"/>
        <v>0</v>
      </c>
      <c r="AC193" s="166"/>
    </row>
    <row r="194" spans="1:29" s="92" customFormat="1" ht="15" customHeight="1">
      <c r="A194" s="188"/>
      <c r="B194" s="244" t="s">
        <v>914</v>
      </c>
      <c r="C194" s="190"/>
      <c r="D194" s="217">
        <f>4.9+1.5</f>
        <v>6.4</v>
      </c>
      <c r="E194" s="243"/>
      <c r="F194" s="217"/>
      <c r="G194" s="218"/>
      <c r="H194" s="194"/>
      <c r="I194" s="217"/>
      <c r="J194" s="194"/>
      <c r="K194" s="217"/>
      <c r="L194" s="195">
        <f t="shared" si="204"/>
        <v>0</v>
      </c>
      <c r="M194" s="196">
        <f t="shared" si="205"/>
        <v>0</v>
      </c>
      <c r="N194" s="197"/>
      <c r="O194" s="196">
        <f t="shared" si="206"/>
        <v>0</v>
      </c>
      <c r="P194" s="197"/>
      <c r="Q194" s="196">
        <f t="shared" si="207"/>
        <v>0</v>
      </c>
      <c r="R194" s="217"/>
      <c r="S194" s="196">
        <f t="shared" si="208"/>
        <v>0</v>
      </c>
      <c r="T194" s="217"/>
      <c r="U194" s="217"/>
      <c r="V194" s="217"/>
      <c r="W194" s="217"/>
      <c r="X194" s="198"/>
      <c r="Y194" s="199">
        <f t="shared" si="209"/>
        <v>0</v>
      </c>
      <c r="Z194" s="200">
        <f>'[6]FY24 Revenue @  CT'!R193</f>
        <v>6.4</v>
      </c>
      <c r="AA194" s="201">
        <f t="shared" si="210"/>
        <v>0</v>
      </c>
      <c r="AC194" s="166"/>
    </row>
    <row r="195" spans="1:29" s="92" customFormat="1" ht="15" customHeight="1">
      <c r="A195" s="188"/>
      <c r="B195" s="244" t="s">
        <v>915</v>
      </c>
      <c r="C195" s="190"/>
      <c r="D195" s="217">
        <f>4.9-0.75</f>
        <v>4.1500000000000004</v>
      </c>
      <c r="E195" s="243"/>
      <c r="F195" s="217"/>
      <c r="G195" s="218"/>
      <c r="H195" s="194"/>
      <c r="I195" s="217"/>
      <c r="J195" s="194"/>
      <c r="K195" s="217"/>
      <c r="L195" s="195">
        <f t="shared" si="204"/>
        <v>0</v>
      </c>
      <c r="M195" s="196">
        <f t="shared" si="205"/>
        <v>0</v>
      </c>
      <c r="N195" s="197"/>
      <c r="O195" s="196">
        <f t="shared" si="206"/>
        <v>0</v>
      </c>
      <c r="P195" s="197"/>
      <c r="Q195" s="196">
        <f t="shared" si="207"/>
        <v>0</v>
      </c>
      <c r="R195" s="217"/>
      <c r="S195" s="196">
        <f t="shared" si="208"/>
        <v>0</v>
      </c>
      <c r="T195" s="217"/>
      <c r="U195" s="217"/>
      <c r="V195" s="217"/>
      <c r="W195" s="217"/>
      <c r="X195" s="198"/>
      <c r="Y195" s="199">
        <f t="shared" si="209"/>
        <v>0</v>
      </c>
      <c r="Z195" s="200">
        <f>'[6]FY24 Revenue @  CT'!R194</f>
        <v>4.1500000000000004</v>
      </c>
      <c r="AA195" s="201">
        <f t="shared" si="210"/>
        <v>0</v>
      </c>
      <c r="AC195" s="166"/>
    </row>
    <row r="196" spans="1:29" s="92" customFormat="1" ht="15" customHeight="1">
      <c r="A196" s="188"/>
      <c r="B196" s="244" t="s">
        <v>916</v>
      </c>
      <c r="C196" s="190"/>
      <c r="D196" s="217">
        <v>4.9000000000000004</v>
      </c>
      <c r="E196" s="243">
        <f>475*12</f>
        <v>5700</v>
      </c>
      <c r="F196" s="217"/>
      <c r="G196" s="222">
        <v>2813</v>
      </c>
      <c r="H196" s="194"/>
      <c r="I196" s="217"/>
      <c r="J196" s="194"/>
      <c r="K196" s="217"/>
      <c r="L196" s="195">
        <f t="shared" si="204"/>
        <v>0</v>
      </c>
      <c r="M196" s="196">
        <f t="shared" si="205"/>
        <v>0</v>
      </c>
      <c r="N196" s="197"/>
      <c r="O196" s="196">
        <f t="shared" si="206"/>
        <v>0</v>
      </c>
      <c r="P196" s="197"/>
      <c r="Q196" s="196">
        <f t="shared" si="207"/>
        <v>0</v>
      </c>
      <c r="R196" s="217"/>
      <c r="S196" s="196">
        <f t="shared" si="208"/>
        <v>0</v>
      </c>
      <c r="T196" s="217"/>
      <c r="U196" s="217"/>
      <c r="V196" s="217"/>
      <c r="W196" s="217"/>
      <c r="X196" s="198"/>
      <c r="Y196" s="199">
        <f t="shared" si="209"/>
        <v>0</v>
      </c>
      <c r="Z196" s="200">
        <f>'[6]FY24 Revenue @  CT'!R195</f>
        <v>4.9000000000000004</v>
      </c>
      <c r="AA196" s="201">
        <f t="shared" si="210"/>
        <v>0</v>
      </c>
      <c r="AC196" s="166"/>
    </row>
    <row r="197" spans="1:29" s="92" customFormat="1" ht="15" customHeight="1">
      <c r="A197" s="188"/>
      <c r="B197" s="244" t="s">
        <v>917</v>
      </c>
      <c r="C197" s="190"/>
      <c r="D197" s="217"/>
      <c r="E197" s="243"/>
      <c r="F197" s="217"/>
      <c r="G197" s="218"/>
      <c r="H197" s="194"/>
      <c r="I197" s="217"/>
      <c r="J197" s="194"/>
      <c r="K197" s="217"/>
      <c r="L197" s="195">
        <f t="shared" si="204"/>
        <v>0</v>
      </c>
      <c r="M197" s="196">
        <f t="shared" si="205"/>
        <v>0</v>
      </c>
      <c r="N197" s="197"/>
      <c r="O197" s="196">
        <f t="shared" si="206"/>
        <v>0</v>
      </c>
      <c r="P197" s="197"/>
      <c r="Q197" s="196">
        <f t="shared" si="207"/>
        <v>0</v>
      </c>
      <c r="R197" s="217"/>
      <c r="S197" s="196">
        <f t="shared" si="208"/>
        <v>0</v>
      </c>
      <c r="T197" s="217"/>
      <c r="U197" s="217"/>
      <c r="V197" s="217"/>
      <c r="W197" s="217"/>
      <c r="X197" s="198"/>
      <c r="Y197" s="199">
        <f t="shared" si="209"/>
        <v>0</v>
      </c>
      <c r="Z197" s="200">
        <f>'[6]FY24 Revenue @  CT'!R196</f>
        <v>0</v>
      </c>
      <c r="AA197" s="201">
        <f t="shared" si="210"/>
        <v>0</v>
      </c>
      <c r="AC197" s="166"/>
    </row>
    <row r="198" spans="1:29" s="92" customFormat="1" ht="15" customHeight="1">
      <c r="A198" s="188"/>
      <c r="B198" s="244" t="s">
        <v>914</v>
      </c>
      <c r="C198" s="190"/>
      <c r="D198" s="217">
        <f>4.9+1</f>
        <v>5.9</v>
      </c>
      <c r="E198" s="243"/>
      <c r="F198" s="217"/>
      <c r="G198" s="218"/>
      <c r="H198" s="194"/>
      <c r="I198" s="217"/>
      <c r="J198" s="194"/>
      <c r="K198" s="217"/>
      <c r="L198" s="195">
        <f t="shared" si="204"/>
        <v>0</v>
      </c>
      <c r="M198" s="196">
        <f t="shared" si="205"/>
        <v>0</v>
      </c>
      <c r="N198" s="197"/>
      <c r="O198" s="196">
        <f t="shared" si="206"/>
        <v>0</v>
      </c>
      <c r="P198" s="197"/>
      <c r="Q198" s="196">
        <f t="shared" si="207"/>
        <v>0</v>
      </c>
      <c r="R198" s="217"/>
      <c r="S198" s="196">
        <f t="shared" si="208"/>
        <v>0</v>
      </c>
      <c r="T198" s="217"/>
      <c r="U198" s="217"/>
      <c r="V198" s="217"/>
      <c r="W198" s="217"/>
      <c r="X198" s="198"/>
      <c r="Y198" s="199">
        <f t="shared" si="209"/>
        <v>0</v>
      </c>
      <c r="Z198" s="200">
        <f>'[6]FY24 Revenue @  CT'!R197</f>
        <v>5.9</v>
      </c>
      <c r="AA198" s="201">
        <f t="shared" si="210"/>
        <v>0</v>
      </c>
      <c r="AC198" s="166"/>
    </row>
    <row r="199" spans="1:29" s="92" customFormat="1" ht="15" customHeight="1">
      <c r="A199" s="188"/>
      <c r="B199" s="244" t="s">
        <v>915</v>
      </c>
      <c r="C199" s="190"/>
      <c r="D199" s="217">
        <f>4.9-0.75</f>
        <v>4.1500000000000004</v>
      </c>
      <c r="E199" s="243"/>
      <c r="F199" s="217"/>
      <c r="G199" s="218"/>
      <c r="H199" s="194"/>
      <c r="I199" s="217"/>
      <c r="J199" s="194"/>
      <c r="K199" s="217"/>
      <c r="L199" s="195">
        <f t="shared" si="204"/>
        <v>0</v>
      </c>
      <c r="M199" s="196">
        <f t="shared" si="205"/>
        <v>0</v>
      </c>
      <c r="N199" s="197"/>
      <c r="O199" s="196">
        <f t="shared" si="206"/>
        <v>0</v>
      </c>
      <c r="P199" s="197"/>
      <c r="Q199" s="196">
        <f t="shared" si="207"/>
        <v>0</v>
      </c>
      <c r="R199" s="217"/>
      <c r="S199" s="196">
        <f t="shared" si="208"/>
        <v>0</v>
      </c>
      <c r="T199" s="217"/>
      <c r="U199" s="217"/>
      <c r="V199" s="217"/>
      <c r="W199" s="217"/>
      <c r="X199" s="198"/>
      <c r="Y199" s="199">
        <f t="shared" si="209"/>
        <v>0</v>
      </c>
      <c r="Z199" s="200">
        <f>'[6]FY24 Revenue @  CT'!R198</f>
        <v>4.1500000000000004</v>
      </c>
      <c r="AA199" s="201">
        <f t="shared" si="210"/>
        <v>0</v>
      </c>
      <c r="AC199" s="166"/>
    </row>
    <row r="200" spans="1:29" s="92" customFormat="1" ht="15" customHeight="1">
      <c r="A200" s="188"/>
      <c r="B200" s="244" t="s">
        <v>916</v>
      </c>
      <c r="C200" s="190"/>
      <c r="D200" s="217">
        <v>4.9000000000000004</v>
      </c>
      <c r="E200" s="243">
        <f>475*12</f>
        <v>5700</v>
      </c>
      <c r="F200" s="217"/>
      <c r="G200" s="222">
        <v>2813</v>
      </c>
      <c r="H200" s="194"/>
      <c r="I200" s="217"/>
      <c r="J200" s="194"/>
      <c r="K200" s="217"/>
      <c r="L200" s="195">
        <f t="shared" si="204"/>
        <v>0</v>
      </c>
      <c r="M200" s="196">
        <f t="shared" si="205"/>
        <v>0</v>
      </c>
      <c r="N200" s="197"/>
      <c r="O200" s="196">
        <f t="shared" si="206"/>
        <v>0</v>
      </c>
      <c r="P200" s="197"/>
      <c r="Q200" s="196">
        <f t="shared" si="207"/>
        <v>0</v>
      </c>
      <c r="R200" s="217"/>
      <c r="S200" s="196">
        <f t="shared" si="208"/>
        <v>0</v>
      </c>
      <c r="T200" s="217"/>
      <c r="U200" s="217"/>
      <c r="V200" s="217"/>
      <c r="W200" s="217"/>
      <c r="X200" s="198"/>
      <c r="Y200" s="199">
        <f t="shared" si="209"/>
        <v>0</v>
      </c>
      <c r="Z200" s="200">
        <f>'[6]FY24 Revenue @  CT'!R199</f>
        <v>4.9000000000000004</v>
      </c>
      <c r="AA200" s="201">
        <f t="shared" si="210"/>
        <v>0</v>
      </c>
      <c r="AC200" s="166"/>
    </row>
    <row r="201" spans="1:29" ht="15.75" customHeight="1">
      <c r="B201" s="239" t="s">
        <v>751</v>
      </c>
      <c r="C201" s="250">
        <f>SUM(C202:C205)</f>
        <v>0</v>
      </c>
      <c r="D201" s="240"/>
      <c r="E201" s="240"/>
      <c r="F201" s="240"/>
      <c r="G201" s="240"/>
      <c r="H201" s="240">
        <f>SUM(H202:H205)</f>
        <v>0</v>
      </c>
      <c r="I201" s="240">
        <f t="shared" ref="I201:AA201" si="213">SUM(I202:I205)</f>
        <v>0</v>
      </c>
      <c r="J201" s="240">
        <f t="shared" si="213"/>
        <v>0</v>
      </c>
      <c r="K201" s="240">
        <f t="shared" si="213"/>
        <v>0</v>
      </c>
      <c r="L201" s="240">
        <f t="shared" si="213"/>
        <v>0</v>
      </c>
      <c r="M201" s="240">
        <f t="shared" si="213"/>
        <v>0</v>
      </c>
      <c r="N201" s="240">
        <f t="shared" si="213"/>
        <v>0</v>
      </c>
      <c r="O201" s="240">
        <f t="shared" si="213"/>
        <v>0</v>
      </c>
      <c r="P201" s="240">
        <f t="shared" si="213"/>
        <v>0</v>
      </c>
      <c r="Q201" s="240">
        <f t="shared" si="213"/>
        <v>0</v>
      </c>
      <c r="R201" s="240">
        <f t="shared" si="213"/>
        <v>0</v>
      </c>
      <c r="S201" s="240">
        <f t="shared" si="213"/>
        <v>0</v>
      </c>
      <c r="T201" s="240">
        <f t="shared" si="213"/>
        <v>0</v>
      </c>
      <c r="U201" s="240">
        <f t="shared" si="213"/>
        <v>0</v>
      </c>
      <c r="V201" s="240">
        <f t="shared" si="213"/>
        <v>0</v>
      </c>
      <c r="W201" s="240">
        <f t="shared" si="213"/>
        <v>0</v>
      </c>
      <c r="X201" s="240">
        <f t="shared" si="213"/>
        <v>0</v>
      </c>
      <c r="Y201" s="240">
        <f t="shared" si="213"/>
        <v>0</v>
      </c>
      <c r="Z201" s="240"/>
      <c r="AA201" s="241">
        <f t="shared" si="213"/>
        <v>0</v>
      </c>
      <c r="AC201" s="166"/>
    </row>
    <row r="202" spans="1:29" ht="28.5" customHeight="1">
      <c r="B202" s="236" t="s">
        <v>756</v>
      </c>
      <c r="C202" s="190"/>
      <c r="D202" s="203">
        <v>6.65</v>
      </c>
      <c r="E202" s="237">
        <f>475*12</f>
        <v>5700</v>
      </c>
      <c r="F202" s="237"/>
      <c r="G202" s="237">
        <v>2813</v>
      </c>
      <c r="H202" s="194"/>
      <c r="I202" s="238"/>
      <c r="J202" s="194"/>
      <c r="K202" s="238"/>
      <c r="L202" s="195">
        <f t="shared" ref="L202:L205" si="214">D202*H202/10</f>
        <v>0</v>
      </c>
      <c r="M202" s="196">
        <f t="shared" ref="M202:M205" si="215">IF(E202&gt;0,(J202*10^3*E202/10^7)+(K202*0.7457*E202/10^7),(K202*F202/10^7)+(J202*(10^3)*(1/0.7457)*F202/10^7))</f>
        <v>0</v>
      </c>
      <c r="N202" s="197"/>
      <c r="O202" s="196">
        <f t="shared" ref="O202:O205" si="216">G202*C202*12/10^7</f>
        <v>0</v>
      </c>
      <c r="P202" s="197"/>
      <c r="Q202" s="196">
        <f t="shared" ref="Q202:Q205" si="217">L202+M202+N202+O202+P202</f>
        <v>0</v>
      </c>
      <c r="R202" s="238"/>
      <c r="S202" s="196">
        <f t="shared" ref="S202:S205" si="218">Q202-R202</f>
        <v>0</v>
      </c>
      <c r="T202" s="238"/>
      <c r="U202" s="238"/>
      <c r="V202" s="238"/>
      <c r="W202" s="238"/>
      <c r="X202" s="198"/>
      <c r="Y202" s="199">
        <f t="shared" ref="Y202:Y205" si="219">S202+X202</f>
        <v>0</v>
      </c>
      <c r="Z202" s="200">
        <f>'[6]FY24 Revenue @  CT'!R201</f>
        <v>6.65</v>
      </c>
      <c r="AA202" s="201">
        <f t="shared" ref="AA202:AA205" si="220">(H202*Z202/10)+M202+O202+N202+P202+X202</f>
        <v>0</v>
      </c>
      <c r="AC202" s="166"/>
    </row>
    <row r="203" spans="1:29" ht="15.75" customHeight="1">
      <c r="B203" s="236" t="s">
        <v>757</v>
      </c>
      <c r="C203" s="190"/>
      <c r="D203" s="203">
        <v>6.95</v>
      </c>
      <c r="E203" s="237">
        <f>475*12</f>
        <v>5700</v>
      </c>
      <c r="F203" s="237"/>
      <c r="G203" s="237">
        <v>2813</v>
      </c>
      <c r="H203" s="194"/>
      <c r="I203" s="238"/>
      <c r="J203" s="194"/>
      <c r="K203" s="238"/>
      <c r="L203" s="195">
        <f t="shared" si="214"/>
        <v>0</v>
      </c>
      <c r="M203" s="196">
        <f t="shared" si="215"/>
        <v>0</v>
      </c>
      <c r="N203" s="197"/>
      <c r="O203" s="196">
        <f t="shared" si="216"/>
        <v>0</v>
      </c>
      <c r="P203" s="197"/>
      <c r="Q203" s="196">
        <f t="shared" si="217"/>
        <v>0</v>
      </c>
      <c r="R203" s="238"/>
      <c r="S203" s="196">
        <f t="shared" si="218"/>
        <v>0</v>
      </c>
      <c r="T203" s="238"/>
      <c r="U203" s="238"/>
      <c r="V203" s="238"/>
      <c r="W203" s="238"/>
      <c r="X203" s="198"/>
      <c r="Y203" s="199">
        <f t="shared" si="219"/>
        <v>0</v>
      </c>
      <c r="Z203" s="200">
        <f>'[6]FY24 Revenue @  CT'!R202</f>
        <v>6.95</v>
      </c>
      <c r="AA203" s="201">
        <f t="shared" si="220"/>
        <v>0</v>
      </c>
      <c r="AC203" s="166"/>
    </row>
    <row r="204" spans="1:29" ht="15.75" customHeight="1">
      <c r="B204" s="236" t="s">
        <v>758</v>
      </c>
      <c r="C204" s="190"/>
      <c r="D204" s="203">
        <v>5</v>
      </c>
      <c r="E204" s="237">
        <f>30*12</f>
        <v>360</v>
      </c>
      <c r="F204" s="237"/>
      <c r="G204" s="237">
        <v>2813</v>
      </c>
      <c r="H204" s="194"/>
      <c r="I204" s="238"/>
      <c r="J204" s="194"/>
      <c r="K204" s="238"/>
      <c r="L204" s="195">
        <f t="shared" si="214"/>
        <v>0</v>
      </c>
      <c r="M204" s="196">
        <f t="shared" si="215"/>
        <v>0</v>
      </c>
      <c r="N204" s="197"/>
      <c r="O204" s="196">
        <f t="shared" si="216"/>
        <v>0</v>
      </c>
      <c r="P204" s="197"/>
      <c r="Q204" s="196">
        <f t="shared" si="217"/>
        <v>0</v>
      </c>
      <c r="R204" s="238"/>
      <c r="S204" s="196">
        <f t="shared" si="218"/>
        <v>0</v>
      </c>
      <c r="T204" s="238"/>
      <c r="U204" s="238"/>
      <c r="V204" s="238"/>
      <c r="W204" s="238"/>
      <c r="X204" s="198"/>
      <c r="Y204" s="199">
        <f t="shared" si="219"/>
        <v>0</v>
      </c>
      <c r="Z204" s="200">
        <f>'[6]FY24 Revenue @  CT'!R203</f>
        <v>5</v>
      </c>
      <c r="AA204" s="201">
        <f t="shared" si="220"/>
        <v>0</v>
      </c>
      <c r="AC204" s="166"/>
    </row>
    <row r="205" spans="1:29" ht="15.75" customHeight="1">
      <c r="B205" s="236" t="s">
        <v>759</v>
      </c>
      <c r="C205" s="190"/>
      <c r="D205" s="203">
        <v>5.5</v>
      </c>
      <c r="E205" s="237">
        <f>350*12</f>
        <v>4200</v>
      </c>
      <c r="F205" s="237"/>
      <c r="G205" s="237">
        <v>2813</v>
      </c>
      <c r="H205" s="194"/>
      <c r="I205" s="238"/>
      <c r="J205" s="194"/>
      <c r="K205" s="238"/>
      <c r="L205" s="195">
        <f t="shared" si="214"/>
        <v>0</v>
      </c>
      <c r="M205" s="196">
        <f t="shared" si="215"/>
        <v>0</v>
      </c>
      <c r="N205" s="197"/>
      <c r="O205" s="196">
        <f t="shared" si="216"/>
        <v>0</v>
      </c>
      <c r="P205" s="197"/>
      <c r="Q205" s="196">
        <f t="shared" si="217"/>
        <v>0</v>
      </c>
      <c r="R205" s="238"/>
      <c r="S205" s="196">
        <f t="shared" si="218"/>
        <v>0</v>
      </c>
      <c r="T205" s="238"/>
      <c r="U205" s="238"/>
      <c r="V205" s="238"/>
      <c r="W205" s="238"/>
      <c r="X205" s="198"/>
      <c r="Y205" s="199">
        <f t="shared" si="219"/>
        <v>0</v>
      </c>
      <c r="Z205" s="200">
        <f>'[6]FY24 Revenue @  CT'!R204</f>
        <v>5.5</v>
      </c>
      <c r="AA205" s="201">
        <f t="shared" si="220"/>
        <v>0</v>
      </c>
      <c r="AC205" s="166"/>
    </row>
    <row r="206" spans="1:29" ht="15.75" customHeight="1">
      <c r="B206" s="239" t="s">
        <v>752</v>
      </c>
      <c r="C206" s="250">
        <f>C207+C208</f>
        <v>0</v>
      </c>
      <c r="D206" s="240"/>
      <c r="E206" s="240"/>
      <c r="F206" s="240"/>
      <c r="G206" s="240"/>
      <c r="H206" s="240">
        <f t="shared" ref="H206:AA206" si="221">H207+H208</f>
        <v>0</v>
      </c>
      <c r="I206" s="240">
        <f t="shared" si="221"/>
        <v>0</v>
      </c>
      <c r="J206" s="240">
        <f t="shared" si="221"/>
        <v>0</v>
      </c>
      <c r="K206" s="240">
        <f t="shared" si="221"/>
        <v>0</v>
      </c>
      <c r="L206" s="240">
        <f t="shared" si="221"/>
        <v>0</v>
      </c>
      <c r="M206" s="240">
        <f t="shared" si="221"/>
        <v>0</v>
      </c>
      <c r="N206" s="240">
        <f t="shared" si="221"/>
        <v>0</v>
      </c>
      <c r="O206" s="240">
        <f t="shared" si="221"/>
        <v>0</v>
      </c>
      <c r="P206" s="240">
        <f t="shared" si="221"/>
        <v>0</v>
      </c>
      <c r="Q206" s="240">
        <f t="shared" si="221"/>
        <v>0</v>
      </c>
      <c r="R206" s="240">
        <f t="shared" si="221"/>
        <v>0</v>
      </c>
      <c r="S206" s="240">
        <f t="shared" si="221"/>
        <v>0</v>
      </c>
      <c r="T206" s="240">
        <f t="shared" si="221"/>
        <v>0</v>
      </c>
      <c r="U206" s="240">
        <f t="shared" si="221"/>
        <v>0</v>
      </c>
      <c r="V206" s="240">
        <f t="shared" si="221"/>
        <v>0</v>
      </c>
      <c r="W206" s="240">
        <f t="shared" si="221"/>
        <v>0</v>
      </c>
      <c r="X206" s="240">
        <f t="shared" si="221"/>
        <v>0</v>
      </c>
      <c r="Y206" s="240">
        <f t="shared" si="221"/>
        <v>0</v>
      </c>
      <c r="Z206" s="240"/>
      <c r="AA206" s="241">
        <f t="shared" si="221"/>
        <v>0</v>
      </c>
      <c r="AC206" s="166"/>
    </row>
    <row r="207" spans="1:29" ht="27.75" customHeight="1">
      <c r="B207" s="236" t="s">
        <v>760</v>
      </c>
      <c r="C207" s="190"/>
      <c r="D207" s="203">
        <v>3.85</v>
      </c>
      <c r="E207" s="237">
        <f>30*12</f>
        <v>360</v>
      </c>
      <c r="F207" s="237"/>
      <c r="G207" s="237">
        <v>2813</v>
      </c>
      <c r="H207" s="194"/>
      <c r="I207" s="238"/>
      <c r="J207" s="194"/>
      <c r="K207" s="238"/>
      <c r="L207" s="195">
        <f t="shared" ref="L207:L208" si="222">D207*H207/10</f>
        <v>0</v>
      </c>
      <c r="M207" s="196">
        <f t="shared" ref="M207:M208" si="223">IF(E207&gt;0,(J207*10^3*E207/10^7)+(K207*0.7457*E207/10^7),(K207*F207/10^7)+(J207*(10^3)*(1/0.7457)*F207/10^7))</f>
        <v>0</v>
      </c>
      <c r="N207" s="197"/>
      <c r="O207" s="196">
        <f t="shared" ref="O207:O208" si="224">G207*C207*12/10^7</f>
        <v>0</v>
      </c>
      <c r="P207" s="197"/>
      <c r="Q207" s="196">
        <f t="shared" ref="Q207:Q208" si="225">L207+M207+N207+O207+P207</f>
        <v>0</v>
      </c>
      <c r="R207" s="238"/>
      <c r="S207" s="196">
        <f t="shared" ref="S207:S208" si="226">Q207-R207</f>
        <v>0</v>
      </c>
      <c r="T207" s="238"/>
      <c r="U207" s="238"/>
      <c r="V207" s="238"/>
      <c r="W207" s="238"/>
      <c r="X207" s="198"/>
      <c r="Y207" s="199">
        <f t="shared" ref="Y207:Y208" si="227">S207+X207</f>
        <v>0</v>
      </c>
      <c r="Z207" s="200">
        <f>'[6]FY24 Revenue @  CT'!R206</f>
        <v>3.85</v>
      </c>
      <c r="AA207" s="201">
        <f t="shared" ref="AA207:AA208" si="228">(H207*Z207/10)+M207+O207+N207+P207+X207</f>
        <v>0</v>
      </c>
      <c r="AC207" s="166"/>
    </row>
    <row r="208" spans="1:29" ht="27.75" customHeight="1">
      <c r="B208" s="236" t="s">
        <v>761</v>
      </c>
      <c r="C208" s="190"/>
      <c r="D208" s="203">
        <v>7.15</v>
      </c>
      <c r="E208" s="237">
        <v>0</v>
      </c>
      <c r="F208" s="237"/>
      <c r="G208" s="237">
        <v>2813</v>
      </c>
      <c r="H208" s="194"/>
      <c r="I208" s="238"/>
      <c r="J208" s="194"/>
      <c r="K208" s="238"/>
      <c r="L208" s="195">
        <f t="shared" si="222"/>
        <v>0</v>
      </c>
      <c r="M208" s="196">
        <f t="shared" si="223"/>
        <v>0</v>
      </c>
      <c r="N208" s="197"/>
      <c r="O208" s="196">
        <f t="shared" si="224"/>
        <v>0</v>
      </c>
      <c r="P208" s="197"/>
      <c r="Q208" s="196">
        <f t="shared" si="225"/>
        <v>0</v>
      </c>
      <c r="R208" s="238"/>
      <c r="S208" s="196">
        <f t="shared" si="226"/>
        <v>0</v>
      </c>
      <c r="T208" s="238"/>
      <c r="U208" s="238"/>
      <c r="V208" s="238"/>
      <c r="W208" s="238"/>
      <c r="X208" s="198"/>
      <c r="Y208" s="199">
        <f t="shared" si="227"/>
        <v>0</v>
      </c>
      <c r="Z208" s="200">
        <f>'[6]FY24 Revenue @  CT'!R207</f>
        <v>7.15</v>
      </c>
      <c r="AA208" s="201">
        <f t="shared" si="228"/>
        <v>0</v>
      </c>
      <c r="AC208" s="166"/>
    </row>
    <row r="209" spans="2:29" ht="12.75" customHeight="1">
      <c r="B209" s="239" t="s">
        <v>643</v>
      </c>
      <c r="C209" s="250">
        <f>C53+C93+C132+C171</f>
        <v>4200</v>
      </c>
      <c r="D209" s="240">
        <v>0</v>
      </c>
      <c r="E209" s="250">
        <v>0</v>
      </c>
      <c r="F209" s="250">
        <v>0</v>
      </c>
      <c r="G209" s="250">
        <v>0</v>
      </c>
      <c r="H209" s="240">
        <f>H53+H93+H132+H171</f>
        <v>0</v>
      </c>
      <c r="I209" s="240"/>
      <c r="J209" s="240">
        <f>J53+J93+J132+J171</f>
        <v>0</v>
      </c>
      <c r="K209" s="240">
        <f t="shared" ref="K209:AA209" si="229">K53+K93+K132+K171</f>
        <v>0</v>
      </c>
      <c r="L209" s="240">
        <f t="shared" si="229"/>
        <v>0</v>
      </c>
      <c r="M209" s="240">
        <f t="shared" si="229"/>
        <v>0</v>
      </c>
      <c r="N209" s="240">
        <f t="shared" si="229"/>
        <v>0</v>
      </c>
      <c r="O209" s="240">
        <f t="shared" si="229"/>
        <v>7.0862400000000001</v>
      </c>
      <c r="P209" s="240">
        <f t="shared" si="229"/>
        <v>0</v>
      </c>
      <c r="Q209" s="240">
        <f t="shared" si="229"/>
        <v>7.0862400000000001</v>
      </c>
      <c r="R209" s="240"/>
      <c r="S209" s="240">
        <f t="shared" si="229"/>
        <v>7.0862400000000001</v>
      </c>
      <c r="T209" s="240">
        <f t="shared" si="229"/>
        <v>0</v>
      </c>
      <c r="U209" s="240">
        <f t="shared" si="229"/>
        <v>0</v>
      </c>
      <c r="V209" s="240">
        <f t="shared" si="229"/>
        <v>0</v>
      </c>
      <c r="W209" s="240">
        <f t="shared" si="229"/>
        <v>0</v>
      </c>
      <c r="X209" s="240">
        <f t="shared" si="229"/>
        <v>0</v>
      </c>
      <c r="Y209" s="240">
        <f t="shared" si="229"/>
        <v>8.2672800000000005E-2</v>
      </c>
      <c r="Z209" s="240">
        <v>0</v>
      </c>
      <c r="AA209" s="241">
        <f t="shared" si="229"/>
        <v>7.0862400000000001</v>
      </c>
    </row>
    <row r="210" spans="2:29" ht="12.75" customHeight="1" thickBot="1">
      <c r="B210" s="262" t="s">
        <v>644</v>
      </c>
      <c r="C210" s="263">
        <f>C50+C209</f>
        <v>7274410</v>
      </c>
      <c r="D210" s="264">
        <v>0</v>
      </c>
      <c r="E210" s="263">
        <v>0</v>
      </c>
      <c r="F210" s="263">
        <v>0</v>
      </c>
      <c r="G210" s="263">
        <v>0</v>
      </c>
      <c r="H210" s="264">
        <f>H50+H209</f>
        <v>0</v>
      </c>
      <c r="I210" s="264"/>
      <c r="J210" s="264">
        <f>J50+J209</f>
        <v>0</v>
      </c>
      <c r="K210" s="264">
        <f t="shared" ref="K210:AA210" si="230">K50+K209</f>
        <v>0</v>
      </c>
      <c r="L210" s="264">
        <f t="shared" si="230"/>
        <v>0</v>
      </c>
      <c r="M210" s="264">
        <f t="shared" si="230"/>
        <v>0</v>
      </c>
      <c r="N210" s="264">
        <f t="shared" si="230"/>
        <v>0</v>
      </c>
      <c r="O210" s="264">
        <f>O50+O209</f>
        <v>357.8628372</v>
      </c>
      <c r="P210" s="264">
        <f t="shared" si="230"/>
        <v>0</v>
      </c>
      <c r="Q210" s="264">
        <f t="shared" si="230"/>
        <v>357.8628372</v>
      </c>
      <c r="R210" s="264"/>
      <c r="S210" s="264">
        <f t="shared" si="230"/>
        <v>357.8628372</v>
      </c>
      <c r="T210" s="264">
        <f t="shared" si="230"/>
        <v>0</v>
      </c>
      <c r="U210" s="264">
        <f t="shared" si="230"/>
        <v>0</v>
      </c>
      <c r="V210" s="264">
        <f t="shared" si="230"/>
        <v>0</v>
      </c>
      <c r="W210" s="264">
        <f t="shared" si="230"/>
        <v>0</v>
      </c>
      <c r="X210" s="264">
        <f t="shared" si="230"/>
        <v>0</v>
      </c>
      <c r="Y210" s="264">
        <f t="shared" si="230"/>
        <v>350.85927000000004</v>
      </c>
      <c r="Z210" s="264">
        <v>0</v>
      </c>
      <c r="AA210" s="265">
        <f t="shared" si="230"/>
        <v>357.8628372</v>
      </c>
      <c r="AB210" s="166" t="e">
        <f>AA210+'9|Revenue Gap Adj'!#REF!</f>
        <v>#REF!</v>
      </c>
      <c r="AC210" s="166"/>
    </row>
    <row r="212" spans="2:29" ht="10.5" customHeight="1">
      <c r="I212" s="162"/>
      <c r="J212" s="162"/>
      <c r="K212" s="162"/>
      <c r="L212" s="162"/>
      <c r="M212" s="162"/>
      <c r="N212" s="162"/>
      <c r="O212" s="162"/>
      <c r="P212" s="162"/>
      <c r="Q212" s="162"/>
      <c r="R212" s="162"/>
      <c r="S212" s="162"/>
      <c r="T212" s="162"/>
      <c r="U212" s="162"/>
      <c r="V212" s="162"/>
      <c r="W212" s="162"/>
      <c r="X212" s="162"/>
      <c r="Y212" s="162"/>
      <c r="AA212" s="166"/>
      <c r="AB212" s="266"/>
    </row>
    <row r="214" spans="2:29" ht="10.5" customHeight="1">
      <c r="H214" s="161"/>
      <c r="Y214" s="166"/>
      <c r="AA214" s="166"/>
      <c r="AB214" s="266"/>
    </row>
    <row r="216" spans="2:29" ht="10.5" customHeight="1">
      <c r="Y216" s="166"/>
    </row>
    <row r="217" spans="2:29" ht="10.5" customHeight="1">
      <c r="AB217" s="166"/>
    </row>
    <row r="218" spans="2:29" ht="10.5" customHeight="1">
      <c r="Y218" s="166"/>
    </row>
  </sheetData>
  <mergeCells count="11">
    <mergeCell ref="Z5:Z6"/>
    <mergeCell ref="AA5:AA6"/>
    <mergeCell ref="B4:Y4"/>
    <mergeCell ref="C5:C6"/>
    <mergeCell ref="D5:G5"/>
    <mergeCell ref="H5:K5"/>
    <mergeCell ref="L5:Q5"/>
    <mergeCell ref="R5:R6"/>
    <mergeCell ref="U5:V5"/>
    <mergeCell ref="W5:X5"/>
    <mergeCell ref="Y5:Y6"/>
  </mergeCells>
  <dataValidations count="1">
    <dataValidation type="decimal" allowBlank="1" showInputMessage="1" showErrorMessage="1" sqref="J181:Y181 I50:Y50 J30:K32 C7 X19:Y28 H9:H46 L142:Y142 T112:Z112 J29:Y29 AA162 X41:Y46 X37 X48:Y49 I84:K87 T38:X38 J17:Y18 I64:K82 H55:H62 L51:Y51 T175:Y175 AA141:AA142 AA33 I37:K38 I39:Q39 S170:S171 T145:Z145 Y114:Y122 C1:C2 X34:Y35 I10:K16 D1:X3 H7:Y7 J19:K28 J33:Y33 I9:AA9 X30:Y32 S47:Y47 J34:K35 AA47 T202:X205 AA114 I48:K49 AA180 I201:J65581 I17:I36 T54:Z54 T97:Z97 S53:Y53 I51:K52 X52:Y52 AA53 H54:K54 H63:Y63 AA62:AA63 R88:R90 I62:Y62 I83:Y83 AA83 X91:Y92 AA93 I56:K61 I89:K92 X84:Y87 H94:K94 H48:H53 T178:W179 I174:K179 I172:K172 I173:W173 I133:K133 I96:K101 T89:Y90 T115:X122 AA134 AA102 I141:Y141 AA123 I134:Y134 I135:K140 I162:W162 AA17:AA18 AA29 R38:R39 R47:R48 R53:R56 R70 R97 R104 R112 R109 R128:R129 R137 R147 R145 R169:R171 R178:R179 R175 K201:K208 S39:Y39 I53:Q53 I55:Q55 AA88 I88:Q88 S88:Y88 H93:Y93 I102:Y102 I124:K127 AA128 I128:Q128 S128:Y128 X103:Y111 I129:K131 AA132 I132:Y132 AA209:AA210 I163:K166 I168:K170 I167:W167 AA171 I171:Q171 AA173 T212:Y212 L201:Q201 S201:X201 L206:Q206 S206:X206 H47:Q47 I40:Y40 AA39:AA40 X94:Z94 AA50:AA51 X57:Y61 I41:K46 X98:Y101 X124:Y127 T129:Y129 X135:Y140 X176:Y179 Y37:Y38 T48:W48 T70:W70 T109:W109 T104:W104 I123:Y123 X130:Y131 T137:W137 T147:Z147 X143:Y144 T169:W171 H180:Y180 X10:Z16 AA36 S55:AA55 H95:AA95 Z57:Z93 X133:Y133 T75:Y82 Z17:Z53 H64:H92 X64:Y74 R75:R82 S192:X192 H181:H65581 Z114:Z144 T154:Z161 R154:R161 X148:Z153 I193:K200 L153:Q153 T182:X191 Z162:Z200 Y182:Y200 I182:K191 R182:R208 I192:Q192 T193:X200 H96:H179 I142:K161 I114:X114 Z98:Z111 I103:K113 I115:K122 K209:S65581 T207:X211 T213:X65581 J36:Y36 T56:Z56 X96:Z96 X113:Z113 X146:Z146 X162:Y174 Y201:Z210 AA201 AA206 AA167 AA192 AA153 C9:G65581">
      <formula1>0</formula1>
      <formula2>9.99999999999999E+30</formula2>
    </dataValidation>
  </dataValidations>
  <hyperlinks>
    <hyperlink ref="A1" location="Index!A1" display="Index sheet"/>
  </hyperlinks>
  <printOptions horizontalCentered="1"/>
  <pageMargins left="0.511811023622047" right="0.511811023622047" top="0.511811023622047" bottom="0.511811023622047" header="0.23622047244094499" footer="0.23622047244094499"/>
  <pageSetup paperSize="9" scale="68" fitToHeight="14" pageOrder="overThenDown" orientation="landscape" blackAndWhite="1" r:id="rId1"/>
  <headerFooter alignWithMargins="0"/>
  <rowBreaks count="5" manualBreakCount="5">
    <brk id="38" min="1" max="26" man="1"/>
    <brk id="90" min="1" max="26" man="1"/>
    <brk id="130" min="1" max="26" man="1"/>
    <brk id="169" min="1" max="26" man="1"/>
    <brk id="210" min="1" max="26" man="1"/>
  </rowBreaks>
  <colBreaks count="1" manualBreakCount="1">
    <brk id="14" min="2" max="177" man="1"/>
  </colBreaks>
</worksheet>
</file>

<file path=xl/worksheets/sheet42.xml><?xml version="1.0" encoding="utf-8"?>
<worksheet xmlns="http://schemas.openxmlformats.org/spreadsheetml/2006/main" xmlns:r="http://schemas.openxmlformats.org/officeDocument/2006/relationships">
  <sheetPr codeName="Sheet38"/>
  <dimension ref="A1:P14"/>
  <sheetViews>
    <sheetView view="pageBreakPreview" topLeftCell="A4" zoomScale="115" zoomScaleSheetLayoutView="115" workbookViewId="0">
      <selection activeCell="C18" sqref="C18:G18"/>
    </sheetView>
  </sheetViews>
  <sheetFormatPr defaultRowHeight="10.5"/>
  <cols>
    <col min="1" max="1" width="5.28515625" style="92" customWidth="1"/>
    <col min="2" max="2" width="6" style="92" hidden="1" customWidth="1"/>
    <col min="3" max="3" width="21.85546875" style="92" customWidth="1"/>
    <col min="4" max="4" width="6.5703125" style="92" customWidth="1"/>
    <col min="5" max="6" width="8.140625" style="92" customWidth="1"/>
    <col min="7" max="7" width="14.85546875" style="92" customWidth="1"/>
    <col min="8" max="8" width="8.140625" style="92" customWidth="1"/>
    <col min="9" max="9" width="10" style="92" customWidth="1"/>
    <col min="10" max="12" width="8.140625" style="92" customWidth="1"/>
    <col min="13" max="13" width="13" style="92" customWidth="1"/>
    <col min="14" max="14" width="8.140625" style="92" customWidth="1"/>
    <col min="15" max="15" width="9.42578125" style="92" customWidth="1"/>
    <col min="16" max="16" width="8.140625" style="92" customWidth="1"/>
    <col min="17" max="16384" width="9.140625" style="92"/>
  </cols>
  <sheetData>
    <row r="1" spans="1:16">
      <c r="A1" s="136" t="s">
        <v>396</v>
      </c>
      <c r="C1" s="137"/>
    </row>
    <row r="3" spans="1:16" ht="15.75" customHeight="1">
      <c r="C3" s="91" t="s">
        <v>193</v>
      </c>
      <c r="D3" s="91" t="s">
        <v>194</v>
      </c>
      <c r="E3" s="91"/>
      <c r="F3" s="91"/>
      <c r="G3" s="91"/>
      <c r="H3" s="91"/>
      <c r="I3" s="91"/>
      <c r="J3" s="91"/>
      <c r="K3" s="91"/>
      <c r="L3" s="91"/>
      <c r="M3" s="91"/>
      <c r="N3" s="91"/>
      <c r="O3" s="91"/>
      <c r="P3" s="91"/>
    </row>
    <row r="4" spans="1:16" ht="12.75" customHeight="1" thickBot="1"/>
    <row r="5" spans="1:16" s="91" customFormat="1" ht="18.75" customHeight="1">
      <c r="C5" s="1823" t="s">
        <v>342</v>
      </c>
      <c r="D5" s="1825" t="s">
        <v>140</v>
      </c>
      <c r="E5" s="1953" t="str">
        <f>Notes!C5</f>
        <v>Base Year</v>
      </c>
      <c r="F5" s="1953"/>
      <c r="G5" s="1953"/>
      <c r="H5" s="1953"/>
      <c r="I5" s="1953"/>
      <c r="J5" s="1954"/>
      <c r="K5" s="1955" t="str">
        <f>Notes!C6</f>
        <v>FY 2024-25</v>
      </c>
      <c r="L5" s="1953"/>
      <c r="M5" s="1953"/>
      <c r="N5" s="1953"/>
      <c r="O5" s="1953"/>
      <c r="P5" s="1954"/>
    </row>
    <row r="6" spans="1:16" ht="66.75" customHeight="1">
      <c r="C6" s="1824"/>
      <c r="D6" s="1771"/>
      <c r="E6" s="94" t="s">
        <v>195</v>
      </c>
      <c r="F6" s="94" t="s">
        <v>246</v>
      </c>
      <c r="G6" s="94" t="s">
        <v>377</v>
      </c>
      <c r="H6" s="94" t="s">
        <v>275</v>
      </c>
      <c r="I6" s="94" t="s">
        <v>276</v>
      </c>
      <c r="J6" s="1074" t="s">
        <v>365</v>
      </c>
      <c r="K6" s="1389" t="s">
        <v>195</v>
      </c>
      <c r="L6" s="94" t="s">
        <v>246</v>
      </c>
      <c r="M6" s="94" t="s">
        <v>377</v>
      </c>
      <c r="N6" s="94" t="s">
        <v>275</v>
      </c>
      <c r="O6" s="94" t="s">
        <v>276</v>
      </c>
      <c r="P6" s="1074" t="s">
        <v>365</v>
      </c>
    </row>
    <row r="7" spans="1:16" ht="19.5" customHeight="1">
      <c r="B7" s="121">
        <v>10054</v>
      </c>
      <c r="C7" s="411" t="s">
        <v>598</v>
      </c>
      <c r="D7" s="102"/>
      <c r="E7" s="102"/>
      <c r="F7" s="102"/>
      <c r="G7" s="102"/>
      <c r="H7" s="102"/>
      <c r="I7" s="102"/>
      <c r="J7" s="412"/>
      <c r="K7" s="139"/>
      <c r="L7" s="139"/>
      <c r="M7" s="139"/>
      <c r="N7" s="139"/>
      <c r="O7" s="139"/>
      <c r="P7" s="1385"/>
    </row>
    <row r="8" spans="1:16" ht="19.5" customHeight="1">
      <c r="C8" s="140" t="s">
        <v>669</v>
      </c>
      <c r="D8" s="95"/>
      <c r="E8" s="141">
        <f>'2|CoS '!E9</f>
        <v>11315.1867</v>
      </c>
      <c r="F8" s="142">
        <f>'7|Total Rev Current'!AA226</f>
        <v>6670.9526142312434</v>
      </c>
      <c r="G8" s="143">
        <f>F8-E8</f>
        <v>-4644.2340857687568</v>
      </c>
      <c r="H8" s="144"/>
      <c r="I8" s="143">
        <f>G8</f>
        <v>-4644.2340857687568</v>
      </c>
      <c r="J8" s="1386"/>
      <c r="K8" s="1390">
        <f>'2|CoS '!H9</f>
        <v>11086.159777914294</v>
      </c>
      <c r="L8" s="142">
        <f>'7|Total Rev Current'!AA404</f>
        <v>7091.1102207692729</v>
      </c>
      <c r="M8" s="143">
        <f>L8-K8</f>
        <v>-3995.049557145021</v>
      </c>
      <c r="N8" s="144"/>
      <c r="O8" s="143">
        <f>M8</f>
        <v>-3995.049557145021</v>
      </c>
      <c r="P8" s="1386"/>
    </row>
    <row r="9" spans="1:16" ht="19.5" customHeight="1">
      <c r="C9" s="1392" t="s">
        <v>601</v>
      </c>
      <c r="D9" s="95"/>
      <c r="E9" s="145"/>
      <c r="F9" s="145"/>
      <c r="G9" s="144"/>
      <c r="H9" s="144"/>
      <c r="I9" s="144"/>
      <c r="J9" s="1386"/>
      <c r="K9" s="147"/>
      <c r="L9" s="147"/>
      <c r="M9" s="148"/>
      <c r="N9" s="148"/>
      <c r="O9" s="148"/>
      <c r="P9" s="1387"/>
    </row>
    <row r="10" spans="1:16" ht="19.5" customHeight="1">
      <c r="C10" s="140" t="s">
        <v>670</v>
      </c>
      <c r="D10" s="95"/>
      <c r="E10" s="141">
        <f>'2|CoS '!E11</f>
        <v>1880.7367999999999</v>
      </c>
      <c r="F10" s="142">
        <f>'7|Total Rev Current'!AA229</f>
        <v>2301.3818282388306</v>
      </c>
      <c r="G10" s="143">
        <f>F10-E10</f>
        <v>420.64502823883072</v>
      </c>
      <c r="H10" s="144"/>
      <c r="I10" s="143">
        <f>G10</f>
        <v>420.64502823883072</v>
      </c>
      <c r="J10" s="1386"/>
      <c r="K10" s="141">
        <f>'2|CoS '!H11</f>
        <v>1844.3406942078989</v>
      </c>
      <c r="L10" s="142">
        <f>'7|Total Rev Current'!AA407</f>
        <v>2430.4448782326417</v>
      </c>
      <c r="M10" s="143">
        <f>L10-K10</f>
        <v>586.10418402474284</v>
      </c>
      <c r="N10" s="144"/>
      <c r="O10" s="143">
        <f>M10</f>
        <v>586.10418402474284</v>
      </c>
      <c r="P10" s="1386"/>
    </row>
    <row r="11" spans="1:16" ht="19.5" customHeight="1">
      <c r="C11" s="140" t="s">
        <v>671</v>
      </c>
      <c r="D11" s="95"/>
      <c r="E11" s="141">
        <f>'2|CoS '!E12</f>
        <v>2072.8031000000001</v>
      </c>
      <c r="F11" s="142">
        <f>'7|Total Rev Current'!AA261</f>
        <v>2121.5859457522433</v>
      </c>
      <c r="G11" s="143">
        <f>F11-E11</f>
        <v>48.782845752243247</v>
      </c>
      <c r="H11" s="144"/>
      <c r="I11" s="143">
        <f>G11</f>
        <v>48.782845752243247</v>
      </c>
      <c r="J11" s="1386"/>
      <c r="K11" s="141">
        <f>'2|CoS '!H12</f>
        <v>2106.6846102964314</v>
      </c>
      <c r="L11" s="142">
        <f>'7|Total Rev Current'!AA439</f>
        <v>2320.7288820585991</v>
      </c>
      <c r="M11" s="143">
        <f>L11-K11</f>
        <v>214.04427176216768</v>
      </c>
      <c r="N11" s="144"/>
      <c r="O11" s="143">
        <f>M11</f>
        <v>214.04427176216768</v>
      </c>
      <c r="P11" s="1386"/>
    </row>
    <row r="12" spans="1:16" ht="27.75" customHeight="1">
      <c r="C12" s="140" t="s">
        <v>672</v>
      </c>
      <c r="D12" s="95"/>
      <c r="E12" s="141">
        <f>'2|CoS '!E13</f>
        <v>6249.8657999999996</v>
      </c>
      <c r="F12" s="142">
        <f>'7|Total Rev Current'!AA292+'7|Total Rev Current'!AA323</f>
        <v>5580.6905817794477</v>
      </c>
      <c r="G12" s="143">
        <f>F12-E12</f>
        <v>-669.17521822055187</v>
      </c>
      <c r="H12" s="144"/>
      <c r="I12" s="143">
        <f>G12</f>
        <v>-669.17521822055187</v>
      </c>
      <c r="J12" s="1386"/>
      <c r="K12" s="141">
        <f>'2|CoS '!H13</f>
        <v>6124.6749175813766</v>
      </c>
      <c r="L12" s="142">
        <f>'7|Total Rev Current'!AA470+'7|Total Rev Current'!AA501</f>
        <v>5922.1655005367629</v>
      </c>
      <c r="M12" s="143">
        <f>L12-K12</f>
        <v>-202.50941704461366</v>
      </c>
      <c r="N12" s="144"/>
      <c r="O12" s="143">
        <f>M12</f>
        <v>-202.50941704461366</v>
      </c>
      <c r="P12" s="1386"/>
    </row>
    <row r="13" spans="1:16" ht="27.75" customHeight="1" thickBot="1">
      <c r="C13" s="149" t="s">
        <v>644</v>
      </c>
      <c r="D13" s="150"/>
      <c r="E13" s="151">
        <f>E8+E10+E11+E12</f>
        <v>21518.592400000001</v>
      </c>
      <c r="F13" s="151">
        <f>F8+F10+F11+F12</f>
        <v>16674.610970001766</v>
      </c>
      <c r="G13" s="152">
        <f>F13-E13</f>
        <v>-4843.9814299982354</v>
      </c>
      <c r="H13" s="152"/>
      <c r="I13" s="152">
        <f>G13</f>
        <v>-4843.9814299982354</v>
      </c>
      <c r="J13" s="1388"/>
      <c r="K13" s="1391">
        <f>K8+K10+K11+K12</f>
        <v>21161.86</v>
      </c>
      <c r="L13" s="151">
        <f>L8+L10+L11+L12</f>
        <v>17764.449481597279</v>
      </c>
      <c r="M13" s="152">
        <f>L13-K13</f>
        <v>-3397.4105184027212</v>
      </c>
      <c r="N13" s="152"/>
      <c r="O13" s="152">
        <f>M13</f>
        <v>-3397.4105184027212</v>
      </c>
      <c r="P13" s="1388"/>
    </row>
    <row r="14" spans="1:16" ht="12" customHeight="1"/>
  </sheetData>
  <sheetProtection selectLockedCells="1" selectUnlockedCells="1"/>
  <mergeCells count="4">
    <mergeCell ref="C5:C6"/>
    <mergeCell ref="D5:D6"/>
    <mergeCell ref="E5:J5"/>
    <mergeCell ref="K5:P5"/>
  </mergeCells>
  <phoneticPr fontId="11" type="noConversion"/>
  <dataValidations count="1">
    <dataValidation type="decimal" allowBlank="1" showInputMessage="1" showErrorMessage="1" sqref="G8:I13 E13:F13 M8:O13 K13:L13 E6:I6 K6:O6">
      <formula1>-999999999999999000</formula1>
      <formula2>999999999999999000</formula2>
    </dataValidation>
  </dataValidations>
  <hyperlinks>
    <hyperlink ref="A1" location="Index!A1" display="Index sheet"/>
  </hyperlinks>
  <printOptions horizontalCentered="1"/>
  <pageMargins left="0.51181102362204722" right="0.51181102362204722" top="0.51181102362204722" bottom="0.51181102362204722" header="0.23622047244094491" footer="0.23622047244094491"/>
  <pageSetup paperSize="9" scale="90" orientation="landscape"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42</vt:i4>
      </vt:variant>
      <vt:variant>
        <vt:lpstr>Named Ranges</vt:lpstr>
      </vt:variant>
      <vt:variant>
        <vt:i4>53</vt:i4>
      </vt:variant>
    </vt:vector>
  </HeadingPairs>
  <TitlesOfParts>
    <vt:vector size="95" baseType="lpstr">
      <vt:lpstr>Index</vt:lpstr>
      <vt:lpstr>Notes</vt:lpstr>
      <vt:lpstr>1|ARR</vt:lpstr>
      <vt:lpstr>1.1|Trans Cost</vt:lpstr>
      <vt:lpstr>1.2|SLDC</vt:lpstr>
      <vt:lpstr>1.3|Dist Cost</vt:lpstr>
      <vt:lpstr>1.4| PP Cost-Reg</vt:lpstr>
      <vt:lpstr>1.4a|PP Cost- NonReg</vt:lpstr>
      <vt:lpstr>1.4(i)|NCE-B Year </vt:lpstr>
      <vt:lpstr>1.4(ii)|NCE- Year 1</vt:lpstr>
      <vt:lpstr>1.4(iii)|NCE- Year 2</vt:lpstr>
      <vt:lpstr>1.4(iii)|NCE- Year 2 </vt:lpstr>
      <vt:lpstr>1.4(iv)|NCE- Year 3</vt:lpstr>
      <vt:lpstr>1.4(v)|NCE -Year 4</vt:lpstr>
      <vt:lpstr>1.4 (vi)|NCE-Year 5</vt:lpstr>
      <vt:lpstr>1.4 b|Sales to Licensees</vt:lpstr>
      <vt:lpstr>1.4c|D-D Purchases</vt:lpstr>
      <vt:lpstr>1.5|Int CSD</vt:lpstr>
      <vt:lpstr>1.6|Supply Margin</vt:lpstr>
      <vt:lpstr>1.7|Other Costs</vt:lpstr>
      <vt:lpstr>2|CoS </vt:lpstr>
      <vt:lpstr>3|Sales Forecast</vt:lpstr>
      <vt:lpstr>A|New Cons Categ </vt:lpstr>
      <vt:lpstr>4|PP Requirement</vt:lpstr>
      <vt:lpstr>4a| Energy Losses</vt:lpstr>
      <vt:lpstr>4b|Transmission Losses</vt:lpstr>
      <vt:lpstr>4.1|Energy Availability</vt:lpstr>
      <vt:lpstr>4.2|Energy Dispatch</vt:lpstr>
      <vt:lpstr>5|Revenue Current Tariff</vt:lpstr>
      <vt:lpstr>5a|Incentives Current</vt:lpstr>
      <vt:lpstr>5b|Cons switching to comp</vt:lpstr>
      <vt:lpstr>5c|Cons served under open acces</vt:lpstr>
      <vt:lpstr>6|NTI current</vt:lpstr>
      <vt:lpstr>7|Total Rev Current</vt:lpstr>
      <vt:lpstr>8|Rev Gap</vt:lpstr>
      <vt:lpstr>9|Revenue Gap Adj</vt:lpstr>
      <vt:lpstr>10|Revenue Proposed Tariff</vt:lpstr>
      <vt:lpstr>10a|Incentives Proposed</vt:lpstr>
      <vt:lpstr>11|NTI proposed</vt:lpstr>
      <vt:lpstr>12|Total Rev Proposed Tarif </vt:lpstr>
      <vt:lpstr>12|Total Rev Proposed Tarif (2)</vt:lpstr>
      <vt:lpstr>13|Cost and Revenue</vt:lpstr>
      <vt:lpstr>arr</vt:lpstr>
      <vt:lpstr>distcost</vt:lpstr>
      <vt:lpstr>index</vt:lpstr>
      <vt:lpstr>notes</vt:lpstr>
      <vt:lpstr>'1.1|Trans Cost'!OLE_LINK3</vt:lpstr>
      <vt:lpstr>'1.1|Trans Cost'!Print_Area</vt:lpstr>
      <vt:lpstr>'1.4 (vi)|NCE-Year 5'!Print_Area</vt:lpstr>
      <vt:lpstr>'1.4(i)|NCE-B Year '!Print_Area</vt:lpstr>
      <vt:lpstr>'1.4(ii)|NCE- Year 1'!Print_Area</vt:lpstr>
      <vt:lpstr>'1.4(iii)|NCE- Year 2'!Print_Area</vt:lpstr>
      <vt:lpstr>'1.4(iii)|NCE- Year 2 '!Print_Area</vt:lpstr>
      <vt:lpstr>'1.4(iv)|NCE- Year 3'!Print_Area</vt:lpstr>
      <vt:lpstr>'1.4| PP Cost-Reg'!Print_Area</vt:lpstr>
      <vt:lpstr>'1.4a|PP Cost- NonReg'!Print_Area</vt:lpstr>
      <vt:lpstr>'1.6|Supply Margin'!Print_Area</vt:lpstr>
      <vt:lpstr>'1.7|Other Costs'!Print_Area</vt:lpstr>
      <vt:lpstr>'1|ARR'!Print_Area</vt:lpstr>
      <vt:lpstr>'10|Revenue Proposed Tariff'!Print_Area</vt:lpstr>
      <vt:lpstr>'12|Total Rev Proposed Tarif '!Print_Area</vt:lpstr>
      <vt:lpstr>'13|Cost and Revenue'!Print_Area</vt:lpstr>
      <vt:lpstr>'2|CoS '!Print_Area</vt:lpstr>
      <vt:lpstr>'3|Sales Forecast'!Print_Area</vt:lpstr>
      <vt:lpstr>'4.1|Energy Availability'!Print_Area</vt:lpstr>
      <vt:lpstr>'4.2|Energy Dispatch'!Print_Area</vt:lpstr>
      <vt:lpstr>'4|PP Requirement'!Print_Area</vt:lpstr>
      <vt:lpstr>'5|Revenue Current Tariff'!Print_Area</vt:lpstr>
      <vt:lpstr>'5a|Incentives Current'!Print_Area</vt:lpstr>
      <vt:lpstr>'5b|Cons switching to comp'!Print_Area</vt:lpstr>
      <vt:lpstr>'5c|Cons served under open acces'!Print_Area</vt:lpstr>
      <vt:lpstr>'6|NTI current'!Print_Area</vt:lpstr>
      <vt:lpstr>'7|Total Rev Current'!Print_Area</vt:lpstr>
      <vt:lpstr>'A|New Cons Categ '!Print_Area</vt:lpstr>
      <vt:lpstr>Index!Print_Area</vt:lpstr>
      <vt:lpstr>Notes!Print_Area</vt:lpstr>
      <vt:lpstr>'1.2|SLDC'!Print_Titles</vt:lpstr>
      <vt:lpstr>'1.4 (vi)|NCE-Year 5'!Print_Titles</vt:lpstr>
      <vt:lpstr>'1.4(i)|NCE-B Year '!Print_Titles</vt:lpstr>
      <vt:lpstr>'1.4| PP Cost-Reg'!Print_Titles</vt:lpstr>
      <vt:lpstr>'10|Revenue Proposed Tariff'!Print_Titles</vt:lpstr>
      <vt:lpstr>'10a|Incentives Proposed'!Print_Titles</vt:lpstr>
      <vt:lpstr>'12|Total Rev Proposed Tarif '!Print_Titles</vt:lpstr>
      <vt:lpstr>'12|Total Rev Proposed Tarif (2)'!Print_Titles</vt:lpstr>
      <vt:lpstr>'13|Cost and Revenue'!Print_Titles</vt:lpstr>
      <vt:lpstr>'2|CoS '!Print_Titles</vt:lpstr>
      <vt:lpstr>'3|Sales Forecast'!Print_Titles</vt:lpstr>
      <vt:lpstr>'4.1|Energy Availability'!Print_Titles</vt:lpstr>
      <vt:lpstr>'4.2|Energy Dispatch'!Print_Titles</vt:lpstr>
      <vt:lpstr>'4a| Energy Losses'!Print_Titles</vt:lpstr>
      <vt:lpstr>'5|Revenue Current Tariff'!Print_Titles</vt:lpstr>
      <vt:lpstr>'5a|Incentives Current'!Print_Titles</vt:lpstr>
      <vt:lpstr>'5b|Cons switching to comp'!Print_Titles</vt:lpstr>
      <vt:lpstr>'5c|Cons served under open acces'!Print_Titles</vt:lpstr>
      <vt:lpstr>'7|Total Rev Current'!Print_Titles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Abhi</dc:creator>
  <cp:lastModifiedBy>msrao</cp:lastModifiedBy>
  <cp:lastPrinted>2023-12-01T14:08:06Z</cp:lastPrinted>
  <dcterms:created xsi:type="dcterms:W3CDTF">2007-07-10T10:11:24Z</dcterms:created>
  <dcterms:modified xsi:type="dcterms:W3CDTF">2023-12-08T12:02:05Z</dcterms:modified>
</cp:coreProperties>
</file>